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walte\AppData\Local\Microsoft\Windows\INetCache\Content.Outlook\FPF8FOOT\"/>
    </mc:Choice>
  </mc:AlternateContent>
  <xr:revisionPtr revIDLastSave="0" documentId="8_{81199D98-E0F7-443A-B00E-9488B8E2AF2C}" xr6:coauthVersionLast="47" xr6:coauthVersionMax="47" xr10:uidLastSave="{00000000-0000-0000-0000-000000000000}"/>
  <bookViews>
    <workbookView xWindow="-108" yWindow="-108" windowWidth="23256" windowHeight="12576" activeTab="19" xr2:uid="{00000000-000D-0000-FFFF-FFFF00000000}"/>
  </bookViews>
  <sheets>
    <sheet name="DEALS" sheetId="1" r:id="rId1"/>
    <sheet name="OVERALL" sheetId="2" r:id="rId2"/>
    <sheet name="Primaz" sheetId="18" r:id="rId3"/>
    <sheet name="AAwezz" sheetId="3" r:id="rId4"/>
    <sheet name="Alex" sheetId="4" r:id="rId5"/>
    <sheet name="Bazz" sheetId="5" r:id="rId6"/>
    <sheet name="Carter" sheetId="6" r:id="rId7"/>
    <sheet name="Damir" sheetId="7" r:id="rId8"/>
    <sheet name="Dejan" sheetId="8" r:id="rId9"/>
    <sheet name="Emil" sheetId="9" r:id="rId10"/>
    <sheet name="Gubic" sheetId="10" r:id="rId11"/>
    <sheet name="HS" sheetId="11" r:id="rId12"/>
    <sheet name="Kaleb" sheetId="12" r:id="rId13"/>
    <sheet name="Luka" sheetId="13" r:id="rId14"/>
    <sheet name="MPLO" sheetId="14" r:id="rId15"/>
    <sheet name="Niki" sheetId="15" r:id="rId16"/>
    <sheet name="Patrick" sheetId="16" r:id="rId17"/>
    <sheet name="Phillip" sheetId="17" r:id="rId18"/>
    <sheet name="Shane" sheetId="19" r:id="rId19"/>
    <sheet name="Sheldon" sheetId="20" r:id="rId20"/>
    <sheet name="Andreas" sheetId="21" r:id="rId21"/>
    <sheet name="Ankush" sheetId="22" r:id="rId22"/>
    <sheet name="Ben" sheetId="23" r:id="rId23"/>
    <sheet name="Carl" sheetId="24" r:id="rId24"/>
    <sheet name="Duarte" sheetId="25" r:id="rId25"/>
    <sheet name="Fede" sheetId="26" r:id="rId26"/>
    <sheet name="Jake" sheetId="27" r:id="rId27"/>
    <sheet name="Tomaz" sheetId="28" r:id="rId28"/>
    <sheet name="Andraz" sheetId="29" r:id="rId29"/>
    <sheet name="Ash" sheetId="30" r:id="rId30"/>
    <sheet name="Jeanchris" sheetId="31" r:id="rId31"/>
    <sheet name="Kingo" sheetId="32" r:id="rId32"/>
    <sheet name="Medi" sheetId="33" r:id="rId33"/>
    <sheet name="Sheldon - Avatar" sheetId="34" r:id="rId34"/>
  </sheets>
  <definedNames>
    <definedName name="_xlnm._FilterDatabase" localSheetId="3" hidden="1">AAwezz!$A$1:$Z$107</definedName>
    <definedName name="_xlnm._FilterDatabase" localSheetId="0" hidden="1">DEALS!$A$1:$Z$248</definedName>
    <definedName name="_xlnm._FilterDatabase" localSheetId="15" hidden="1">Niki!$A$1:$Z$158</definedName>
    <definedName name="_xlnm._FilterDatabase" localSheetId="16" hidden="1">Patrick!$A$1:$Z$1</definedName>
    <definedName name="_xlnm._FilterDatabase" localSheetId="2" hidden="1">Primaz!$A$1:$Z$76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8" l="1"/>
  <c r="I13" i="13"/>
  <c r="I8" i="13"/>
  <c r="L223" i="13"/>
  <c r="K223" i="13"/>
  <c r="I223" i="13"/>
  <c r="G223" i="13"/>
  <c r="G69" i="18"/>
  <c r="L69" i="18" s="1"/>
  <c r="I69" i="18" l="1"/>
  <c r="M10" i="34" l="1"/>
  <c r="L10" i="34"/>
  <c r="K10" i="34"/>
  <c r="I10" i="34"/>
  <c r="M9" i="34"/>
  <c r="L9" i="34"/>
  <c r="K9" i="34"/>
  <c r="I9" i="34"/>
  <c r="M8" i="34"/>
  <c r="L8" i="34"/>
  <c r="K8" i="34"/>
  <c r="I8" i="34"/>
  <c r="M7" i="34"/>
  <c r="L7" i="34"/>
  <c r="K7" i="34"/>
  <c r="I7" i="34"/>
  <c r="M6" i="34"/>
  <c r="L6" i="34"/>
  <c r="K6" i="34"/>
  <c r="I6" i="34"/>
  <c r="M5" i="34"/>
  <c r="L5" i="34"/>
  <c r="K5" i="34"/>
  <c r="I5" i="34"/>
  <c r="M4" i="34"/>
  <c r="L4" i="34"/>
  <c r="K4" i="34"/>
  <c r="I4" i="34"/>
  <c r="M3" i="34"/>
  <c r="L3" i="34"/>
  <c r="K3" i="34"/>
  <c r="I3" i="34"/>
  <c r="S2" i="34"/>
  <c r="N2" i="34"/>
  <c r="M2" i="34"/>
  <c r="L2" i="34"/>
  <c r="K2" i="34"/>
  <c r="R2" i="34" s="1"/>
  <c r="T2" i="34" s="1"/>
  <c r="I2" i="34"/>
  <c r="Q2" i="33"/>
  <c r="P2" i="33"/>
  <c r="R2" i="33" s="1"/>
  <c r="D24" i="2" s="1"/>
  <c r="L2" i="33"/>
  <c r="K4" i="32"/>
  <c r="G4" i="32"/>
  <c r="I4" i="32" s="1"/>
  <c r="Q2" i="32"/>
  <c r="L2" i="32"/>
  <c r="K2" i="32"/>
  <c r="G2" i="32"/>
  <c r="I2" i="32" s="1"/>
  <c r="P2" i="32" s="1"/>
  <c r="R2" i="32" s="1"/>
  <c r="J102" i="31"/>
  <c r="L6" i="31"/>
  <c r="J6" i="31"/>
  <c r="G6" i="31"/>
  <c r="I6" i="31" s="1"/>
  <c r="L5" i="31"/>
  <c r="J5" i="31"/>
  <c r="G5" i="31"/>
  <c r="I5" i="31" s="1"/>
  <c r="L4" i="31"/>
  <c r="J4" i="31"/>
  <c r="G4" i="31"/>
  <c r="I4" i="31" s="1"/>
  <c r="L3" i="31"/>
  <c r="J3" i="31"/>
  <c r="G3" i="31"/>
  <c r="I3" i="31" s="1"/>
  <c r="R2" i="31"/>
  <c r="M2" i="31"/>
  <c r="L2" i="31"/>
  <c r="J2" i="31"/>
  <c r="G2" i="31"/>
  <c r="I2" i="31" s="1"/>
  <c r="I144" i="30"/>
  <c r="G144" i="30"/>
  <c r="G143" i="30"/>
  <c r="I143" i="30" s="1"/>
  <c r="I142" i="30"/>
  <c r="G142" i="30"/>
  <c r="G141" i="30"/>
  <c r="I141" i="30" s="1"/>
  <c r="I140" i="30"/>
  <c r="G140" i="30"/>
  <c r="G139" i="30"/>
  <c r="I139" i="30" s="1"/>
  <c r="I138" i="30"/>
  <c r="G138" i="30"/>
  <c r="G137" i="30"/>
  <c r="I137" i="30" s="1"/>
  <c r="I136" i="30"/>
  <c r="G136" i="30"/>
  <c r="G135" i="30"/>
  <c r="I135" i="30" s="1"/>
  <c r="I134" i="30"/>
  <c r="G134" i="30"/>
  <c r="K133" i="30"/>
  <c r="J133" i="30"/>
  <c r="I133" i="30"/>
  <c r="G133" i="30"/>
  <c r="K132" i="30"/>
  <c r="J132" i="30"/>
  <c r="I132" i="30"/>
  <c r="G132" i="30"/>
  <c r="K131" i="30"/>
  <c r="J131" i="30"/>
  <c r="I131" i="30"/>
  <c r="G131" i="30"/>
  <c r="K130" i="30"/>
  <c r="J130" i="30"/>
  <c r="I130" i="30"/>
  <c r="G130" i="30"/>
  <c r="K129" i="30"/>
  <c r="J129" i="30"/>
  <c r="I129" i="30"/>
  <c r="G129" i="30"/>
  <c r="K128" i="30"/>
  <c r="J128" i="30"/>
  <c r="I128" i="30"/>
  <c r="G128" i="30"/>
  <c r="K127" i="30"/>
  <c r="J127" i="30"/>
  <c r="I127" i="30"/>
  <c r="G127" i="30"/>
  <c r="K126" i="30"/>
  <c r="J126" i="30"/>
  <c r="I126" i="30"/>
  <c r="G126" i="30"/>
  <c r="K125" i="30"/>
  <c r="J125" i="30"/>
  <c r="I125" i="30"/>
  <c r="G125" i="30"/>
  <c r="G124" i="30"/>
  <c r="I124" i="30" s="1"/>
  <c r="I123" i="30"/>
  <c r="G123" i="30"/>
  <c r="G122" i="30"/>
  <c r="I122" i="30" s="1"/>
  <c r="I121" i="30"/>
  <c r="G121" i="30"/>
  <c r="G120" i="30"/>
  <c r="I120" i="30" s="1"/>
  <c r="I119" i="30"/>
  <c r="G119" i="30"/>
  <c r="G118" i="30"/>
  <c r="I118" i="30" s="1"/>
  <c r="I117" i="30"/>
  <c r="G117" i="30"/>
  <c r="G116" i="30"/>
  <c r="I116" i="30" s="1"/>
  <c r="I115" i="30"/>
  <c r="G115" i="30"/>
  <c r="G114" i="30"/>
  <c r="I114" i="30" s="1"/>
  <c r="K113" i="30"/>
  <c r="G113" i="30"/>
  <c r="K112" i="30"/>
  <c r="G112" i="30"/>
  <c r="K111" i="30"/>
  <c r="G111" i="30"/>
  <c r="K110" i="30"/>
  <c r="G110" i="30"/>
  <c r="K109" i="30"/>
  <c r="G109" i="30"/>
  <c r="K108" i="30"/>
  <c r="G108" i="30"/>
  <c r="K107" i="30"/>
  <c r="G107" i="30"/>
  <c r="K106" i="30"/>
  <c r="G106" i="30"/>
  <c r="K105" i="30"/>
  <c r="G105" i="30"/>
  <c r="K104" i="30"/>
  <c r="G104" i="30"/>
  <c r="K103" i="30"/>
  <c r="G103" i="30"/>
  <c r="I102" i="30"/>
  <c r="G102" i="30"/>
  <c r="G101" i="30"/>
  <c r="I101" i="30" s="1"/>
  <c r="I100" i="30"/>
  <c r="G100" i="30"/>
  <c r="G99" i="30"/>
  <c r="I99" i="30" s="1"/>
  <c r="I98" i="30"/>
  <c r="G98" i="30"/>
  <c r="G97" i="30"/>
  <c r="I97" i="30" s="1"/>
  <c r="I96" i="30"/>
  <c r="G96" i="30"/>
  <c r="G95" i="30"/>
  <c r="I95" i="30" s="1"/>
  <c r="I94" i="30"/>
  <c r="G94" i="30"/>
  <c r="G93" i="30"/>
  <c r="I93" i="30" s="1"/>
  <c r="I92" i="30"/>
  <c r="G92" i="30"/>
  <c r="K91" i="30"/>
  <c r="J91" i="30"/>
  <c r="I91" i="30"/>
  <c r="G91" i="30"/>
  <c r="K90" i="30"/>
  <c r="J90" i="30"/>
  <c r="I90" i="30"/>
  <c r="G90" i="30"/>
  <c r="K89" i="30"/>
  <c r="J89" i="30"/>
  <c r="I89" i="30"/>
  <c r="G89" i="30"/>
  <c r="K88" i="30"/>
  <c r="J88" i="30"/>
  <c r="I88" i="30"/>
  <c r="G88" i="30"/>
  <c r="K87" i="30"/>
  <c r="J87" i="30"/>
  <c r="I87" i="30"/>
  <c r="G87" i="30"/>
  <c r="K86" i="30"/>
  <c r="J86" i="30"/>
  <c r="I86" i="30"/>
  <c r="G86" i="30"/>
  <c r="K85" i="30"/>
  <c r="J85" i="30"/>
  <c r="I85" i="30"/>
  <c r="G85" i="30"/>
  <c r="K84" i="30"/>
  <c r="J84" i="30"/>
  <c r="I84" i="30"/>
  <c r="G84" i="30"/>
  <c r="K83" i="30"/>
  <c r="J83" i="30"/>
  <c r="I83" i="30"/>
  <c r="G83" i="30"/>
  <c r="K82" i="30"/>
  <c r="J82" i="30"/>
  <c r="I82" i="30"/>
  <c r="G82" i="30"/>
  <c r="K81" i="30"/>
  <c r="J81" i="30"/>
  <c r="I81" i="30"/>
  <c r="G81" i="30"/>
  <c r="G80" i="30"/>
  <c r="I80" i="30" s="1"/>
  <c r="I79" i="30"/>
  <c r="G79" i="30"/>
  <c r="G78" i="30"/>
  <c r="I78" i="30" s="1"/>
  <c r="I77" i="30"/>
  <c r="G77" i="30"/>
  <c r="G76" i="30"/>
  <c r="I76" i="30" s="1"/>
  <c r="I75" i="30"/>
  <c r="G75" i="30"/>
  <c r="G74" i="30"/>
  <c r="I74" i="30" s="1"/>
  <c r="I73" i="30"/>
  <c r="G73" i="30"/>
  <c r="G72" i="30"/>
  <c r="I72" i="30" s="1"/>
  <c r="I71" i="30"/>
  <c r="G71" i="30"/>
  <c r="G70" i="30"/>
  <c r="I70" i="30" s="1"/>
  <c r="K69" i="30"/>
  <c r="G69" i="30"/>
  <c r="K68" i="30"/>
  <c r="G68" i="30"/>
  <c r="K67" i="30"/>
  <c r="G67" i="30"/>
  <c r="K66" i="30"/>
  <c r="G66" i="30"/>
  <c r="K65" i="30"/>
  <c r="G65" i="30"/>
  <c r="K64" i="30"/>
  <c r="G64" i="30"/>
  <c r="K63" i="30"/>
  <c r="G63" i="30"/>
  <c r="K62" i="30"/>
  <c r="G62" i="30"/>
  <c r="K61" i="30"/>
  <c r="G61" i="30"/>
  <c r="I60" i="30"/>
  <c r="G60" i="30"/>
  <c r="G59" i="30"/>
  <c r="I59" i="30" s="1"/>
  <c r="I58" i="30"/>
  <c r="G58" i="30"/>
  <c r="G57" i="30"/>
  <c r="I57" i="30" s="1"/>
  <c r="I56" i="30"/>
  <c r="G56" i="30"/>
  <c r="G55" i="30"/>
  <c r="I55" i="30" s="1"/>
  <c r="I54" i="30"/>
  <c r="G54" i="30"/>
  <c r="G53" i="30"/>
  <c r="I53" i="30" s="1"/>
  <c r="I52" i="30"/>
  <c r="G52" i="30"/>
  <c r="G51" i="30"/>
  <c r="I51" i="30" s="1"/>
  <c r="I50" i="30"/>
  <c r="G50" i="30"/>
  <c r="K49" i="30"/>
  <c r="J49" i="30"/>
  <c r="I49" i="30"/>
  <c r="G49" i="30"/>
  <c r="K48" i="30"/>
  <c r="J48" i="30"/>
  <c r="I48" i="30"/>
  <c r="G48" i="30"/>
  <c r="K47" i="30"/>
  <c r="J47" i="30"/>
  <c r="I47" i="30"/>
  <c r="G47" i="30"/>
  <c r="K46" i="30"/>
  <c r="J46" i="30"/>
  <c r="I46" i="30"/>
  <c r="G46" i="30"/>
  <c r="K45" i="30"/>
  <c r="J45" i="30"/>
  <c r="I45" i="30"/>
  <c r="G45" i="30"/>
  <c r="K44" i="30"/>
  <c r="J44" i="30"/>
  <c r="I44" i="30"/>
  <c r="G44" i="30"/>
  <c r="K43" i="30"/>
  <c r="J43" i="30"/>
  <c r="I43" i="30"/>
  <c r="G43" i="30"/>
  <c r="K42" i="30"/>
  <c r="J42" i="30"/>
  <c r="I42" i="30"/>
  <c r="G42" i="30"/>
  <c r="G41" i="30"/>
  <c r="I41" i="30" s="1"/>
  <c r="I40" i="30"/>
  <c r="G40" i="30"/>
  <c r="G39" i="30"/>
  <c r="I39" i="30" s="1"/>
  <c r="I38" i="30"/>
  <c r="G38" i="30"/>
  <c r="G37" i="30"/>
  <c r="I37" i="30" s="1"/>
  <c r="I36" i="30"/>
  <c r="G36" i="30"/>
  <c r="G35" i="30"/>
  <c r="I35" i="30" s="1"/>
  <c r="I34" i="30"/>
  <c r="G34" i="30"/>
  <c r="K33" i="30"/>
  <c r="J33" i="30"/>
  <c r="I33" i="30"/>
  <c r="G33" i="30"/>
  <c r="K32" i="30"/>
  <c r="J32" i="30"/>
  <c r="I32" i="30"/>
  <c r="G32" i="30"/>
  <c r="K31" i="30"/>
  <c r="J31" i="30"/>
  <c r="I31" i="30"/>
  <c r="G31" i="30"/>
  <c r="K30" i="30"/>
  <c r="J30" i="30"/>
  <c r="I30" i="30"/>
  <c r="G30" i="30"/>
  <c r="K29" i="30"/>
  <c r="J29" i="30"/>
  <c r="I29" i="30"/>
  <c r="G29" i="30"/>
  <c r="G28" i="30"/>
  <c r="I28" i="30" s="1"/>
  <c r="I27" i="30"/>
  <c r="G27" i="30"/>
  <c r="G26" i="30"/>
  <c r="I26" i="30" s="1"/>
  <c r="I25" i="30"/>
  <c r="G25" i="30"/>
  <c r="K24" i="30"/>
  <c r="J24" i="30"/>
  <c r="I24" i="30"/>
  <c r="G24" i="30"/>
  <c r="K23" i="30"/>
  <c r="J23" i="30"/>
  <c r="I23" i="30"/>
  <c r="G23" i="30"/>
  <c r="K22" i="30"/>
  <c r="J22" i="30"/>
  <c r="I22" i="30"/>
  <c r="G22" i="30"/>
  <c r="K21" i="30"/>
  <c r="J21" i="30"/>
  <c r="I21" i="30"/>
  <c r="G21" i="30"/>
  <c r="G20" i="30"/>
  <c r="I20" i="30" s="1"/>
  <c r="I19" i="30"/>
  <c r="G19" i="30"/>
  <c r="G18" i="30"/>
  <c r="I18" i="30" s="1"/>
  <c r="I17" i="30"/>
  <c r="G17" i="30"/>
  <c r="K16" i="30"/>
  <c r="J16" i="30"/>
  <c r="I16" i="30"/>
  <c r="G16" i="30"/>
  <c r="K15" i="30"/>
  <c r="J15" i="30"/>
  <c r="I15" i="30"/>
  <c r="G15" i="30"/>
  <c r="K14" i="30"/>
  <c r="J14" i="30"/>
  <c r="I14" i="30"/>
  <c r="G14" i="30"/>
  <c r="G13" i="30"/>
  <c r="I13" i="30" s="1"/>
  <c r="I12" i="30"/>
  <c r="G12" i="30"/>
  <c r="G11" i="30"/>
  <c r="I11" i="30" s="1"/>
  <c r="I10" i="30"/>
  <c r="G10" i="30"/>
  <c r="K9" i="30"/>
  <c r="J9" i="30"/>
  <c r="I9" i="30"/>
  <c r="G9" i="30"/>
  <c r="K8" i="30"/>
  <c r="J8" i="30"/>
  <c r="I8" i="30"/>
  <c r="G8" i="30"/>
  <c r="K7" i="30"/>
  <c r="J7" i="30"/>
  <c r="I7" i="30"/>
  <c r="G7" i="30"/>
  <c r="K6" i="30"/>
  <c r="J6" i="30"/>
  <c r="I6" i="30"/>
  <c r="G6" i="30"/>
  <c r="G5" i="30"/>
  <c r="I5" i="30" s="1"/>
  <c r="I4" i="30"/>
  <c r="G4" i="30"/>
  <c r="G3" i="30"/>
  <c r="I3" i="30" s="1"/>
  <c r="Q2" i="30"/>
  <c r="I2" i="30"/>
  <c r="G2" i="30"/>
  <c r="Q2" i="29"/>
  <c r="R2" i="29" s="1"/>
  <c r="P2" i="29"/>
  <c r="L2" i="29"/>
  <c r="G3" i="28"/>
  <c r="I3" i="28" s="1"/>
  <c r="P2" i="28" s="1"/>
  <c r="R2" i="28" s="1"/>
  <c r="Q2" i="28"/>
  <c r="L2" i="28"/>
  <c r="I2" i="28"/>
  <c r="G2" i="28"/>
  <c r="L6" i="27"/>
  <c r="K6" i="27"/>
  <c r="G6" i="27"/>
  <c r="I6" i="27" s="1"/>
  <c r="L5" i="27"/>
  <c r="J5" i="27"/>
  <c r="G5" i="27"/>
  <c r="I5" i="27" s="1"/>
  <c r="L4" i="27"/>
  <c r="I4" i="27"/>
  <c r="G4" i="27"/>
  <c r="L3" i="27"/>
  <c r="M2" i="27" s="1"/>
  <c r="I3" i="27"/>
  <c r="G3" i="27"/>
  <c r="R2" i="27"/>
  <c r="Q2" i="27"/>
  <c r="S2" i="27" s="1"/>
  <c r="D19" i="2" s="1"/>
  <c r="L2" i="27"/>
  <c r="J2" i="27"/>
  <c r="J102" i="27" s="1"/>
  <c r="I2" i="27"/>
  <c r="G2" i="27"/>
  <c r="Q2" i="26"/>
  <c r="P2" i="26"/>
  <c r="R2" i="26" s="1"/>
  <c r="L2" i="26"/>
  <c r="L3" i="25"/>
  <c r="K3" i="25"/>
  <c r="I3" i="25"/>
  <c r="G3" i="25"/>
  <c r="R2" i="25"/>
  <c r="L2" i="25"/>
  <c r="M2" i="25" s="1"/>
  <c r="J2" i="25"/>
  <c r="J102" i="25" s="1"/>
  <c r="I2" i="25"/>
  <c r="Q2" i="25" s="1"/>
  <c r="G2" i="25"/>
  <c r="Q2" i="24"/>
  <c r="R2" i="24" s="1"/>
  <c r="P2" i="24"/>
  <c r="L2" i="24"/>
  <c r="I6" i="23"/>
  <c r="K6" i="23" s="1"/>
  <c r="K4" i="23"/>
  <c r="I4" i="23"/>
  <c r="I3" i="23"/>
  <c r="K3" i="23" s="1"/>
  <c r="S2" i="23"/>
  <c r="N2" i="23"/>
  <c r="I2" i="23"/>
  <c r="K2" i="23" s="1"/>
  <c r="Q2" i="22"/>
  <c r="R2" i="22" s="1"/>
  <c r="P2" i="22"/>
  <c r="L2" i="22"/>
  <c r="Q2" i="21"/>
  <c r="P2" i="21"/>
  <c r="R2" i="21" s="1"/>
  <c r="L2" i="21"/>
  <c r="K259" i="20"/>
  <c r="I259" i="20"/>
  <c r="G259" i="20"/>
  <c r="K258" i="20"/>
  <c r="J258" i="20"/>
  <c r="I258" i="20"/>
  <c r="G258" i="20"/>
  <c r="K257" i="20"/>
  <c r="G257" i="20"/>
  <c r="I257" i="20" s="1"/>
  <c r="K256" i="20"/>
  <c r="J256" i="20"/>
  <c r="G256" i="20"/>
  <c r="I256" i="20" s="1"/>
  <c r="J255" i="20"/>
  <c r="G255" i="20"/>
  <c r="J254" i="20"/>
  <c r="G254" i="20"/>
  <c r="K253" i="20"/>
  <c r="J253" i="20"/>
  <c r="G253" i="20"/>
  <c r="I253" i="20" s="1"/>
  <c r="K252" i="20"/>
  <c r="J252" i="20"/>
  <c r="G252" i="20"/>
  <c r="I252" i="20" s="1"/>
  <c r="K251" i="20"/>
  <c r="J251" i="20"/>
  <c r="I251" i="20"/>
  <c r="G251" i="20"/>
  <c r="K250" i="20"/>
  <c r="J250" i="20"/>
  <c r="I250" i="20"/>
  <c r="G250" i="20"/>
  <c r="K249" i="20"/>
  <c r="J249" i="20"/>
  <c r="I249" i="20"/>
  <c r="G249" i="20"/>
  <c r="K248" i="20"/>
  <c r="I248" i="20"/>
  <c r="G248" i="20"/>
  <c r="K247" i="20"/>
  <c r="J247" i="20"/>
  <c r="I247" i="20"/>
  <c r="G247" i="20"/>
  <c r="K246" i="20"/>
  <c r="G246" i="20"/>
  <c r="I246" i="20" s="1"/>
  <c r="K245" i="20"/>
  <c r="J245" i="20"/>
  <c r="G245" i="20"/>
  <c r="I245" i="20" s="1"/>
  <c r="K244" i="20"/>
  <c r="G244" i="20"/>
  <c r="I244" i="20" s="1"/>
  <c r="K243" i="20"/>
  <c r="J243" i="20"/>
  <c r="G243" i="20"/>
  <c r="I243" i="20" s="1"/>
  <c r="K242" i="20"/>
  <c r="I242" i="20"/>
  <c r="G242" i="20"/>
  <c r="K241" i="20"/>
  <c r="J241" i="20"/>
  <c r="I241" i="20"/>
  <c r="G241" i="20"/>
  <c r="K240" i="20"/>
  <c r="J240" i="20"/>
  <c r="I240" i="20"/>
  <c r="G240" i="20"/>
  <c r="K239" i="20"/>
  <c r="J239" i="20"/>
  <c r="I239" i="20"/>
  <c r="G239" i="20"/>
  <c r="K238" i="20"/>
  <c r="I238" i="20"/>
  <c r="G238" i="20"/>
  <c r="K237" i="20"/>
  <c r="J237" i="20"/>
  <c r="I237" i="20"/>
  <c r="G237" i="20"/>
  <c r="K236" i="20"/>
  <c r="J236" i="20"/>
  <c r="I236" i="20"/>
  <c r="G236" i="20"/>
  <c r="K235" i="20"/>
  <c r="G235" i="20"/>
  <c r="I235" i="20" s="1"/>
  <c r="K234" i="20"/>
  <c r="G234" i="20"/>
  <c r="I234" i="20" s="1"/>
  <c r="K233" i="20"/>
  <c r="I233" i="20"/>
  <c r="G233" i="20"/>
  <c r="K232" i="20"/>
  <c r="J232" i="20"/>
  <c r="I232" i="20"/>
  <c r="G232" i="20"/>
  <c r="K231" i="20"/>
  <c r="J231" i="20"/>
  <c r="I231" i="20"/>
  <c r="G231" i="20"/>
  <c r="K230" i="20"/>
  <c r="J230" i="20"/>
  <c r="I230" i="20"/>
  <c r="G230" i="20"/>
  <c r="K229" i="20"/>
  <c r="J229" i="20"/>
  <c r="I229" i="20"/>
  <c r="G229" i="20"/>
  <c r="K228" i="20"/>
  <c r="J228" i="20"/>
  <c r="I228" i="20"/>
  <c r="G228" i="20"/>
  <c r="K227" i="20"/>
  <c r="J227" i="20"/>
  <c r="I227" i="20"/>
  <c r="G227" i="20"/>
  <c r="K226" i="20"/>
  <c r="J226" i="20"/>
  <c r="I226" i="20"/>
  <c r="G226" i="20"/>
  <c r="K225" i="20"/>
  <c r="J225" i="20"/>
  <c r="I225" i="20"/>
  <c r="G225" i="20"/>
  <c r="K224" i="20"/>
  <c r="J224" i="20"/>
  <c r="I224" i="20"/>
  <c r="G224" i="20"/>
  <c r="K223" i="20"/>
  <c r="J223" i="20"/>
  <c r="I223" i="20"/>
  <c r="G223" i="20"/>
  <c r="K222" i="20"/>
  <c r="J222" i="20"/>
  <c r="I222" i="20"/>
  <c r="G222" i="20"/>
  <c r="K221" i="20"/>
  <c r="J221" i="20"/>
  <c r="I221" i="20"/>
  <c r="G221" i="20"/>
  <c r="K220" i="20"/>
  <c r="J220" i="20"/>
  <c r="I220" i="20"/>
  <c r="G220" i="20"/>
  <c r="K219" i="20"/>
  <c r="I219" i="20"/>
  <c r="G219" i="20"/>
  <c r="K218" i="20"/>
  <c r="J218" i="20"/>
  <c r="I218" i="20"/>
  <c r="G218" i="20"/>
  <c r="K217" i="20"/>
  <c r="G217" i="20"/>
  <c r="I217" i="20" s="1"/>
  <c r="K216" i="20"/>
  <c r="J216" i="20"/>
  <c r="G216" i="20"/>
  <c r="I216" i="20" s="1"/>
  <c r="J215" i="20"/>
  <c r="G215" i="20"/>
  <c r="J214" i="20"/>
  <c r="G214" i="20"/>
  <c r="K213" i="20"/>
  <c r="G213" i="20"/>
  <c r="I213" i="20" s="1"/>
  <c r="K212" i="20"/>
  <c r="J212" i="20"/>
  <c r="G212" i="20"/>
  <c r="I212" i="20" s="1"/>
  <c r="K211" i="20"/>
  <c r="J211" i="20"/>
  <c r="G211" i="20"/>
  <c r="I211" i="20" s="1"/>
  <c r="K210" i="20"/>
  <c r="I210" i="20"/>
  <c r="G210" i="20"/>
  <c r="K209" i="20"/>
  <c r="I209" i="20"/>
  <c r="G209" i="20"/>
  <c r="K208" i="20"/>
  <c r="J208" i="20"/>
  <c r="I208" i="20"/>
  <c r="G208" i="20"/>
  <c r="J207" i="20"/>
  <c r="I207" i="20"/>
  <c r="G207" i="20"/>
  <c r="K207" i="20" s="1"/>
  <c r="J206" i="20"/>
  <c r="I206" i="20"/>
  <c r="G206" i="20"/>
  <c r="K206" i="20" s="1"/>
  <c r="K205" i="20"/>
  <c r="J205" i="20"/>
  <c r="I205" i="20"/>
  <c r="G205" i="20"/>
  <c r="K204" i="20"/>
  <c r="J204" i="20"/>
  <c r="I204" i="20"/>
  <c r="G204" i="20"/>
  <c r="K203" i="20"/>
  <c r="J203" i="20"/>
  <c r="I203" i="20"/>
  <c r="G203" i="20"/>
  <c r="K202" i="20"/>
  <c r="J202" i="20"/>
  <c r="I202" i="20"/>
  <c r="G202" i="20"/>
  <c r="K201" i="20"/>
  <c r="J201" i="20"/>
  <c r="I201" i="20"/>
  <c r="G201" i="20"/>
  <c r="K200" i="20"/>
  <c r="G200" i="20"/>
  <c r="I200" i="20" s="1"/>
  <c r="K199" i="20"/>
  <c r="G199" i="20"/>
  <c r="I199" i="20" s="1"/>
  <c r="K198" i="20"/>
  <c r="J198" i="20"/>
  <c r="G198" i="20"/>
  <c r="I198" i="20" s="1"/>
  <c r="K197" i="20"/>
  <c r="J197" i="20"/>
  <c r="G197" i="20"/>
  <c r="I197" i="20" s="1"/>
  <c r="K196" i="20"/>
  <c r="J196" i="20"/>
  <c r="G196" i="20"/>
  <c r="I196" i="20" s="1"/>
  <c r="K195" i="20"/>
  <c r="J195" i="20"/>
  <c r="G195" i="20"/>
  <c r="I195" i="20" s="1"/>
  <c r="K194" i="20"/>
  <c r="J194" i="20"/>
  <c r="G194" i="20"/>
  <c r="I194" i="20" s="1"/>
  <c r="K193" i="20"/>
  <c r="I193" i="20"/>
  <c r="G193" i="20"/>
  <c r="K192" i="20"/>
  <c r="I192" i="20"/>
  <c r="G192" i="20"/>
  <c r="K191" i="20"/>
  <c r="G191" i="20"/>
  <c r="I191" i="20" s="1"/>
  <c r="K190" i="20"/>
  <c r="G190" i="20"/>
  <c r="I190" i="20" s="1"/>
  <c r="K189" i="20"/>
  <c r="I189" i="20"/>
  <c r="G189" i="20"/>
  <c r="K188" i="20"/>
  <c r="I188" i="20"/>
  <c r="G188" i="20"/>
  <c r="K187" i="20"/>
  <c r="G187" i="20"/>
  <c r="I187" i="20" s="1"/>
  <c r="K186" i="20"/>
  <c r="J186" i="20"/>
  <c r="G186" i="20"/>
  <c r="I186" i="20" s="1"/>
  <c r="K185" i="20"/>
  <c r="J185" i="20"/>
  <c r="G185" i="20"/>
  <c r="I185" i="20" s="1"/>
  <c r="K184" i="20"/>
  <c r="J184" i="20"/>
  <c r="G184" i="20"/>
  <c r="I184" i="20" s="1"/>
  <c r="J183" i="20"/>
  <c r="G183" i="20"/>
  <c r="K182" i="20"/>
  <c r="J182" i="20"/>
  <c r="G182" i="20"/>
  <c r="I182" i="20" s="1"/>
  <c r="K181" i="20"/>
  <c r="G181" i="20"/>
  <c r="I181" i="20" s="1"/>
  <c r="K180" i="20"/>
  <c r="I180" i="20"/>
  <c r="G180" i="20"/>
  <c r="K179" i="20"/>
  <c r="J179" i="20"/>
  <c r="I179" i="20"/>
  <c r="G179" i="20"/>
  <c r="K178" i="20"/>
  <c r="J178" i="20"/>
  <c r="I178" i="20"/>
  <c r="G178" i="20"/>
  <c r="K177" i="20"/>
  <c r="J177" i="20"/>
  <c r="I177" i="20"/>
  <c r="G177" i="20"/>
  <c r="K176" i="20"/>
  <c r="I176" i="20"/>
  <c r="G176" i="20"/>
  <c r="K175" i="20"/>
  <c r="J175" i="20"/>
  <c r="I175" i="20"/>
  <c r="G175" i="20"/>
  <c r="K174" i="20"/>
  <c r="J174" i="20"/>
  <c r="I174" i="20"/>
  <c r="G174" i="20"/>
  <c r="K173" i="20"/>
  <c r="J173" i="20"/>
  <c r="I173" i="20"/>
  <c r="G173" i="20"/>
  <c r="K172" i="20"/>
  <c r="J172" i="20"/>
  <c r="I172" i="20"/>
  <c r="G172" i="20"/>
  <c r="K171" i="20"/>
  <c r="J171" i="20"/>
  <c r="I171" i="20"/>
  <c r="G171" i="20"/>
  <c r="J170" i="20"/>
  <c r="I170" i="20"/>
  <c r="G170" i="20"/>
  <c r="K170" i="20" s="1"/>
  <c r="J169" i="20"/>
  <c r="I169" i="20"/>
  <c r="G169" i="20"/>
  <c r="K169" i="20" s="1"/>
  <c r="J168" i="20"/>
  <c r="I168" i="20"/>
  <c r="G168" i="20"/>
  <c r="K168" i="20" s="1"/>
  <c r="J167" i="20"/>
  <c r="I167" i="20"/>
  <c r="G167" i="20"/>
  <c r="K167" i="20" s="1"/>
  <c r="K166" i="20"/>
  <c r="G166" i="20"/>
  <c r="I166" i="20" s="1"/>
  <c r="K165" i="20"/>
  <c r="G165" i="20"/>
  <c r="I165" i="20" s="1"/>
  <c r="K164" i="20"/>
  <c r="J164" i="20"/>
  <c r="G164" i="20"/>
  <c r="I164" i="20" s="1"/>
  <c r="K163" i="20"/>
  <c r="J163" i="20"/>
  <c r="G163" i="20"/>
  <c r="I163" i="20" s="1"/>
  <c r="K162" i="20"/>
  <c r="I162" i="20"/>
  <c r="G162" i="20"/>
  <c r="K161" i="20"/>
  <c r="I161" i="20"/>
  <c r="G161" i="20"/>
  <c r="K160" i="20"/>
  <c r="G160" i="20"/>
  <c r="I160" i="20" s="1"/>
  <c r="K159" i="20"/>
  <c r="G159" i="20"/>
  <c r="I159" i="20" s="1"/>
  <c r="K158" i="20"/>
  <c r="J158" i="20"/>
  <c r="G158" i="20"/>
  <c r="I158" i="20" s="1"/>
  <c r="K157" i="20"/>
  <c r="J157" i="20"/>
  <c r="G157" i="20"/>
  <c r="I157" i="20" s="1"/>
  <c r="K156" i="20"/>
  <c r="J156" i="20"/>
  <c r="G156" i="20"/>
  <c r="I156" i="20" s="1"/>
  <c r="K155" i="20"/>
  <c r="J155" i="20"/>
  <c r="G155" i="20"/>
  <c r="I155" i="20" s="1"/>
  <c r="K154" i="20"/>
  <c r="J154" i="20"/>
  <c r="G154" i="20"/>
  <c r="I154" i="20" s="1"/>
  <c r="K153" i="20"/>
  <c r="J153" i="20"/>
  <c r="G153" i="20"/>
  <c r="I153" i="20" s="1"/>
  <c r="K152" i="20"/>
  <c r="J152" i="20"/>
  <c r="G152" i="20"/>
  <c r="I152" i="20" s="1"/>
  <c r="K151" i="20"/>
  <c r="J151" i="20"/>
  <c r="G151" i="20"/>
  <c r="I151" i="20" s="1"/>
  <c r="K150" i="20"/>
  <c r="J150" i="20"/>
  <c r="G150" i="20"/>
  <c r="I150" i="20" s="1"/>
  <c r="K149" i="20"/>
  <c r="I149" i="20"/>
  <c r="G149" i="20"/>
  <c r="K148" i="20"/>
  <c r="J148" i="20"/>
  <c r="I148" i="20"/>
  <c r="G148" i="20"/>
  <c r="K147" i="20"/>
  <c r="I147" i="20"/>
  <c r="G147" i="20"/>
  <c r="K146" i="20"/>
  <c r="J146" i="20"/>
  <c r="I146" i="20"/>
  <c r="G146" i="20"/>
  <c r="K145" i="20"/>
  <c r="J145" i="20"/>
  <c r="I145" i="20"/>
  <c r="G145" i="20"/>
  <c r="K144" i="20"/>
  <c r="J144" i="20"/>
  <c r="I144" i="20"/>
  <c r="G144" i="20"/>
  <c r="K143" i="20"/>
  <c r="G143" i="20"/>
  <c r="I143" i="20" s="1"/>
  <c r="K142" i="20"/>
  <c r="G142" i="20"/>
  <c r="I142" i="20" s="1"/>
  <c r="K141" i="20"/>
  <c r="I141" i="20"/>
  <c r="G141" i="20"/>
  <c r="K140" i="20"/>
  <c r="J140" i="20"/>
  <c r="I140" i="20"/>
  <c r="G140" i="20"/>
  <c r="K139" i="20"/>
  <c r="J139" i="20"/>
  <c r="I139" i="20"/>
  <c r="G139" i="20"/>
  <c r="K138" i="20"/>
  <c r="J138" i="20"/>
  <c r="I138" i="20"/>
  <c r="G138" i="20"/>
  <c r="K137" i="20"/>
  <c r="J137" i="20"/>
  <c r="I137" i="20"/>
  <c r="G137" i="20"/>
  <c r="K136" i="20"/>
  <c r="I136" i="20"/>
  <c r="G136" i="20"/>
  <c r="K135" i="20"/>
  <c r="J135" i="20"/>
  <c r="I135" i="20"/>
  <c r="G135" i="20"/>
  <c r="J134" i="20"/>
  <c r="I134" i="20"/>
  <c r="G134" i="20"/>
  <c r="K134" i="20" s="1"/>
  <c r="J133" i="20"/>
  <c r="I133" i="20"/>
  <c r="G133" i="20"/>
  <c r="K133" i="20" s="1"/>
  <c r="J132" i="20"/>
  <c r="I132" i="20"/>
  <c r="G132" i="20"/>
  <c r="K132" i="20" s="1"/>
  <c r="J131" i="20"/>
  <c r="I131" i="20"/>
  <c r="G131" i="20"/>
  <c r="K131" i="20" s="1"/>
  <c r="J130" i="20"/>
  <c r="I130" i="20"/>
  <c r="G130" i="20"/>
  <c r="K130" i="20" s="1"/>
  <c r="J129" i="20"/>
  <c r="G129" i="20"/>
  <c r="K128" i="20"/>
  <c r="G128" i="20"/>
  <c r="I128" i="20" s="1"/>
  <c r="K127" i="20"/>
  <c r="G127" i="20"/>
  <c r="I127" i="20" s="1"/>
  <c r="K126" i="20"/>
  <c r="J126" i="20"/>
  <c r="G126" i="20"/>
  <c r="I126" i="20" s="1"/>
  <c r="K125" i="20"/>
  <c r="J125" i="20"/>
  <c r="G125" i="20"/>
  <c r="I125" i="20" s="1"/>
  <c r="K124" i="20"/>
  <c r="J124" i="20"/>
  <c r="G124" i="20"/>
  <c r="I124" i="20" s="1"/>
  <c r="K123" i="20"/>
  <c r="J123" i="20"/>
  <c r="G123" i="20"/>
  <c r="I123" i="20" s="1"/>
  <c r="K122" i="20"/>
  <c r="I122" i="20"/>
  <c r="G122" i="20"/>
  <c r="K121" i="20"/>
  <c r="J121" i="20"/>
  <c r="I121" i="20"/>
  <c r="G121" i="20"/>
  <c r="K120" i="20"/>
  <c r="G120" i="20"/>
  <c r="I120" i="20" s="1"/>
  <c r="K119" i="20"/>
  <c r="G119" i="20"/>
  <c r="I119" i="20" s="1"/>
  <c r="K118" i="20"/>
  <c r="J118" i="20"/>
  <c r="G118" i="20"/>
  <c r="I118" i="20" s="1"/>
  <c r="K117" i="20"/>
  <c r="J117" i="20"/>
  <c r="G117" i="20"/>
  <c r="I117" i="20" s="1"/>
  <c r="K116" i="20"/>
  <c r="J116" i="20"/>
  <c r="G116" i="20"/>
  <c r="I116" i="20" s="1"/>
  <c r="K115" i="20"/>
  <c r="J115" i="20"/>
  <c r="G115" i="20"/>
  <c r="I115" i="20" s="1"/>
  <c r="J114" i="20"/>
  <c r="G114" i="20"/>
  <c r="I114" i="20" s="1"/>
  <c r="K113" i="20"/>
  <c r="J113" i="20"/>
  <c r="G113" i="20"/>
  <c r="I113" i="20" s="1"/>
  <c r="K112" i="20"/>
  <c r="J112" i="20"/>
  <c r="G112" i="20"/>
  <c r="I112" i="20" s="1"/>
  <c r="J111" i="20"/>
  <c r="G111" i="20"/>
  <c r="J110" i="20"/>
  <c r="G110" i="20"/>
  <c r="I110" i="20" s="1"/>
  <c r="K109" i="20"/>
  <c r="J109" i="20"/>
  <c r="G109" i="20"/>
  <c r="I109" i="20" s="1"/>
  <c r="K108" i="20"/>
  <c r="G108" i="20"/>
  <c r="I108" i="20" s="1"/>
  <c r="K107" i="20"/>
  <c r="J107" i="20"/>
  <c r="I107" i="20"/>
  <c r="G107" i="20"/>
  <c r="K106" i="20"/>
  <c r="J106" i="20"/>
  <c r="I106" i="20"/>
  <c r="G106" i="20"/>
  <c r="K105" i="20"/>
  <c r="J105" i="20"/>
  <c r="I105" i="20"/>
  <c r="G105" i="20"/>
  <c r="K104" i="20"/>
  <c r="J104" i="20"/>
  <c r="I104" i="20"/>
  <c r="G104" i="20"/>
  <c r="K103" i="20"/>
  <c r="J103" i="20"/>
  <c r="I103" i="20"/>
  <c r="G103" i="20"/>
  <c r="K102" i="20"/>
  <c r="I102" i="20"/>
  <c r="G102" i="20"/>
  <c r="K101" i="20"/>
  <c r="J101" i="20"/>
  <c r="I101" i="20"/>
  <c r="G101" i="20"/>
  <c r="K100" i="20"/>
  <c r="G100" i="20"/>
  <c r="I100" i="20" s="1"/>
  <c r="K99" i="20"/>
  <c r="J99" i="20"/>
  <c r="G99" i="20"/>
  <c r="I99" i="20" s="1"/>
  <c r="K98" i="20"/>
  <c r="J98" i="20"/>
  <c r="G98" i="20"/>
  <c r="I98" i="20" s="1"/>
  <c r="K97" i="20"/>
  <c r="J97" i="20"/>
  <c r="G97" i="20"/>
  <c r="I97" i="20" s="1"/>
  <c r="J96" i="20"/>
  <c r="I96" i="20"/>
  <c r="G96" i="20"/>
  <c r="K96" i="20" s="1"/>
  <c r="J95" i="20"/>
  <c r="G95" i="20"/>
  <c r="J94" i="20"/>
  <c r="G94" i="20"/>
  <c r="K94" i="20" s="1"/>
  <c r="J93" i="20"/>
  <c r="G93" i="20"/>
  <c r="K93" i="20" s="1"/>
  <c r="J92" i="20"/>
  <c r="I92" i="20"/>
  <c r="G92" i="20"/>
  <c r="K92" i="20" s="1"/>
  <c r="J91" i="20"/>
  <c r="G91" i="20"/>
  <c r="K90" i="20"/>
  <c r="G90" i="20"/>
  <c r="I90" i="20" s="1"/>
  <c r="K89" i="20"/>
  <c r="J89" i="20"/>
  <c r="G89" i="20"/>
  <c r="I89" i="20" s="1"/>
  <c r="K88" i="20"/>
  <c r="G88" i="20"/>
  <c r="I88" i="20" s="1"/>
  <c r="K87" i="20"/>
  <c r="I87" i="20"/>
  <c r="G87" i="20"/>
  <c r="K86" i="20"/>
  <c r="J86" i="20"/>
  <c r="I86" i="20"/>
  <c r="G86" i="20"/>
  <c r="K85" i="20"/>
  <c r="I85" i="20"/>
  <c r="G85" i="20"/>
  <c r="K84" i="20"/>
  <c r="J84" i="20"/>
  <c r="I84" i="20"/>
  <c r="G84" i="20"/>
  <c r="J83" i="20"/>
  <c r="G83" i="20"/>
  <c r="J82" i="20"/>
  <c r="G82" i="20"/>
  <c r="K82" i="20" s="1"/>
  <c r="J81" i="20"/>
  <c r="G81" i="20"/>
  <c r="K81" i="20" s="1"/>
  <c r="J80" i="20"/>
  <c r="I80" i="20"/>
  <c r="G80" i="20"/>
  <c r="K80" i="20" s="1"/>
  <c r="J79" i="20"/>
  <c r="G79" i="20"/>
  <c r="J78" i="20"/>
  <c r="G78" i="20"/>
  <c r="K78" i="20" s="1"/>
  <c r="J77" i="20"/>
  <c r="G77" i="20"/>
  <c r="K77" i="20" s="1"/>
  <c r="J76" i="20"/>
  <c r="I76" i="20"/>
  <c r="G76" i="20"/>
  <c r="K76" i="20" s="1"/>
  <c r="J75" i="20"/>
  <c r="G75" i="20"/>
  <c r="J74" i="20"/>
  <c r="G74" i="20"/>
  <c r="K74" i="20" s="1"/>
  <c r="J73" i="20"/>
  <c r="G73" i="20"/>
  <c r="K73" i="20" s="1"/>
  <c r="J72" i="20"/>
  <c r="I72" i="20"/>
  <c r="G72" i="20"/>
  <c r="K72" i="20" s="1"/>
  <c r="J71" i="20"/>
  <c r="G71" i="20"/>
  <c r="J70" i="20"/>
  <c r="G70" i="20"/>
  <c r="K70" i="20" s="1"/>
  <c r="K69" i="20"/>
  <c r="G69" i="20"/>
  <c r="I69" i="20" s="1"/>
  <c r="K68" i="20"/>
  <c r="J68" i="20"/>
  <c r="G68" i="20"/>
  <c r="I68" i="20" s="1"/>
  <c r="K67" i="20"/>
  <c r="J67" i="20"/>
  <c r="G67" i="20"/>
  <c r="I67" i="20" s="1"/>
  <c r="K66" i="20"/>
  <c r="J66" i="20"/>
  <c r="G66" i="20"/>
  <c r="I66" i="20" s="1"/>
  <c r="K65" i="20"/>
  <c r="J65" i="20"/>
  <c r="G65" i="20"/>
  <c r="I65" i="20" s="1"/>
  <c r="K64" i="20"/>
  <c r="G64" i="20"/>
  <c r="I64" i="20" s="1"/>
  <c r="K63" i="20"/>
  <c r="J63" i="20"/>
  <c r="G63" i="20"/>
  <c r="I63" i="20" s="1"/>
  <c r="K62" i="20"/>
  <c r="I62" i="20"/>
  <c r="G62" i="20"/>
  <c r="K61" i="20"/>
  <c r="J61" i="20"/>
  <c r="I61" i="20"/>
  <c r="G61" i="20"/>
  <c r="K60" i="20"/>
  <c r="J60" i="20"/>
  <c r="I60" i="20"/>
  <c r="G60" i="20"/>
  <c r="K59" i="20"/>
  <c r="J59" i="20"/>
  <c r="I59" i="20"/>
  <c r="G59" i="20"/>
  <c r="K58" i="20"/>
  <c r="J58" i="20"/>
  <c r="I58" i="20"/>
  <c r="G58" i="20"/>
  <c r="K57" i="20"/>
  <c r="J57" i="20"/>
  <c r="I57" i="20"/>
  <c r="G57" i="20"/>
  <c r="K56" i="20"/>
  <c r="J56" i="20"/>
  <c r="I56" i="20"/>
  <c r="G56" i="20"/>
  <c r="K55" i="20"/>
  <c r="J55" i="20"/>
  <c r="I55" i="20"/>
  <c r="G55" i="20"/>
  <c r="K54" i="20"/>
  <c r="J54" i="20"/>
  <c r="I54" i="20"/>
  <c r="G54" i="20"/>
  <c r="K53" i="20"/>
  <c r="J53" i="20"/>
  <c r="I53" i="20"/>
  <c r="G53" i="20"/>
  <c r="K52" i="20"/>
  <c r="J52" i="20"/>
  <c r="I52" i="20"/>
  <c r="G52" i="20"/>
  <c r="K51" i="20"/>
  <c r="J51" i="20"/>
  <c r="I51" i="20"/>
  <c r="G51" i="20"/>
  <c r="K50" i="20"/>
  <c r="J50" i="20"/>
  <c r="I50" i="20"/>
  <c r="G50" i="20"/>
  <c r="K49" i="20"/>
  <c r="J49" i="20"/>
  <c r="I49" i="20"/>
  <c r="G49" i="20"/>
  <c r="K48" i="20"/>
  <c r="J48" i="20"/>
  <c r="I48" i="20"/>
  <c r="G48" i="20"/>
  <c r="K47" i="20"/>
  <c r="J47" i="20"/>
  <c r="I47" i="20"/>
  <c r="G47" i="20"/>
  <c r="K46" i="20"/>
  <c r="J46" i="20"/>
  <c r="I46" i="20"/>
  <c r="G46" i="20"/>
  <c r="K45" i="20"/>
  <c r="J45" i="20"/>
  <c r="I45" i="20"/>
  <c r="G45" i="20"/>
  <c r="K44" i="20"/>
  <c r="J44" i="20"/>
  <c r="I44" i="20"/>
  <c r="G44" i="20"/>
  <c r="K43" i="20"/>
  <c r="J43" i="20"/>
  <c r="I43" i="20"/>
  <c r="G43" i="20"/>
  <c r="K42" i="20"/>
  <c r="G42" i="20"/>
  <c r="I42" i="20" s="1"/>
  <c r="K41" i="20"/>
  <c r="G41" i="20"/>
  <c r="I41" i="20" s="1"/>
  <c r="K40" i="20"/>
  <c r="G40" i="20"/>
  <c r="I40" i="20" s="1"/>
  <c r="K39" i="20"/>
  <c r="I39" i="20"/>
  <c r="G39" i="20"/>
  <c r="K38" i="20"/>
  <c r="G38" i="20"/>
  <c r="I38" i="20" s="1"/>
  <c r="K37" i="20"/>
  <c r="J37" i="20"/>
  <c r="G37" i="20"/>
  <c r="I37" i="20" s="1"/>
  <c r="J36" i="20"/>
  <c r="I36" i="20"/>
  <c r="G36" i="20"/>
  <c r="K36" i="20" s="1"/>
  <c r="K35" i="20"/>
  <c r="G35" i="20"/>
  <c r="I35" i="20" s="1"/>
  <c r="K34" i="20"/>
  <c r="J34" i="20"/>
  <c r="G34" i="20"/>
  <c r="I34" i="20" s="1"/>
  <c r="K33" i="20"/>
  <c r="J33" i="20"/>
  <c r="G33" i="20"/>
  <c r="I33" i="20" s="1"/>
  <c r="J32" i="20"/>
  <c r="G32" i="20"/>
  <c r="J31" i="20"/>
  <c r="G31" i="20"/>
  <c r="I31" i="20" s="1"/>
  <c r="K30" i="20"/>
  <c r="J30" i="20"/>
  <c r="G30" i="20"/>
  <c r="I30" i="20" s="1"/>
  <c r="K29" i="20"/>
  <c r="J29" i="20"/>
  <c r="G29" i="20"/>
  <c r="I29" i="20" s="1"/>
  <c r="J28" i="20"/>
  <c r="G28" i="20"/>
  <c r="J27" i="20"/>
  <c r="G27" i="20"/>
  <c r="I27" i="20" s="1"/>
  <c r="K26" i="20"/>
  <c r="J26" i="20"/>
  <c r="G26" i="20"/>
  <c r="I26" i="20" s="1"/>
  <c r="K25" i="20"/>
  <c r="J25" i="20"/>
  <c r="G25" i="20"/>
  <c r="I25" i="20" s="1"/>
  <c r="J24" i="20"/>
  <c r="G24" i="20"/>
  <c r="J23" i="20"/>
  <c r="G23" i="20"/>
  <c r="I23" i="20" s="1"/>
  <c r="K22" i="20"/>
  <c r="J22" i="20"/>
  <c r="G22" i="20"/>
  <c r="I22" i="20" s="1"/>
  <c r="K21" i="20"/>
  <c r="J21" i="20"/>
  <c r="G21" i="20"/>
  <c r="I21" i="20" s="1"/>
  <c r="K20" i="20"/>
  <c r="I20" i="20"/>
  <c r="G20" i="20"/>
  <c r="K19" i="20"/>
  <c r="I19" i="20"/>
  <c r="G19" i="20"/>
  <c r="K18" i="20"/>
  <c r="J18" i="20"/>
  <c r="I18" i="20"/>
  <c r="G18" i="20"/>
  <c r="K17" i="20"/>
  <c r="J17" i="20"/>
  <c r="I17" i="20"/>
  <c r="G17" i="20"/>
  <c r="K16" i="20"/>
  <c r="G16" i="20"/>
  <c r="I16" i="20" s="1"/>
  <c r="J15" i="20"/>
  <c r="I15" i="20"/>
  <c r="G15" i="20"/>
  <c r="K15" i="20" s="1"/>
  <c r="J14" i="20"/>
  <c r="G14" i="20"/>
  <c r="J13" i="20"/>
  <c r="G13" i="20"/>
  <c r="K13" i="20" s="1"/>
  <c r="J12" i="20"/>
  <c r="G12" i="20"/>
  <c r="K12" i="20" s="1"/>
  <c r="J11" i="20"/>
  <c r="I11" i="20"/>
  <c r="G11" i="20"/>
  <c r="K11" i="20" s="1"/>
  <c r="J10" i="20"/>
  <c r="G10" i="20"/>
  <c r="K9" i="20"/>
  <c r="J9" i="20"/>
  <c r="G9" i="20"/>
  <c r="I9" i="20" s="1"/>
  <c r="K8" i="20"/>
  <c r="G8" i="20"/>
  <c r="I8" i="20" s="1"/>
  <c r="K7" i="20"/>
  <c r="G7" i="20"/>
  <c r="I7" i="20" s="1"/>
  <c r="K6" i="20"/>
  <c r="J6" i="20"/>
  <c r="G6" i="20"/>
  <c r="I6" i="20" s="1"/>
  <c r="K5" i="20"/>
  <c r="I5" i="20"/>
  <c r="G5" i="20"/>
  <c r="K4" i="20"/>
  <c r="J4" i="20"/>
  <c r="I4" i="20"/>
  <c r="G4" i="20"/>
  <c r="K3" i="20"/>
  <c r="J3" i="20"/>
  <c r="I3" i="20"/>
  <c r="G3" i="20"/>
  <c r="Q2" i="20"/>
  <c r="K2" i="20"/>
  <c r="J2" i="20"/>
  <c r="I2" i="20"/>
  <c r="G2" i="20"/>
  <c r="N1086" i="19"/>
  <c r="M1086" i="19"/>
  <c r="I1086" i="19"/>
  <c r="K1086" i="19" s="1"/>
  <c r="N1085" i="19"/>
  <c r="M1085" i="19"/>
  <c r="I1085" i="19"/>
  <c r="K1085" i="19" s="1"/>
  <c r="N1084" i="19"/>
  <c r="M1084" i="19"/>
  <c r="I1084" i="19"/>
  <c r="K1084" i="19" s="1"/>
  <c r="N1083" i="19"/>
  <c r="M1083" i="19"/>
  <c r="I1083" i="19"/>
  <c r="K1083" i="19" s="1"/>
  <c r="N1082" i="19"/>
  <c r="M1082" i="19"/>
  <c r="I1082" i="19"/>
  <c r="K1082" i="19" s="1"/>
  <c r="N1081" i="19"/>
  <c r="M1081" i="19"/>
  <c r="I1081" i="19"/>
  <c r="K1081" i="19" s="1"/>
  <c r="N1080" i="19"/>
  <c r="M1080" i="19"/>
  <c r="I1080" i="19"/>
  <c r="K1080" i="19" s="1"/>
  <c r="N1079" i="19"/>
  <c r="M1079" i="19"/>
  <c r="I1079" i="19"/>
  <c r="K1079" i="19" s="1"/>
  <c r="N1078" i="19"/>
  <c r="M1078" i="19"/>
  <c r="I1078" i="19"/>
  <c r="K1078" i="19" s="1"/>
  <c r="N1077" i="19"/>
  <c r="M1077" i="19"/>
  <c r="I1077" i="19"/>
  <c r="K1077" i="19" s="1"/>
  <c r="N1076" i="19"/>
  <c r="M1076" i="19"/>
  <c r="I1076" i="19"/>
  <c r="K1076" i="19" s="1"/>
  <c r="N1075" i="19"/>
  <c r="M1075" i="19"/>
  <c r="I1075" i="19"/>
  <c r="K1075" i="19" s="1"/>
  <c r="N1074" i="19"/>
  <c r="M1074" i="19"/>
  <c r="I1074" i="19"/>
  <c r="K1074" i="19" s="1"/>
  <c r="N1073" i="19"/>
  <c r="M1073" i="19"/>
  <c r="I1073" i="19"/>
  <c r="K1073" i="19" s="1"/>
  <c r="N1072" i="19"/>
  <c r="M1072" i="19"/>
  <c r="I1072" i="19"/>
  <c r="K1072" i="19" s="1"/>
  <c r="N1071" i="19"/>
  <c r="M1071" i="19"/>
  <c r="I1071" i="19"/>
  <c r="K1071" i="19" s="1"/>
  <c r="N1070" i="19"/>
  <c r="M1070" i="19"/>
  <c r="I1070" i="19"/>
  <c r="K1070" i="19" s="1"/>
  <c r="N1069" i="19"/>
  <c r="M1069" i="19"/>
  <c r="K1069" i="19"/>
  <c r="I1069" i="19"/>
  <c r="N1068" i="19"/>
  <c r="M1068" i="19"/>
  <c r="K1068" i="19"/>
  <c r="I1068" i="19"/>
  <c r="N1067" i="19"/>
  <c r="M1067" i="19"/>
  <c r="K1067" i="19"/>
  <c r="I1067" i="19"/>
  <c r="N1066" i="19"/>
  <c r="M1066" i="19"/>
  <c r="K1066" i="19"/>
  <c r="I1066" i="19"/>
  <c r="N1065" i="19"/>
  <c r="M1065" i="19"/>
  <c r="K1065" i="19"/>
  <c r="I1065" i="19"/>
  <c r="N1064" i="19"/>
  <c r="M1064" i="19"/>
  <c r="K1064" i="19"/>
  <c r="I1064" i="19"/>
  <c r="N1063" i="19"/>
  <c r="M1063" i="19"/>
  <c r="K1063" i="19"/>
  <c r="I1063" i="19"/>
  <c r="N1062" i="19"/>
  <c r="M1062" i="19"/>
  <c r="K1062" i="19"/>
  <c r="I1062" i="19"/>
  <c r="N1061" i="19"/>
  <c r="M1061" i="19"/>
  <c r="K1061" i="19"/>
  <c r="I1061" i="19"/>
  <c r="N1060" i="19"/>
  <c r="M1060" i="19"/>
  <c r="K1060" i="19"/>
  <c r="I1060" i="19"/>
  <c r="N1059" i="19"/>
  <c r="M1059" i="19"/>
  <c r="K1059" i="19"/>
  <c r="I1059" i="19"/>
  <c r="N1058" i="19"/>
  <c r="M1058" i="19"/>
  <c r="K1058" i="19"/>
  <c r="I1058" i="19"/>
  <c r="N1057" i="19"/>
  <c r="M1057" i="19"/>
  <c r="K1057" i="19"/>
  <c r="I1057" i="19"/>
  <c r="N1056" i="19"/>
  <c r="M1056" i="19"/>
  <c r="K1056" i="19"/>
  <c r="I1056" i="19"/>
  <c r="N1055" i="19"/>
  <c r="M1055" i="19"/>
  <c r="K1055" i="19"/>
  <c r="I1055" i="19"/>
  <c r="N1054" i="19"/>
  <c r="M1054" i="19"/>
  <c r="K1054" i="19"/>
  <c r="I1054" i="19"/>
  <c r="N1053" i="19"/>
  <c r="M1053" i="19"/>
  <c r="K1053" i="19"/>
  <c r="I1053" i="19"/>
  <c r="N1052" i="19"/>
  <c r="M1052" i="19"/>
  <c r="K1052" i="19"/>
  <c r="I1052" i="19"/>
  <c r="N1051" i="19"/>
  <c r="M1051" i="19"/>
  <c r="K1051" i="19"/>
  <c r="I1051" i="19"/>
  <c r="N1050" i="19"/>
  <c r="M1050" i="19"/>
  <c r="K1050" i="19"/>
  <c r="I1050" i="19"/>
  <c r="N1049" i="19"/>
  <c r="L1049" i="19"/>
  <c r="K1049" i="19"/>
  <c r="I1049" i="19"/>
  <c r="N1048" i="19"/>
  <c r="L1048" i="19"/>
  <c r="K1048" i="19"/>
  <c r="I1048" i="19"/>
  <c r="N1047" i="19"/>
  <c r="L1047" i="19"/>
  <c r="K1047" i="19"/>
  <c r="I1047" i="19"/>
  <c r="N1046" i="19"/>
  <c r="L1046" i="19"/>
  <c r="K1046" i="19"/>
  <c r="I1046" i="19"/>
  <c r="N1045" i="19"/>
  <c r="L1045" i="19"/>
  <c r="K1045" i="19"/>
  <c r="I1045" i="19"/>
  <c r="N1044" i="19"/>
  <c r="L1044" i="19"/>
  <c r="K1044" i="19"/>
  <c r="I1044" i="19"/>
  <c r="N1043" i="19"/>
  <c r="M1043" i="19"/>
  <c r="K1043" i="19"/>
  <c r="I1043" i="19"/>
  <c r="N1042" i="19"/>
  <c r="M1042" i="19"/>
  <c r="K1042" i="19"/>
  <c r="I1042" i="19"/>
  <c r="N1041" i="19"/>
  <c r="M1041" i="19"/>
  <c r="K1041" i="19"/>
  <c r="I1041" i="19"/>
  <c r="N1040" i="19"/>
  <c r="M1040" i="19"/>
  <c r="K1040" i="19"/>
  <c r="I1040" i="19"/>
  <c r="N1039" i="19"/>
  <c r="M1039" i="19"/>
  <c r="K1039" i="19"/>
  <c r="I1039" i="19"/>
  <c r="N1038" i="19"/>
  <c r="M1038" i="19"/>
  <c r="K1038" i="19"/>
  <c r="I1038" i="19"/>
  <c r="N1037" i="19"/>
  <c r="M1037" i="19"/>
  <c r="K1037" i="19"/>
  <c r="I1037" i="19"/>
  <c r="N1036" i="19"/>
  <c r="M1036" i="19"/>
  <c r="K1036" i="19"/>
  <c r="I1036" i="19"/>
  <c r="N1035" i="19"/>
  <c r="M1035" i="19"/>
  <c r="K1035" i="19"/>
  <c r="I1035" i="19"/>
  <c r="N1034" i="19"/>
  <c r="M1034" i="19"/>
  <c r="K1034" i="19"/>
  <c r="I1034" i="19"/>
  <c r="N1033" i="19"/>
  <c r="M1033" i="19"/>
  <c r="K1033" i="19"/>
  <c r="I1033" i="19"/>
  <c r="N1032" i="19"/>
  <c r="M1032" i="19"/>
  <c r="K1032" i="19"/>
  <c r="I1032" i="19"/>
  <c r="N1031" i="19"/>
  <c r="M1031" i="19"/>
  <c r="K1031" i="19"/>
  <c r="I1031" i="19"/>
  <c r="N1030" i="19"/>
  <c r="M1030" i="19"/>
  <c r="K1030" i="19"/>
  <c r="I1030" i="19"/>
  <c r="N1029" i="19"/>
  <c r="M1029" i="19"/>
  <c r="K1029" i="19"/>
  <c r="I1029" i="19"/>
  <c r="N1028" i="19"/>
  <c r="M1028" i="19"/>
  <c r="K1028" i="19"/>
  <c r="I1028" i="19"/>
  <c r="N1027" i="19"/>
  <c r="M1027" i="19"/>
  <c r="K1027" i="19"/>
  <c r="I1027" i="19"/>
  <c r="N1026" i="19"/>
  <c r="M1026" i="19"/>
  <c r="K1026" i="19"/>
  <c r="I1026" i="19"/>
  <c r="N1025" i="19"/>
  <c r="M1025" i="19"/>
  <c r="K1025" i="19"/>
  <c r="I1025" i="19"/>
  <c r="N1024" i="19"/>
  <c r="M1024" i="19"/>
  <c r="K1024" i="19"/>
  <c r="I1024" i="19"/>
  <c r="N1023" i="19"/>
  <c r="M1023" i="19"/>
  <c r="K1023" i="19"/>
  <c r="I1023" i="19"/>
  <c r="N1022" i="19"/>
  <c r="M1022" i="19"/>
  <c r="K1022" i="19"/>
  <c r="I1022" i="19"/>
  <c r="N1021" i="19"/>
  <c r="M1021" i="19"/>
  <c r="K1021" i="19"/>
  <c r="I1021" i="19"/>
  <c r="N1020" i="19"/>
  <c r="M1020" i="19"/>
  <c r="K1020" i="19"/>
  <c r="I1020" i="19"/>
  <c r="N1019" i="19"/>
  <c r="M1019" i="19"/>
  <c r="K1019" i="19"/>
  <c r="I1019" i="19"/>
  <c r="N1018" i="19"/>
  <c r="M1018" i="19"/>
  <c r="K1018" i="19"/>
  <c r="I1018" i="19"/>
  <c r="N1017" i="19"/>
  <c r="M1017" i="19"/>
  <c r="K1017" i="19"/>
  <c r="I1017" i="19"/>
  <c r="N1016" i="19"/>
  <c r="M1016" i="19"/>
  <c r="K1016" i="19"/>
  <c r="I1016" i="19"/>
  <c r="N1015" i="19"/>
  <c r="M1015" i="19"/>
  <c r="K1015" i="19"/>
  <c r="I1015" i="19"/>
  <c r="K1014" i="19"/>
  <c r="M1013" i="19"/>
  <c r="I1013" i="19"/>
  <c r="K1013" i="19" s="1"/>
  <c r="N1012" i="19"/>
  <c r="M1012" i="19"/>
  <c r="I1012" i="19"/>
  <c r="K1012" i="19" s="1"/>
  <c r="N1011" i="19"/>
  <c r="M1011" i="19"/>
  <c r="I1011" i="19"/>
  <c r="K1011" i="19" s="1"/>
  <c r="M1010" i="19"/>
  <c r="I1010" i="19"/>
  <c r="M1009" i="19"/>
  <c r="I1009" i="19"/>
  <c r="K1009" i="19" s="1"/>
  <c r="N1008" i="19"/>
  <c r="M1008" i="19"/>
  <c r="I1008" i="19"/>
  <c r="K1008" i="19" s="1"/>
  <c r="N1007" i="19"/>
  <c r="M1007" i="19"/>
  <c r="I1007" i="19"/>
  <c r="K1007" i="19" s="1"/>
  <c r="M1006" i="19"/>
  <c r="I1006" i="19"/>
  <c r="M1005" i="19"/>
  <c r="I1005" i="19"/>
  <c r="K1005" i="19" s="1"/>
  <c r="N1004" i="19"/>
  <c r="M1004" i="19"/>
  <c r="I1004" i="19"/>
  <c r="K1004" i="19" s="1"/>
  <c r="N1003" i="19"/>
  <c r="M1003" i="19"/>
  <c r="I1003" i="19"/>
  <c r="K1003" i="19" s="1"/>
  <c r="M1002" i="19"/>
  <c r="I1002" i="19"/>
  <c r="M1001" i="19"/>
  <c r="I1001" i="19"/>
  <c r="K1001" i="19" s="1"/>
  <c r="N1000" i="19"/>
  <c r="M1000" i="19"/>
  <c r="I1000" i="19"/>
  <c r="K1000" i="19" s="1"/>
  <c r="N999" i="19"/>
  <c r="M999" i="19"/>
  <c r="I999" i="19"/>
  <c r="K999" i="19" s="1"/>
  <c r="M998" i="19"/>
  <c r="I998" i="19"/>
  <c r="M997" i="19"/>
  <c r="I997" i="19"/>
  <c r="K997" i="19" s="1"/>
  <c r="N996" i="19"/>
  <c r="M996" i="19"/>
  <c r="I996" i="19"/>
  <c r="K996" i="19" s="1"/>
  <c r="N995" i="19"/>
  <c r="M995" i="19"/>
  <c r="I995" i="19"/>
  <c r="K995" i="19" s="1"/>
  <c r="M994" i="19"/>
  <c r="I994" i="19"/>
  <c r="M993" i="19"/>
  <c r="I993" i="19"/>
  <c r="K993" i="19" s="1"/>
  <c r="N992" i="19"/>
  <c r="M992" i="19"/>
  <c r="I992" i="19"/>
  <c r="K992" i="19" s="1"/>
  <c r="N991" i="19"/>
  <c r="M991" i="19"/>
  <c r="I991" i="19"/>
  <c r="K991" i="19" s="1"/>
  <c r="M990" i="19"/>
  <c r="I990" i="19"/>
  <c r="M989" i="19"/>
  <c r="I989" i="19"/>
  <c r="K989" i="19" s="1"/>
  <c r="N988" i="19"/>
  <c r="M988" i="19"/>
  <c r="I988" i="19"/>
  <c r="K988" i="19" s="1"/>
  <c r="N987" i="19"/>
  <c r="M987" i="19"/>
  <c r="K987" i="19"/>
  <c r="I987" i="19"/>
  <c r="N986" i="19"/>
  <c r="M986" i="19"/>
  <c r="K986" i="19"/>
  <c r="I986" i="19"/>
  <c r="N985" i="19"/>
  <c r="M985" i="19"/>
  <c r="K985" i="19"/>
  <c r="I985" i="19"/>
  <c r="N984" i="19"/>
  <c r="M984" i="19"/>
  <c r="K984" i="19"/>
  <c r="I984" i="19"/>
  <c r="N983" i="19"/>
  <c r="M983" i="19"/>
  <c r="K983" i="19"/>
  <c r="I983" i="19"/>
  <c r="N982" i="19"/>
  <c r="M982" i="19"/>
  <c r="K982" i="19"/>
  <c r="I982" i="19"/>
  <c r="N981" i="19"/>
  <c r="M981" i="19"/>
  <c r="K981" i="19"/>
  <c r="I981" i="19"/>
  <c r="N980" i="19"/>
  <c r="M980" i="19"/>
  <c r="K980" i="19"/>
  <c r="I980" i="19"/>
  <c r="N979" i="19"/>
  <c r="M979" i="19"/>
  <c r="K979" i="19"/>
  <c r="I979" i="19"/>
  <c r="N978" i="19"/>
  <c r="M978" i="19"/>
  <c r="K978" i="19"/>
  <c r="I978" i="19"/>
  <c r="N977" i="19"/>
  <c r="M977" i="19"/>
  <c r="K977" i="19"/>
  <c r="I977" i="19"/>
  <c r="N976" i="19"/>
  <c r="M976" i="19"/>
  <c r="K976" i="19"/>
  <c r="I976" i="19"/>
  <c r="N975" i="19"/>
  <c r="L975" i="19"/>
  <c r="K975" i="19"/>
  <c r="I975" i="19"/>
  <c r="N974" i="19"/>
  <c r="L974" i="19"/>
  <c r="K974" i="19"/>
  <c r="I974" i="19"/>
  <c r="N973" i="19"/>
  <c r="L973" i="19"/>
  <c r="K973" i="19"/>
  <c r="I973" i="19"/>
  <c r="N972" i="19"/>
  <c r="L972" i="19"/>
  <c r="K972" i="19"/>
  <c r="I972" i="19"/>
  <c r="N971" i="19"/>
  <c r="L971" i="19"/>
  <c r="K971" i="19"/>
  <c r="I971" i="19"/>
  <c r="N970" i="19"/>
  <c r="L970" i="19"/>
  <c r="K970" i="19"/>
  <c r="I970" i="19"/>
  <c r="N969" i="19"/>
  <c r="M969" i="19"/>
  <c r="K969" i="19"/>
  <c r="I969" i="19"/>
  <c r="N968" i="19"/>
  <c r="M968" i="19"/>
  <c r="K968" i="19"/>
  <c r="I968" i="19"/>
  <c r="N967" i="19"/>
  <c r="M967" i="19"/>
  <c r="K967" i="19"/>
  <c r="I967" i="19"/>
  <c r="N966" i="19"/>
  <c r="M966" i="19"/>
  <c r="K966" i="19"/>
  <c r="I966" i="19"/>
  <c r="N965" i="19"/>
  <c r="M965" i="19"/>
  <c r="K965" i="19"/>
  <c r="I965" i="19"/>
  <c r="N964" i="19"/>
  <c r="M964" i="19"/>
  <c r="K964" i="19"/>
  <c r="I964" i="19"/>
  <c r="N963" i="19"/>
  <c r="M963" i="19"/>
  <c r="K963" i="19"/>
  <c r="I963" i="19"/>
  <c r="N962" i="19"/>
  <c r="M962" i="19"/>
  <c r="K962" i="19"/>
  <c r="I962" i="19"/>
  <c r="N961" i="19"/>
  <c r="M961" i="19"/>
  <c r="K961" i="19"/>
  <c r="I961" i="19"/>
  <c r="N960" i="19"/>
  <c r="M960" i="19"/>
  <c r="K960" i="19"/>
  <c r="I960" i="19"/>
  <c r="N959" i="19"/>
  <c r="M959" i="19"/>
  <c r="K959" i="19"/>
  <c r="I959" i="19"/>
  <c r="N958" i="19"/>
  <c r="M958" i="19"/>
  <c r="K958" i="19"/>
  <c r="I958" i="19"/>
  <c r="N957" i="19"/>
  <c r="M957" i="19"/>
  <c r="K957" i="19"/>
  <c r="I957" i="19"/>
  <c r="N956" i="19"/>
  <c r="M956" i="19"/>
  <c r="K956" i="19"/>
  <c r="I956" i="19"/>
  <c r="N955" i="19"/>
  <c r="M955" i="19"/>
  <c r="K955" i="19"/>
  <c r="I955" i="19"/>
  <c r="N954" i="19"/>
  <c r="M954" i="19"/>
  <c r="K954" i="19"/>
  <c r="I954" i="19"/>
  <c r="N953" i="19"/>
  <c r="M953" i="19"/>
  <c r="K953" i="19"/>
  <c r="I953" i="19"/>
  <c r="N952" i="19"/>
  <c r="M952" i="19"/>
  <c r="K952" i="19"/>
  <c r="I952" i="19"/>
  <c r="N951" i="19"/>
  <c r="M951" i="19"/>
  <c r="K951" i="19"/>
  <c r="I951" i="19"/>
  <c r="N950" i="19"/>
  <c r="M950" i="19"/>
  <c r="K950" i="19"/>
  <c r="I950" i="19"/>
  <c r="N949" i="19"/>
  <c r="M949" i="19"/>
  <c r="K949" i="19"/>
  <c r="I949" i="19"/>
  <c r="N948" i="19"/>
  <c r="M948" i="19"/>
  <c r="K948" i="19"/>
  <c r="I948" i="19"/>
  <c r="N947" i="19"/>
  <c r="M947" i="19"/>
  <c r="K947" i="19"/>
  <c r="I947" i="19"/>
  <c r="N946" i="19"/>
  <c r="M946" i="19"/>
  <c r="K946" i="19"/>
  <c r="I946" i="19"/>
  <c r="N945" i="19"/>
  <c r="M945" i="19"/>
  <c r="K945" i="19"/>
  <c r="I945" i="19"/>
  <c r="N944" i="19"/>
  <c r="M944" i="19"/>
  <c r="K944" i="19"/>
  <c r="I944" i="19"/>
  <c r="N943" i="19"/>
  <c r="M943" i="19"/>
  <c r="K943" i="19"/>
  <c r="I943" i="19"/>
  <c r="N942" i="19"/>
  <c r="M942" i="19"/>
  <c r="K942" i="19"/>
  <c r="I942" i="19"/>
  <c r="N941" i="19"/>
  <c r="M941" i="19"/>
  <c r="K941" i="19"/>
  <c r="I941" i="19"/>
  <c r="N940" i="19"/>
  <c r="M940" i="19"/>
  <c r="K940" i="19"/>
  <c r="I940" i="19"/>
  <c r="N939" i="19"/>
  <c r="M939" i="19"/>
  <c r="K939" i="19"/>
  <c r="I939" i="19"/>
  <c r="N938" i="19"/>
  <c r="M938" i="19"/>
  <c r="K938" i="19"/>
  <c r="I938" i="19"/>
  <c r="N937" i="19"/>
  <c r="M937" i="19"/>
  <c r="K937" i="19"/>
  <c r="I937" i="19"/>
  <c r="N936" i="19"/>
  <c r="M936" i="19"/>
  <c r="K936" i="19"/>
  <c r="I936" i="19"/>
  <c r="N935" i="19"/>
  <c r="M935" i="19"/>
  <c r="K935" i="19"/>
  <c r="I935" i="19"/>
  <c r="N934" i="19"/>
  <c r="M934" i="19"/>
  <c r="K934" i="19"/>
  <c r="I934" i="19"/>
  <c r="N933" i="19"/>
  <c r="M933" i="19"/>
  <c r="K933" i="19"/>
  <c r="I933" i="19"/>
  <c r="N932" i="19"/>
  <c r="M932" i="19"/>
  <c r="K932" i="19"/>
  <c r="I932" i="19"/>
  <c r="N931" i="19"/>
  <c r="M931" i="19"/>
  <c r="K931" i="19"/>
  <c r="I931" i="19"/>
  <c r="N930" i="19"/>
  <c r="M930" i="19"/>
  <c r="K930" i="19"/>
  <c r="I930" i="19"/>
  <c r="N929" i="19"/>
  <c r="M929" i="19"/>
  <c r="K929" i="19"/>
  <c r="I929" i="19"/>
  <c r="N928" i="19"/>
  <c r="M928" i="19"/>
  <c r="K928" i="19"/>
  <c r="I928" i="19"/>
  <c r="N927" i="19"/>
  <c r="M927" i="19"/>
  <c r="K927" i="19"/>
  <c r="I927" i="19"/>
  <c r="N926" i="19"/>
  <c r="M926" i="19"/>
  <c r="K926" i="19"/>
  <c r="I926" i="19"/>
  <c r="N925" i="19"/>
  <c r="M925" i="19"/>
  <c r="K925" i="19"/>
  <c r="I925" i="19"/>
  <c r="N924" i="19"/>
  <c r="M924" i="19"/>
  <c r="K924" i="19"/>
  <c r="I924" i="19"/>
  <c r="N923" i="19"/>
  <c r="M923" i="19"/>
  <c r="K923" i="19"/>
  <c r="I923" i="19"/>
  <c r="N922" i="19"/>
  <c r="M922" i="19"/>
  <c r="K922" i="19"/>
  <c r="I922" i="19"/>
  <c r="N921" i="19"/>
  <c r="M921" i="19"/>
  <c r="K921" i="19"/>
  <c r="I921" i="19"/>
  <c r="N920" i="19"/>
  <c r="M920" i="19"/>
  <c r="K920" i="19"/>
  <c r="I920" i="19"/>
  <c r="K919" i="19"/>
  <c r="N918" i="19"/>
  <c r="L918" i="19"/>
  <c r="I918" i="19"/>
  <c r="K918" i="19" s="1"/>
  <c r="N917" i="19"/>
  <c r="L917" i="19"/>
  <c r="I917" i="19"/>
  <c r="K917" i="19" s="1"/>
  <c r="N916" i="19"/>
  <c r="L916" i="19"/>
  <c r="I916" i="19"/>
  <c r="K916" i="19" s="1"/>
  <c r="N915" i="19"/>
  <c r="L915" i="19"/>
  <c r="I915" i="19"/>
  <c r="K915" i="19" s="1"/>
  <c r="N914" i="19"/>
  <c r="L914" i="19"/>
  <c r="I914" i="19"/>
  <c r="K914" i="19" s="1"/>
  <c r="N913" i="19"/>
  <c r="L913" i="19"/>
  <c r="I913" i="19"/>
  <c r="K913" i="19" s="1"/>
  <c r="N912" i="19"/>
  <c r="L912" i="19"/>
  <c r="I912" i="19"/>
  <c r="K912" i="19" s="1"/>
  <c r="N911" i="19"/>
  <c r="L911" i="19"/>
  <c r="I911" i="19"/>
  <c r="K911" i="19" s="1"/>
  <c r="N910" i="19"/>
  <c r="L910" i="19"/>
  <c r="I910" i="19"/>
  <c r="K910" i="19" s="1"/>
  <c r="N909" i="19"/>
  <c r="L909" i="19"/>
  <c r="I909" i="19"/>
  <c r="K909" i="19" s="1"/>
  <c r="N908" i="19"/>
  <c r="L908" i="19"/>
  <c r="I908" i="19"/>
  <c r="K908" i="19" s="1"/>
  <c r="N907" i="19"/>
  <c r="L907" i="19"/>
  <c r="I907" i="19"/>
  <c r="K907" i="19" s="1"/>
  <c r="N906" i="19"/>
  <c r="L906" i="19"/>
  <c r="I906" i="19"/>
  <c r="K906" i="19" s="1"/>
  <c r="N905" i="19"/>
  <c r="L905" i="19"/>
  <c r="I905" i="19"/>
  <c r="K905" i="19" s="1"/>
  <c r="N904" i="19"/>
  <c r="L904" i="19"/>
  <c r="I904" i="19"/>
  <c r="K904" i="19" s="1"/>
  <c r="N903" i="19"/>
  <c r="L903" i="19"/>
  <c r="I903" i="19"/>
  <c r="K903" i="19" s="1"/>
  <c r="N902" i="19"/>
  <c r="L902" i="19"/>
  <c r="I902" i="19"/>
  <c r="K902" i="19" s="1"/>
  <c r="N901" i="19"/>
  <c r="L901" i="19"/>
  <c r="I901" i="19"/>
  <c r="K901" i="19" s="1"/>
  <c r="N900" i="19"/>
  <c r="L900" i="19"/>
  <c r="I900" i="19"/>
  <c r="K900" i="19" s="1"/>
  <c r="N899" i="19"/>
  <c r="L899" i="19"/>
  <c r="I899" i="19"/>
  <c r="K899" i="19" s="1"/>
  <c r="N898" i="19"/>
  <c r="L898" i="19"/>
  <c r="I898" i="19"/>
  <c r="K898" i="19" s="1"/>
  <c r="N897" i="19"/>
  <c r="M897" i="19"/>
  <c r="I897" i="19"/>
  <c r="K897" i="19" s="1"/>
  <c r="N896" i="19"/>
  <c r="M896" i="19"/>
  <c r="I896" i="19"/>
  <c r="K896" i="19" s="1"/>
  <c r="N895" i="19"/>
  <c r="M895" i="19"/>
  <c r="I895" i="19"/>
  <c r="K895" i="19" s="1"/>
  <c r="N894" i="19"/>
  <c r="M894" i="19"/>
  <c r="I894" i="19"/>
  <c r="K894" i="19" s="1"/>
  <c r="N893" i="19"/>
  <c r="M893" i="19"/>
  <c r="I893" i="19"/>
  <c r="K893" i="19" s="1"/>
  <c r="N892" i="19"/>
  <c r="M892" i="19"/>
  <c r="I892" i="19"/>
  <c r="K892" i="19" s="1"/>
  <c r="N891" i="19"/>
  <c r="M891" i="19"/>
  <c r="I891" i="19"/>
  <c r="K891" i="19" s="1"/>
  <c r="N890" i="19"/>
  <c r="M890" i="19"/>
  <c r="I890" i="19"/>
  <c r="K890" i="19" s="1"/>
  <c r="N889" i="19"/>
  <c r="M889" i="19"/>
  <c r="I889" i="19"/>
  <c r="K889" i="19" s="1"/>
  <c r="N888" i="19"/>
  <c r="M888" i="19"/>
  <c r="I888" i="19"/>
  <c r="K888" i="19" s="1"/>
  <c r="N887" i="19"/>
  <c r="M887" i="19"/>
  <c r="I887" i="19"/>
  <c r="K887" i="19" s="1"/>
  <c r="N886" i="19"/>
  <c r="M886" i="19"/>
  <c r="I886" i="19"/>
  <c r="K886" i="19" s="1"/>
  <c r="N885" i="19"/>
  <c r="M885" i="19"/>
  <c r="I885" i="19"/>
  <c r="K885" i="19" s="1"/>
  <c r="N884" i="19"/>
  <c r="M884" i="19"/>
  <c r="I884" i="19"/>
  <c r="K884" i="19" s="1"/>
  <c r="N883" i="19"/>
  <c r="M883" i="19"/>
  <c r="I883" i="19"/>
  <c r="K883" i="19" s="1"/>
  <c r="N882" i="19"/>
  <c r="M882" i="19"/>
  <c r="I882" i="19"/>
  <c r="K882" i="19" s="1"/>
  <c r="N881" i="19"/>
  <c r="M881" i="19"/>
  <c r="I881" i="19"/>
  <c r="K881" i="19" s="1"/>
  <c r="N880" i="19"/>
  <c r="M880" i="19"/>
  <c r="I880" i="19"/>
  <c r="K880" i="19" s="1"/>
  <c r="N879" i="19"/>
  <c r="M879" i="19"/>
  <c r="I879" i="19"/>
  <c r="K879" i="19" s="1"/>
  <c r="N878" i="19"/>
  <c r="M878" i="19"/>
  <c r="I878" i="19"/>
  <c r="K878" i="19" s="1"/>
  <c r="N877" i="19"/>
  <c r="M877" i="19"/>
  <c r="I877" i="19"/>
  <c r="K877" i="19" s="1"/>
  <c r="N876" i="19"/>
  <c r="M876" i="19"/>
  <c r="I876" i="19"/>
  <c r="K876" i="19" s="1"/>
  <c r="N875" i="19"/>
  <c r="M875" i="19"/>
  <c r="I875" i="19"/>
  <c r="K875" i="19" s="1"/>
  <c r="N874" i="19"/>
  <c r="M874" i="19"/>
  <c r="I874" i="19"/>
  <c r="K874" i="19" s="1"/>
  <c r="N873" i="19"/>
  <c r="M873" i="19"/>
  <c r="I873" i="19"/>
  <c r="K873" i="19" s="1"/>
  <c r="N872" i="19"/>
  <c r="M872" i="19"/>
  <c r="I872" i="19"/>
  <c r="K872" i="19" s="1"/>
  <c r="N871" i="19"/>
  <c r="M871" i="19"/>
  <c r="I871" i="19"/>
  <c r="K871" i="19" s="1"/>
  <c r="N870" i="19"/>
  <c r="M870" i="19"/>
  <c r="I870" i="19"/>
  <c r="K870" i="19" s="1"/>
  <c r="N869" i="19"/>
  <c r="M869" i="19"/>
  <c r="I869" i="19"/>
  <c r="K869" i="19" s="1"/>
  <c r="N868" i="19"/>
  <c r="M868" i="19"/>
  <c r="I868" i="19"/>
  <c r="K868" i="19" s="1"/>
  <c r="N867" i="19"/>
  <c r="M867" i="19"/>
  <c r="I867" i="19"/>
  <c r="K867" i="19" s="1"/>
  <c r="N866" i="19"/>
  <c r="M866" i="19"/>
  <c r="I866" i="19"/>
  <c r="K866" i="19" s="1"/>
  <c r="N865" i="19"/>
  <c r="M865" i="19"/>
  <c r="I865" i="19"/>
  <c r="K865" i="19" s="1"/>
  <c r="N864" i="19"/>
  <c r="M864" i="19"/>
  <c r="I864" i="19"/>
  <c r="K864" i="19" s="1"/>
  <c r="K863" i="19"/>
  <c r="N862" i="19"/>
  <c r="I862" i="19"/>
  <c r="K862" i="19" s="1"/>
  <c r="N861" i="19"/>
  <c r="K861" i="19"/>
  <c r="I861" i="19"/>
  <c r="N860" i="19"/>
  <c r="L860" i="19"/>
  <c r="K860" i="19"/>
  <c r="I860" i="19"/>
  <c r="N859" i="19"/>
  <c r="L859" i="19"/>
  <c r="K859" i="19"/>
  <c r="I859" i="19"/>
  <c r="N858" i="19"/>
  <c r="L858" i="19"/>
  <c r="K858" i="19"/>
  <c r="I858" i="19"/>
  <c r="N857" i="19"/>
  <c r="L857" i="19"/>
  <c r="K857" i="19"/>
  <c r="I857" i="19"/>
  <c r="N856" i="19"/>
  <c r="L856" i="19"/>
  <c r="K856" i="19"/>
  <c r="I856" i="19"/>
  <c r="N855" i="19"/>
  <c r="L855" i="19"/>
  <c r="K855" i="19"/>
  <c r="I855" i="19"/>
  <c r="N854" i="19"/>
  <c r="L854" i="19"/>
  <c r="K854" i="19"/>
  <c r="I854" i="19"/>
  <c r="N853" i="19"/>
  <c r="L853" i="19"/>
  <c r="K853" i="19"/>
  <c r="I853" i="19"/>
  <c r="N852" i="19"/>
  <c r="L852" i="19"/>
  <c r="K852" i="19"/>
  <c r="I852" i="19"/>
  <c r="N851" i="19"/>
  <c r="L851" i="19"/>
  <c r="K851" i="19"/>
  <c r="I851" i="19"/>
  <c r="N850" i="19"/>
  <c r="L850" i="19"/>
  <c r="K850" i="19"/>
  <c r="I850" i="19"/>
  <c r="N849" i="19"/>
  <c r="L849" i="19"/>
  <c r="K849" i="19"/>
  <c r="I849" i="19"/>
  <c r="N848" i="19"/>
  <c r="L848" i="19"/>
  <c r="K848" i="19"/>
  <c r="I848" i="19"/>
  <c r="N847" i="19"/>
  <c r="L847" i="19"/>
  <c r="K847" i="19"/>
  <c r="I847" i="19"/>
  <c r="N846" i="19"/>
  <c r="L846" i="19"/>
  <c r="K846" i="19"/>
  <c r="I846" i="19"/>
  <c r="N845" i="19"/>
  <c r="L845" i="19"/>
  <c r="K845" i="19"/>
  <c r="I845" i="19"/>
  <c r="N844" i="19"/>
  <c r="L844" i="19"/>
  <c r="K844" i="19"/>
  <c r="I844" i="19"/>
  <c r="N843" i="19"/>
  <c r="M843" i="19"/>
  <c r="K843" i="19"/>
  <c r="I843" i="19"/>
  <c r="N842" i="19"/>
  <c r="M842" i="19"/>
  <c r="K842" i="19"/>
  <c r="I842" i="19"/>
  <c r="N841" i="19"/>
  <c r="M841" i="19"/>
  <c r="K841" i="19"/>
  <c r="I841" i="19"/>
  <c r="N840" i="19"/>
  <c r="M840" i="19"/>
  <c r="K840" i="19"/>
  <c r="I840" i="19"/>
  <c r="N839" i="19"/>
  <c r="M839" i="19"/>
  <c r="K839" i="19"/>
  <c r="I839" i="19"/>
  <c r="N838" i="19"/>
  <c r="M838" i="19"/>
  <c r="K838" i="19"/>
  <c r="I838" i="19"/>
  <c r="N837" i="19"/>
  <c r="M837" i="19"/>
  <c r="K837" i="19"/>
  <c r="I837" i="19"/>
  <c r="N836" i="19"/>
  <c r="M836" i="19"/>
  <c r="K836" i="19"/>
  <c r="I836" i="19"/>
  <c r="N835" i="19"/>
  <c r="M835" i="19"/>
  <c r="K835" i="19"/>
  <c r="I835" i="19"/>
  <c r="N834" i="19"/>
  <c r="M834" i="19"/>
  <c r="K834" i="19"/>
  <c r="I834" i="19"/>
  <c r="N833" i="19"/>
  <c r="M833" i="19"/>
  <c r="K833" i="19"/>
  <c r="I833" i="19"/>
  <c r="N832" i="19"/>
  <c r="M832" i="19"/>
  <c r="K832" i="19"/>
  <c r="I832" i="19"/>
  <c r="N831" i="19"/>
  <c r="M831" i="19"/>
  <c r="K831" i="19"/>
  <c r="I831" i="19"/>
  <c r="N830" i="19"/>
  <c r="M830" i="19"/>
  <c r="K830" i="19"/>
  <c r="I830" i="19"/>
  <c r="N829" i="19"/>
  <c r="M829" i="19"/>
  <c r="K829" i="19"/>
  <c r="I829" i="19"/>
  <c r="N828" i="19"/>
  <c r="M828" i="19"/>
  <c r="K828" i="19"/>
  <c r="I828" i="19"/>
  <c r="N827" i="19"/>
  <c r="K827" i="19"/>
  <c r="I827" i="19"/>
  <c r="N826" i="19"/>
  <c r="I826" i="19"/>
  <c r="K826" i="19" s="1"/>
  <c r="N825" i="19"/>
  <c r="I825" i="19"/>
  <c r="K825" i="19" s="1"/>
  <c r="N824" i="19"/>
  <c r="M824" i="19"/>
  <c r="I824" i="19"/>
  <c r="K824" i="19" s="1"/>
  <c r="N823" i="19"/>
  <c r="M823" i="19"/>
  <c r="I823" i="19"/>
  <c r="K823" i="19" s="1"/>
  <c r="N822" i="19"/>
  <c r="M822" i="19"/>
  <c r="I822" i="19"/>
  <c r="K822" i="19" s="1"/>
  <c r="N821" i="19"/>
  <c r="M821" i="19"/>
  <c r="I821" i="19"/>
  <c r="K821" i="19" s="1"/>
  <c r="N820" i="19"/>
  <c r="M820" i="19"/>
  <c r="I820" i="19"/>
  <c r="K820" i="19" s="1"/>
  <c r="N819" i="19"/>
  <c r="M819" i="19"/>
  <c r="I819" i="19"/>
  <c r="K819" i="19" s="1"/>
  <c r="N818" i="19"/>
  <c r="M818" i="19"/>
  <c r="I818" i="19"/>
  <c r="K818" i="19" s="1"/>
  <c r="N817" i="19"/>
  <c r="M817" i="19"/>
  <c r="I817" i="19"/>
  <c r="K817" i="19" s="1"/>
  <c r="N816" i="19"/>
  <c r="M816" i="19"/>
  <c r="I816" i="19"/>
  <c r="K816" i="19" s="1"/>
  <c r="N815" i="19"/>
  <c r="M815" i="19"/>
  <c r="I815" i="19"/>
  <c r="K815" i="19" s="1"/>
  <c r="N814" i="19"/>
  <c r="M814" i="19"/>
  <c r="I814" i="19"/>
  <c r="K814" i="19" s="1"/>
  <c r="N813" i="19"/>
  <c r="M813" i="19"/>
  <c r="I813" i="19"/>
  <c r="K813" i="19" s="1"/>
  <c r="N812" i="19"/>
  <c r="M812" i="19"/>
  <c r="I812" i="19"/>
  <c r="K812" i="19" s="1"/>
  <c r="N811" i="19"/>
  <c r="M811" i="19"/>
  <c r="I811" i="19"/>
  <c r="K811" i="19" s="1"/>
  <c r="N810" i="19"/>
  <c r="M810" i="19"/>
  <c r="I810" i="19"/>
  <c r="K810" i="19" s="1"/>
  <c r="N809" i="19"/>
  <c r="M809" i="19"/>
  <c r="I809" i="19"/>
  <c r="K809" i="19" s="1"/>
  <c r="N808" i="19"/>
  <c r="M808" i="19"/>
  <c r="I808" i="19"/>
  <c r="K808" i="19" s="1"/>
  <c r="N807" i="19"/>
  <c r="M807" i="19"/>
  <c r="I807" i="19"/>
  <c r="K807" i="19" s="1"/>
  <c r="N806" i="19"/>
  <c r="M806" i="19"/>
  <c r="I806" i="19"/>
  <c r="K806" i="19" s="1"/>
  <c r="N805" i="19"/>
  <c r="M805" i="19"/>
  <c r="I805" i="19"/>
  <c r="K805" i="19" s="1"/>
  <c r="N804" i="19"/>
  <c r="M804" i="19"/>
  <c r="I804" i="19"/>
  <c r="K804" i="19" s="1"/>
  <c r="N803" i="19"/>
  <c r="M803" i="19"/>
  <c r="I803" i="19"/>
  <c r="K803" i="19" s="1"/>
  <c r="N802" i="19"/>
  <c r="M802" i="19"/>
  <c r="I802" i="19"/>
  <c r="K802" i="19" s="1"/>
  <c r="N801" i="19"/>
  <c r="M801" i="19"/>
  <c r="I801" i="19"/>
  <c r="K801" i="19" s="1"/>
  <c r="N800" i="19"/>
  <c r="M800" i="19"/>
  <c r="I800" i="19"/>
  <c r="K800" i="19" s="1"/>
  <c r="N799" i="19"/>
  <c r="M799" i="19"/>
  <c r="I799" i="19"/>
  <c r="K799" i="19" s="1"/>
  <c r="N798" i="19"/>
  <c r="M798" i="19"/>
  <c r="I798" i="19"/>
  <c r="K798" i="19" s="1"/>
  <c r="N797" i="19"/>
  <c r="M797" i="19"/>
  <c r="I797" i="19"/>
  <c r="K797" i="19" s="1"/>
  <c r="N796" i="19"/>
  <c r="M796" i="19"/>
  <c r="I796" i="19"/>
  <c r="K796" i="19" s="1"/>
  <c r="N795" i="19"/>
  <c r="M795" i="19"/>
  <c r="I795" i="19"/>
  <c r="K795" i="19" s="1"/>
  <c r="N794" i="19"/>
  <c r="M794" i="19"/>
  <c r="I794" i="19"/>
  <c r="K794" i="19" s="1"/>
  <c r="N793" i="19"/>
  <c r="M793" i="19"/>
  <c r="I793" i="19"/>
  <c r="K793" i="19" s="1"/>
  <c r="N792" i="19"/>
  <c r="M792" i="19"/>
  <c r="I792" i="19"/>
  <c r="K792" i="19" s="1"/>
  <c r="N791" i="19"/>
  <c r="M791" i="19"/>
  <c r="I791" i="19"/>
  <c r="K791" i="19" s="1"/>
  <c r="K790" i="19"/>
  <c r="N789" i="19"/>
  <c r="L789" i="19"/>
  <c r="I789" i="19"/>
  <c r="K789" i="19" s="1"/>
  <c r="N788" i="19"/>
  <c r="L788" i="19"/>
  <c r="I788" i="19"/>
  <c r="K788" i="19" s="1"/>
  <c r="N787" i="19"/>
  <c r="L787" i="19"/>
  <c r="I787" i="19"/>
  <c r="K787" i="19" s="1"/>
  <c r="N786" i="19"/>
  <c r="L786" i="19"/>
  <c r="I786" i="19"/>
  <c r="K786" i="19" s="1"/>
  <c r="N785" i="19"/>
  <c r="L785" i="19"/>
  <c r="I785" i="19"/>
  <c r="K785" i="19" s="1"/>
  <c r="N784" i="19"/>
  <c r="L784" i="19"/>
  <c r="I784" i="19"/>
  <c r="K784" i="19" s="1"/>
  <c r="N783" i="19"/>
  <c r="L783" i="19"/>
  <c r="I783" i="19"/>
  <c r="K783" i="19" s="1"/>
  <c r="N782" i="19"/>
  <c r="L782" i="19"/>
  <c r="I782" i="19"/>
  <c r="K782" i="19" s="1"/>
  <c r="N781" i="19"/>
  <c r="L781" i="19"/>
  <c r="I781" i="19"/>
  <c r="K781" i="19" s="1"/>
  <c r="N780" i="19"/>
  <c r="L780" i="19"/>
  <c r="I780" i="19"/>
  <c r="K780" i="19" s="1"/>
  <c r="N779" i="19"/>
  <c r="L779" i="19"/>
  <c r="I779" i="19"/>
  <c r="K779" i="19" s="1"/>
  <c r="N778" i="19"/>
  <c r="L778" i="19"/>
  <c r="I778" i="19"/>
  <c r="K778" i="19" s="1"/>
  <c r="N777" i="19"/>
  <c r="L777" i="19"/>
  <c r="I777" i="19"/>
  <c r="K777" i="19" s="1"/>
  <c r="M776" i="19"/>
  <c r="I776" i="19"/>
  <c r="M775" i="19"/>
  <c r="I775" i="19"/>
  <c r="M774" i="19"/>
  <c r="I774" i="19"/>
  <c r="M773" i="19"/>
  <c r="I773" i="19"/>
  <c r="M772" i="19"/>
  <c r="I772" i="19"/>
  <c r="M771" i="19"/>
  <c r="I771" i="19"/>
  <c r="M770" i="19"/>
  <c r="I770" i="19"/>
  <c r="M769" i="19"/>
  <c r="I769" i="19"/>
  <c r="M768" i="19"/>
  <c r="I768" i="19"/>
  <c r="M767" i="19"/>
  <c r="I767" i="19"/>
  <c r="M766" i="19"/>
  <c r="I766" i="19"/>
  <c r="M765" i="19"/>
  <c r="I765" i="19"/>
  <c r="M764" i="19"/>
  <c r="I764" i="19"/>
  <c r="N763" i="19"/>
  <c r="I763" i="19"/>
  <c r="K763" i="19" s="1"/>
  <c r="N762" i="19"/>
  <c r="K762" i="19"/>
  <c r="I762" i="19"/>
  <c r="N761" i="19"/>
  <c r="M761" i="19"/>
  <c r="K761" i="19"/>
  <c r="I761" i="19"/>
  <c r="N760" i="19"/>
  <c r="M760" i="19"/>
  <c r="K760" i="19"/>
  <c r="I760" i="19"/>
  <c r="N759" i="19"/>
  <c r="M759" i="19"/>
  <c r="K759" i="19"/>
  <c r="I759" i="19"/>
  <c r="N758" i="19"/>
  <c r="M758" i="19"/>
  <c r="K758" i="19"/>
  <c r="I758" i="19"/>
  <c r="N757" i="19"/>
  <c r="M757" i="19"/>
  <c r="K757" i="19"/>
  <c r="I757" i="19"/>
  <c r="N756" i="19"/>
  <c r="M756" i="19"/>
  <c r="K756" i="19"/>
  <c r="I756" i="19"/>
  <c r="N755" i="19"/>
  <c r="M755" i="19"/>
  <c r="K755" i="19"/>
  <c r="I755" i="19"/>
  <c r="N754" i="19"/>
  <c r="M754" i="19"/>
  <c r="K754" i="19"/>
  <c r="I754" i="19"/>
  <c r="N753" i="19"/>
  <c r="M753" i="19"/>
  <c r="K753" i="19"/>
  <c r="I753" i="19"/>
  <c r="N752" i="19"/>
  <c r="M752" i="19"/>
  <c r="K752" i="19"/>
  <c r="I752" i="19"/>
  <c r="N751" i="19"/>
  <c r="M751" i="19"/>
  <c r="K751" i="19"/>
  <c r="I751" i="19"/>
  <c r="N750" i="19"/>
  <c r="M750" i="19"/>
  <c r="K750" i="19"/>
  <c r="I750" i="19"/>
  <c r="N749" i="19"/>
  <c r="M749" i="19"/>
  <c r="K749" i="19"/>
  <c r="I749" i="19"/>
  <c r="N748" i="19"/>
  <c r="M748" i="19"/>
  <c r="K748" i="19"/>
  <c r="I748" i="19"/>
  <c r="N747" i="19"/>
  <c r="M747" i="19"/>
  <c r="K747" i="19"/>
  <c r="I747" i="19"/>
  <c r="N746" i="19"/>
  <c r="M746" i="19"/>
  <c r="K746" i="19"/>
  <c r="I746" i="19"/>
  <c r="N745" i="19"/>
  <c r="M745" i="19"/>
  <c r="K745" i="19"/>
  <c r="I745" i="19"/>
  <c r="N744" i="19"/>
  <c r="M744" i="19"/>
  <c r="K744" i="19"/>
  <c r="I744" i="19"/>
  <c r="N743" i="19"/>
  <c r="M743" i="19"/>
  <c r="K743" i="19"/>
  <c r="I743" i="19"/>
  <c r="N742" i="19"/>
  <c r="M742" i="19"/>
  <c r="K742" i="19"/>
  <c r="I742" i="19"/>
  <c r="N741" i="19"/>
  <c r="M741" i="19"/>
  <c r="K741" i="19"/>
  <c r="I741" i="19"/>
  <c r="N740" i="19"/>
  <c r="M740" i="19"/>
  <c r="K740" i="19"/>
  <c r="I740" i="19"/>
  <c r="N739" i="19"/>
  <c r="M739" i="19"/>
  <c r="K739" i="19"/>
  <c r="I739" i="19"/>
  <c r="N738" i="19"/>
  <c r="M738" i="19"/>
  <c r="K738" i="19"/>
  <c r="I738" i="19"/>
  <c r="N737" i="19"/>
  <c r="M737" i="19"/>
  <c r="K737" i="19"/>
  <c r="I737" i="19"/>
  <c r="N736" i="19"/>
  <c r="M736" i="19"/>
  <c r="K736" i="19"/>
  <c r="I736" i="19"/>
  <c r="N735" i="19"/>
  <c r="M735" i="19"/>
  <c r="K735" i="19"/>
  <c r="I735" i="19"/>
  <c r="N734" i="19"/>
  <c r="M734" i="19"/>
  <c r="K734" i="19"/>
  <c r="I734" i="19"/>
  <c r="N733" i="19"/>
  <c r="M733" i="19"/>
  <c r="K733" i="19"/>
  <c r="I733" i="19"/>
  <c r="N732" i="19"/>
  <c r="M732" i="19"/>
  <c r="K732" i="19"/>
  <c r="I732" i="19"/>
  <c r="N731" i="19"/>
  <c r="M731" i="19"/>
  <c r="K731" i="19"/>
  <c r="I731" i="19"/>
  <c r="N730" i="19"/>
  <c r="M730" i="19"/>
  <c r="K730" i="19"/>
  <c r="I730" i="19"/>
  <c r="N729" i="19"/>
  <c r="M729" i="19"/>
  <c r="K729" i="19"/>
  <c r="I729" i="19"/>
  <c r="N728" i="19"/>
  <c r="M728" i="19"/>
  <c r="K728" i="19"/>
  <c r="I728" i="19"/>
  <c r="N727" i="19"/>
  <c r="M727" i="19"/>
  <c r="K727" i="19"/>
  <c r="I727" i="19"/>
  <c r="N726" i="19"/>
  <c r="M726" i="19"/>
  <c r="K726" i="19"/>
  <c r="I726" i="19"/>
  <c r="N725" i="19"/>
  <c r="M725" i="19"/>
  <c r="K725" i="19"/>
  <c r="I725" i="19"/>
  <c r="N724" i="19"/>
  <c r="M724" i="19"/>
  <c r="K724" i="19"/>
  <c r="I724" i="19"/>
  <c r="N723" i="19"/>
  <c r="M723" i="19"/>
  <c r="K723" i="19"/>
  <c r="I723" i="19"/>
  <c r="N722" i="19"/>
  <c r="M722" i="19"/>
  <c r="K722" i="19"/>
  <c r="I722" i="19"/>
  <c r="N721" i="19"/>
  <c r="M721" i="19"/>
  <c r="K721" i="19"/>
  <c r="I721" i="19"/>
  <c r="N720" i="19"/>
  <c r="M720" i="19"/>
  <c r="K720" i="19"/>
  <c r="I720" i="19"/>
  <c r="N719" i="19"/>
  <c r="M719" i="19"/>
  <c r="K719" i="19"/>
  <c r="I719" i="19"/>
  <c r="N718" i="19"/>
  <c r="M718" i="19"/>
  <c r="K718" i="19"/>
  <c r="I718" i="19"/>
  <c r="N717" i="19"/>
  <c r="M717" i="19"/>
  <c r="K717" i="19"/>
  <c r="I717" i="19"/>
  <c r="N716" i="19"/>
  <c r="M716" i="19"/>
  <c r="K716" i="19"/>
  <c r="I716" i="19"/>
  <c r="N715" i="19"/>
  <c r="M715" i="19"/>
  <c r="K715" i="19"/>
  <c r="I715" i="19"/>
  <c r="N714" i="19"/>
  <c r="M714" i="19"/>
  <c r="K714" i="19"/>
  <c r="I714" i="19"/>
  <c r="N713" i="19"/>
  <c r="M713" i="19"/>
  <c r="K713" i="19"/>
  <c r="I713" i="19"/>
  <c r="N712" i="19"/>
  <c r="M712" i="19"/>
  <c r="K712" i="19"/>
  <c r="I712" i="19"/>
  <c r="N711" i="19"/>
  <c r="M711" i="19"/>
  <c r="K711" i="19"/>
  <c r="I711" i="19"/>
  <c r="N710" i="19"/>
  <c r="M710" i="19"/>
  <c r="K710" i="19"/>
  <c r="I710" i="19"/>
  <c r="N709" i="19"/>
  <c r="M709" i="19"/>
  <c r="K709" i="19"/>
  <c r="I709" i="19"/>
  <c r="N708" i="19"/>
  <c r="M708" i="19"/>
  <c r="K708" i="19"/>
  <c r="I708" i="19"/>
  <c r="N707" i="19"/>
  <c r="M707" i="19"/>
  <c r="K707" i="19"/>
  <c r="I707" i="19"/>
  <c r="N706" i="19"/>
  <c r="M706" i="19"/>
  <c r="K706" i="19"/>
  <c r="I706" i="19"/>
  <c r="N705" i="19"/>
  <c r="M705" i="19"/>
  <c r="K705" i="19"/>
  <c r="I705" i="19"/>
  <c r="N704" i="19"/>
  <c r="M704" i="19"/>
  <c r="K704" i="19"/>
  <c r="I704" i="19"/>
  <c r="N703" i="19"/>
  <c r="L703" i="19"/>
  <c r="K703" i="19"/>
  <c r="I703" i="19"/>
  <c r="N702" i="19"/>
  <c r="L702" i="19"/>
  <c r="K702" i="19"/>
  <c r="I702" i="19"/>
  <c r="N701" i="19"/>
  <c r="L701" i="19"/>
  <c r="K701" i="19"/>
  <c r="I701" i="19"/>
  <c r="N700" i="19"/>
  <c r="L700" i="19"/>
  <c r="K700" i="19"/>
  <c r="I700" i="19"/>
  <c r="N699" i="19"/>
  <c r="L699" i="19"/>
  <c r="K699" i="19"/>
  <c r="I699" i="19"/>
  <c r="N698" i="19"/>
  <c r="L698" i="19"/>
  <c r="K698" i="19"/>
  <c r="I698" i="19"/>
  <c r="N697" i="19"/>
  <c r="L697" i="19"/>
  <c r="K697" i="19"/>
  <c r="I697" i="19"/>
  <c r="N696" i="19"/>
  <c r="L696" i="19"/>
  <c r="K696" i="19"/>
  <c r="I696" i="19"/>
  <c r="N695" i="19"/>
  <c r="L695" i="19"/>
  <c r="K695" i="19"/>
  <c r="I695" i="19"/>
  <c r="N694" i="19"/>
  <c r="L694" i="19"/>
  <c r="K694" i="19"/>
  <c r="I694" i="19"/>
  <c r="N693" i="19"/>
  <c r="L693" i="19"/>
  <c r="K693" i="19"/>
  <c r="I693" i="19"/>
  <c r="N692" i="19"/>
  <c r="L692" i="19"/>
  <c r="K692" i="19"/>
  <c r="I692" i="19"/>
  <c r="N691" i="19"/>
  <c r="L691" i="19"/>
  <c r="K691" i="19"/>
  <c r="I691" i="19"/>
  <c r="N690" i="19"/>
  <c r="L690" i="19"/>
  <c r="K690" i="19"/>
  <c r="I690" i="19"/>
  <c r="N689" i="19"/>
  <c r="K689" i="19"/>
  <c r="I689" i="19"/>
  <c r="M688" i="19"/>
  <c r="I688" i="19"/>
  <c r="M687" i="19"/>
  <c r="I687" i="19"/>
  <c r="N687" i="19" s="1"/>
  <c r="M686" i="19"/>
  <c r="K686" i="19"/>
  <c r="I686" i="19"/>
  <c r="N686" i="19" s="1"/>
  <c r="M685" i="19"/>
  <c r="K685" i="19"/>
  <c r="I685" i="19"/>
  <c r="N685" i="19" s="1"/>
  <c r="M684" i="19"/>
  <c r="I684" i="19"/>
  <c r="M683" i="19"/>
  <c r="I683" i="19"/>
  <c r="N683" i="19" s="1"/>
  <c r="M682" i="19"/>
  <c r="K682" i="19"/>
  <c r="I682" i="19"/>
  <c r="N682" i="19" s="1"/>
  <c r="M681" i="19"/>
  <c r="K681" i="19"/>
  <c r="I681" i="19"/>
  <c r="N681" i="19" s="1"/>
  <c r="M680" i="19"/>
  <c r="I680" i="19"/>
  <c r="M679" i="19"/>
  <c r="I679" i="19"/>
  <c r="N679" i="19" s="1"/>
  <c r="M678" i="19"/>
  <c r="K678" i="19"/>
  <c r="I678" i="19"/>
  <c r="N678" i="19" s="1"/>
  <c r="M677" i="19"/>
  <c r="K677" i="19"/>
  <c r="I677" i="19"/>
  <c r="N677" i="19" s="1"/>
  <c r="M676" i="19"/>
  <c r="I676" i="19"/>
  <c r="M675" i="19"/>
  <c r="I675" i="19"/>
  <c r="N675" i="19" s="1"/>
  <c r="M674" i="19"/>
  <c r="K674" i="19"/>
  <c r="I674" i="19"/>
  <c r="N674" i="19" s="1"/>
  <c r="M673" i="19"/>
  <c r="K673" i="19"/>
  <c r="I673" i="19"/>
  <c r="N673" i="19" s="1"/>
  <c r="M672" i="19"/>
  <c r="I672" i="19"/>
  <c r="M671" i="19"/>
  <c r="I671" i="19"/>
  <c r="N671" i="19" s="1"/>
  <c r="M670" i="19"/>
  <c r="K670" i="19"/>
  <c r="I670" i="19"/>
  <c r="N670" i="19" s="1"/>
  <c r="M669" i="19"/>
  <c r="K669" i="19"/>
  <c r="I669" i="19"/>
  <c r="N669" i="19" s="1"/>
  <c r="M668" i="19"/>
  <c r="I668" i="19"/>
  <c r="M667" i="19"/>
  <c r="I667" i="19"/>
  <c r="N667" i="19" s="1"/>
  <c r="M666" i="19"/>
  <c r="K666" i="19"/>
  <c r="I666" i="19"/>
  <c r="N666" i="19" s="1"/>
  <c r="M665" i="19"/>
  <c r="K665" i="19"/>
  <c r="I665" i="19"/>
  <c r="N665" i="19" s="1"/>
  <c r="M664" i="19"/>
  <c r="I664" i="19"/>
  <c r="M663" i="19"/>
  <c r="I663" i="19"/>
  <c r="N663" i="19" s="1"/>
  <c r="M662" i="19"/>
  <c r="K662" i="19"/>
  <c r="I662" i="19"/>
  <c r="N662" i="19" s="1"/>
  <c r="M661" i="19"/>
  <c r="K661" i="19"/>
  <c r="I661" i="19"/>
  <c r="N661" i="19" s="1"/>
  <c r="N660" i="19"/>
  <c r="M660" i="19"/>
  <c r="K660" i="19"/>
  <c r="I660" i="19"/>
  <c r="N659" i="19"/>
  <c r="M659" i="19"/>
  <c r="K659" i="19"/>
  <c r="I659" i="19"/>
  <c r="N658" i="19"/>
  <c r="M658" i="19"/>
  <c r="K658" i="19"/>
  <c r="I658" i="19"/>
  <c r="N657" i="19"/>
  <c r="M657" i="19"/>
  <c r="K657" i="19"/>
  <c r="I657" i="19"/>
  <c r="N656" i="19"/>
  <c r="M656" i="19"/>
  <c r="K656" i="19"/>
  <c r="I656" i="19"/>
  <c r="N655" i="19"/>
  <c r="M655" i="19"/>
  <c r="K655" i="19"/>
  <c r="I655" i="19"/>
  <c r="N654" i="19"/>
  <c r="M654" i="19"/>
  <c r="K654" i="19"/>
  <c r="I654" i="19"/>
  <c r="N653" i="19"/>
  <c r="M653" i="19"/>
  <c r="K653" i="19"/>
  <c r="I653" i="19"/>
  <c r="N652" i="19"/>
  <c r="M652" i="19"/>
  <c r="K652" i="19"/>
  <c r="I652" i="19"/>
  <c r="N651" i="19"/>
  <c r="M651" i="19"/>
  <c r="K651" i="19"/>
  <c r="I651" i="19"/>
  <c r="N650" i="19"/>
  <c r="M650" i="19"/>
  <c r="K650" i="19"/>
  <c r="I650" i="19"/>
  <c r="N649" i="19"/>
  <c r="M649" i="19"/>
  <c r="K649" i="19"/>
  <c r="I649" i="19"/>
  <c r="N648" i="19"/>
  <c r="M648" i="19"/>
  <c r="K648" i="19"/>
  <c r="I648" i="19"/>
  <c r="N647" i="19"/>
  <c r="M647" i="19"/>
  <c r="K647" i="19"/>
  <c r="I647" i="19"/>
  <c r="N646" i="19"/>
  <c r="M646" i="19"/>
  <c r="K646" i="19"/>
  <c r="I646" i="19"/>
  <c r="N645" i="19"/>
  <c r="M645" i="19"/>
  <c r="K645" i="19"/>
  <c r="I645" i="19"/>
  <c r="N644" i="19"/>
  <c r="I644" i="19"/>
  <c r="K644" i="19" s="1"/>
  <c r="N643" i="19"/>
  <c r="I643" i="19"/>
  <c r="K643" i="19" s="1"/>
  <c r="N642" i="19"/>
  <c r="M642" i="19"/>
  <c r="I642" i="19"/>
  <c r="K642" i="19" s="1"/>
  <c r="M641" i="19"/>
  <c r="I641" i="19"/>
  <c r="N640" i="19"/>
  <c r="M640" i="19"/>
  <c r="I640" i="19"/>
  <c r="K640" i="19" s="1"/>
  <c r="N639" i="19"/>
  <c r="M639" i="19"/>
  <c r="I639" i="19"/>
  <c r="K639" i="19" s="1"/>
  <c r="M638" i="19"/>
  <c r="I638" i="19"/>
  <c r="K638" i="19" s="1"/>
  <c r="M637" i="19"/>
  <c r="I637" i="19"/>
  <c r="N636" i="19"/>
  <c r="M636" i="19"/>
  <c r="I636" i="19"/>
  <c r="K636" i="19" s="1"/>
  <c r="N635" i="19"/>
  <c r="M635" i="19"/>
  <c r="I635" i="19"/>
  <c r="K635" i="19" s="1"/>
  <c r="M634" i="19"/>
  <c r="I634" i="19"/>
  <c r="K634" i="19" s="1"/>
  <c r="M633" i="19"/>
  <c r="I633" i="19"/>
  <c r="N632" i="19"/>
  <c r="M632" i="19"/>
  <c r="I632" i="19"/>
  <c r="K632" i="19" s="1"/>
  <c r="N631" i="19"/>
  <c r="M631" i="19"/>
  <c r="I631" i="19"/>
  <c r="K631" i="19" s="1"/>
  <c r="M630" i="19"/>
  <c r="I630" i="19"/>
  <c r="K630" i="19" s="1"/>
  <c r="K629" i="19"/>
  <c r="K628" i="19"/>
  <c r="K627" i="19"/>
  <c r="K626" i="19"/>
  <c r="K625" i="19"/>
  <c r="K624" i="19"/>
  <c r="K623" i="19"/>
  <c r="K622" i="19"/>
  <c r="K621" i="19"/>
  <c r="N620" i="19"/>
  <c r="L620" i="19"/>
  <c r="K620" i="19"/>
  <c r="I620" i="19"/>
  <c r="N619" i="19"/>
  <c r="L619" i="19"/>
  <c r="K619" i="19"/>
  <c r="I619" i="19"/>
  <c r="N618" i="19"/>
  <c r="L618" i="19"/>
  <c r="K618" i="19"/>
  <c r="I618" i="19"/>
  <c r="N617" i="19"/>
  <c r="L617" i="19"/>
  <c r="K617" i="19"/>
  <c r="I617" i="19"/>
  <c r="N616" i="19"/>
  <c r="L616" i="19"/>
  <c r="K616" i="19"/>
  <c r="I616" i="19"/>
  <c r="N615" i="19"/>
  <c r="L615" i="19"/>
  <c r="K615" i="19"/>
  <c r="I615" i="19"/>
  <c r="N614" i="19"/>
  <c r="L614" i="19"/>
  <c r="K614" i="19"/>
  <c r="I614" i="19"/>
  <c r="N613" i="19"/>
  <c r="L613" i="19"/>
  <c r="K613" i="19"/>
  <c r="I613" i="19"/>
  <c r="N612" i="19"/>
  <c r="L612" i="19"/>
  <c r="K612" i="19"/>
  <c r="I612" i="19"/>
  <c r="N611" i="19"/>
  <c r="L611" i="19"/>
  <c r="K611" i="19"/>
  <c r="I611" i="19"/>
  <c r="N610" i="19"/>
  <c r="L610" i="19"/>
  <c r="K610" i="19"/>
  <c r="I610" i="19"/>
  <c r="N609" i="19"/>
  <c r="L609" i="19"/>
  <c r="K609" i="19"/>
  <c r="I609" i="19"/>
  <c r="N608" i="19"/>
  <c r="L608" i="19"/>
  <c r="K608" i="19"/>
  <c r="I608" i="19"/>
  <c r="N607" i="19"/>
  <c r="L607" i="19"/>
  <c r="K607" i="19"/>
  <c r="I607" i="19"/>
  <c r="N606" i="19"/>
  <c r="L606" i="19"/>
  <c r="K606" i="19"/>
  <c r="I606" i="19"/>
  <c r="N605" i="19"/>
  <c r="L605" i="19"/>
  <c r="K605" i="19"/>
  <c r="I605" i="19"/>
  <c r="N604" i="19"/>
  <c r="M604" i="19"/>
  <c r="K604" i="19"/>
  <c r="I604" i="19"/>
  <c r="N603" i="19"/>
  <c r="M603" i="19"/>
  <c r="K603" i="19"/>
  <c r="I603" i="19"/>
  <c r="N602" i="19"/>
  <c r="M602" i="19"/>
  <c r="K602" i="19"/>
  <c r="I602" i="19"/>
  <c r="N601" i="19"/>
  <c r="M601" i="19"/>
  <c r="K601" i="19"/>
  <c r="I601" i="19"/>
  <c r="N600" i="19"/>
  <c r="M600" i="19"/>
  <c r="K600" i="19"/>
  <c r="I600" i="19"/>
  <c r="N599" i="19"/>
  <c r="M599" i="19"/>
  <c r="K599" i="19"/>
  <c r="I599" i="19"/>
  <c r="N598" i="19"/>
  <c r="M598" i="19"/>
  <c r="K598" i="19"/>
  <c r="I598" i="19"/>
  <c r="N597" i="19"/>
  <c r="M597" i="19"/>
  <c r="K597" i="19"/>
  <c r="I597" i="19"/>
  <c r="N596" i="19"/>
  <c r="M596" i="19"/>
  <c r="K596" i="19"/>
  <c r="I596" i="19"/>
  <c r="N595" i="19"/>
  <c r="M595" i="19"/>
  <c r="K595" i="19"/>
  <c r="I595" i="19"/>
  <c r="N594" i="19"/>
  <c r="M594" i="19"/>
  <c r="K594" i="19"/>
  <c r="I594" i="19"/>
  <c r="N593" i="19"/>
  <c r="M593" i="19"/>
  <c r="K593" i="19"/>
  <c r="I593" i="19"/>
  <c r="N592" i="19"/>
  <c r="M592" i="19"/>
  <c r="K592" i="19"/>
  <c r="I592" i="19"/>
  <c r="N591" i="19"/>
  <c r="M591" i="19"/>
  <c r="K591" i="19"/>
  <c r="I591" i="19"/>
  <c r="N590" i="19"/>
  <c r="M590" i="19"/>
  <c r="K590" i="19"/>
  <c r="I590" i="19"/>
  <c r="K589" i="19"/>
  <c r="K588" i="19"/>
  <c r="K587" i="19"/>
  <c r="K586" i="19"/>
  <c r="K585" i="19"/>
  <c r="K584" i="19"/>
  <c r="K583" i="19"/>
  <c r="K582" i="19"/>
  <c r="K581" i="19"/>
  <c r="K580" i="19"/>
  <c r="K579" i="19"/>
  <c r="N578" i="19"/>
  <c r="M578" i="19"/>
  <c r="I578" i="19"/>
  <c r="K578" i="19" s="1"/>
  <c r="N577" i="19"/>
  <c r="M577" i="19"/>
  <c r="I577" i="19"/>
  <c r="K577" i="19" s="1"/>
  <c r="N576" i="19"/>
  <c r="M576" i="19"/>
  <c r="I576" i="19"/>
  <c r="K576" i="19" s="1"/>
  <c r="N575" i="19"/>
  <c r="M575" i="19"/>
  <c r="I575" i="19"/>
  <c r="K575" i="19" s="1"/>
  <c r="N574" i="19"/>
  <c r="M574" i="19"/>
  <c r="I574" i="19"/>
  <c r="K574" i="19" s="1"/>
  <c r="N573" i="19"/>
  <c r="M573" i="19"/>
  <c r="I573" i="19"/>
  <c r="K573" i="19" s="1"/>
  <c r="N572" i="19"/>
  <c r="M572" i="19"/>
  <c r="I572" i="19"/>
  <c r="K572" i="19" s="1"/>
  <c r="N571" i="19"/>
  <c r="M571" i="19"/>
  <c r="I571" i="19"/>
  <c r="K571" i="19" s="1"/>
  <c r="N570" i="19"/>
  <c r="M570" i="19"/>
  <c r="I570" i="19"/>
  <c r="K570" i="19" s="1"/>
  <c r="N569" i="19"/>
  <c r="M569" i="19"/>
  <c r="I569" i="19"/>
  <c r="K569" i="19" s="1"/>
  <c r="K568" i="19"/>
  <c r="M567" i="19"/>
  <c r="I567" i="19"/>
  <c r="M566" i="19"/>
  <c r="I566" i="19"/>
  <c r="M565" i="19"/>
  <c r="I565" i="19"/>
  <c r="M564" i="19"/>
  <c r="I564" i="19"/>
  <c r="M563" i="19"/>
  <c r="I563" i="19"/>
  <c r="M562" i="19"/>
  <c r="I562" i="19"/>
  <c r="M561" i="19"/>
  <c r="I561" i="19"/>
  <c r="M560" i="19"/>
  <c r="I560" i="19"/>
  <c r="M559" i="19"/>
  <c r="I559" i="19"/>
  <c r="M558" i="19"/>
  <c r="I558" i="19"/>
  <c r="M557" i="19"/>
  <c r="I557" i="19"/>
  <c r="M556" i="19"/>
  <c r="I556" i="19"/>
  <c r="M555" i="19"/>
  <c r="I555" i="19"/>
  <c r="M554" i="19"/>
  <c r="I554" i="19"/>
  <c r="M553" i="19"/>
  <c r="I553" i="19"/>
  <c r="M552" i="19"/>
  <c r="I552" i="19"/>
  <c r="M551" i="19"/>
  <c r="I551" i="19"/>
  <c r="M550" i="19"/>
  <c r="I550" i="19"/>
  <c r="M549" i="19"/>
  <c r="I549" i="19"/>
  <c r="M548" i="19"/>
  <c r="I548" i="19"/>
  <c r="M547" i="19"/>
  <c r="I547" i="19"/>
  <c r="M546" i="19"/>
  <c r="I546" i="19"/>
  <c r="M545" i="19"/>
  <c r="I545" i="19"/>
  <c r="M544" i="19"/>
  <c r="I544" i="19"/>
  <c r="N543" i="19"/>
  <c r="I543" i="19"/>
  <c r="K543" i="19" s="1"/>
  <c r="N542" i="19"/>
  <c r="L542" i="19"/>
  <c r="I542" i="19"/>
  <c r="K542" i="19" s="1"/>
  <c r="N541" i="19"/>
  <c r="L541" i="19"/>
  <c r="I541" i="19"/>
  <c r="K541" i="19" s="1"/>
  <c r="N540" i="19"/>
  <c r="L540" i="19"/>
  <c r="I540" i="19"/>
  <c r="K540" i="19" s="1"/>
  <c r="N539" i="19"/>
  <c r="L539" i="19"/>
  <c r="I539" i="19"/>
  <c r="K539" i="19" s="1"/>
  <c r="N538" i="19"/>
  <c r="L538" i="19"/>
  <c r="I538" i="19"/>
  <c r="K538" i="19" s="1"/>
  <c r="N537" i="19"/>
  <c r="L537" i="19"/>
  <c r="I537" i="19"/>
  <c r="K537" i="19" s="1"/>
  <c r="N536" i="19"/>
  <c r="L536" i="19"/>
  <c r="I536" i="19"/>
  <c r="K536" i="19" s="1"/>
  <c r="N535" i="19"/>
  <c r="L535" i="19"/>
  <c r="I535" i="19"/>
  <c r="K535" i="19" s="1"/>
  <c r="N534" i="19"/>
  <c r="L534" i="19"/>
  <c r="K534" i="19"/>
  <c r="I534" i="19"/>
  <c r="N533" i="19"/>
  <c r="L533" i="19"/>
  <c r="K533" i="19"/>
  <c r="I533" i="19"/>
  <c r="N532" i="19"/>
  <c r="L532" i="19"/>
  <c r="K532" i="19"/>
  <c r="I532" i="19"/>
  <c r="N531" i="19"/>
  <c r="L531" i="19"/>
  <c r="K531" i="19"/>
  <c r="I531" i="19"/>
  <c r="N530" i="19"/>
  <c r="L530" i="19"/>
  <c r="K530" i="19"/>
  <c r="I530" i="19"/>
  <c r="N529" i="19"/>
  <c r="L529" i="19"/>
  <c r="K529" i="19"/>
  <c r="I529" i="19"/>
  <c r="N528" i="19"/>
  <c r="L528" i="19"/>
  <c r="K528" i="19"/>
  <c r="I528" i="19"/>
  <c r="N527" i="19"/>
  <c r="L527" i="19"/>
  <c r="K527" i="19"/>
  <c r="I527" i="19"/>
  <c r="N526" i="19"/>
  <c r="L526" i="19"/>
  <c r="K526" i="19"/>
  <c r="I526" i="19"/>
  <c r="N525" i="19"/>
  <c r="K525" i="19"/>
  <c r="I525" i="19"/>
  <c r="M524" i="19"/>
  <c r="K524" i="19"/>
  <c r="I524" i="19"/>
  <c r="N524" i="19" s="1"/>
  <c r="M523" i="19"/>
  <c r="K523" i="19"/>
  <c r="I523" i="19"/>
  <c r="N523" i="19" s="1"/>
  <c r="M522" i="19"/>
  <c r="K522" i="19"/>
  <c r="I522" i="19"/>
  <c r="N522" i="19" s="1"/>
  <c r="M521" i="19"/>
  <c r="K521" i="19"/>
  <c r="I521" i="19"/>
  <c r="N521" i="19" s="1"/>
  <c r="M520" i="19"/>
  <c r="K520" i="19"/>
  <c r="I520" i="19"/>
  <c r="N520" i="19" s="1"/>
  <c r="M519" i="19"/>
  <c r="K519" i="19"/>
  <c r="I519" i="19"/>
  <c r="N519" i="19" s="1"/>
  <c r="M518" i="19"/>
  <c r="K518" i="19"/>
  <c r="I518" i="19"/>
  <c r="N518" i="19" s="1"/>
  <c r="M517" i="19"/>
  <c r="K517" i="19"/>
  <c r="I517" i="19"/>
  <c r="N517" i="19" s="1"/>
  <c r="M516" i="19"/>
  <c r="K516" i="19"/>
  <c r="I516" i="19"/>
  <c r="N516" i="19" s="1"/>
  <c r="M515" i="19"/>
  <c r="K515" i="19"/>
  <c r="I515" i="19"/>
  <c r="N515" i="19" s="1"/>
  <c r="M514" i="19"/>
  <c r="K514" i="19"/>
  <c r="I514" i="19"/>
  <c r="N514" i="19" s="1"/>
  <c r="M513" i="19"/>
  <c r="K513" i="19"/>
  <c r="I513" i="19"/>
  <c r="N513" i="19" s="1"/>
  <c r="M512" i="19"/>
  <c r="K512" i="19"/>
  <c r="I512" i="19"/>
  <c r="N512" i="19" s="1"/>
  <c r="M511" i="19"/>
  <c r="K511" i="19"/>
  <c r="I511" i="19"/>
  <c r="N511" i="19" s="1"/>
  <c r="M510" i="19"/>
  <c r="K510" i="19"/>
  <c r="I510" i="19"/>
  <c r="N510" i="19" s="1"/>
  <c r="M509" i="19"/>
  <c r="K509" i="19"/>
  <c r="I509" i="19"/>
  <c r="N509" i="19" s="1"/>
  <c r="K508" i="19"/>
  <c r="K507" i="19"/>
  <c r="K506" i="19"/>
  <c r="K505" i="19"/>
  <c r="K504" i="19"/>
  <c r="K503" i="19"/>
  <c r="K502" i="19"/>
  <c r="K501" i="19"/>
  <c r="K500" i="19"/>
  <c r="K499" i="19"/>
  <c r="K498" i="19"/>
  <c r="M497" i="19"/>
  <c r="I497" i="19"/>
  <c r="M496" i="19"/>
  <c r="I496" i="19"/>
  <c r="M495" i="19"/>
  <c r="I495" i="19"/>
  <c r="M494" i="19"/>
  <c r="I494" i="19"/>
  <c r="M493" i="19"/>
  <c r="I493" i="19"/>
  <c r="M492" i="19"/>
  <c r="I492" i="19"/>
  <c r="M491" i="19"/>
  <c r="I491" i="19"/>
  <c r="M490" i="19"/>
  <c r="I490" i="19"/>
  <c r="M489" i="19"/>
  <c r="I489" i="19"/>
  <c r="M488" i="19"/>
  <c r="I488" i="19"/>
  <c r="M487" i="19"/>
  <c r="I487" i="19"/>
  <c r="M486" i="19"/>
  <c r="I486" i="19"/>
  <c r="M485" i="19"/>
  <c r="I485" i="19"/>
  <c r="M484" i="19"/>
  <c r="I484" i="19"/>
  <c r="M483" i="19"/>
  <c r="I483" i="19"/>
  <c r="M482" i="19"/>
  <c r="I482" i="19"/>
  <c r="M481" i="19"/>
  <c r="I481" i="19"/>
  <c r="M480" i="19"/>
  <c r="I480" i="19"/>
  <c r="M479" i="19"/>
  <c r="I479" i="19"/>
  <c r="M478" i="19"/>
  <c r="I478" i="19"/>
  <c r="M477" i="19"/>
  <c r="I477" i="19"/>
  <c r="M476" i="19"/>
  <c r="I476" i="19"/>
  <c r="M475" i="19"/>
  <c r="I475" i="19"/>
  <c r="M474" i="19"/>
  <c r="I474" i="19"/>
  <c r="M473" i="19"/>
  <c r="I473" i="19"/>
  <c r="M472" i="19"/>
  <c r="I472" i="19"/>
  <c r="M471" i="19"/>
  <c r="I471" i="19"/>
  <c r="M470" i="19"/>
  <c r="I470" i="19"/>
  <c r="N469" i="19"/>
  <c r="M469" i="19"/>
  <c r="I469" i="19"/>
  <c r="K469" i="19" s="1"/>
  <c r="N468" i="19"/>
  <c r="M468" i="19"/>
  <c r="I468" i="19"/>
  <c r="K468" i="19" s="1"/>
  <c r="N467" i="19"/>
  <c r="M467" i="19"/>
  <c r="I467" i="19"/>
  <c r="K467" i="19" s="1"/>
  <c r="N466" i="19"/>
  <c r="M466" i="19"/>
  <c r="I466" i="19"/>
  <c r="K466" i="19" s="1"/>
  <c r="N465" i="19"/>
  <c r="M465" i="19"/>
  <c r="I465" i="19"/>
  <c r="K465" i="19" s="1"/>
  <c r="N464" i="19"/>
  <c r="M464" i="19"/>
  <c r="I464" i="19"/>
  <c r="K464" i="19" s="1"/>
  <c r="N463" i="19"/>
  <c r="M463" i="19"/>
  <c r="I463" i="19"/>
  <c r="K463" i="19" s="1"/>
  <c r="N462" i="19"/>
  <c r="M462" i="19"/>
  <c r="I462" i="19"/>
  <c r="K462" i="19" s="1"/>
  <c r="N461" i="19"/>
  <c r="M461" i="19"/>
  <c r="I461" i="19"/>
  <c r="K461" i="19" s="1"/>
  <c r="N460" i="19"/>
  <c r="M460" i="19"/>
  <c r="I460" i="19"/>
  <c r="K460" i="19" s="1"/>
  <c r="N459" i="19"/>
  <c r="M459" i="19"/>
  <c r="I459" i="19"/>
  <c r="K459" i="19" s="1"/>
  <c r="N458" i="19"/>
  <c r="M458" i="19"/>
  <c r="I458" i="19"/>
  <c r="K458" i="19" s="1"/>
  <c r="N457" i="19"/>
  <c r="M457" i="19"/>
  <c r="I457" i="19"/>
  <c r="K457" i="19" s="1"/>
  <c r="N456" i="19"/>
  <c r="L456" i="19"/>
  <c r="I456" i="19"/>
  <c r="K456" i="19" s="1"/>
  <c r="N455" i="19"/>
  <c r="L455" i="19"/>
  <c r="I455" i="19"/>
  <c r="K455" i="19" s="1"/>
  <c r="N454" i="19"/>
  <c r="L454" i="19"/>
  <c r="I454" i="19"/>
  <c r="K454" i="19" s="1"/>
  <c r="N453" i="19"/>
  <c r="L453" i="19"/>
  <c r="I453" i="19"/>
  <c r="K453" i="19" s="1"/>
  <c r="N452" i="19"/>
  <c r="L452" i="19"/>
  <c r="I452" i="19"/>
  <c r="K452" i="19" s="1"/>
  <c r="N451" i="19"/>
  <c r="L451" i="19"/>
  <c r="I451" i="19"/>
  <c r="K451" i="19" s="1"/>
  <c r="N450" i="19"/>
  <c r="L450" i="19"/>
  <c r="I450" i="19"/>
  <c r="K450" i="19" s="1"/>
  <c r="M449" i="19"/>
  <c r="L449" i="19"/>
  <c r="K449" i="19"/>
  <c r="I449" i="19"/>
  <c r="N449" i="19" s="1"/>
  <c r="M448" i="19"/>
  <c r="K448" i="19"/>
  <c r="I448" i="19"/>
  <c r="N448" i="19" s="1"/>
  <c r="M447" i="19"/>
  <c r="K447" i="19"/>
  <c r="I447" i="19"/>
  <c r="N447" i="19" s="1"/>
  <c r="M446" i="19"/>
  <c r="K446" i="19"/>
  <c r="I446" i="19"/>
  <c r="N446" i="19" s="1"/>
  <c r="M445" i="19"/>
  <c r="K445" i="19"/>
  <c r="I445" i="19"/>
  <c r="N445" i="19" s="1"/>
  <c r="M444" i="19"/>
  <c r="K444" i="19"/>
  <c r="I444" i="19"/>
  <c r="N444" i="19" s="1"/>
  <c r="M443" i="19"/>
  <c r="K443" i="19"/>
  <c r="I443" i="19"/>
  <c r="N443" i="19" s="1"/>
  <c r="M442" i="19"/>
  <c r="K442" i="19"/>
  <c r="I442" i="19"/>
  <c r="N442" i="19" s="1"/>
  <c r="M441" i="19"/>
  <c r="K441" i="19"/>
  <c r="I441" i="19"/>
  <c r="N441" i="19" s="1"/>
  <c r="M440" i="19"/>
  <c r="K440" i="19"/>
  <c r="I440" i="19"/>
  <c r="N440" i="19" s="1"/>
  <c r="M439" i="19"/>
  <c r="K439" i="19"/>
  <c r="I439" i="19"/>
  <c r="N439" i="19" s="1"/>
  <c r="M438" i="19"/>
  <c r="K438" i="19"/>
  <c r="I438" i="19"/>
  <c r="N438" i="19" s="1"/>
  <c r="M437" i="19"/>
  <c r="K437" i="19"/>
  <c r="I437" i="19"/>
  <c r="N437" i="19" s="1"/>
  <c r="M436" i="19"/>
  <c r="K436" i="19"/>
  <c r="I436" i="19"/>
  <c r="N436" i="19" s="1"/>
  <c r="M435" i="19"/>
  <c r="K435" i="19"/>
  <c r="I435" i="19"/>
  <c r="N435" i="19" s="1"/>
  <c r="M434" i="19"/>
  <c r="K434" i="19"/>
  <c r="I434" i="19"/>
  <c r="N434" i="19" s="1"/>
  <c r="M433" i="19"/>
  <c r="K433" i="19"/>
  <c r="I433" i="19"/>
  <c r="N433" i="19" s="1"/>
  <c r="M432" i="19"/>
  <c r="K432" i="19"/>
  <c r="I432" i="19"/>
  <c r="N432" i="19" s="1"/>
  <c r="M431" i="19"/>
  <c r="K431" i="19"/>
  <c r="I431" i="19"/>
  <c r="N431" i="19" s="1"/>
  <c r="M430" i="19"/>
  <c r="K430" i="19"/>
  <c r="I430" i="19"/>
  <c r="N430" i="19" s="1"/>
  <c r="M429" i="19"/>
  <c r="K429" i="19"/>
  <c r="I429" i="19"/>
  <c r="N429" i="19" s="1"/>
  <c r="M428" i="19"/>
  <c r="K428" i="19"/>
  <c r="I428" i="19"/>
  <c r="N428" i="19" s="1"/>
  <c r="M427" i="19"/>
  <c r="K427" i="19"/>
  <c r="I427" i="19"/>
  <c r="N427" i="19" s="1"/>
  <c r="M426" i="19"/>
  <c r="K426" i="19"/>
  <c r="I426" i="19"/>
  <c r="N426" i="19" s="1"/>
  <c r="N425" i="19"/>
  <c r="I425" i="19"/>
  <c r="K425" i="19" s="1"/>
  <c r="M424" i="19"/>
  <c r="I424" i="19"/>
  <c r="N423" i="19"/>
  <c r="M423" i="19"/>
  <c r="I423" i="19"/>
  <c r="K423" i="19" s="1"/>
  <c r="M422" i="19"/>
  <c r="I422" i="19"/>
  <c r="M421" i="19"/>
  <c r="I421" i="19"/>
  <c r="M420" i="19"/>
  <c r="I420" i="19"/>
  <c r="M419" i="19"/>
  <c r="I419" i="19"/>
  <c r="M418" i="19"/>
  <c r="I418" i="19"/>
  <c r="M417" i="19"/>
  <c r="I417" i="19"/>
  <c r="M416" i="19"/>
  <c r="I416" i="19"/>
  <c r="M415" i="19"/>
  <c r="I415" i="19"/>
  <c r="M414" i="19"/>
  <c r="I414" i="19"/>
  <c r="M413" i="19"/>
  <c r="I413" i="19"/>
  <c r="M412" i="19"/>
  <c r="I412" i="19"/>
  <c r="M411" i="19"/>
  <c r="I411" i="19"/>
  <c r="K410" i="19"/>
  <c r="K409" i="19"/>
  <c r="K408" i="19"/>
  <c r="K407" i="19"/>
  <c r="K406" i="19"/>
  <c r="K405" i="19"/>
  <c r="K404" i="19"/>
  <c r="K403" i="19"/>
  <c r="K402" i="19"/>
  <c r="N401" i="19"/>
  <c r="M401" i="19"/>
  <c r="K401" i="19"/>
  <c r="I401" i="19"/>
  <c r="N400" i="19"/>
  <c r="M400" i="19"/>
  <c r="K400" i="19"/>
  <c r="I400" i="19"/>
  <c r="N399" i="19"/>
  <c r="M399" i="19"/>
  <c r="K399" i="19"/>
  <c r="I399" i="19"/>
  <c r="N398" i="19"/>
  <c r="M398" i="19"/>
  <c r="K398" i="19"/>
  <c r="I398" i="19"/>
  <c r="N397" i="19"/>
  <c r="M397" i="19"/>
  <c r="K397" i="19"/>
  <c r="I397" i="19"/>
  <c r="N396" i="19"/>
  <c r="M396" i="19"/>
  <c r="K396" i="19"/>
  <c r="I396" i="19"/>
  <c r="N395" i="19"/>
  <c r="M395" i="19"/>
  <c r="K395" i="19"/>
  <c r="I395" i="19"/>
  <c r="N394" i="19"/>
  <c r="M394" i="19"/>
  <c r="K394" i="19"/>
  <c r="I394" i="19"/>
  <c r="N393" i="19"/>
  <c r="M393" i="19"/>
  <c r="K393" i="19"/>
  <c r="I393" i="19"/>
  <c r="N392" i="19"/>
  <c r="M392" i="19"/>
  <c r="K392" i="19"/>
  <c r="I392" i="19"/>
  <c r="K391" i="19"/>
  <c r="N390" i="19"/>
  <c r="L390" i="19"/>
  <c r="K390" i="19"/>
  <c r="I390" i="19"/>
  <c r="N389" i="19"/>
  <c r="L389" i="19"/>
  <c r="K389" i="19"/>
  <c r="I389" i="19"/>
  <c r="N388" i="19"/>
  <c r="L388" i="19"/>
  <c r="K388" i="19"/>
  <c r="I388" i="19"/>
  <c r="N387" i="19"/>
  <c r="L387" i="19"/>
  <c r="K387" i="19"/>
  <c r="I387" i="19"/>
  <c r="N386" i="19"/>
  <c r="L386" i="19"/>
  <c r="K386" i="19"/>
  <c r="I386" i="19"/>
  <c r="N385" i="19"/>
  <c r="L385" i="19"/>
  <c r="K385" i="19"/>
  <c r="I385" i="19"/>
  <c r="N384" i="19"/>
  <c r="M384" i="19"/>
  <c r="K384" i="19"/>
  <c r="I384" i="19"/>
  <c r="N383" i="19"/>
  <c r="M383" i="19"/>
  <c r="K383" i="19"/>
  <c r="I383" i="19"/>
  <c r="N382" i="19"/>
  <c r="M382" i="19"/>
  <c r="K382" i="19"/>
  <c r="I382" i="19"/>
  <c r="N381" i="19"/>
  <c r="M381" i="19"/>
  <c r="K381" i="19"/>
  <c r="I381" i="19"/>
  <c r="N380" i="19"/>
  <c r="M380" i="19"/>
  <c r="K380" i="19"/>
  <c r="I380" i="19"/>
  <c r="N379" i="19"/>
  <c r="M379" i="19"/>
  <c r="K379" i="19"/>
  <c r="I379" i="19"/>
  <c r="N378" i="19"/>
  <c r="M378" i="19"/>
  <c r="K378" i="19"/>
  <c r="I378" i="19"/>
  <c r="N377" i="19"/>
  <c r="M377" i="19"/>
  <c r="K377" i="19"/>
  <c r="I377" i="19"/>
  <c r="N376" i="19"/>
  <c r="M376" i="19"/>
  <c r="K376" i="19"/>
  <c r="I376" i="19"/>
  <c r="N375" i="19"/>
  <c r="M375" i="19"/>
  <c r="K375" i="19"/>
  <c r="I375" i="19"/>
  <c r="N374" i="19"/>
  <c r="M374" i="19"/>
  <c r="K374" i="19"/>
  <c r="I374" i="19"/>
  <c r="N373" i="19"/>
  <c r="M373" i="19"/>
  <c r="K373" i="19"/>
  <c r="I373" i="19"/>
  <c r="N372" i="19"/>
  <c r="M372" i="19"/>
  <c r="K372" i="19"/>
  <c r="I372" i="19"/>
  <c r="N371" i="19"/>
  <c r="M371" i="19"/>
  <c r="K371" i="19"/>
  <c r="I371" i="19"/>
  <c r="N370" i="19"/>
  <c r="M370" i="19"/>
  <c r="K370" i="19"/>
  <c r="I370" i="19"/>
  <c r="N369" i="19"/>
  <c r="M369" i="19"/>
  <c r="K369" i="19"/>
  <c r="I369" i="19"/>
  <c r="N368" i="19"/>
  <c r="M368" i="19"/>
  <c r="K368" i="19"/>
  <c r="I368" i="19"/>
  <c r="N367" i="19"/>
  <c r="M367" i="19"/>
  <c r="K367" i="19"/>
  <c r="I367" i="19"/>
  <c r="N366" i="19"/>
  <c r="M366" i="19"/>
  <c r="K366" i="19"/>
  <c r="I366" i="19"/>
  <c r="N365" i="19"/>
  <c r="L365" i="19"/>
  <c r="K365" i="19"/>
  <c r="I365" i="19"/>
  <c r="N364" i="19"/>
  <c r="L364" i="19"/>
  <c r="K364" i="19"/>
  <c r="I364" i="19"/>
  <c r="N363" i="19"/>
  <c r="L363" i="19"/>
  <c r="K363" i="19"/>
  <c r="I363" i="19"/>
  <c r="N362" i="19"/>
  <c r="L362" i="19"/>
  <c r="K362" i="19"/>
  <c r="I362" i="19"/>
  <c r="N361" i="19"/>
  <c r="K361" i="19"/>
  <c r="I361" i="19"/>
  <c r="M360" i="19"/>
  <c r="K360" i="19"/>
  <c r="I360" i="19"/>
  <c r="N360" i="19" s="1"/>
  <c r="M359" i="19"/>
  <c r="K359" i="19"/>
  <c r="I359" i="19"/>
  <c r="N359" i="19" s="1"/>
  <c r="M358" i="19"/>
  <c r="K358" i="19"/>
  <c r="I358" i="19"/>
  <c r="N358" i="19" s="1"/>
  <c r="M357" i="19"/>
  <c r="K357" i="19"/>
  <c r="I357" i="19"/>
  <c r="N357" i="19" s="1"/>
  <c r="M356" i="19"/>
  <c r="K356" i="19"/>
  <c r="I356" i="19"/>
  <c r="N356" i="19" s="1"/>
  <c r="M355" i="19"/>
  <c r="K355" i="19"/>
  <c r="I355" i="19"/>
  <c r="N355" i="19" s="1"/>
  <c r="M354" i="19"/>
  <c r="K354" i="19"/>
  <c r="I354" i="19"/>
  <c r="N354" i="19" s="1"/>
  <c r="M353" i="19"/>
  <c r="K353" i="19"/>
  <c r="I353" i="19"/>
  <c r="N353" i="19" s="1"/>
  <c r="M352" i="19"/>
  <c r="K352" i="19"/>
  <c r="I352" i="19"/>
  <c r="N352" i="19" s="1"/>
  <c r="M351" i="19"/>
  <c r="K351" i="19"/>
  <c r="I351" i="19"/>
  <c r="N351" i="19" s="1"/>
  <c r="M350" i="19"/>
  <c r="K350" i="19"/>
  <c r="I350" i="19"/>
  <c r="N350" i="19" s="1"/>
  <c r="M349" i="19"/>
  <c r="K349" i="19"/>
  <c r="I349" i="19"/>
  <c r="N349" i="19" s="1"/>
  <c r="M348" i="19"/>
  <c r="K348" i="19"/>
  <c r="I348" i="19"/>
  <c r="N348" i="19" s="1"/>
  <c r="M347" i="19"/>
  <c r="K347" i="19"/>
  <c r="I347" i="19"/>
  <c r="N347" i="19" s="1"/>
  <c r="M346" i="19"/>
  <c r="K346" i="19"/>
  <c r="I346" i="19"/>
  <c r="N346" i="19" s="1"/>
  <c r="K345" i="19"/>
  <c r="K344" i="19"/>
  <c r="K343" i="19"/>
  <c r="K342" i="19"/>
  <c r="K341" i="19"/>
  <c r="K340" i="19"/>
  <c r="K339" i="19"/>
  <c r="K338" i="19"/>
  <c r="N337" i="19"/>
  <c r="M337" i="19"/>
  <c r="K337" i="19"/>
  <c r="I337" i="19"/>
  <c r="N336" i="19"/>
  <c r="M336" i="19"/>
  <c r="K336" i="19"/>
  <c r="I336" i="19"/>
  <c r="N335" i="19"/>
  <c r="M335" i="19"/>
  <c r="K335" i="19"/>
  <c r="I335" i="19"/>
  <c r="N334" i="19"/>
  <c r="M334" i="19"/>
  <c r="K334" i="19"/>
  <c r="I334" i="19"/>
  <c r="N333" i="19"/>
  <c r="M333" i="19"/>
  <c r="K333" i="19"/>
  <c r="I333" i="19"/>
  <c r="N332" i="19"/>
  <c r="M332" i="19"/>
  <c r="K332" i="19"/>
  <c r="I332" i="19"/>
  <c r="N331" i="19"/>
  <c r="M331" i="19"/>
  <c r="K331" i="19"/>
  <c r="I331" i="19"/>
  <c r="N330" i="19"/>
  <c r="M330" i="19"/>
  <c r="K330" i="19"/>
  <c r="I330" i="19"/>
  <c r="M329" i="19"/>
  <c r="K329" i="19"/>
  <c r="I329" i="19"/>
  <c r="N329" i="19" s="1"/>
  <c r="M328" i="19"/>
  <c r="K328" i="19"/>
  <c r="I328" i="19"/>
  <c r="N328" i="19" s="1"/>
  <c r="M327" i="19"/>
  <c r="K327" i="19"/>
  <c r="I327" i="19"/>
  <c r="N327" i="19" s="1"/>
  <c r="M326" i="19"/>
  <c r="K326" i="19"/>
  <c r="I326" i="19"/>
  <c r="N326" i="19" s="1"/>
  <c r="M325" i="19"/>
  <c r="K325" i="19"/>
  <c r="I325" i="19"/>
  <c r="N325" i="19" s="1"/>
  <c r="M324" i="19"/>
  <c r="K324" i="19"/>
  <c r="I324" i="19"/>
  <c r="N324" i="19" s="1"/>
  <c r="M323" i="19"/>
  <c r="K323" i="19"/>
  <c r="I323" i="19"/>
  <c r="N323" i="19" s="1"/>
  <c r="M322" i="19"/>
  <c r="K322" i="19"/>
  <c r="I322" i="19"/>
  <c r="N322" i="19" s="1"/>
  <c r="M321" i="19"/>
  <c r="K321" i="19"/>
  <c r="I321" i="19"/>
  <c r="N321" i="19" s="1"/>
  <c r="M320" i="19"/>
  <c r="K320" i="19"/>
  <c r="I320" i="19"/>
  <c r="N320" i="19" s="1"/>
  <c r="M319" i="19"/>
  <c r="K319" i="19"/>
  <c r="I319" i="19"/>
  <c r="N319" i="19" s="1"/>
  <c r="M318" i="19"/>
  <c r="K318" i="19"/>
  <c r="I318" i="19"/>
  <c r="N318" i="19" s="1"/>
  <c r="M317" i="19"/>
  <c r="K317" i="19"/>
  <c r="I317" i="19"/>
  <c r="N317" i="19" s="1"/>
  <c r="M316" i="19"/>
  <c r="K316" i="19"/>
  <c r="I316" i="19"/>
  <c r="N316" i="19" s="1"/>
  <c r="M315" i="19"/>
  <c r="K315" i="19"/>
  <c r="I315" i="19"/>
  <c r="N315" i="19" s="1"/>
  <c r="M314" i="19"/>
  <c r="K314" i="19"/>
  <c r="I314" i="19"/>
  <c r="N314" i="19" s="1"/>
  <c r="M313" i="19"/>
  <c r="K313" i="19"/>
  <c r="I313" i="19"/>
  <c r="N313" i="19" s="1"/>
  <c r="M312" i="19"/>
  <c r="K312" i="19"/>
  <c r="I312" i="19"/>
  <c r="N312" i="19" s="1"/>
  <c r="M311" i="19"/>
  <c r="K311" i="19"/>
  <c r="I311" i="19"/>
  <c r="N311" i="19" s="1"/>
  <c r="M310" i="19"/>
  <c r="K310" i="19"/>
  <c r="I310" i="19"/>
  <c r="N310" i="19" s="1"/>
  <c r="M309" i="19"/>
  <c r="K309" i="19"/>
  <c r="I309" i="19"/>
  <c r="N309" i="19" s="1"/>
  <c r="M308" i="19"/>
  <c r="K308" i="19"/>
  <c r="I308" i="19"/>
  <c r="N308" i="19" s="1"/>
  <c r="M307" i="19"/>
  <c r="K307" i="19"/>
  <c r="I307" i="19"/>
  <c r="N307" i="19" s="1"/>
  <c r="M306" i="19"/>
  <c r="K306" i="19"/>
  <c r="I306" i="19"/>
  <c r="N306" i="19" s="1"/>
  <c r="M305" i="19"/>
  <c r="K305" i="19"/>
  <c r="I305" i="19"/>
  <c r="N305" i="19" s="1"/>
  <c r="M304" i="19"/>
  <c r="K304" i="19"/>
  <c r="I304" i="19"/>
  <c r="N304" i="19" s="1"/>
  <c r="M303" i="19"/>
  <c r="K303" i="19"/>
  <c r="I303" i="19"/>
  <c r="N303" i="19" s="1"/>
  <c r="M302" i="19"/>
  <c r="K302" i="19"/>
  <c r="I302" i="19"/>
  <c r="N302" i="19" s="1"/>
  <c r="M301" i="19"/>
  <c r="K301" i="19"/>
  <c r="I301" i="19"/>
  <c r="N301" i="19" s="1"/>
  <c r="M300" i="19"/>
  <c r="K300" i="19"/>
  <c r="I300" i="19"/>
  <c r="N300" i="19" s="1"/>
  <c r="M299" i="19"/>
  <c r="K299" i="19"/>
  <c r="I299" i="19"/>
  <c r="N299" i="19" s="1"/>
  <c r="M298" i="19"/>
  <c r="K298" i="19"/>
  <c r="I298" i="19"/>
  <c r="N298" i="19" s="1"/>
  <c r="M297" i="19"/>
  <c r="K297" i="19"/>
  <c r="I297" i="19"/>
  <c r="N297" i="19" s="1"/>
  <c r="M296" i="19"/>
  <c r="K296" i="19"/>
  <c r="I296" i="19"/>
  <c r="N296" i="19" s="1"/>
  <c r="M295" i="19"/>
  <c r="K295" i="19"/>
  <c r="I295" i="19"/>
  <c r="N295" i="19" s="1"/>
  <c r="M294" i="19"/>
  <c r="K294" i="19"/>
  <c r="I294" i="19"/>
  <c r="N294" i="19" s="1"/>
  <c r="M293" i="19"/>
  <c r="K293" i="19"/>
  <c r="I293" i="19"/>
  <c r="N293" i="19" s="1"/>
  <c r="M292" i="19"/>
  <c r="K292" i="19"/>
  <c r="I292" i="19"/>
  <c r="N292" i="19" s="1"/>
  <c r="K291" i="19"/>
  <c r="K290" i="19"/>
  <c r="K289" i="19"/>
  <c r="K288" i="19"/>
  <c r="K287" i="19"/>
  <c r="N286" i="19"/>
  <c r="M286" i="19"/>
  <c r="K286" i="19"/>
  <c r="I286" i="19"/>
  <c r="N285" i="19"/>
  <c r="M285" i="19"/>
  <c r="K285" i="19"/>
  <c r="I285" i="19"/>
  <c r="N284" i="19"/>
  <c r="M284" i="19"/>
  <c r="K284" i="19"/>
  <c r="I284" i="19"/>
  <c r="N283" i="19"/>
  <c r="M283" i="19"/>
  <c r="K283" i="19"/>
  <c r="I283" i="19"/>
  <c r="N282" i="19"/>
  <c r="M282" i="19"/>
  <c r="K282" i="19"/>
  <c r="I282" i="19"/>
  <c r="N281" i="19"/>
  <c r="M281" i="19"/>
  <c r="K281" i="19"/>
  <c r="I281" i="19"/>
  <c r="N280" i="19"/>
  <c r="M280" i="19"/>
  <c r="K280" i="19"/>
  <c r="I280" i="19"/>
  <c r="N279" i="19"/>
  <c r="M279" i="19"/>
  <c r="K279" i="19"/>
  <c r="I279" i="19"/>
  <c r="N278" i="19"/>
  <c r="M278" i="19"/>
  <c r="K278" i="19"/>
  <c r="I278" i="19"/>
  <c r="N277" i="19"/>
  <c r="M277" i="19"/>
  <c r="K277" i="19"/>
  <c r="I277" i="19"/>
  <c r="N276" i="19"/>
  <c r="M276" i="19"/>
  <c r="K276" i="19"/>
  <c r="I276" i="19"/>
  <c r="K275" i="19"/>
  <c r="N274" i="19"/>
  <c r="L274" i="19"/>
  <c r="I274" i="19"/>
  <c r="K274" i="19" s="1"/>
  <c r="N273" i="19"/>
  <c r="L273" i="19"/>
  <c r="I273" i="19"/>
  <c r="K273" i="19" s="1"/>
  <c r="N272" i="19"/>
  <c r="L272" i="19"/>
  <c r="I272" i="19"/>
  <c r="K272" i="19" s="1"/>
  <c r="N271" i="19"/>
  <c r="L271" i="19"/>
  <c r="I271" i="19"/>
  <c r="K271" i="19" s="1"/>
  <c r="N270" i="19"/>
  <c r="K270" i="19"/>
  <c r="I270" i="19"/>
  <c r="N269" i="19"/>
  <c r="M269" i="19"/>
  <c r="K269" i="19"/>
  <c r="I269" i="19"/>
  <c r="N268" i="19"/>
  <c r="M268" i="19"/>
  <c r="K268" i="19"/>
  <c r="I268" i="19"/>
  <c r="N267" i="19"/>
  <c r="M267" i="19"/>
  <c r="K267" i="19"/>
  <c r="I267" i="19"/>
  <c r="N266" i="19"/>
  <c r="M266" i="19"/>
  <c r="K266" i="19"/>
  <c r="I266" i="19"/>
  <c r="N265" i="19"/>
  <c r="M265" i="19"/>
  <c r="K265" i="19"/>
  <c r="I265" i="19"/>
  <c r="N264" i="19"/>
  <c r="M264" i="19"/>
  <c r="K264" i="19"/>
  <c r="I264" i="19"/>
  <c r="N263" i="19"/>
  <c r="M263" i="19"/>
  <c r="K263" i="19"/>
  <c r="I263" i="19"/>
  <c r="N262" i="19"/>
  <c r="M262" i="19"/>
  <c r="K262" i="19"/>
  <c r="I262" i="19"/>
  <c r="N261" i="19"/>
  <c r="M261" i="19"/>
  <c r="K261" i="19"/>
  <c r="I261" i="19"/>
  <c r="N260" i="19"/>
  <c r="M260" i="19"/>
  <c r="K260" i="19"/>
  <c r="I260" i="19"/>
  <c r="N259" i="19"/>
  <c r="M259" i="19"/>
  <c r="K259" i="19"/>
  <c r="I259" i="19"/>
  <c r="N258" i="19"/>
  <c r="M258" i="19"/>
  <c r="K258" i="19"/>
  <c r="I258" i="19"/>
  <c r="N257" i="19"/>
  <c r="M257" i="19"/>
  <c r="K257" i="19"/>
  <c r="I257" i="19"/>
  <c r="N256" i="19"/>
  <c r="M256" i="19"/>
  <c r="K256" i="19"/>
  <c r="I256" i="19"/>
  <c r="N255" i="19"/>
  <c r="M255" i="19"/>
  <c r="K255" i="19"/>
  <c r="I255" i="19"/>
  <c r="N254" i="19"/>
  <c r="M254" i="19"/>
  <c r="K254" i="19"/>
  <c r="I254" i="19"/>
  <c r="N253" i="19"/>
  <c r="M253" i="19"/>
  <c r="K253" i="19"/>
  <c r="I253" i="19"/>
  <c r="N252" i="19"/>
  <c r="M252" i="19"/>
  <c r="K252" i="19"/>
  <c r="I252" i="19"/>
  <c r="N251" i="19"/>
  <c r="M251" i="19"/>
  <c r="K251" i="19"/>
  <c r="I251" i="19"/>
  <c r="N250" i="19"/>
  <c r="M250" i="19"/>
  <c r="K250" i="19"/>
  <c r="I250" i="19"/>
  <c r="N249" i="19"/>
  <c r="M249" i="19"/>
  <c r="K249" i="19"/>
  <c r="I249" i="19"/>
  <c r="N248" i="19"/>
  <c r="M248" i="19"/>
  <c r="K248" i="19"/>
  <c r="I248" i="19"/>
  <c r="N247" i="19"/>
  <c r="M247" i="19"/>
  <c r="K247" i="19"/>
  <c r="I247" i="19"/>
  <c r="N246" i="19"/>
  <c r="M246" i="19"/>
  <c r="K246" i="19"/>
  <c r="I246" i="19"/>
  <c r="N245" i="19"/>
  <c r="M245" i="19"/>
  <c r="K245" i="19"/>
  <c r="I245" i="19"/>
  <c r="N244" i="19"/>
  <c r="M244" i="19"/>
  <c r="K244" i="19"/>
  <c r="I244" i="19"/>
  <c r="N243" i="19"/>
  <c r="L243" i="19"/>
  <c r="K243" i="19"/>
  <c r="I243" i="19"/>
  <c r="N242" i="19"/>
  <c r="L242" i="19"/>
  <c r="K242" i="19"/>
  <c r="I242" i="19"/>
  <c r="N241" i="19"/>
  <c r="L241" i="19"/>
  <c r="K241" i="19"/>
  <c r="I241" i="19"/>
  <c r="N240" i="19"/>
  <c r="L240" i="19"/>
  <c r="K240" i="19"/>
  <c r="I240" i="19"/>
  <c r="N239" i="19"/>
  <c r="L239" i="19"/>
  <c r="K239" i="19"/>
  <c r="I239" i="19"/>
  <c r="N238" i="19"/>
  <c r="L238" i="19"/>
  <c r="K238" i="19"/>
  <c r="I238" i="19"/>
  <c r="N237" i="19"/>
  <c r="L237" i="19"/>
  <c r="K237" i="19"/>
  <c r="I237" i="19"/>
  <c r="N236" i="19"/>
  <c r="L236" i="19"/>
  <c r="K236" i="19"/>
  <c r="I236" i="19"/>
  <c r="N235" i="19"/>
  <c r="M235" i="19"/>
  <c r="K235" i="19"/>
  <c r="I235" i="19"/>
  <c r="N234" i="19"/>
  <c r="M234" i="19"/>
  <c r="K234" i="19"/>
  <c r="I234" i="19"/>
  <c r="N233" i="19"/>
  <c r="M233" i="19"/>
  <c r="K233" i="19"/>
  <c r="I233" i="19"/>
  <c r="N232" i="19"/>
  <c r="M232" i="19"/>
  <c r="K232" i="19"/>
  <c r="I232" i="19"/>
  <c r="N231" i="19"/>
  <c r="M231" i="19"/>
  <c r="K231" i="19"/>
  <c r="I231" i="19"/>
  <c r="N230" i="19"/>
  <c r="M230" i="19"/>
  <c r="K230" i="19"/>
  <c r="I230" i="19"/>
  <c r="N229" i="19"/>
  <c r="M229" i="19"/>
  <c r="K229" i="19"/>
  <c r="I229" i="19"/>
  <c r="N228" i="19"/>
  <c r="M228" i="19"/>
  <c r="K228" i="19"/>
  <c r="I228" i="19"/>
  <c r="N227" i="19"/>
  <c r="M227" i="19"/>
  <c r="K227" i="19"/>
  <c r="I227" i="19"/>
  <c r="N226" i="19"/>
  <c r="M226" i="19"/>
  <c r="K226" i="19"/>
  <c r="I226" i="19"/>
  <c r="N225" i="19"/>
  <c r="M225" i="19"/>
  <c r="K225" i="19"/>
  <c r="I225" i="19"/>
  <c r="N224" i="19"/>
  <c r="M224" i="19"/>
  <c r="K224" i="19"/>
  <c r="I224" i="19"/>
  <c r="N223" i="19"/>
  <c r="M223" i="19"/>
  <c r="K223" i="19"/>
  <c r="I223" i="19"/>
  <c r="N222" i="19"/>
  <c r="M222" i="19"/>
  <c r="K222" i="19"/>
  <c r="I222" i="19"/>
  <c r="K221" i="19"/>
  <c r="N220" i="19"/>
  <c r="M220" i="19"/>
  <c r="I220" i="19"/>
  <c r="K220" i="19" s="1"/>
  <c r="N219" i="19"/>
  <c r="M219" i="19"/>
  <c r="I219" i="19"/>
  <c r="K219" i="19" s="1"/>
  <c r="N218" i="19"/>
  <c r="M218" i="19"/>
  <c r="I218" i="19"/>
  <c r="K218" i="19" s="1"/>
  <c r="N217" i="19"/>
  <c r="M217" i="19"/>
  <c r="I217" i="19"/>
  <c r="K217" i="19" s="1"/>
  <c r="N216" i="19"/>
  <c r="M216" i="19"/>
  <c r="I216" i="19"/>
  <c r="K216" i="19" s="1"/>
  <c r="N215" i="19"/>
  <c r="M215" i="19"/>
  <c r="I215" i="19"/>
  <c r="K215" i="19" s="1"/>
  <c r="N214" i="19"/>
  <c r="M214" i="19"/>
  <c r="I214" i="19"/>
  <c r="K214" i="19" s="1"/>
  <c r="N213" i="19"/>
  <c r="M213" i="19"/>
  <c r="I213" i="19"/>
  <c r="K213" i="19" s="1"/>
  <c r="N212" i="19"/>
  <c r="M212" i="19"/>
  <c r="I212" i="19"/>
  <c r="K212" i="19" s="1"/>
  <c r="N211" i="19"/>
  <c r="M211" i="19"/>
  <c r="I211" i="19"/>
  <c r="K211" i="19" s="1"/>
  <c r="N210" i="19"/>
  <c r="M210" i="19"/>
  <c r="I210" i="19"/>
  <c r="K210" i="19" s="1"/>
  <c r="N209" i="19"/>
  <c r="M209" i="19"/>
  <c r="I209" i="19"/>
  <c r="K209" i="19" s="1"/>
  <c r="N208" i="19"/>
  <c r="M208" i="19"/>
  <c r="I208" i="19"/>
  <c r="K208" i="19" s="1"/>
  <c r="N207" i="19"/>
  <c r="M207" i="19"/>
  <c r="I207" i="19"/>
  <c r="K207" i="19" s="1"/>
  <c r="N206" i="19"/>
  <c r="M206" i="19"/>
  <c r="I206" i="19"/>
  <c r="K206" i="19" s="1"/>
  <c r="N205" i="19"/>
  <c r="M205" i="19"/>
  <c r="I205" i="19"/>
  <c r="K205" i="19" s="1"/>
  <c r="K204" i="19"/>
  <c r="K203" i="19"/>
  <c r="K202" i="19"/>
  <c r="K201" i="19"/>
  <c r="N200" i="19"/>
  <c r="K200" i="19"/>
  <c r="I200" i="19"/>
  <c r="N199" i="19"/>
  <c r="L199" i="19"/>
  <c r="K199" i="19"/>
  <c r="I199" i="19"/>
  <c r="N198" i="19"/>
  <c r="L198" i="19"/>
  <c r="K198" i="19"/>
  <c r="I198" i="19"/>
  <c r="N197" i="19"/>
  <c r="L197" i="19"/>
  <c r="K197" i="19"/>
  <c r="I197" i="19"/>
  <c r="N196" i="19"/>
  <c r="L196" i="19"/>
  <c r="K196" i="19"/>
  <c r="I196" i="19"/>
  <c r="N195" i="19"/>
  <c r="L195" i="19"/>
  <c r="K195" i="19"/>
  <c r="I195" i="19"/>
  <c r="N194" i="19"/>
  <c r="L194" i="19"/>
  <c r="K194" i="19"/>
  <c r="I194" i="19"/>
  <c r="N193" i="19"/>
  <c r="L193" i="19"/>
  <c r="K193" i="19"/>
  <c r="I193" i="19"/>
  <c r="N192" i="19"/>
  <c r="L192" i="19"/>
  <c r="K192" i="19"/>
  <c r="I192" i="19"/>
  <c r="N191" i="19"/>
  <c r="L191" i="19"/>
  <c r="K191" i="19"/>
  <c r="I191" i="19"/>
  <c r="N190" i="19"/>
  <c r="L190" i="19"/>
  <c r="K190" i="19"/>
  <c r="I190" i="19"/>
  <c r="N189" i="19"/>
  <c r="L189" i="19"/>
  <c r="K189" i="19"/>
  <c r="I189" i="19"/>
  <c r="N188" i="19"/>
  <c r="L188" i="19"/>
  <c r="K188" i="19"/>
  <c r="I188" i="19"/>
  <c r="N187" i="19"/>
  <c r="M187" i="19"/>
  <c r="K187" i="19"/>
  <c r="I187" i="19"/>
  <c r="N186" i="19"/>
  <c r="M186" i="19"/>
  <c r="K186" i="19"/>
  <c r="I186" i="19"/>
  <c r="N185" i="19"/>
  <c r="M185" i="19"/>
  <c r="K185" i="19"/>
  <c r="I185" i="19"/>
  <c r="N184" i="19"/>
  <c r="M184" i="19"/>
  <c r="K184" i="19"/>
  <c r="I184" i="19"/>
  <c r="N183" i="19"/>
  <c r="M183" i="19"/>
  <c r="K183" i="19"/>
  <c r="I183" i="19"/>
  <c r="N182" i="19"/>
  <c r="M182" i="19"/>
  <c r="K182" i="19"/>
  <c r="I182" i="19"/>
  <c r="N181" i="19"/>
  <c r="M181" i="19"/>
  <c r="K181" i="19"/>
  <c r="I181" i="19"/>
  <c r="N180" i="19"/>
  <c r="M180" i="19"/>
  <c r="K180" i="19"/>
  <c r="I180" i="19"/>
  <c r="K179" i="19"/>
  <c r="N178" i="19"/>
  <c r="M178" i="19"/>
  <c r="I178" i="19"/>
  <c r="K178" i="19" s="1"/>
  <c r="N177" i="19"/>
  <c r="M177" i="19"/>
  <c r="I177" i="19"/>
  <c r="K177" i="19" s="1"/>
  <c r="N176" i="19"/>
  <c r="M176" i="19"/>
  <c r="I176" i="19"/>
  <c r="K176" i="19" s="1"/>
  <c r="N175" i="19"/>
  <c r="M175" i="19"/>
  <c r="I175" i="19"/>
  <c r="K175" i="19" s="1"/>
  <c r="N174" i="19"/>
  <c r="M174" i="19"/>
  <c r="I174" i="19"/>
  <c r="K174" i="19" s="1"/>
  <c r="N173" i="19"/>
  <c r="M173" i="19"/>
  <c r="I173" i="19"/>
  <c r="K173" i="19" s="1"/>
  <c r="N172" i="19"/>
  <c r="M172" i="19"/>
  <c r="I172" i="19"/>
  <c r="K172" i="19" s="1"/>
  <c r="N171" i="19"/>
  <c r="M171" i="19"/>
  <c r="I171" i="19"/>
  <c r="K171" i="19" s="1"/>
  <c r="N170" i="19"/>
  <c r="M170" i="19"/>
  <c r="I170" i="19"/>
  <c r="K170" i="19" s="1"/>
  <c r="N169" i="19"/>
  <c r="M169" i="19"/>
  <c r="I169" i="19"/>
  <c r="K169" i="19" s="1"/>
  <c r="N168" i="19"/>
  <c r="M168" i="19"/>
  <c r="I168" i="19"/>
  <c r="K168" i="19" s="1"/>
  <c r="N167" i="19"/>
  <c r="M167" i="19"/>
  <c r="I167" i="19"/>
  <c r="K167" i="19" s="1"/>
  <c r="N166" i="19"/>
  <c r="M166" i="19"/>
  <c r="I166" i="19"/>
  <c r="K166" i="19" s="1"/>
  <c r="N165" i="19"/>
  <c r="M165" i="19"/>
  <c r="I165" i="19"/>
  <c r="K165" i="19" s="1"/>
  <c r="K164" i="19"/>
  <c r="K163" i="19"/>
  <c r="K162" i="19"/>
  <c r="N161" i="19"/>
  <c r="M161" i="19"/>
  <c r="K161" i="19"/>
  <c r="I161" i="19"/>
  <c r="N160" i="19"/>
  <c r="M160" i="19"/>
  <c r="K160" i="19"/>
  <c r="I160" i="19"/>
  <c r="N159" i="19"/>
  <c r="M159" i="19"/>
  <c r="K159" i="19"/>
  <c r="I159" i="19"/>
  <c r="N158" i="19"/>
  <c r="M158" i="19"/>
  <c r="K158" i="19"/>
  <c r="I158" i="19"/>
  <c r="N157" i="19"/>
  <c r="M157" i="19"/>
  <c r="K157" i="19"/>
  <c r="I157" i="19"/>
  <c r="N156" i="19"/>
  <c r="M156" i="19"/>
  <c r="K156" i="19"/>
  <c r="I156" i="19"/>
  <c r="N155" i="19"/>
  <c r="M155" i="19"/>
  <c r="K155" i="19"/>
  <c r="I155" i="19"/>
  <c r="N154" i="19"/>
  <c r="M154" i="19"/>
  <c r="K154" i="19"/>
  <c r="I154" i="19"/>
  <c r="N153" i="19"/>
  <c r="M153" i="19"/>
  <c r="K153" i="19"/>
  <c r="I153" i="19"/>
  <c r="N152" i="19"/>
  <c r="M152" i="19"/>
  <c r="K152" i="19"/>
  <c r="I152" i="19"/>
  <c r="N151" i="19"/>
  <c r="M151" i="19"/>
  <c r="K151" i="19"/>
  <c r="I151" i="19"/>
  <c r="N150" i="19"/>
  <c r="M150" i="19"/>
  <c r="K150" i="19"/>
  <c r="I150" i="19"/>
  <c r="N149" i="19"/>
  <c r="M149" i="19"/>
  <c r="K149" i="19"/>
  <c r="I149" i="19"/>
  <c r="N148" i="19"/>
  <c r="M148" i="19"/>
  <c r="K148" i="19"/>
  <c r="I148" i="19"/>
  <c r="N147" i="19"/>
  <c r="M147" i="19"/>
  <c r="K147" i="19"/>
  <c r="I147" i="19"/>
  <c r="N146" i="19"/>
  <c r="M146" i="19"/>
  <c r="K146" i="19"/>
  <c r="I146" i="19"/>
  <c r="N145" i="19"/>
  <c r="M145" i="19"/>
  <c r="K145" i="19"/>
  <c r="I145" i="19"/>
  <c r="N144" i="19"/>
  <c r="M144" i="19"/>
  <c r="K144" i="19"/>
  <c r="I144" i="19"/>
  <c r="N143" i="19"/>
  <c r="M143" i="19"/>
  <c r="K143" i="19"/>
  <c r="I143" i="19"/>
  <c r="N142" i="19"/>
  <c r="M142" i="19"/>
  <c r="K142" i="19"/>
  <c r="I142" i="19"/>
  <c r="N141" i="19"/>
  <c r="M141" i="19"/>
  <c r="K141" i="19"/>
  <c r="I141" i="19"/>
  <c r="N140" i="19"/>
  <c r="M140" i="19"/>
  <c r="K140" i="19"/>
  <c r="I140" i="19"/>
  <c r="N139" i="19"/>
  <c r="M139" i="19"/>
  <c r="K139" i="19"/>
  <c r="I139" i="19"/>
  <c r="N138" i="19"/>
  <c r="M138" i="19"/>
  <c r="K138" i="19"/>
  <c r="I138" i="19"/>
  <c r="N137" i="19"/>
  <c r="M137" i="19"/>
  <c r="K137" i="19"/>
  <c r="I137" i="19"/>
  <c r="N136" i="19"/>
  <c r="M136" i="19"/>
  <c r="K136" i="19"/>
  <c r="I136" i="19"/>
  <c r="N135" i="19"/>
  <c r="M135" i="19"/>
  <c r="K135" i="19"/>
  <c r="I135" i="19"/>
  <c r="N134" i="19"/>
  <c r="M134" i="19"/>
  <c r="K134" i="19"/>
  <c r="I134" i="19"/>
  <c r="N133" i="19"/>
  <c r="M133" i="19"/>
  <c r="K133" i="19"/>
  <c r="I133" i="19"/>
  <c r="N132" i="19"/>
  <c r="M132" i="19"/>
  <c r="K132" i="19"/>
  <c r="I132" i="19"/>
  <c r="N131" i="19"/>
  <c r="M131" i="19"/>
  <c r="K131" i="19"/>
  <c r="I131" i="19"/>
  <c r="N130" i="19"/>
  <c r="M130" i="19"/>
  <c r="K130" i="19"/>
  <c r="I130" i="19"/>
  <c r="N129" i="19"/>
  <c r="M129" i="19"/>
  <c r="K129" i="19"/>
  <c r="I129" i="19"/>
  <c r="N128" i="19"/>
  <c r="M128" i="19"/>
  <c r="K128" i="19"/>
  <c r="I128" i="19"/>
  <c r="N127" i="19"/>
  <c r="M127" i="19"/>
  <c r="K127" i="19"/>
  <c r="I127" i="19"/>
  <c r="N126" i="19"/>
  <c r="M126" i="19"/>
  <c r="K126" i="19"/>
  <c r="I126" i="19"/>
  <c r="N125" i="19"/>
  <c r="M125" i="19"/>
  <c r="K125" i="19"/>
  <c r="I125" i="19"/>
  <c r="N124" i="19"/>
  <c r="M124" i="19"/>
  <c r="K124" i="19"/>
  <c r="I124" i="19"/>
  <c r="N123" i="19"/>
  <c r="M123" i="19"/>
  <c r="K123" i="19"/>
  <c r="I123" i="19"/>
  <c r="N122" i="19"/>
  <c r="M122" i="19"/>
  <c r="K122" i="19"/>
  <c r="I122" i="19"/>
  <c r="N121" i="19"/>
  <c r="M121" i="19"/>
  <c r="K121" i="19"/>
  <c r="I121" i="19"/>
  <c r="N120" i="19"/>
  <c r="M120" i="19"/>
  <c r="K120" i="19"/>
  <c r="I120" i="19"/>
  <c r="N119" i="19"/>
  <c r="M119" i="19"/>
  <c r="K119" i="19"/>
  <c r="I119" i="19"/>
  <c r="N118" i="19"/>
  <c r="M118" i="19"/>
  <c r="K118" i="19"/>
  <c r="I118" i="19"/>
  <c r="N117" i="19"/>
  <c r="M117" i="19"/>
  <c r="K117" i="19"/>
  <c r="I117" i="19"/>
  <c r="N116" i="19"/>
  <c r="M116" i="19"/>
  <c r="K116" i="19"/>
  <c r="I116" i="19"/>
  <c r="N115" i="19"/>
  <c r="M115" i="19"/>
  <c r="K115" i="19"/>
  <c r="I115" i="19"/>
  <c r="N114" i="19"/>
  <c r="M114" i="19"/>
  <c r="K114" i="19"/>
  <c r="I114" i="19"/>
  <c r="N113" i="19"/>
  <c r="M113" i="19"/>
  <c r="K113" i="19"/>
  <c r="I113" i="19"/>
  <c r="N112" i="19"/>
  <c r="M112" i="19"/>
  <c r="K112" i="19"/>
  <c r="I112" i="19"/>
  <c r="N111" i="19"/>
  <c r="M111" i="19"/>
  <c r="K111" i="19"/>
  <c r="I111" i="19"/>
  <c r="N110" i="19"/>
  <c r="M110" i="19"/>
  <c r="K110" i="19"/>
  <c r="I110" i="19"/>
  <c r="N109" i="19"/>
  <c r="M109" i="19"/>
  <c r="K109" i="19"/>
  <c r="I109" i="19"/>
  <c r="N108" i="19"/>
  <c r="M108" i="19"/>
  <c r="K108" i="19"/>
  <c r="I108" i="19"/>
  <c r="N107" i="19"/>
  <c r="M107" i="19"/>
  <c r="K107" i="19"/>
  <c r="I107" i="19"/>
  <c r="N106" i="19"/>
  <c r="M106" i="19"/>
  <c r="K106" i="19"/>
  <c r="I106" i="19"/>
  <c r="N105" i="19"/>
  <c r="M105" i="19"/>
  <c r="K105" i="19"/>
  <c r="I105" i="19"/>
  <c r="N104" i="19"/>
  <c r="M104" i="19"/>
  <c r="K104" i="19"/>
  <c r="I104" i="19"/>
  <c r="N103" i="19"/>
  <c r="M103" i="19"/>
  <c r="K103" i="19"/>
  <c r="I103" i="19"/>
  <c r="N102" i="19"/>
  <c r="M102" i="19"/>
  <c r="K102" i="19"/>
  <c r="I102" i="19"/>
  <c r="N101" i="19"/>
  <c r="M101" i="19"/>
  <c r="K101" i="19"/>
  <c r="I101" i="19"/>
  <c r="N100" i="19"/>
  <c r="M100" i="19"/>
  <c r="K100" i="19"/>
  <c r="I100" i="19"/>
  <c r="N99" i="19"/>
  <c r="M99" i="19"/>
  <c r="K99" i="19"/>
  <c r="I99" i="19"/>
  <c r="N98" i="19"/>
  <c r="M98" i="19"/>
  <c r="K98" i="19"/>
  <c r="I98" i="19"/>
  <c r="N97" i="19"/>
  <c r="M97" i="19"/>
  <c r="K97" i="19"/>
  <c r="I97" i="19"/>
  <c r="K96" i="19"/>
  <c r="N95" i="19"/>
  <c r="L95" i="19"/>
  <c r="I95" i="19"/>
  <c r="K95" i="19" s="1"/>
  <c r="N94" i="19"/>
  <c r="L94" i="19"/>
  <c r="I94" i="19"/>
  <c r="K94" i="19" s="1"/>
  <c r="N93" i="19"/>
  <c r="L93" i="19"/>
  <c r="I93" i="19"/>
  <c r="K93" i="19" s="1"/>
  <c r="N92" i="19"/>
  <c r="L92" i="19"/>
  <c r="I92" i="19"/>
  <c r="K92" i="19" s="1"/>
  <c r="N91" i="19"/>
  <c r="L91" i="19"/>
  <c r="I91" i="19"/>
  <c r="K91" i="19" s="1"/>
  <c r="N90" i="19"/>
  <c r="L90" i="19"/>
  <c r="I90" i="19"/>
  <c r="K90" i="19" s="1"/>
  <c r="N89" i="19"/>
  <c r="L89" i="19"/>
  <c r="I89" i="19"/>
  <c r="K89" i="19" s="1"/>
  <c r="N88" i="19"/>
  <c r="L88" i="19"/>
  <c r="I88" i="19"/>
  <c r="K88" i="19" s="1"/>
  <c r="N87" i="19"/>
  <c r="L87" i="19"/>
  <c r="I87" i="19"/>
  <c r="K87" i="19" s="1"/>
  <c r="N86" i="19"/>
  <c r="L86" i="19"/>
  <c r="I86" i="19"/>
  <c r="K86" i="19" s="1"/>
  <c r="N85" i="19"/>
  <c r="L85" i="19"/>
  <c r="I85" i="19"/>
  <c r="K85" i="19" s="1"/>
  <c r="N84" i="19"/>
  <c r="L84" i="19"/>
  <c r="I84" i="19"/>
  <c r="K84" i="19" s="1"/>
  <c r="N83" i="19"/>
  <c r="L83" i="19"/>
  <c r="I83" i="19"/>
  <c r="K83" i="19" s="1"/>
  <c r="N82" i="19"/>
  <c r="L82" i="19"/>
  <c r="I82" i="19"/>
  <c r="K82" i="19" s="1"/>
  <c r="N81" i="19"/>
  <c r="L81" i="19"/>
  <c r="I81" i="19"/>
  <c r="K81" i="19" s="1"/>
  <c r="N80" i="19"/>
  <c r="L80" i="19"/>
  <c r="I80" i="19"/>
  <c r="K80" i="19" s="1"/>
  <c r="N79" i="19"/>
  <c r="M79" i="19"/>
  <c r="I79" i="19"/>
  <c r="K79" i="19" s="1"/>
  <c r="N78" i="19"/>
  <c r="M78" i="19"/>
  <c r="I78" i="19"/>
  <c r="K78" i="19" s="1"/>
  <c r="N77" i="19"/>
  <c r="M77" i="19"/>
  <c r="I77" i="19"/>
  <c r="K77" i="19" s="1"/>
  <c r="N76" i="19"/>
  <c r="M76" i="19"/>
  <c r="I76" i="19"/>
  <c r="K76" i="19" s="1"/>
  <c r="N75" i="19"/>
  <c r="M75" i="19"/>
  <c r="I75" i="19"/>
  <c r="K75" i="19" s="1"/>
  <c r="N74" i="19"/>
  <c r="M74" i="19"/>
  <c r="I74" i="19"/>
  <c r="K74" i="19" s="1"/>
  <c r="N73" i="19"/>
  <c r="M73" i="19"/>
  <c r="I73" i="19"/>
  <c r="K73" i="19" s="1"/>
  <c r="N72" i="19"/>
  <c r="M72" i="19"/>
  <c r="I72" i="19"/>
  <c r="K72" i="19" s="1"/>
  <c r="N71" i="19"/>
  <c r="M71" i="19"/>
  <c r="I71" i="19"/>
  <c r="K71" i="19" s="1"/>
  <c r="N70" i="19"/>
  <c r="M70" i="19"/>
  <c r="I70" i="19"/>
  <c r="K70" i="19" s="1"/>
  <c r="N69" i="19"/>
  <c r="M69" i="19"/>
  <c r="I69" i="19"/>
  <c r="K69" i="19" s="1"/>
  <c r="N68" i="19"/>
  <c r="M68" i="19"/>
  <c r="I68" i="19"/>
  <c r="K68" i="19" s="1"/>
  <c r="N67" i="19"/>
  <c r="M67" i="19"/>
  <c r="I67" i="19"/>
  <c r="K67" i="19" s="1"/>
  <c r="N66" i="19"/>
  <c r="M66" i="19"/>
  <c r="I66" i="19"/>
  <c r="K66" i="19" s="1"/>
  <c r="N65" i="19"/>
  <c r="M65" i="19"/>
  <c r="I65" i="19"/>
  <c r="K65" i="19" s="1"/>
  <c r="K64" i="19"/>
  <c r="K63" i="19"/>
  <c r="K62" i="19"/>
  <c r="K61" i="19"/>
  <c r="N60" i="19"/>
  <c r="M60" i="19"/>
  <c r="L60" i="19"/>
  <c r="I60" i="19"/>
  <c r="K60" i="19" s="1"/>
  <c r="N59" i="19"/>
  <c r="I59" i="19"/>
  <c r="K59" i="19" s="1"/>
  <c r="N58" i="19"/>
  <c r="K58" i="19"/>
  <c r="I58" i="19"/>
  <c r="N57" i="19"/>
  <c r="I57" i="19"/>
  <c r="K57" i="19" s="1"/>
  <c r="N56" i="19"/>
  <c r="I56" i="19"/>
  <c r="K56" i="19" s="1"/>
  <c r="N55" i="19"/>
  <c r="I55" i="19"/>
  <c r="K55" i="19" s="1"/>
  <c r="N54" i="19"/>
  <c r="M54" i="19"/>
  <c r="I54" i="19"/>
  <c r="K54" i="19" s="1"/>
  <c r="N53" i="19"/>
  <c r="M53" i="19"/>
  <c r="I53" i="19"/>
  <c r="K53" i="19" s="1"/>
  <c r="N52" i="19"/>
  <c r="M52" i="19"/>
  <c r="I52" i="19"/>
  <c r="K52" i="19" s="1"/>
  <c r="N51" i="19"/>
  <c r="M51" i="19"/>
  <c r="I51" i="19"/>
  <c r="K51" i="19" s="1"/>
  <c r="N50" i="19"/>
  <c r="M50" i="19"/>
  <c r="I50" i="19"/>
  <c r="K50" i="19" s="1"/>
  <c r="N49" i="19"/>
  <c r="M49" i="19"/>
  <c r="I49" i="19"/>
  <c r="K49" i="19" s="1"/>
  <c r="N48" i="19"/>
  <c r="M48" i="19"/>
  <c r="I48" i="19"/>
  <c r="K48" i="19" s="1"/>
  <c r="N47" i="19"/>
  <c r="M47" i="19"/>
  <c r="I47" i="19"/>
  <c r="K47" i="19" s="1"/>
  <c r="N46" i="19"/>
  <c r="M46" i="19"/>
  <c r="I46" i="19"/>
  <c r="K46" i="19" s="1"/>
  <c r="N45" i="19"/>
  <c r="M45" i="19"/>
  <c r="I45" i="19"/>
  <c r="K45" i="19" s="1"/>
  <c r="N44" i="19"/>
  <c r="M44" i="19"/>
  <c r="I44" i="19"/>
  <c r="K44" i="19" s="1"/>
  <c r="N43" i="19"/>
  <c r="M43" i="19"/>
  <c r="I43" i="19"/>
  <c r="K43" i="19" s="1"/>
  <c r="N42" i="19"/>
  <c r="M42" i="19"/>
  <c r="I42" i="19"/>
  <c r="K42" i="19" s="1"/>
  <c r="N41" i="19"/>
  <c r="M41" i="19"/>
  <c r="I41" i="19"/>
  <c r="K41" i="19" s="1"/>
  <c r="N40" i="19"/>
  <c r="M40" i="19"/>
  <c r="I40" i="19"/>
  <c r="K40" i="19" s="1"/>
  <c r="N39" i="19"/>
  <c r="M39" i="19"/>
  <c r="I39" i="19"/>
  <c r="K39" i="19" s="1"/>
  <c r="N38" i="19"/>
  <c r="M38" i="19"/>
  <c r="I38" i="19"/>
  <c r="K38" i="19" s="1"/>
  <c r="N37" i="19"/>
  <c r="M37" i="19"/>
  <c r="I37" i="19"/>
  <c r="K37" i="19" s="1"/>
  <c r="N36" i="19"/>
  <c r="M36" i="19"/>
  <c r="I36" i="19"/>
  <c r="K36" i="19" s="1"/>
  <c r="N35" i="19"/>
  <c r="M35" i="19"/>
  <c r="I35" i="19"/>
  <c r="K35" i="19" s="1"/>
  <c r="N34" i="19"/>
  <c r="M34" i="19"/>
  <c r="I34" i="19"/>
  <c r="K34" i="19" s="1"/>
  <c r="N33" i="19"/>
  <c r="M33" i="19"/>
  <c r="I33" i="19"/>
  <c r="K33" i="19" s="1"/>
  <c r="N32" i="19"/>
  <c r="M32" i="19"/>
  <c r="I32" i="19"/>
  <c r="K32" i="19" s="1"/>
  <c r="N31" i="19"/>
  <c r="M31" i="19"/>
  <c r="I31" i="19"/>
  <c r="K31" i="19" s="1"/>
  <c r="N30" i="19"/>
  <c r="M30" i="19"/>
  <c r="I30" i="19"/>
  <c r="K30" i="19" s="1"/>
  <c r="N29" i="19"/>
  <c r="M29" i="19"/>
  <c r="I29" i="19"/>
  <c r="K29" i="19" s="1"/>
  <c r="N28" i="19"/>
  <c r="M28" i="19"/>
  <c r="I28" i="19"/>
  <c r="K28" i="19" s="1"/>
  <c r="N27" i="19"/>
  <c r="M27" i="19"/>
  <c r="I27" i="19"/>
  <c r="K27" i="19" s="1"/>
  <c r="N26" i="19"/>
  <c r="M26" i="19"/>
  <c r="I26" i="19"/>
  <c r="K26" i="19" s="1"/>
  <c r="N25" i="19"/>
  <c r="M25" i="19"/>
  <c r="I25" i="19"/>
  <c r="K25" i="19" s="1"/>
  <c r="N24" i="19"/>
  <c r="M24" i="19"/>
  <c r="I24" i="19"/>
  <c r="K24" i="19" s="1"/>
  <c r="N23" i="19"/>
  <c r="M23" i="19"/>
  <c r="I23" i="19"/>
  <c r="K23" i="19" s="1"/>
  <c r="N22" i="19"/>
  <c r="M22" i="19"/>
  <c r="I22" i="19"/>
  <c r="K22" i="19" s="1"/>
  <c r="N21" i="19"/>
  <c r="M21" i="19"/>
  <c r="I21" i="19"/>
  <c r="K21" i="19" s="1"/>
  <c r="N20" i="19"/>
  <c r="M20" i="19"/>
  <c r="I20" i="19"/>
  <c r="K20" i="19" s="1"/>
  <c r="N19" i="19"/>
  <c r="M19" i="19"/>
  <c r="I19" i="19"/>
  <c r="K19" i="19" s="1"/>
  <c r="N18" i="19"/>
  <c r="M18" i="19"/>
  <c r="I18" i="19"/>
  <c r="K18" i="19" s="1"/>
  <c r="K17" i="19"/>
  <c r="N16" i="19"/>
  <c r="L16" i="19"/>
  <c r="I16" i="19"/>
  <c r="K16" i="19" s="1"/>
  <c r="N15" i="19"/>
  <c r="L15" i="19"/>
  <c r="I15" i="19"/>
  <c r="K15" i="19" s="1"/>
  <c r="N14" i="19"/>
  <c r="L14" i="19"/>
  <c r="I14" i="19"/>
  <c r="K14" i="19" s="1"/>
  <c r="N13" i="19"/>
  <c r="L13" i="19"/>
  <c r="I13" i="19"/>
  <c r="K13" i="19" s="1"/>
  <c r="N12" i="19"/>
  <c r="L12" i="19"/>
  <c r="I12" i="19"/>
  <c r="K12" i="19" s="1"/>
  <c r="N11" i="19"/>
  <c r="L11" i="19"/>
  <c r="I11" i="19"/>
  <c r="K11" i="19" s="1"/>
  <c r="N10" i="19"/>
  <c r="L10" i="19"/>
  <c r="I10" i="19"/>
  <c r="K10" i="19" s="1"/>
  <c r="N9" i="19"/>
  <c r="L9" i="19"/>
  <c r="I9" i="19"/>
  <c r="K9" i="19" s="1"/>
  <c r="N8" i="19"/>
  <c r="L8" i="19"/>
  <c r="I8" i="19"/>
  <c r="K8" i="19" s="1"/>
  <c r="N7" i="19"/>
  <c r="L7" i="19"/>
  <c r="I7" i="19"/>
  <c r="K7" i="19" s="1"/>
  <c r="N6" i="19"/>
  <c r="L6" i="19"/>
  <c r="I6" i="19"/>
  <c r="K6" i="19" s="1"/>
  <c r="N5" i="19"/>
  <c r="L5" i="19"/>
  <c r="I5" i="19"/>
  <c r="K5" i="19" s="1"/>
  <c r="N4" i="19"/>
  <c r="L4" i="19"/>
  <c r="I4" i="19"/>
  <c r="K4" i="19" s="1"/>
  <c r="N3" i="19"/>
  <c r="L3" i="19"/>
  <c r="I3" i="19"/>
  <c r="K3" i="19" s="1"/>
  <c r="T2" i="19"/>
  <c r="N2" i="19"/>
  <c r="L2" i="19"/>
  <c r="I2" i="19"/>
  <c r="K2" i="19" s="1"/>
  <c r="K76" i="18"/>
  <c r="G76" i="18"/>
  <c r="L76" i="18" s="1"/>
  <c r="K75" i="18"/>
  <c r="G75" i="18"/>
  <c r="L75" i="18" s="1"/>
  <c r="L74" i="18"/>
  <c r="G74" i="18"/>
  <c r="I74" i="18" s="1"/>
  <c r="K73" i="18"/>
  <c r="J73" i="18"/>
  <c r="G73" i="18"/>
  <c r="L73" i="18" s="1"/>
  <c r="K72" i="18"/>
  <c r="G72" i="18"/>
  <c r="K71" i="18"/>
  <c r="G71" i="18"/>
  <c r="L71" i="18" s="1"/>
  <c r="L70" i="18"/>
  <c r="G70" i="18"/>
  <c r="I70" i="18" s="1"/>
  <c r="K69" i="18"/>
  <c r="K68" i="18"/>
  <c r="J68" i="18"/>
  <c r="G68" i="18"/>
  <c r="L68" i="18" s="1"/>
  <c r="K67" i="18"/>
  <c r="G67" i="18"/>
  <c r="K66" i="18"/>
  <c r="G66" i="18"/>
  <c r="L66" i="18" s="1"/>
  <c r="L65" i="18"/>
  <c r="G65" i="18"/>
  <c r="I65" i="18" s="1"/>
  <c r="K64" i="18"/>
  <c r="J64" i="18"/>
  <c r="G64" i="18"/>
  <c r="L64" i="18" s="1"/>
  <c r="K63" i="18"/>
  <c r="J63" i="18"/>
  <c r="G63" i="18"/>
  <c r="L63" i="18" s="1"/>
  <c r="K62" i="18"/>
  <c r="G62" i="18"/>
  <c r="L62" i="18" s="1"/>
  <c r="K61" i="18"/>
  <c r="G61" i="18"/>
  <c r="L61" i="18" s="1"/>
  <c r="L60" i="18"/>
  <c r="G60" i="18"/>
  <c r="I60" i="18" s="1"/>
  <c r="K59" i="18"/>
  <c r="J59" i="18"/>
  <c r="G59" i="18"/>
  <c r="L59" i="18" s="1"/>
  <c r="K58" i="18"/>
  <c r="J58" i="18"/>
  <c r="G58" i="18"/>
  <c r="I58" i="18" s="1"/>
  <c r="L57" i="18"/>
  <c r="K57" i="18"/>
  <c r="G57" i="18"/>
  <c r="I57" i="18" s="1"/>
  <c r="K56" i="18"/>
  <c r="G56" i="18"/>
  <c r="I56" i="18" s="1"/>
  <c r="K55" i="18"/>
  <c r="G55" i="18"/>
  <c r="I55" i="18" s="1"/>
  <c r="L54" i="18"/>
  <c r="G54" i="18"/>
  <c r="I54" i="18" s="1"/>
  <c r="K53" i="18"/>
  <c r="J53" i="18"/>
  <c r="G53" i="18"/>
  <c r="I53" i="18" s="1"/>
  <c r="K52" i="18"/>
  <c r="J52" i="18"/>
  <c r="G52" i="18"/>
  <c r="I52" i="18" s="1"/>
  <c r="K51" i="18"/>
  <c r="G51" i="18"/>
  <c r="I51" i="18" s="1"/>
  <c r="K50" i="18"/>
  <c r="G50" i="18"/>
  <c r="I50" i="18" s="1"/>
  <c r="K49" i="18"/>
  <c r="G49" i="18"/>
  <c r="L48" i="18"/>
  <c r="G48" i="18"/>
  <c r="I48" i="18" s="1"/>
  <c r="L47" i="18"/>
  <c r="K47" i="18"/>
  <c r="J47" i="18"/>
  <c r="G47" i="18"/>
  <c r="I47" i="18" s="1"/>
  <c r="K46" i="18"/>
  <c r="G46" i="18"/>
  <c r="I46" i="18" s="1"/>
  <c r="K45" i="18"/>
  <c r="G45" i="18"/>
  <c r="L44" i="18"/>
  <c r="G44" i="18"/>
  <c r="I44" i="18" s="1"/>
  <c r="K43" i="18"/>
  <c r="G43" i="18"/>
  <c r="I43" i="18" s="1"/>
  <c r="K42" i="18"/>
  <c r="J42" i="18"/>
  <c r="G42" i="18"/>
  <c r="I42" i="18" s="1"/>
  <c r="K41" i="18"/>
  <c r="G41" i="18"/>
  <c r="K40" i="18"/>
  <c r="G40" i="18"/>
  <c r="I40" i="18" s="1"/>
  <c r="K39" i="18"/>
  <c r="G39" i="18"/>
  <c r="I39" i="18" s="1"/>
  <c r="K38" i="18"/>
  <c r="G38" i="18"/>
  <c r="I38" i="18" s="1"/>
  <c r="L37" i="18"/>
  <c r="G37" i="18"/>
  <c r="I37" i="18" s="1"/>
  <c r="K36" i="18"/>
  <c r="J36" i="18"/>
  <c r="G36" i="18"/>
  <c r="I36" i="18" s="1"/>
  <c r="K35" i="18"/>
  <c r="G35" i="18"/>
  <c r="I35" i="18" s="1"/>
  <c r="K34" i="18"/>
  <c r="G34" i="18"/>
  <c r="I34" i="18" s="1"/>
  <c r="K33" i="18"/>
  <c r="G33" i="18"/>
  <c r="K32" i="18"/>
  <c r="G32" i="18"/>
  <c r="I32" i="18" s="1"/>
  <c r="L31" i="18"/>
  <c r="G31" i="18"/>
  <c r="I31" i="18" s="1"/>
  <c r="K30" i="18"/>
  <c r="G30" i="18"/>
  <c r="I30" i="18" s="1"/>
  <c r="K29" i="18"/>
  <c r="J29" i="18"/>
  <c r="G29" i="18"/>
  <c r="L28" i="18"/>
  <c r="G28" i="18"/>
  <c r="I28" i="18" s="1"/>
  <c r="K27" i="18"/>
  <c r="G27" i="18"/>
  <c r="I27" i="18" s="1"/>
  <c r="K26" i="18"/>
  <c r="G26" i="18"/>
  <c r="I26" i="18" s="1"/>
  <c r="L25" i="18"/>
  <c r="G25" i="18"/>
  <c r="I25" i="18" s="1"/>
  <c r="K24" i="18"/>
  <c r="G24" i="18"/>
  <c r="L24" i="18" s="1"/>
  <c r="K23" i="18"/>
  <c r="J23" i="18"/>
  <c r="G23" i="18"/>
  <c r="I23" i="18" s="1"/>
  <c r="K22" i="18"/>
  <c r="G22" i="18"/>
  <c r="I22" i="18" s="1"/>
  <c r="L21" i="18"/>
  <c r="G21" i="18"/>
  <c r="I21" i="18" s="1"/>
  <c r="K20" i="18"/>
  <c r="G20" i="18"/>
  <c r="I20" i="18" s="1"/>
  <c r="K19" i="18"/>
  <c r="G19" i="18"/>
  <c r="L19" i="18" s="1"/>
  <c r="K18" i="18"/>
  <c r="J18" i="18"/>
  <c r="G18" i="18"/>
  <c r="I18" i="18" s="1"/>
  <c r="K17" i="18"/>
  <c r="G17" i="18"/>
  <c r="I17" i="18" s="1"/>
  <c r="K16" i="18"/>
  <c r="G16" i="18"/>
  <c r="I16" i="18" s="1"/>
  <c r="K15" i="18"/>
  <c r="G15" i="18"/>
  <c r="I15" i="18" s="1"/>
  <c r="K14" i="18"/>
  <c r="J14" i="18"/>
  <c r="G14" i="18"/>
  <c r="K13" i="18"/>
  <c r="G13" i="18"/>
  <c r="I13" i="18" s="1"/>
  <c r="L12" i="18"/>
  <c r="K12" i="18"/>
  <c r="J12" i="18"/>
  <c r="G12" i="18"/>
  <c r="I12" i="18" s="1"/>
  <c r="K11" i="18"/>
  <c r="G11" i="18"/>
  <c r="L11" i="18" s="1"/>
  <c r="K10" i="18"/>
  <c r="G10" i="18"/>
  <c r="L10" i="18" s="1"/>
  <c r="K9" i="18"/>
  <c r="G9" i="18"/>
  <c r="L9" i="18" s="1"/>
  <c r="K8" i="18"/>
  <c r="G8" i="18"/>
  <c r="K7" i="18"/>
  <c r="G7" i="18"/>
  <c r="L7" i="18" s="1"/>
  <c r="K6" i="18"/>
  <c r="J6" i="18"/>
  <c r="G6" i="18"/>
  <c r="L6" i="18" s="1"/>
  <c r="L5" i="18"/>
  <c r="G5" i="18"/>
  <c r="I5" i="18" s="1"/>
  <c r="K4" i="18"/>
  <c r="G4" i="18"/>
  <c r="L4" i="18" s="1"/>
  <c r="K3" i="18"/>
  <c r="G3" i="18"/>
  <c r="R2" i="18"/>
  <c r="C29" i="2" s="1"/>
  <c r="J2" i="18"/>
  <c r="G2" i="18"/>
  <c r="L2" i="18" s="1"/>
  <c r="G13" i="17"/>
  <c r="I13" i="17" s="1"/>
  <c r="I12" i="17"/>
  <c r="G12" i="17"/>
  <c r="G9" i="17"/>
  <c r="I9" i="17" s="1"/>
  <c r="I8" i="17"/>
  <c r="G8" i="17"/>
  <c r="G7" i="17"/>
  <c r="I7" i="17" s="1"/>
  <c r="I6" i="17"/>
  <c r="G6" i="17"/>
  <c r="G5" i="17"/>
  <c r="I5" i="17" s="1"/>
  <c r="I4" i="17"/>
  <c r="G4" i="17"/>
  <c r="G3" i="17"/>
  <c r="I3" i="17" s="1"/>
  <c r="Q2" i="17"/>
  <c r="L2" i="17"/>
  <c r="I2" i="17"/>
  <c r="G2" i="17"/>
  <c r="I92" i="16"/>
  <c r="K92" i="16" s="1"/>
  <c r="I91" i="16"/>
  <c r="K91" i="16" s="1"/>
  <c r="L90" i="16"/>
  <c r="K90" i="16"/>
  <c r="I90" i="16"/>
  <c r="L89" i="16"/>
  <c r="K89" i="16"/>
  <c r="I89" i="16"/>
  <c r="I88" i="16"/>
  <c r="K88" i="16" s="1"/>
  <c r="K87" i="16"/>
  <c r="I87" i="16"/>
  <c r="I86" i="16"/>
  <c r="K86" i="16" s="1"/>
  <c r="I85" i="16"/>
  <c r="K85" i="16" s="1"/>
  <c r="L84" i="16"/>
  <c r="I84" i="16"/>
  <c r="K84" i="16" s="1"/>
  <c r="L83" i="16"/>
  <c r="I83" i="16"/>
  <c r="K83" i="16" s="1"/>
  <c r="L82" i="16"/>
  <c r="K82" i="16"/>
  <c r="I82" i="16"/>
  <c r="L81" i="16"/>
  <c r="I81" i="16"/>
  <c r="K81" i="16" s="1"/>
  <c r="L80" i="16"/>
  <c r="K80" i="16"/>
  <c r="I80" i="16"/>
  <c r="L79" i="16"/>
  <c r="I79" i="16"/>
  <c r="K79" i="16" s="1"/>
  <c r="L78" i="16"/>
  <c r="K78" i="16"/>
  <c r="I78" i="16"/>
  <c r="L77" i="16"/>
  <c r="K77" i="16"/>
  <c r="I77" i="16"/>
  <c r="L76" i="16"/>
  <c r="K76" i="16"/>
  <c r="I76" i="16"/>
  <c r="L75" i="16"/>
  <c r="I75" i="16"/>
  <c r="K75" i="16" s="1"/>
  <c r="L74" i="16"/>
  <c r="K74" i="16"/>
  <c r="I74" i="16"/>
  <c r="I73" i="16"/>
  <c r="K73" i="16" s="1"/>
  <c r="K72" i="16"/>
  <c r="I72" i="16"/>
  <c r="I71" i="16"/>
  <c r="K71" i="16" s="1"/>
  <c r="K70" i="16"/>
  <c r="I70" i="16"/>
  <c r="L69" i="16"/>
  <c r="K69" i="16"/>
  <c r="I69" i="16"/>
  <c r="L68" i="16"/>
  <c r="I68" i="16"/>
  <c r="K68" i="16" s="1"/>
  <c r="K67" i="16"/>
  <c r="I67" i="16"/>
  <c r="L66" i="16"/>
  <c r="K66" i="16"/>
  <c r="I66" i="16"/>
  <c r="L65" i="16"/>
  <c r="I65" i="16"/>
  <c r="K65" i="16" s="1"/>
  <c r="L64" i="16"/>
  <c r="I64" i="16"/>
  <c r="K64" i="16" s="1"/>
  <c r="L63" i="16"/>
  <c r="K63" i="16"/>
  <c r="I63" i="16"/>
  <c r="I62" i="16"/>
  <c r="K62" i="16" s="1"/>
  <c r="K61" i="16"/>
  <c r="I61" i="16"/>
  <c r="L60" i="16"/>
  <c r="I60" i="16"/>
  <c r="K60" i="16" s="1"/>
  <c r="L59" i="16"/>
  <c r="I59" i="16"/>
  <c r="K59" i="16" s="1"/>
  <c r="L58" i="16"/>
  <c r="I58" i="16"/>
  <c r="K58" i="16" s="1"/>
  <c r="L57" i="16"/>
  <c r="K57" i="16"/>
  <c r="I57" i="16"/>
  <c r="L56" i="16"/>
  <c r="I56" i="16"/>
  <c r="K56" i="16" s="1"/>
  <c r="L55" i="16"/>
  <c r="K55" i="16"/>
  <c r="I55" i="16"/>
  <c r="K54" i="16"/>
  <c r="I54" i="16"/>
  <c r="L53" i="16"/>
  <c r="I53" i="16"/>
  <c r="K53" i="16" s="1"/>
  <c r="L52" i="16"/>
  <c r="K52" i="16"/>
  <c r="I52" i="16"/>
  <c r="L51" i="16"/>
  <c r="I51" i="16"/>
  <c r="K51" i="16" s="1"/>
  <c r="L50" i="16"/>
  <c r="K50" i="16"/>
  <c r="I50" i="16"/>
  <c r="K49" i="16"/>
  <c r="I49" i="16"/>
  <c r="K48" i="16"/>
  <c r="I48" i="16"/>
  <c r="L47" i="16"/>
  <c r="K47" i="16"/>
  <c r="I47" i="16"/>
  <c r="L46" i="16"/>
  <c r="K46" i="16"/>
  <c r="I46" i="16"/>
  <c r="L45" i="16"/>
  <c r="I45" i="16"/>
  <c r="K45" i="16" s="1"/>
  <c r="K44" i="16"/>
  <c r="I44" i="16"/>
  <c r="I43" i="16"/>
  <c r="K43" i="16" s="1"/>
  <c r="I42" i="16"/>
  <c r="K42" i="16" s="1"/>
  <c r="L41" i="16"/>
  <c r="I41" i="16"/>
  <c r="K41" i="16" s="1"/>
  <c r="L40" i="16"/>
  <c r="I40" i="16"/>
  <c r="K40" i="16" s="1"/>
  <c r="L39" i="16"/>
  <c r="K39" i="16"/>
  <c r="I39" i="16"/>
  <c r="L38" i="16"/>
  <c r="I38" i="16"/>
  <c r="K38" i="16" s="1"/>
  <c r="I37" i="16"/>
  <c r="K37" i="16" s="1"/>
  <c r="N36" i="16"/>
  <c r="K36" i="16"/>
  <c r="I36" i="16"/>
  <c r="L35" i="16"/>
  <c r="K35" i="16"/>
  <c r="I35" i="16"/>
  <c r="L34" i="16"/>
  <c r="K34" i="16"/>
  <c r="I34" i="16"/>
  <c r="L33" i="16"/>
  <c r="I33" i="16"/>
  <c r="K33" i="16" s="1"/>
  <c r="L32" i="16"/>
  <c r="K32" i="16"/>
  <c r="I32" i="16"/>
  <c r="I31" i="16"/>
  <c r="K31" i="16" s="1"/>
  <c r="L30" i="16"/>
  <c r="I30" i="16"/>
  <c r="K30" i="16" s="1"/>
  <c r="I29" i="16"/>
  <c r="K29" i="16" s="1"/>
  <c r="N28" i="16"/>
  <c r="I28" i="16"/>
  <c r="K28" i="16" s="1"/>
  <c r="K27" i="16"/>
  <c r="I27" i="16"/>
  <c r="I26" i="16"/>
  <c r="K26" i="16" s="1"/>
  <c r="L25" i="16"/>
  <c r="I25" i="16"/>
  <c r="K25" i="16" s="1"/>
  <c r="L24" i="16"/>
  <c r="K24" i="16"/>
  <c r="I24" i="16"/>
  <c r="L23" i="16"/>
  <c r="I23" i="16"/>
  <c r="K23" i="16" s="1"/>
  <c r="N22" i="16"/>
  <c r="K22" i="16"/>
  <c r="I22" i="16"/>
  <c r="N21" i="16"/>
  <c r="I21" i="16"/>
  <c r="K21" i="16" s="1"/>
  <c r="N20" i="16"/>
  <c r="K20" i="16"/>
  <c r="I20" i="16"/>
  <c r="N19" i="16"/>
  <c r="K19" i="16"/>
  <c r="I19" i="16"/>
  <c r="I18" i="16"/>
  <c r="K18" i="16" s="1"/>
  <c r="K17" i="16"/>
  <c r="I17" i="16"/>
  <c r="I16" i="16"/>
  <c r="K16" i="16" s="1"/>
  <c r="I15" i="16"/>
  <c r="K15" i="16" s="1"/>
  <c r="I14" i="16"/>
  <c r="K14" i="16" s="1"/>
  <c r="I13" i="16"/>
  <c r="K13" i="16" s="1"/>
  <c r="I12" i="16"/>
  <c r="K12" i="16" s="1"/>
  <c r="K11" i="16"/>
  <c r="I11" i="16"/>
  <c r="I10" i="16"/>
  <c r="K10" i="16" s="1"/>
  <c r="K9" i="16"/>
  <c r="I9" i="16"/>
  <c r="L8" i="16"/>
  <c r="I8" i="16"/>
  <c r="K8" i="16" s="1"/>
  <c r="L7" i="16"/>
  <c r="I7" i="16"/>
  <c r="K7" i="16" s="1"/>
  <c r="L6" i="16"/>
  <c r="K6" i="16"/>
  <c r="I6" i="16"/>
  <c r="L5" i="16"/>
  <c r="I5" i="16"/>
  <c r="K5" i="16" s="1"/>
  <c r="L4" i="16"/>
  <c r="I4" i="16"/>
  <c r="K4" i="16" s="1"/>
  <c r="N3" i="16"/>
  <c r="M3" i="16"/>
  <c r="I3" i="16"/>
  <c r="K3" i="16" s="1"/>
  <c r="T2" i="16"/>
  <c r="N2" i="16"/>
  <c r="M2" i="16"/>
  <c r="O2" i="16" s="1"/>
  <c r="I2" i="16"/>
  <c r="K2" i="16" s="1"/>
  <c r="K158" i="15"/>
  <c r="G158" i="15"/>
  <c r="L158" i="15" s="1"/>
  <c r="K157" i="15"/>
  <c r="G157" i="15"/>
  <c r="L157" i="15" s="1"/>
  <c r="K156" i="15"/>
  <c r="G156" i="15"/>
  <c r="L156" i="15" s="1"/>
  <c r="L155" i="15"/>
  <c r="G155" i="15"/>
  <c r="I155" i="15" s="1"/>
  <c r="L154" i="15"/>
  <c r="G154" i="15"/>
  <c r="I154" i="15" s="1"/>
  <c r="L153" i="15"/>
  <c r="G153" i="15"/>
  <c r="I153" i="15" s="1"/>
  <c r="K152" i="15"/>
  <c r="G152" i="15"/>
  <c r="K151" i="15"/>
  <c r="G151" i="15"/>
  <c r="L151" i="15" s="1"/>
  <c r="K150" i="15"/>
  <c r="I150" i="15"/>
  <c r="G150" i="15"/>
  <c r="L150" i="15" s="1"/>
  <c r="L149" i="15"/>
  <c r="G149" i="15"/>
  <c r="I149" i="15" s="1"/>
  <c r="L148" i="15"/>
  <c r="G148" i="15"/>
  <c r="I148" i="15" s="1"/>
  <c r="L147" i="15"/>
  <c r="I147" i="15"/>
  <c r="G147" i="15"/>
  <c r="L146" i="15"/>
  <c r="G146" i="15"/>
  <c r="I146" i="15" s="1"/>
  <c r="K145" i="15"/>
  <c r="G145" i="15"/>
  <c r="K144" i="15"/>
  <c r="G144" i="15"/>
  <c r="L144" i="15" s="1"/>
  <c r="K143" i="15"/>
  <c r="G143" i="15"/>
  <c r="L143" i="15" s="1"/>
  <c r="K142" i="15"/>
  <c r="G142" i="15"/>
  <c r="L142" i="15" s="1"/>
  <c r="K141" i="15"/>
  <c r="G141" i="15"/>
  <c r="K140" i="15"/>
  <c r="G140" i="15"/>
  <c r="L140" i="15" s="1"/>
  <c r="L139" i="15"/>
  <c r="I139" i="15"/>
  <c r="G139" i="15"/>
  <c r="L138" i="15"/>
  <c r="G138" i="15"/>
  <c r="I138" i="15" s="1"/>
  <c r="L137" i="15"/>
  <c r="G137" i="15"/>
  <c r="I137" i="15" s="1"/>
  <c r="L136" i="15"/>
  <c r="K136" i="15"/>
  <c r="G136" i="15"/>
  <c r="I136" i="15" s="1"/>
  <c r="L135" i="15"/>
  <c r="K135" i="15"/>
  <c r="G135" i="15"/>
  <c r="I135" i="15" s="1"/>
  <c r="L134" i="15"/>
  <c r="K134" i="15"/>
  <c r="G134" i="15"/>
  <c r="I134" i="15" s="1"/>
  <c r="L133" i="15"/>
  <c r="K133" i="15"/>
  <c r="G133" i="15"/>
  <c r="I133" i="15" s="1"/>
  <c r="L132" i="15"/>
  <c r="K132" i="15"/>
  <c r="G132" i="15"/>
  <c r="I132" i="15" s="1"/>
  <c r="L131" i="15"/>
  <c r="K131" i="15"/>
  <c r="G131" i="15"/>
  <c r="I131" i="15" s="1"/>
  <c r="L130" i="15"/>
  <c r="K130" i="15"/>
  <c r="G130" i="15"/>
  <c r="I130" i="15" s="1"/>
  <c r="L129" i="15"/>
  <c r="K129" i="15"/>
  <c r="G129" i="15"/>
  <c r="I129" i="15" s="1"/>
  <c r="L128" i="15"/>
  <c r="I128" i="15"/>
  <c r="G128" i="15"/>
  <c r="K127" i="15"/>
  <c r="J127" i="15"/>
  <c r="I127" i="15"/>
  <c r="G127" i="15"/>
  <c r="L127" i="15" s="1"/>
  <c r="L126" i="15"/>
  <c r="G126" i="15"/>
  <c r="I126" i="15" s="1"/>
  <c r="L125" i="15"/>
  <c r="G125" i="15"/>
  <c r="I125" i="15" s="1"/>
  <c r="L124" i="15"/>
  <c r="G124" i="15"/>
  <c r="I124" i="15" s="1"/>
  <c r="K123" i="15"/>
  <c r="G123" i="15"/>
  <c r="I123" i="15" s="1"/>
  <c r="K122" i="15"/>
  <c r="G122" i="15"/>
  <c r="K121" i="15"/>
  <c r="G121" i="15"/>
  <c r="I121" i="15" s="1"/>
  <c r="L120" i="15"/>
  <c r="K120" i="15"/>
  <c r="G120" i="15"/>
  <c r="I120" i="15" s="1"/>
  <c r="L119" i="15"/>
  <c r="K119" i="15"/>
  <c r="G119" i="15"/>
  <c r="I119" i="15" s="1"/>
  <c r="K118" i="15"/>
  <c r="G118" i="15"/>
  <c r="K117" i="15"/>
  <c r="G117" i="15"/>
  <c r="I117" i="15" s="1"/>
  <c r="L116" i="15"/>
  <c r="G116" i="15"/>
  <c r="I116" i="15" s="1"/>
  <c r="K115" i="15"/>
  <c r="J115" i="15"/>
  <c r="G115" i="15"/>
  <c r="I115" i="15" s="1"/>
  <c r="K114" i="15"/>
  <c r="J114" i="15"/>
  <c r="G114" i="15"/>
  <c r="I114" i="15" s="1"/>
  <c r="L113" i="15"/>
  <c r="K113" i="15"/>
  <c r="G113" i="15"/>
  <c r="I113" i="15" s="1"/>
  <c r="L112" i="15"/>
  <c r="K112" i="15"/>
  <c r="G112" i="15"/>
  <c r="I112" i="15" s="1"/>
  <c r="K111" i="15"/>
  <c r="G111" i="15"/>
  <c r="I111" i="15" s="1"/>
  <c r="K110" i="15"/>
  <c r="G110" i="15"/>
  <c r="I110" i="15" s="1"/>
  <c r="L109" i="15"/>
  <c r="K109" i="15"/>
  <c r="G109" i="15"/>
  <c r="I109" i="15" s="1"/>
  <c r="L108" i="15"/>
  <c r="K108" i="15"/>
  <c r="G108" i="15"/>
  <c r="I108" i="15" s="1"/>
  <c r="L107" i="15"/>
  <c r="G107" i="15"/>
  <c r="I107" i="15" s="1"/>
  <c r="K106" i="15"/>
  <c r="J106" i="15"/>
  <c r="G106" i="15"/>
  <c r="L106" i="15" s="1"/>
  <c r="K105" i="15"/>
  <c r="J105" i="15"/>
  <c r="G105" i="15"/>
  <c r="I105" i="15" s="1"/>
  <c r="K104" i="15"/>
  <c r="J104" i="15"/>
  <c r="G104" i="15"/>
  <c r="L104" i="15" s="1"/>
  <c r="L103" i="15"/>
  <c r="K103" i="15"/>
  <c r="G103" i="15"/>
  <c r="I103" i="15" s="1"/>
  <c r="L102" i="15"/>
  <c r="K102" i="15"/>
  <c r="G102" i="15"/>
  <c r="I102" i="15" s="1"/>
  <c r="L101" i="15"/>
  <c r="K101" i="15"/>
  <c r="G101" i="15"/>
  <c r="I101" i="15" s="1"/>
  <c r="L100" i="15"/>
  <c r="K100" i="15"/>
  <c r="G100" i="15"/>
  <c r="I100" i="15" s="1"/>
  <c r="L99" i="15"/>
  <c r="K99" i="15"/>
  <c r="G99" i="15"/>
  <c r="I99" i="15" s="1"/>
  <c r="L98" i="15"/>
  <c r="K98" i="15"/>
  <c r="G98" i="15"/>
  <c r="I98" i="15" s="1"/>
  <c r="L97" i="15"/>
  <c r="I97" i="15"/>
  <c r="G97" i="15"/>
  <c r="K96" i="15"/>
  <c r="G96" i="15"/>
  <c r="L96" i="15" s="1"/>
  <c r="K95" i="15"/>
  <c r="J95" i="15"/>
  <c r="G95" i="15"/>
  <c r="L95" i="15" s="1"/>
  <c r="K94" i="15"/>
  <c r="J94" i="15"/>
  <c r="G94" i="15"/>
  <c r="I94" i="15" s="1"/>
  <c r="K93" i="15"/>
  <c r="G93" i="15"/>
  <c r="K92" i="15"/>
  <c r="G92" i="15"/>
  <c r="I92" i="15" s="1"/>
  <c r="L91" i="15"/>
  <c r="K91" i="15"/>
  <c r="G91" i="15"/>
  <c r="I91" i="15" s="1"/>
  <c r="L90" i="15"/>
  <c r="K90" i="15"/>
  <c r="G90" i="15"/>
  <c r="I90" i="15" s="1"/>
  <c r="K89" i="15"/>
  <c r="G89" i="15"/>
  <c r="K88" i="15"/>
  <c r="G88" i="15"/>
  <c r="I88" i="15" s="1"/>
  <c r="K87" i="15"/>
  <c r="G87" i="15"/>
  <c r="I87" i="15" s="1"/>
  <c r="K86" i="15"/>
  <c r="G86" i="15"/>
  <c r="I86" i="15" s="1"/>
  <c r="K85" i="15"/>
  <c r="G85" i="15"/>
  <c r="K84" i="15"/>
  <c r="G84" i="15"/>
  <c r="I84" i="15" s="1"/>
  <c r="L83" i="15"/>
  <c r="K83" i="15"/>
  <c r="G83" i="15"/>
  <c r="I83" i="15" s="1"/>
  <c r="L82" i="15"/>
  <c r="K82" i="15"/>
  <c r="G82" i="15"/>
  <c r="I82" i="15" s="1"/>
  <c r="K81" i="15"/>
  <c r="J81" i="15"/>
  <c r="I81" i="15"/>
  <c r="G81" i="15"/>
  <c r="L81" i="15" s="1"/>
  <c r="L80" i="15"/>
  <c r="K80" i="15"/>
  <c r="I80" i="15"/>
  <c r="G80" i="15"/>
  <c r="L79" i="15"/>
  <c r="K79" i="15"/>
  <c r="I79" i="15"/>
  <c r="G79" i="15"/>
  <c r="L78" i="15"/>
  <c r="K78" i="15"/>
  <c r="I78" i="15"/>
  <c r="G78" i="15"/>
  <c r="L77" i="15"/>
  <c r="G77" i="15"/>
  <c r="I77" i="15" s="1"/>
  <c r="L76" i="15"/>
  <c r="G76" i="15"/>
  <c r="I76" i="15" s="1"/>
  <c r="L75" i="15"/>
  <c r="I75" i="15"/>
  <c r="G75" i="15"/>
  <c r="K74" i="15"/>
  <c r="G74" i="15"/>
  <c r="L74" i="15" s="1"/>
  <c r="K73" i="15"/>
  <c r="G73" i="15"/>
  <c r="K72" i="15"/>
  <c r="G72" i="15"/>
  <c r="L72" i="15" s="1"/>
  <c r="K71" i="15"/>
  <c r="G71" i="15"/>
  <c r="L71" i="15" s="1"/>
  <c r="K70" i="15"/>
  <c r="G70" i="15"/>
  <c r="L70" i="15" s="1"/>
  <c r="K69" i="15"/>
  <c r="G69" i="15"/>
  <c r="K68" i="15"/>
  <c r="G68" i="15"/>
  <c r="L68" i="15" s="1"/>
  <c r="K67" i="15"/>
  <c r="I67" i="15"/>
  <c r="G67" i="15"/>
  <c r="L67" i="15" s="1"/>
  <c r="K66" i="15"/>
  <c r="G66" i="15"/>
  <c r="L66" i="15" s="1"/>
  <c r="L65" i="15"/>
  <c r="G65" i="15"/>
  <c r="I65" i="15" s="1"/>
  <c r="L64" i="15"/>
  <c r="G64" i="15"/>
  <c r="I64" i="15" s="1"/>
  <c r="L63" i="15"/>
  <c r="G63" i="15"/>
  <c r="I63" i="15" s="1"/>
  <c r="L62" i="15"/>
  <c r="K62" i="15"/>
  <c r="G62" i="15"/>
  <c r="I62" i="15" s="1"/>
  <c r="L61" i="15"/>
  <c r="K61" i="15"/>
  <c r="G61" i="15"/>
  <c r="I61" i="15" s="1"/>
  <c r="L60" i="15"/>
  <c r="K60" i="15"/>
  <c r="G60" i="15"/>
  <c r="I60" i="15" s="1"/>
  <c r="L59" i="15"/>
  <c r="K59" i="15"/>
  <c r="G59" i="15"/>
  <c r="I59" i="15" s="1"/>
  <c r="L58" i="15"/>
  <c r="K58" i="15"/>
  <c r="G58" i="15"/>
  <c r="I58" i="15" s="1"/>
  <c r="L57" i="15"/>
  <c r="K57" i="15"/>
  <c r="G57" i="15"/>
  <c r="I57" i="15" s="1"/>
  <c r="L56" i="15"/>
  <c r="K56" i="15"/>
  <c r="G56" i="15"/>
  <c r="I56" i="15" s="1"/>
  <c r="L55" i="15"/>
  <c r="K55" i="15"/>
  <c r="G55" i="15"/>
  <c r="I55" i="15" s="1"/>
  <c r="L54" i="15"/>
  <c r="K54" i="15"/>
  <c r="G54" i="15"/>
  <c r="I54" i="15" s="1"/>
  <c r="L53" i="15"/>
  <c r="K53" i="15"/>
  <c r="G53" i="15"/>
  <c r="I53" i="15" s="1"/>
  <c r="L52" i="15"/>
  <c r="K52" i="15"/>
  <c r="G52" i="15"/>
  <c r="I52" i="15" s="1"/>
  <c r="L51" i="15"/>
  <c r="G51" i="15"/>
  <c r="I51" i="15" s="1"/>
  <c r="L50" i="15"/>
  <c r="G50" i="15"/>
  <c r="I50" i="15" s="1"/>
  <c r="L49" i="15"/>
  <c r="K49" i="15"/>
  <c r="J49" i="15"/>
  <c r="G49" i="15"/>
  <c r="I49" i="15" s="1"/>
  <c r="K48" i="15"/>
  <c r="J48" i="15"/>
  <c r="G48" i="15"/>
  <c r="L48" i="15" s="1"/>
  <c r="L47" i="15"/>
  <c r="K47" i="15"/>
  <c r="G47" i="15"/>
  <c r="I47" i="15" s="1"/>
  <c r="L46" i="15"/>
  <c r="K46" i="15"/>
  <c r="G46" i="15"/>
  <c r="I46" i="15" s="1"/>
  <c r="L45" i="15"/>
  <c r="K45" i="15"/>
  <c r="G45" i="15"/>
  <c r="I45" i="15" s="1"/>
  <c r="L44" i="15"/>
  <c r="K44" i="15"/>
  <c r="G44" i="15"/>
  <c r="I44" i="15" s="1"/>
  <c r="K43" i="15"/>
  <c r="J43" i="15"/>
  <c r="G43" i="15"/>
  <c r="K42" i="15"/>
  <c r="J42" i="15"/>
  <c r="G42" i="15"/>
  <c r="L42" i="15" s="1"/>
  <c r="K41" i="15"/>
  <c r="J41" i="15"/>
  <c r="G41" i="15"/>
  <c r="L41" i="15" s="1"/>
  <c r="K40" i="15"/>
  <c r="I40" i="15"/>
  <c r="G40" i="15"/>
  <c r="L40" i="15" s="1"/>
  <c r="K39" i="15"/>
  <c r="G39" i="15"/>
  <c r="K38" i="15"/>
  <c r="G38" i="15"/>
  <c r="L38" i="15" s="1"/>
  <c r="K37" i="15"/>
  <c r="G37" i="15"/>
  <c r="L37" i="15" s="1"/>
  <c r="K36" i="15"/>
  <c r="G36" i="15"/>
  <c r="L36" i="15" s="1"/>
  <c r="L35" i="15"/>
  <c r="G35" i="15"/>
  <c r="I35" i="15" s="1"/>
  <c r="L34" i="15"/>
  <c r="G34" i="15"/>
  <c r="I34" i="15" s="1"/>
  <c r="L33" i="15"/>
  <c r="G33" i="15"/>
  <c r="I33" i="15" s="1"/>
  <c r="L32" i="15"/>
  <c r="G32" i="15"/>
  <c r="I32" i="15" s="1"/>
  <c r="L31" i="15"/>
  <c r="G31" i="15"/>
  <c r="I31" i="15" s="1"/>
  <c r="L30" i="15"/>
  <c r="G30" i="15"/>
  <c r="I30" i="15" s="1"/>
  <c r="K29" i="15"/>
  <c r="G29" i="15"/>
  <c r="K28" i="15"/>
  <c r="G28" i="15"/>
  <c r="I28" i="15" s="1"/>
  <c r="K27" i="15"/>
  <c r="G27" i="15"/>
  <c r="I27" i="15" s="1"/>
  <c r="L26" i="15"/>
  <c r="K26" i="15"/>
  <c r="G26" i="15"/>
  <c r="I26" i="15" s="1"/>
  <c r="K25" i="15"/>
  <c r="G25" i="15"/>
  <c r="K24" i="15"/>
  <c r="G24" i="15"/>
  <c r="I24" i="15" s="1"/>
  <c r="L23" i="15"/>
  <c r="K23" i="15"/>
  <c r="G23" i="15"/>
  <c r="I23" i="15" s="1"/>
  <c r="K22" i="15"/>
  <c r="G22" i="15"/>
  <c r="I22" i="15" s="1"/>
  <c r="K21" i="15"/>
  <c r="G21" i="15"/>
  <c r="K20" i="15"/>
  <c r="G20" i="15"/>
  <c r="I20" i="15" s="1"/>
  <c r="K19" i="15"/>
  <c r="G19" i="15"/>
  <c r="I19" i="15" s="1"/>
  <c r="L18" i="15"/>
  <c r="K18" i="15"/>
  <c r="G18" i="15"/>
  <c r="I18" i="15" s="1"/>
  <c r="L17" i="15"/>
  <c r="K17" i="15"/>
  <c r="G17" i="15"/>
  <c r="I17" i="15" s="1"/>
  <c r="L16" i="15"/>
  <c r="K16" i="15"/>
  <c r="G16" i="15"/>
  <c r="I16" i="15" s="1"/>
  <c r="L15" i="15"/>
  <c r="K15" i="15"/>
  <c r="G15" i="15"/>
  <c r="I15" i="15" s="1"/>
  <c r="L14" i="15"/>
  <c r="K14" i="15"/>
  <c r="G14" i="15"/>
  <c r="I14" i="15" s="1"/>
  <c r="K13" i="15"/>
  <c r="J13" i="15"/>
  <c r="G13" i="15"/>
  <c r="I13" i="15" s="1"/>
  <c r="L12" i="15"/>
  <c r="K12" i="15"/>
  <c r="G12" i="15"/>
  <c r="I12" i="15" s="1"/>
  <c r="K11" i="15"/>
  <c r="G11" i="15"/>
  <c r="I11" i="15" s="1"/>
  <c r="K10" i="15"/>
  <c r="G10" i="15"/>
  <c r="I10" i="15" s="1"/>
  <c r="L9" i="15"/>
  <c r="K9" i="15"/>
  <c r="G9" i="15"/>
  <c r="I9" i="15" s="1"/>
  <c r="L8" i="15"/>
  <c r="I8" i="15"/>
  <c r="G8" i="15"/>
  <c r="L7" i="15"/>
  <c r="K7" i="15"/>
  <c r="I7" i="15"/>
  <c r="G7" i="15"/>
  <c r="L6" i="15"/>
  <c r="K6" i="15"/>
  <c r="I6" i="15"/>
  <c r="G6" i="15"/>
  <c r="L5" i="15"/>
  <c r="K5" i="15"/>
  <c r="I5" i="15"/>
  <c r="G5" i="15"/>
  <c r="L4" i="15"/>
  <c r="K4" i="15"/>
  <c r="I4" i="15"/>
  <c r="G4" i="15"/>
  <c r="L3" i="15"/>
  <c r="K3" i="15"/>
  <c r="I3" i="15"/>
  <c r="G3" i="15"/>
  <c r="R2" i="15"/>
  <c r="C26" i="2" s="1"/>
  <c r="L2" i="15"/>
  <c r="K2" i="15"/>
  <c r="G2" i="15"/>
  <c r="I2" i="15" s="1"/>
  <c r="M18" i="14"/>
  <c r="K18" i="14"/>
  <c r="I18" i="14"/>
  <c r="M17" i="14"/>
  <c r="I17" i="14"/>
  <c r="K17" i="14" s="1"/>
  <c r="M16" i="14"/>
  <c r="I16" i="14"/>
  <c r="K16" i="14" s="1"/>
  <c r="M14" i="14"/>
  <c r="K14" i="14"/>
  <c r="I14" i="14"/>
  <c r="M13" i="14"/>
  <c r="K13" i="14"/>
  <c r="I13" i="14"/>
  <c r="M12" i="14"/>
  <c r="I12" i="14"/>
  <c r="K12" i="14" s="1"/>
  <c r="M11" i="14"/>
  <c r="I11" i="14"/>
  <c r="K11" i="14" s="1"/>
  <c r="M8" i="14"/>
  <c r="K8" i="14"/>
  <c r="I8" i="14"/>
  <c r="M6" i="14"/>
  <c r="K6" i="14"/>
  <c r="I6" i="14"/>
  <c r="M5" i="14"/>
  <c r="I5" i="14"/>
  <c r="K5" i="14" s="1"/>
  <c r="M4" i="14"/>
  <c r="I4" i="14"/>
  <c r="K4" i="14" s="1"/>
  <c r="M3" i="14"/>
  <c r="K3" i="14"/>
  <c r="I3" i="14"/>
  <c r="S2" i="14"/>
  <c r="M2" i="14"/>
  <c r="N2" i="14" s="1"/>
  <c r="K2" i="14"/>
  <c r="I2" i="14"/>
  <c r="L241" i="13"/>
  <c r="K241" i="13"/>
  <c r="I241" i="13"/>
  <c r="G241" i="13"/>
  <c r="L240" i="13"/>
  <c r="K240" i="13"/>
  <c r="I240" i="13"/>
  <c r="G240" i="13"/>
  <c r="L239" i="13"/>
  <c r="K239" i="13"/>
  <c r="I239" i="13"/>
  <c r="G239" i="13"/>
  <c r="L238" i="13"/>
  <c r="K238" i="13"/>
  <c r="I238" i="13"/>
  <c r="G238" i="13"/>
  <c r="L237" i="13"/>
  <c r="K237" i="13"/>
  <c r="I237" i="13"/>
  <c r="G237" i="13"/>
  <c r="L236" i="13"/>
  <c r="K236" i="13"/>
  <c r="I236" i="13"/>
  <c r="G236" i="13"/>
  <c r="L235" i="13"/>
  <c r="K235" i="13"/>
  <c r="I235" i="13"/>
  <c r="G235" i="13"/>
  <c r="L234" i="13"/>
  <c r="K234" i="13"/>
  <c r="I234" i="13"/>
  <c r="G234" i="13"/>
  <c r="L233" i="13"/>
  <c r="K233" i="13"/>
  <c r="I233" i="13"/>
  <c r="G233" i="13"/>
  <c r="L232" i="13"/>
  <c r="I232" i="13"/>
  <c r="G232" i="13"/>
  <c r="K231" i="13"/>
  <c r="I231" i="13"/>
  <c r="G231" i="13"/>
  <c r="L231" i="13" s="1"/>
  <c r="L230" i="13"/>
  <c r="G230" i="13"/>
  <c r="I230" i="13" s="1"/>
  <c r="L229" i="13"/>
  <c r="G229" i="13"/>
  <c r="I229" i="13" s="1"/>
  <c r="L228" i="13"/>
  <c r="I228" i="13"/>
  <c r="G228" i="13"/>
  <c r="K227" i="13"/>
  <c r="J227" i="13"/>
  <c r="G227" i="13"/>
  <c r="I227" i="13" s="1"/>
  <c r="L226" i="13"/>
  <c r="K226" i="13"/>
  <c r="J226" i="13"/>
  <c r="G226" i="13"/>
  <c r="I226" i="13" s="1"/>
  <c r="K225" i="13"/>
  <c r="J225" i="13"/>
  <c r="I225" i="13"/>
  <c r="G225" i="13"/>
  <c r="L225" i="13" s="1"/>
  <c r="K224" i="13"/>
  <c r="J224" i="13"/>
  <c r="I224" i="13"/>
  <c r="G224" i="13"/>
  <c r="L224" i="13" s="1"/>
  <c r="L222" i="13"/>
  <c r="K222" i="13"/>
  <c r="I222" i="13"/>
  <c r="G222" i="13"/>
  <c r="L221" i="13"/>
  <c r="K221" i="13"/>
  <c r="I221" i="13"/>
  <c r="G221" i="13"/>
  <c r="L220" i="13"/>
  <c r="K220" i="13"/>
  <c r="I220" i="13"/>
  <c r="G220" i="13"/>
  <c r="L219" i="13"/>
  <c r="K219" i="13"/>
  <c r="I219" i="13"/>
  <c r="G219" i="13"/>
  <c r="L218" i="13"/>
  <c r="K218" i="13"/>
  <c r="I218" i="13"/>
  <c r="G218" i="13"/>
  <c r="L217" i="13"/>
  <c r="I217" i="13"/>
  <c r="G217" i="13"/>
  <c r="K216" i="13"/>
  <c r="I216" i="13"/>
  <c r="G216" i="13"/>
  <c r="L216" i="13" s="1"/>
  <c r="L215" i="13"/>
  <c r="G215" i="13"/>
  <c r="I215" i="13" s="1"/>
  <c r="L214" i="13"/>
  <c r="G214" i="13"/>
  <c r="I214" i="13" s="1"/>
  <c r="K213" i="13"/>
  <c r="J213" i="13"/>
  <c r="G213" i="13"/>
  <c r="K212" i="13"/>
  <c r="J212" i="13"/>
  <c r="I212" i="13"/>
  <c r="G212" i="13"/>
  <c r="L212" i="13" s="1"/>
  <c r="L211" i="13"/>
  <c r="G211" i="13"/>
  <c r="I211" i="13" s="1"/>
  <c r="K210" i="13"/>
  <c r="G210" i="13"/>
  <c r="K209" i="13"/>
  <c r="G209" i="13"/>
  <c r="K208" i="13"/>
  <c r="G208" i="13"/>
  <c r="K207" i="13"/>
  <c r="G207" i="13"/>
  <c r="K206" i="13"/>
  <c r="G206" i="13"/>
  <c r="K205" i="13"/>
  <c r="G205" i="13"/>
  <c r="K204" i="13"/>
  <c r="G204" i="13"/>
  <c r="L203" i="13"/>
  <c r="G203" i="13"/>
  <c r="I203" i="13" s="1"/>
  <c r="L202" i="13"/>
  <c r="I202" i="13"/>
  <c r="G202" i="13"/>
  <c r="K201" i="13"/>
  <c r="J201" i="13"/>
  <c r="G201" i="13"/>
  <c r="I201" i="13" s="1"/>
  <c r="K200" i="13"/>
  <c r="J200" i="13"/>
  <c r="G200" i="13"/>
  <c r="K199" i="13"/>
  <c r="J199" i="13"/>
  <c r="I199" i="13"/>
  <c r="G199" i="13"/>
  <c r="L199" i="13" s="1"/>
  <c r="K198" i="13"/>
  <c r="J198" i="13"/>
  <c r="I198" i="13"/>
  <c r="G198" i="13"/>
  <c r="L198" i="13" s="1"/>
  <c r="K197" i="13"/>
  <c r="J197" i="13"/>
  <c r="G197" i="13"/>
  <c r="I197" i="13" s="1"/>
  <c r="L196" i="13"/>
  <c r="K196" i="13"/>
  <c r="G196" i="13"/>
  <c r="I196" i="13" s="1"/>
  <c r="L195" i="13"/>
  <c r="K195" i="13"/>
  <c r="G195" i="13"/>
  <c r="I195" i="13" s="1"/>
  <c r="L194" i="13"/>
  <c r="K194" i="13"/>
  <c r="G194" i="13"/>
  <c r="I194" i="13" s="1"/>
  <c r="L193" i="13"/>
  <c r="K193" i="13"/>
  <c r="G193" i="13"/>
  <c r="I193" i="13" s="1"/>
  <c r="L192" i="13"/>
  <c r="K192" i="13"/>
  <c r="G192" i="13"/>
  <c r="I192" i="13" s="1"/>
  <c r="L191" i="13"/>
  <c r="K191" i="13"/>
  <c r="G191" i="13"/>
  <c r="I191" i="13" s="1"/>
  <c r="L190" i="13"/>
  <c r="K190" i="13"/>
  <c r="G190" i="13"/>
  <c r="I190" i="13" s="1"/>
  <c r="L189" i="13"/>
  <c r="K189" i="13"/>
  <c r="G189" i="13"/>
  <c r="I189" i="13" s="1"/>
  <c r="L188" i="13"/>
  <c r="K188" i="13"/>
  <c r="G188" i="13"/>
  <c r="I188" i="13" s="1"/>
  <c r="L187" i="13"/>
  <c r="K187" i="13"/>
  <c r="G187" i="13"/>
  <c r="I187" i="13" s="1"/>
  <c r="L186" i="13"/>
  <c r="K186" i="13"/>
  <c r="G186" i="13"/>
  <c r="I186" i="13" s="1"/>
  <c r="L185" i="13"/>
  <c r="I185" i="13"/>
  <c r="G185" i="13"/>
  <c r="K184" i="13"/>
  <c r="J184" i="13"/>
  <c r="G184" i="13"/>
  <c r="I184" i="13" s="1"/>
  <c r="L183" i="13"/>
  <c r="K183" i="13"/>
  <c r="J183" i="13"/>
  <c r="G183" i="13"/>
  <c r="I183" i="13" s="1"/>
  <c r="K182" i="13"/>
  <c r="J182" i="13"/>
  <c r="I182" i="13"/>
  <c r="G182" i="13"/>
  <c r="L182" i="13" s="1"/>
  <c r="K181" i="13"/>
  <c r="J181" i="13"/>
  <c r="I181" i="13"/>
  <c r="G181" i="13"/>
  <c r="L181" i="13" s="1"/>
  <c r="K180" i="13"/>
  <c r="J180" i="13"/>
  <c r="G180" i="13"/>
  <c r="I180" i="13" s="1"/>
  <c r="L179" i="13"/>
  <c r="I179" i="13"/>
  <c r="G179" i="13"/>
  <c r="L178" i="13"/>
  <c r="I178" i="13"/>
  <c r="G178" i="13"/>
  <c r="K177" i="13"/>
  <c r="I177" i="13"/>
  <c r="G177" i="13"/>
  <c r="L177" i="13" s="1"/>
  <c r="K176" i="13"/>
  <c r="I176" i="13"/>
  <c r="G176" i="13"/>
  <c r="L176" i="13" s="1"/>
  <c r="K175" i="13"/>
  <c r="I175" i="13"/>
  <c r="G175" i="13"/>
  <c r="L175" i="13" s="1"/>
  <c r="K174" i="13"/>
  <c r="I174" i="13"/>
  <c r="G174" i="13"/>
  <c r="L174" i="13" s="1"/>
  <c r="K173" i="13"/>
  <c r="I173" i="13"/>
  <c r="G173" i="13"/>
  <c r="L173" i="13" s="1"/>
  <c r="K172" i="13"/>
  <c r="I172" i="13"/>
  <c r="G172" i="13"/>
  <c r="L172" i="13" s="1"/>
  <c r="K171" i="13"/>
  <c r="I171" i="13"/>
  <c r="G171" i="13"/>
  <c r="L171" i="13" s="1"/>
  <c r="K170" i="13"/>
  <c r="I170" i="13"/>
  <c r="G170" i="13"/>
  <c r="L170" i="13" s="1"/>
  <c r="K169" i="13"/>
  <c r="I169" i="13"/>
  <c r="G169" i="13"/>
  <c r="L169" i="13" s="1"/>
  <c r="K168" i="13"/>
  <c r="I168" i="13"/>
  <c r="G168" i="13"/>
  <c r="L168" i="13" s="1"/>
  <c r="K167" i="13"/>
  <c r="I167" i="13"/>
  <c r="G167" i="13"/>
  <c r="L167" i="13" s="1"/>
  <c r="K166" i="13"/>
  <c r="I166" i="13"/>
  <c r="G166" i="13"/>
  <c r="L166" i="13" s="1"/>
  <c r="L165" i="13"/>
  <c r="G165" i="13"/>
  <c r="I165" i="13" s="1"/>
  <c r="L164" i="13"/>
  <c r="G164" i="13"/>
  <c r="I164" i="13" s="1"/>
  <c r="L163" i="13"/>
  <c r="K163" i="13"/>
  <c r="G163" i="13"/>
  <c r="I163" i="13" s="1"/>
  <c r="L162" i="13"/>
  <c r="K162" i="13"/>
  <c r="J162" i="13"/>
  <c r="G162" i="13"/>
  <c r="I162" i="13" s="1"/>
  <c r="K161" i="13"/>
  <c r="J161" i="13"/>
  <c r="I161" i="13"/>
  <c r="G161" i="13"/>
  <c r="L161" i="13" s="1"/>
  <c r="K160" i="13"/>
  <c r="J160" i="13"/>
  <c r="I160" i="13"/>
  <c r="G160" i="13"/>
  <c r="L160" i="13" s="1"/>
  <c r="K159" i="13"/>
  <c r="J159" i="13"/>
  <c r="G159" i="13"/>
  <c r="I159" i="13" s="1"/>
  <c r="L158" i="13"/>
  <c r="K158" i="13"/>
  <c r="G158" i="13"/>
  <c r="I158" i="13" s="1"/>
  <c r="L157" i="13"/>
  <c r="K157" i="13"/>
  <c r="G157" i="13"/>
  <c r="I157" i="13" s="1"/>
  <c r="L156" i="13"/>
  <c r="K156" i="13"/>
  <c r="G156" i="13"/>
  <c r="I156" i="13" s="1"/>
  <c r="L154" i="13"/>
  <c r="K154" i="13"/>
  <c r="G154" i="13"/>
  <c r="I154" i="13" s="1"/>
  <c r="L153" i="13"/>
  <c r="K153" i="13"/>
  <c r="G153" i="13"/>
  <c r="I153" i="13" s="1"/>
  <c r="L152" i="13"/>
  <c r="K152" i="13"/>
  <c r="G152" i="13"/>
  <c r="I152" i="13" s="1"/>
  <c r="L151" i="13"/>
  <c r="K151" i="13"/>
  <c r="G151" i="13"/>
  <c r="I151" i="13" s="1"/>
  <c r="L150" i="13"/>
  <c r="K150" i="13"/>
  <c r="G150" i="13"/>
  <c r="I150" i="13" s="1"/>
  <c r="L149" i="13"/>
  <c r="K149" i="13"/>
  <c r="G149" i="13"/>
  <c r="I149" i="13" s="1"/>
  <c r="L148" i="13"/>
  <c r="I148" i="13"/>
  <c r="G148" i="13"/>
  <c r="L147" i="13"/>
  <c r="K147" i="13"/>
  <c r="I147" i="13"/>
  <c r="G147" i="13"/>
  <c r="L146" i="13"/>
  <c r="K146" i="13"/>
  <c r="I146" i="13"/>
  <c r="G146" i="13"/>
  <c r="L145" i="13"/>
  <c r="K145" i="13"/>
  <c r="I145" i="13"/>
  <c r="G145" i="13"/>
  <c r="L144" i="13"/>
  <c r="K144" i="13"/>
  <c r="I144" i="13"/>
  <c r="G144" i="13"/>
  <c r="L143" i="13"/>
  <c r="K143" i="13"/>
  <c r="I143" i="13"/>
  <c r="G143" i="13"/>
  <c r="L142" i="13"/>
  <c r="K142" i="13"/>
  <c r="I142" i="13"/>
  <c r="G142" i="13"/>
  <c r="L141" i="13"/>
  <c r="K141" i="13"/>
  <c r="I141" i="13"/>
  <c r="G141" i="13"/>
  <c r="L140" i="13"/>
  <c r="K140" i="13"/>
  <c r="I140" i="13"/>
  <c r="G140" i="13"/>
  <c r="L139" i="13"/>
  <c r="I139" i="13"/>
  <c r="G139" i="13"/>
  <c r="K138" i="13"/>
  <c r="I138" i="13"/>
  <c r="G138" i="13"/>
  <c r="L138" i="13" s="1"/>
  <c r="K137" i="13"/>
  <c r="I137" i="13"/>
  <c r="G137" i="13"/>
  <c r="L137" i="13" s="1"/>
  <c r="L136" i="13"/>
  <c r="G136" i="13"/>
  <c r="I136" i="13" s="1"/>
  <c r="K135" i="13"/>
  <c r="J135" i="13"/>
  <c r="I135" i="13"/>
  <c r="G135" i="13"/>
  <c r="L135" i="13" s="1"/>
  <c r="K134" i="13"/>
  <c r="J134" i="13"/>
  <c r="I134" i="13"/>
  <c r="G134" i="13"/>
  <c r="L134" i="13" s="1"/>
  <c r="K133" i="13"/>
  <c r="J133" i="13"/>
  <c r="G133" i="13"/>
  <c r="I133" i="13" s="1"/>
  <c r="L132" i="13"/>
  <c r="K132" i="13"/>
  <c r="G132" i="13"/>
  <c r="I132" i="13" s="1"/>
  <c r="L131" i="13"/>
  <c r="K131" i="13"/>
  <c r="G131" i="13"/>
  <c r="I131" i="13" s="1"/>
  <c r="L130" i="13"/>
  <c r="K130" i="13"/>
  <c r="G130" i="13"/>
  <c r="I130" i="13" s="1"/>
  <c r="L129" i="13"/>
  <c r="K129" i="13"/>
  <c r="G129" i="13"/>
  <c r="I129" i="13" s="1"/>
  <c r="L128" i="13"/>
  <c r="K128" i="13"/>
  <c r="G128" i="13"/>
  <c r="I128" i="13" s="1"/>
  <c r="L127" i="13"/>
  <c r="K127" i="13"/>
  <c r="G127" i="13"/>
  <c r="I127" i="13" s="1"/>
  <c r="L126" i="13"/>
  <c r="K126" i="13"/>
  <c r="G126" i="13"/>
  <c r="I126" i="13" s="1"/>
  <c r="L125" i="13"/>
  <c r="K125" i="13"/>
  <c r="G125" i="13"/>
  <c r="I125" i="13" s="1"/>
  <c r="L124" i="13"/>
  <c r="I124" i="13"/>
  <c r="G124" i="13"/>
  <c r="L123" i="13"/>
  <c r="K123" i="13"/>
  <c r="I123" i="13"/>
  <c r="G123" i="13"/>
  <c r="L122" i="13"/>
  <c r="K122" i="13"/>
  <c r="I122" i="13"/>
  <c r="G122" i="13"/>
  <c r="L121" i="13"/>
  <c r="K121" i="13"/>
  <c r="I121" i="13"/>
  <c r="G121" i="13"/>
  <c r="L120" i="13"/>
  <c r="K120" i="13"/>
  <c r="I120" i="13"/>
  <c r="G120" i="13"/>
  <c r="L119" i="13"/>
  <c r="I119" i="13"/>
  <c r="G119" i="13"/>
  <c r="K118" i="13"/>
  <c r="J118" i="13"/>
  <c r="I118" i="13"/>
  <c r="G118" i="13"/>
  <c r="L118" i="13" s="1"/>
  <c r="K117" i="13"/>
  <c r="J117" i="13"/>
  <c r="G117" i="13"/>
  <c r="I117" i="13" s="1"/>
  <c r="L116" i="13"/>
  <c r="K116" i="13"/>
  <c r="J116" i="13"/>
  <c r="G116" i="13"/>
  <c r="I116" i="13" s="1"/>
  <c r="K115" i="13"/>
  <c r="J115" i="13"/>
  <c r="I115" i="13"/>
  <c r="G115" i="13"/>
  <c r="L115" i="13" s="1"/>
  <c r="K114" i="13"/>
  <c r="I114" i="13"/>
  <c r="G114" i="13"/>
  <c r="L114" i="13" s="1"/>
  <c r="K113" i="13"/>
  <c r="I113" i="13"/>
  <c r="G113" i="13"/>
  <c r="L113" i="13" s="1"/>
  <c r="K112" i="13"/>
  <c r="I112" i="13"/>
  <c r="G112" i="13"/>
  <c r="L112" i="13" s="1"/>
  <c r="K111" i="13"/>
  <c r="I111" i="13"/>
  <c r="G111" i="13"/>
  <c r="L111" i="13" s="1"/>
  <c r="K110" i="13"/>
  <c r="I110" i="13"/>
  <c r="G110" i="13"/>
  <c r="L110" i="13" s="1"/>
  <c r="K109" i="13"/>
  <c r="I109" i="13"/>
  <c r="G109" i="13"/>
  <c r="L109" i="13" s="1"/>
  <c r="L108" i="13"/>
  <c r="G108" i="13"/>
  <c r="I108" i="13" s="1"/>
  <c r="K107" i="13"/>
  <c r="G107" i="13"/>
  <c r="K106" i="13"/>
  <c r="G106" i="13"/>
  <c r="K105" i="13"/>
  <c r="J105" i="13"/>
  <c r="I105" i="13"/>
  <c r="G105" i="13"/>
  <c r="L105" i="13" s="1"/>
  <c r="K104" i="13"/>
  <c r="J104" i="13"/>
  <c r="I104" i="13"/>
  <c r="G104" i="13"/>
  <c r="L104" i="13" s="1"/>
  <c r="K103" i="13"/>
  <c r="J103" i="13"/>
  <c r="G103" i="13"/>
  <c r="I103" i="13" s="1"/>
  <c r="L102" i="13"/>
  <c r="K102" i="13"/>
  <c r="J102" i="13"/>
  <c r="G102" i="13"/>
  <c r="I102" i="13" s="1"/>
  <c r="K101" i="13"/>
  <c r="J101" i="13"/>
  <c r="I101" i="13"/>
  <c r="G101" i="13"/>
  <c r="L101" i="13" s="1"/>
  <c r="K100" i="13"/>
  <c r="J100" i="13"/>
  <c r="I100" i="13"/>
  <c r="G100" i="13"/>
  <c r="L100" i="13" s="1"/>
  <c r="L99" i="13"/>
  <c r="K99" i="13"/>
  <c r="I99" i="13"/>
  <c r="G99" i="13"/>
  <c r="L98" i="13"/>
  <c r="K98" i="13"/>
  <c r="I98" i="13"/>
  <c r="G98" i="13"/>
  <c r="L97" i="13"/>
  <c r="K97" i="13"/>
  <c r="I97" i="13"/>
  <c r="G97" i="13"/>
  <c r="L96" i="13"/>
  <c r="K96" i="13"/>
  <c r="I96" i="13"/>
  <c r="G96" i="13"/>
  <c r="L95" i="13"/>
  <c r="K95" i="13"/>
  <c r="I95" i="13"/>
  <c r="G95" i="13"/>
  <c r="L94" i="13"/>
  <c r="K94" i="13"/>
  <c r="I94" i="13"/>
  <c r="G94" i="13"/>
  <c r="L93" i="13"/>
  <c r="I93" i="13"/>
  <c r="G93" i="13"/>
  <c r="L92" i="13"/>
  <c r="G92" i="13"/>
  <c r="I92" i="13" s="1"/>
  <c r="K91" i="13"/>
  <c r="G91" i="13"/>
  <c r="K90" i="13"/>
  <c r="G90" i="13"/>
  <c r="L89" i="13"/>
  <c r="G89" i="13"/>
  <c r="I89" i="13" s="1"/>
  <c r="L88" i="13"/>
  <c r="K88" i="13"/>
  <c r="G88" i="13"/>
  <c r="I88" i="13" s="1"/>
  <c r="L87" i="13"/>
  <c r="I87" i="13"/>
  <c r="G87" i="13"/>
  <c r="L86" i="13"/>
  <c r="K86" i="13"/>
  <c r="I86" i="13"/>
  <c r="G86" i="13"/>
  <c r="L85" i="13"/>
  <c r="K85" i="13"/>
  <c r="I85" i="13"/>
  <c r="G85" i="13"/>
  <c r="L84" i="13"/>
  <c r="K84" i="13"/>
  <c r="I84" i="13"/>
  <c r="G84" i="13"/>
  <c r="L83" i="13"/>
  <c r="K83" i="13"/>
  <c r="I83" i="13"/>
  <c r="G83" i="13"/>
  <c r="L82" i="13"/>
  <c r="K82" i="13"/>
  <c r="I82" i="13"/>
  <c r="G82" i="13"/>
  <c r="K81" i="13"/>
  <c r="J81" i="13"/>
  <c r="G81" i="13"/>
  <c r="I81" i="13" s="1"/>
  <c r="L80" i="13"/>
  <c r="K80" i="13"/>
  <c r="J80" i="13"/>
  <c r="G80" i="13"/>
  <c r="I80" i="13" s="1"/>
  <c r="K79" i="13"/>
  <c r="J79" i="13"/>
  <c r="I79" i="13"/>
  <c r="G79" i="13"/>
  <c r="L79" i="13" s="1"/>
  <c r="K78" i="13"/>
  <c r="J78" i="13"/>
  <c r="I78" i="13"/>
  <c r="G78" i="13"/>
  <c r="L78" i="13" s="1"/>
  <c r="K77" i="13"/>
  <c r="J77" i="13"/>
  <c r="G77" i="13"/>
  <c r="I77" i="13" s="1"/>
  <c r="K76" i="13"/>
  <c r="J76" i="13"/>
  <c r="G76" i="13"/>
  <c r="K75" i="13"/>
  <c r="J75" i="13"/>
  <c r="I75" i="13"/>
  <c r="G75" i="13"/>
  <c r="L75" i="13" s="1"/>
  <c r="K74" i="13"/>
  <c r="I74" i="13"/>
  <c r="G74" i="13"/>
  <c r="L74" i="13" s="1"/>
  <c r="K73" i="13"/>
  <c r="I73" i="13"/>
  <c r="G73" i="13"/>
  <c r="L73" i="13" s="1"/>
  <c r="K72" i="13"/>
  <c r="I72" i="13"/>
  <c r="G72" i="13"/>
  <c r="L72" i="13" s="1"/>
  <c r="K71" i="13"/>
  <c r="I71" i="13"/>
  <c r="G71" i="13"/>
  <c r="L71" i="13" s="1"/>
  <c r="K70" i="13"/>
  <c r="I70" i="13"/>
  <c r="G70" i="13"/>
  <c r="L70" i="13" s="1"/>
  <c r="K69" i="13"/>
  <c r="I69" i="13"/>
  <c r="G69" i="13"/>
  <c r="L69" i="13" s="1"/>
  <c r="K68" i="13"/>
  <c r="I68" i="13"/>
  <c r="G68" i="13"/>
  <c r="L68" i="13" s="1"/>
  <c r="K67" i="13"/>
  <c r="I67" i="13"/>
  <c r="G67" i="13"/>
  <c r="L67" i="13" s="1"/>
  <c r="K66" i="13"/>
  <c r="I66" i="13"/>
  <c r="G66" i="13"/>
  <c r="L66" i="13" s="1"/>
  <c r="L65" i="13"/>
  <c r="G65" i="13"/>
  <c r="I65" i="13" s="1"/>
  <c r="K64" i="13"/>
  <c r="G64" i="13"/>
  <c r="K63" i="13"/>
  <c r="G63" i="13"/>
  <c r="K62" i="13"/>
  <c r="G62" i="13"/>
  <c r="K61" i="13"/>
  <c r="G61" i="13"/>
  <c r="K60" i="13"/>
  <c r="G60" i="13"/>
  <c r="K59" i="13"/>
  <c r="J59" i="13"/>
  <c r="I59" i="13"/>
  <c r="G59" i="13"/>
  <c r="L59" i="13" s="1"/>
  <c r="K58" i="13"/>
  <c r="J58" i="13"/>
  <c r="I58" i="13"/>
  <c r="G58" i="13"/>
  <c r="L58" i="13" s="1"/>
  <c r="K57" i="13"/>
  <c r="J57" i="13"/>
  <c r="G57" i="13"/>
  <c r="I57" i="13" s="1"/>
  <c r="L56" i="13"/>
  <c r="K56" i="13"/>
  <c r="J56" i="13"/>
  <c r="G56" i="13"/>
  <c r="I56" i="13" s="1"/>
  <c r="K55" i="13"/>
  <c r="J55" i="13"/>
  <c r="I55" i="13"/>
  <c r="G55" i="13"/>
  <c r="L55" i="13" s="1"/>
  <c r="K54" i="13"/>
  <c r="J54" i="13"/>
  <c r="I54" i="13"/>
  <c r="G54" i="13"/>
  <c r="L54" i="13" s="1"/>
  <c r="K53" i="13"/>
  <c r="J53" i="13"/>
  <c r="G53" i="13"/>
  <c r="I53" i="13" s="1"/>
  <c r="L52" i="13"/>
  <c r="K52" i="13"/>
  <c r="J52" i="13"/>
  <c r="G52" i="13"/>
  <c r="I52" i="13" s="1"/>
  <c r="K51" i="13"/>
  <c r="J51" i="13"/>
  <c r="I51" i="13"/>
  <c r="G51" i="13"/>
  <c r="L51" i="13" s="1"/>
  <c r="K50" i="13"/>
  <c r="I50" i="13"/>
  <c r="G50" i="13"/>
  <c r="L50" i="13" s="1"/>
  <c r="K49" i="13"/>
  <c r="I49" i="13"/>
  <c r="G49" i="13"/>
  <c r="L49" i="13" s="1"/>
  <c r="K48" i="13"/>
  <c r="I48" i="13"/>
  <c r="G48" i="13"/>
  <c r="L48" i="13" s="1"/>
  <c r="K47" i="13"/>
  <c r="I47" i="13"/>
  <c r="G47" i="13"/>
  <c r="L47" i="13" s="1"/>
  <c r="K46" i="13"/>
  <c r="I46" i="13"/>
  <c r="G46" i="13"/>
  <c r="L46" i="13" s="1"/>
  <c r="K45" i="13"/>
  <c r="I45" i="13"/>
  <c r="G45" i="13"/>
  <c r="L45" i="13" s="1"/>
  <c r="K44" i="13"/>
  <c r="I44" i="13"/>
  <c r="G44" i="13"/>
  <c r="L44" i="13" s="1"/>
  <c r="L43" i="13"/>
  <c r="G43" i="13"/>
  <c r="I43" i="13" s="1"/>
  <c r="K42" i="13"/>
  <c r="J42" i="13"/>
  <c r="I42" i="13"/>
  <c r="G42" i="13"/>
  <c r="L42" i="13" s="1"/>
  <c r="K41" i="13"/>
  <c r="J41" i="13"/>
  <c r="I41" i="13"/>
  <c r="G41" i="13"/>
  <c r="L41" i="13" s="1"/>
  <c r="K40" i="13"/>
  <c r="J40" i="13"/>
  <c r="G40" i="13"/>
  <c r="I40" i="13" s="1"/>
  <c r="L39" i="13"/>
  <c r="K39" i="13"/>
  <c r="J39" i="13"/>
  <c r="G39" i="13"/>
  <c r="I39" i="13" s="1"/>
  <c r="K38" i="13"/>
  <c r="J38" i="13"/>
  <c r="I38" i="13"/>
  <c r="G38" i="13"/>
  <c r="L38" i="13" s="1"/>
  <c r="K37" i="13"/>
  <c r="J37" i="13"/>
  <c r="I37" i="13"/>
  <c r="G37" i="13"/>
  <c r="L37" i="13" s="1"/>
  <c r="L36" i="13"/>
  <c r="K36" i="13"/>
  <c r="I36" i="13"/>
  <c r="G36" i="13"/>
  <c r="L35" i="13"/>
  <c r="K35" i="13"/>
  <c r="I35" i="13"/>
  <c r="G35" i="13"/>
  <c r="L34" i="13"/>
  <c r="K34" i="13"/>
  <c r="I34" i="13"/>
  <c r="G34" i="13"/>
  <c r="L33" i="13"/>
  <c r="K33" i="13"/>
  <c r="I33" i="13"/>
  <c r="G33" i="13"/>
  <c r="L32" i="13"/>
  <c r="I32" i="13"/>
  <c r="G32" i="13"/>
  <c r="K31" i="13"/>
  <c r="I31" i="13"/>
  <c r="G31" i="13"/>
  <c r="L31" i="13" s="1"/>
  <c r="K30" i="13"/>
  <c r="I30" i="13"/>
  <c r="G30" i="13"/>
  <c r="L30" i="13" s="1"/>
  <c r="K29" i="13"/>
  <c r="I29" i="13"/>
  <c r="G29" i="13"/>
  <c r="L29" i="13" s="1"/>
  <c r="L28" i="13"/>
  <c r="G28" i="13"/>
  <c r="I28" i="13" s="1"/>
  <c r="K27" i="13"/>
  <c r="G27" i="13"/>
  <c r="K26" i="13"/>
  <c r="G26" i="13"/>
  <c r="K25" i="13"/>
  <c r="G25" i="13"/>
  <c r="K24" i="13"/>
  <c r="G24" i="13"/>
  <c r="K23" i="13"/>
  <c r="G23" i="13"/>
  <c r="K22" i="13"/>
  <c r="G22" i="13"/>
  <c r="K21" i="13"/>
  <c r="G21" i="13"/>
  <c r="K20" i="13"/>
  <c r="G20" i="13"/>
  <c r="K19" i="13"/>
  <c r="J19" i="13"/>
  <c r="I19" i="13"/>
  <c r="G19" i="13"/>
  <c r="L19" i="13" s="1"/>
  <c r="K18" i="13"/>
  <c r="J18" i="13"/>
  <c r="I18" i="13"/>
  <c r="G18" i="13"/>
  <c r="L18" i="13" s="1"/>
  <c r="L17" i="13"/>
  <c r="I17" i="13"/>
  <c r="G17" i="13"/>
  <c r="K16" i="13"/>
  <c r="I16" i="13"/>
  <c r="G16" i="13"/>
  <c r="L16" i="13" s="1"/>
  <c r="K15" i="13"/>
  <c r="I15" i="13"/>
  <c r="G15" i="13"/>
  <c r="L15" i="13" s="1"/>
  <c r="K14" i="13"/>
  <c r="I14" i="13"/>
  <c r="G14" i="13"/>
  <c r="L14" i="13" s="1"/>
  <c r="K13" i="13"/>
  <c r="G13" i="13"/>
  <c r="L13" i="13" s="1"/>
  <c r="K12" i="13"/>
  <c r="I12" i="13"/>
  <c r="G12" i="13"/>
  <c r="L12" i="13" s="1"/>
  <c r="K11" i="13"/>
  <c r="I11" i="13"/>
  <c r="G11" i="13"/>
  <c r="L11" i="13" s="1"/>
  <c r="K10" i="13"/>
  <c r="I10" i="13"/>
  <c r="G10" i="13"/>
  <c r="L10" i="13" s="1"/>
  <c r="K9" i="13"/>
  <c r="I9" i="13"/>
  <c r="G9" i="13"/>
  <c r="L9" i="13" s="1"/>
  <c r="K8" i="13"/>
  <c r="G8" i="13"/>
  <c r="L8" i="13" s="1"/>
  <c r="K7" i="13"/>
  <c r="I7" i="13"/>
  <c r="G7" i="13"/>
  <c r="L7" i="13" s="1"/>
  <c r="K6" i="13"/>
  <c r="I6" i="13"/>
  <c r="G6" i="13"/>
  <c r="L6" i="13" s="1"/>
  <c r="K5" i="13"/>
  <c r="I5" i="13"/>
  <c r="G5" i="13"/>
  <c r="L5" i="13" s="1"/>
  <c r="K4" i="13"/>
  <c r="J4" i="13"/>
  <c r="I4" i="13"/>
  <c r="G4" i="13"/>
  <c r="L4" i="13" s="1"/>
  <c r="K3" i="13"/>
  <c r="J3" i="13"/>
  <c r="G3" i="13"/>
  <c r="I3" i="13" s="1"/>
  <c r="R2" i="13"/>
  <c r="L2" i="13"/>
  <c r="K2" i="13"/>
  <c r="J2" i="13"/>
  <c r="J302" i="13" s="1"/>
  <c r="G2" i="13"/>
  <c r="I2" i="13" s="1"/>
  <c r="L628" i="12"/>
  <c r="G628" i="12"/>
  <c r="I628" i="12" s="1"/>
  <c r="L627" i="12"/>
  <c r="G627" i="12"/>
  <c r="I627" i="12" s="1"/>
  <c r="L626" i="12"/>
  <c r="I626" i="12"/>
  <c r="G626" i="12"/>
  <c r="L625" i="12"/>
  <c r="I625" i="12"/>
  <c r="G625" i="12"/>
  <c r="L624" i="12"/>
  <c r="G624" i="12"/>
  <c r="I624" i="12" s="1"/>
  <c r="L623" i="12"/>
  <c r="G623" i="12"/>
  <c r="I623" i="12" s="1"/>
  <c r="L622" i="12"/>
  <c r="I622" i="12"/>
  <c r="G622" i="12"/>
  <c r="L621" i="12"/>
  <c r="I621" i="12"/>
  <c r="G621" i="12"/>
  <c r="L620" i="12"/>
  <c r="G620" i="12"/>
  <c r="I620" i="12" s="1"/>
  <c r="L619" i="12"/>
  <c r="G619" i="12"/>
  <c r="I619" i="12" s="1"/>
  <c r="L618" i="12"/>
  <c r="I618" i="12"/>
  <c r="G618" i="12"/>
  <c r="L617" i="12"/>
  <c r="I617" i="12"/>
  <c r="G617" i="12"/>
  <c r="L616" i="12"/>
  <c r="G616" i="12"/>
  <c r="I616" i="12" s="1"/>
  <c r="L615" i="12"/>
  <c r="G615" i="12"/>
  <c r="I615" i="12" s="1"/>
  <c r="L614" i="12"/>
  <c r="I614" i="12"/>
  <c r="G614" i="12"/>
  <c r="L613" i="12"/>
  <c r="I613" i="12"/>
  <c r="G613" i="12"/>
  <c r="L612" i="12"/>
  <c r="G612" i="12"/>
  <c r="I612" i="12" s="1"/>
  <c r="L611" i="12"/>
  <c r="G611" i="12"/>
  <c r="I611" i="12" s="1"/>
  <c r="L610" i="12"/>
  <c r="I610" i="12"/>
  <c r="G610" i="12"/>
  <c r="L609" i="12"/>
  <c r="I609" i="12"/>
  <c r="G609" i="12"/>
  <c r="L608" i="12"/>
  <c r="J608" i="12"/>
  <c r="I608" i="12"/>
  <c r="G608" i="12"/>
  <c r="L607" i="12"/>
  <c r="J607" i="12"/>
  <c r="I607" i="12"/>
  <c r="G607" i="12"/>
  <c r="L606" i="12"/>
  <c r="J606" i="12"/>
  <c r="I606" i="12"/>
  <c r="G606" i="12"/>
  <c r="L605" i="12"/>
  <c r="J605" i="12"/>
  <c r="I605" i="12"/>
  <c r="G605" i="12"/>
  <c r="L604" i="12"/>
  <c r="J604" i="12"/>
  <c r="I604" i="12"/>
  <c r="G604" i="12"/>
  <c r="L603" i="12"/>
  <c r="J603" i="12"/>
  <c r="I603" i="12"/>
  <c r="G603" i="12"/>
  <c r="L602" i="12"/>
  <c r="J602" i="12"/>
  <c r="I602" i="12"/>
  <c r="G602" i="12"/>
  <c r="L601" i="12"/>
  <c r="G601" i="12"/>
  <c r="I601" i="12" s="1"/>
  <c r="L600" i="12"/>
  <c r="G600" i="12"/>
  <c r="I600" i="12" s="1"/>
  <c r="L599" i="12"/>
  <c r="I599" i="12"/>
  <c r="G599" i="12"/>
  <c r="L598" i="12"/>
  <c r="I598" i="12"/>
  <c r="G598" i="12"/>
  <c r="L597" i="12"/>
  <c r="G597" i="12"/>
  <c r="I597" i="12" s="1"/>
  <c r="L596" i="12"/>
  <c r="G596" i="12"/>
  <c r="I596" i="12" s="1"/>
  <c r="L595" i="12"/>
  <c r="I595" i="12"/>
  <c r="G595" i="12"/>
  <c r="L594" i="12"/>
  <c r="I594" i="12"/>
  <c r="G594" i="12"/>
  <c r="L593" i="12"/>
  <c r="G593" i="12"/>
  <c r="I593" i="12" s="1"/>
  <c r="L592" i="12"/>
  <c r="G592" i="12"/>
  <c r="I592" i="12" s="1"/>
  <c r="L591" i="12"/>
  <c r="I591" i="12"/>
  <c r="G591" i="12"/>
  <c r="L590" i="12"/>
  <c r="I590" i="12"/>
  <c r="G590" i="12"/>
  <c r="L589" i="12"/>
  <c r="G589" i="12"/>
  <c r="I589" i="12" s="1"/>
  <c r="L588" i="12"/>
  <c r="G588" i="12"/>
  <c r="I588" i="12" s="1"/>
  <c r="L587" i="12"/>
  <c r="I587" i="12"/>
  <c r="G587" i="12"/>
  <c r="L586" i="12"/>
  <c r="I586" i="12"/>
  <c r="G586" i="12"/>
  <c r="L585" i="12"/>
  <c r="G585" i="12"/>
  <c r="I585" i="12" s="1"/>
  <c r="L584" i="12"/>
  <c r="G584" i="12"/>
  <c r="I584" i="12" s="1"/>
  <c r="L583" i="12"/>
  <c r="J583" i="12"/>
  <c r="G583" i="12"/>
  <c r="I583" i="12" s="1"/>
  <c r="L582" i="12"/>
  <c r="J582" i="12"/>
  <c r="G582" i="12"/>
  <c r="I582" i="12" s="1"/>
  <c r="L581" i="12"/>
  <c r="J581" i="12"/>
  <c r="G581" i="12"/>
  <c r="I581" i="12" s="1"/>
  <c r="L580" i="12"/>
  <c r="J580" i="12"/>
  <c r="G580" i="12"/>
  <c r="I580" i="12" s="1"/>
  <c r="L579" i="12"/>
  <c r="J579" i="12"/>
  <c r="G579" i="12"/>
  <c r="I579" i="12" s="1"/>
  <c r="L578" i="12"/>
  <c r="J578" i="12"/>
  <c r="G578" i="12"/>
  <c r="I578" i="12" s="1"/>
  <c r="L577" i="12"/>
  <c r="J577" i="12"/>
  <c r="G577" i="12"/>
  <c r="I577" i="12" s="1"/>
  <c r="L576" i="12"/>
  <c r="J576" i="12"/>
  <c r="G576" i="12"/>
  <c r="I576" i="12" s="1"/>
  <c r="L575" i="12"/>
  <c r="J575" i="12"/>
  <c r="G575" i="12"/>
  <c r="I575" i="12" s="1"/>
  <c r="L574" i="12"/>
  <c r="J574" i="12"/>
  <c r="G574" i="12"/>
  <c r="I574" i="12" s="1"/>
  <c r="L573" i="12"/>
  <c r="I573" i="12"/>
  <c r="G573" i="12"/>
  <c r="L572" i="12"/>
  <c r="I572" i="12"/>
  <c r="G572" i="12"/>
  <c r="L571" i="12"/>
  <c r="G571" i="12"/>
  <c r="I571" i="12" s="1"/>
  <c r="L570" i="12"/>
  <c r="G570" i="12"/>
  <c r="I570" i="12" s="1"/>
  <c r="L569" i="12"/>
  <c r="I569" i="12"/>
  <c r="G569" i="12"/>
  <c r="L568" i="12"/>
  <c r="I568" i="12"/>
  <c r="G568" i="12"/>
  <c r="L567" i="12"/>
  <c r="G567" i="12"/>
  <c r="I567" i="12" s="1"/>
  <c r="L566" i="12"/>
  <c r="G566" i="12"/>
  <c r="I566" i="12" s="1"/>
  <c r="L565" i="12"/>
  <c r="I565" i="12"/>
  <c r="G565" i="12"/>
  <c r="L564" i="12"/>
  <c r="I564" i="12"/>
  <c r="G564" i="12"/>
  <c r="L563" i="12"/>
  <c r="G563" i="12"/>
  <c r="I563" i="12" s="1"/>
  <c r="L562" i="12"/>
  <c r="G562" i="12"/>
  <c r="I562" i="12" s="1"/>
  <c r="L561" i="12"/>
  <c r="I561" i="12"/>
  <c r="G561" i="12"/>
  <c r="L560" i="12"/>
  <c r="I560" i="12"/>
  <c r="G560" i="12"/>
  <c r="L559" i="12"/>
  <c r="G559" i="12"/>
  <c r="I559" i="12" s="1"/>
  <c r="L558" i="12"/>
  <c r="G558" i="12"/>
  <c r="I558" i="12" s="1"/>
  <c r="L557" i="12"/>
  <c r="I557" i="12"/>
  <c r="G557" i="12"/>
  <c r="L556" i="12"/>
  <c r="I556" i="12"/>
  <c r="G556" i="12"/>
  <c r="L555" i="12"/>
  <c r="G555" i="12"/>
  <c r="I555" i="12" s="1"/>
  <c r="L554" i="12"/>
  <c r="G554" i="12"/>
  <c r="I554" i="12" s="1"/>
  <c r="L553" i="12"/>
  <c r="I553" i="12"/>
  <c r="G553" i="12"/>
  <c r="L552" i="12"/>
  <c r="J552" i="12"/>
  <c r="I552" i="12"/>
  <c r="G552" i="12"/>
  <c r="L551" i="12"/>
  <c r="J551" i="12"/>
  <c r="I551" i="12"/>
  <c r="G551" i="12"/>
  <c r="L550" i="12"/>
  <c r="J550" i="12"/>
  <c r="I550" i="12"/>
  <c r="G550" i="12"/>
  <c r="L549" i="12"/>
  <c r="J549" i="12"/>
  <c r="I549" i="12"/>
  <c r="G549" i="12"/>
  <c r="L548" i="12"/>
  <c r="J548" i="12"/>
  <c r="I548" i="12"/>
  <c r="G548" i="12"/>
  <c r="L547" i="12"/>
  <c r="J547" i="12"/>
  <c r="I547" i="12"/>
  <c r="G547" i="12"/>
  <c r="L546" i="12"/>
  <c r="I546" i="12"/>
  <c r="G546" i="12"/>
  <c r="L545" i="12"/>
  <c r="G545" i="12"/>
  <c r="I545" i="12" s="1"/>
  <c r="L544" i="12"/>
  <c r="G544" i="12"/>
  <c r="I544" i="12" s="1"/>
  <c r="L543" i="12"/>
  <c r="I543" i="12"/>
  <c r="G543" i="12"/>
  <c r="L542" i="12"/>
  <c r="I542" i="12"/>
  <c r="G542" i="12"/>
  <c r="L541" i="12"/>
  <c r="G541" i="12"/>
  <c r="I541" i="12" s="1"/>
  <c r="L540" i="12"/>
  <c r="G540" i="12"/>
  <c r="I540" i="12" s="1"/>
  <c r="L539" i="12"/>
  <c r="I539" i="12"/>
  <c r="G539" i="12"/>
  <c r="L538" i="12"/>
  <c r="I538" i="12"/>
  <c r="G538" i="12"/>
  <c r="L537" i="12"/>
  <c r="G537" i="12"/>
  <c r="I537" i="12" s="1"/>
  <c r="L536" i="12"/>
  <c r="G536" i="12"/>
  <c r="I536" i="12" s="1"/>
  <c r="L535" i="12"/>
  <c r="I535" i="12"/>
  <c r="G535" i="12"/>
  <c r="L534" i="12"/>
  <c r="I534" i="12"/>
  <c r="G534" i="12"/>
  <c r="L533" i="12"/>
  <c r="G533" i="12"/>
  <c r="I533" i="12" s="1"/>
  <c r="L532" i="12"/>
  <c r="J532" i="12"/>
  <c r="G532" i="12"/>
  <c r="I532" i="12" s="1"/>
  <c r="L531" i="12"/>
  <c r="J531" i="12"/>
  <c r="G531" i="12"/>
  <c r="I531" i="12" s="1"/>
  <c r="L530" i="12"/>
  <c r="J530" i="12"/>
  <c r="G530" i="12"/>
  <c r="I530" i="12" s="1"/>
  <c r="L529" i="12"/>
  <c r="J529" i="12"/>
  <c r="G529" i="12"/>
  <c r="I529" i="12" s="1"/>
  <c r="L528" i="12"/>
  <c r="J528" i="12"/>
  <c r="G528" i="12"/>
  <c r="I528" i="12" s="1"/>
  <c r="L527" i="12"/>
  <c r="J527" i="12"/>
  <c r="G527" i="12"/>
  <c r="I527" i="12" s="1"/>
  <c r="L526" i="12"/>
  <c r="J526" i="12"/>
  <c r="G526" i="12"/>
  <c r="I526" i="12" s="1"/>
  <c r="L525" i="12"/>
  <c r="J525" i="12"/>
  <c r="G525" i="12"/>
  <c r="I525" i="12" s="1"/>
  <c r="L524" i="12"/>
  <c r="J524" i="12"/>
  <c r="G524" i="12"/>
  <c r="I524" i="12" s="1"/>
  <c r="L523" i="12"/>
  <c r="J523" i="12"/>
  <c r="G523" i="12"/>
  <c r="I523" i="12" s="1"/>
  <c r="L522" i="12"/>
  <c r="J522" i="12"/>
  <c r="G522" i="12"/>
  <c r="I522" i="12" s="1"/>
  <c r="L521" i="12"/>
  <c r="G521" i="12"/>
  <c r="I521" i="12" s="1"/>
  <c r="L520" i="12"/>
  <c r="I520" i="12"/>
  <c r="G520" i="12"/>
  <c r="L519" i="12"/>
  <c r="I519" i="12"/>
  <c r="G519" i="12"/>
  <c r="L518" i="12"/>
  <c r="G518" i="12"/>
  <c r="I518" i="12" s="1"/>
  <c r="L517" i="12"/>
  <c r="G517" i="12"/>
  <c r="I517" i="12" s="1"/>
  <c r="L516" i="12"/>
  <c r="I516" i="12"/>
  <c r="G516" i="12"/>
  <c r="L515" i="12"/>
  <c r="I515" i="12"/>
  <c r="G515" i="12"/>
  <c r="L514" i="12"/>
  <c r="G514" i="12"/>
  <c r="I514" i="12" s="1"/>
  <c r="L513" i="12"/>
  <c r="G513" i="12"/>
  <c r="I513" i="12" s="1"/>
  <c r="L512" i="12"/>
  <c r="I512" i="12"/>
  <c r="G512" i="12"/>
  <c r="L511" i="12"/>
  <c r="I511" i="12"/>
  <c r="G511" i="12"/>
  <c r="L510" i="12"/>
  <c r="G510" i="12"/>
  <c r="I510" i="12" s="1"/>
  <c r="L509" i="12"/>
  <c r="G509" i="12"/>
  <c r="I509" i="12" s="1"/>
  <c r="L508" i="12"/>
  <c r="I508" i="12"/>
  <c r="G508" i="12"/>
  <c r="L507" i="12"/>
  <c r="I507" i="12"/>
  <c r="G507" i="12"/>
  <c r="L506" i="12"/>
  <c r="G506" i="12"/>
  <c r="I506" i="12" s="1"/>
  <c r="L505" i="12"/>
  <c r="G505" i="12"/>
  <c r="I505" i="12" s="1"/>
  <c r="L504" i="12"/>
  <c r="I504" i="12"/>
  <c r="G504" i="12"/>
  <c r="L503" i="12"/>
  <c r="I503" i="12"/>
  <c r="G503" i="12"/>
  <c r="L502" i="12"/>
  <c r="G502" i="12"/>
  <c r="I502" i="12" s="1"/>
  <c r="L501" i="12"/>
  <c r="G501" i="12"/>
  <c r="I501" i="12" s="1"/>
  <c r="L500" i="12"/>
  <c r="I500" i="12"/>
  <c r="G500" i="12"/>
  <c r="L499" i="12"/>
  <c r="I499" i="12"/>
  <c r="G499" i="12"/>
  <c r="L498" i="12"/>
  <c r="G498" i="12"/>
  <c r="I498" i="12" s="1"/>
  <c r="L497" i="12"/>
  <c r="G497" i="12"/>
  <c r="I497" i="12" s="1"/>
  <c r="L496" i="12"/>
  <c r="I496" i="12"/>
  <c r="G496" i="12"/>
  <c r="L495" i="12"/>
  <c r="I495" i="12"/>
  <c r="G495" i="12"/>
  <c r="L494" i="12"/>
  <c r="G494" i="12"/>
  <c r="I494" i="12" s="1"/>
  <c r="L493" i="12"/>
  <c r="G493" i="12"/>
  <c r="I493" i="12" s="1"/>
  <c r="L492" i="12"/>
  <c r="I492" i="12"/>
  <c r="G492" i="12"/>
  <c r="L491" i="12"/>
  <c r="J491" i="12"/>
  <c r="I491" i="12"/>
  <c r="G491" i="12"/>
  <c r="L490" i="12"/>
  <c r="J490" i="12"/>
  <c r="I490" i="12"/>
  <c r="G490" i="12"/>
  <c r="L489" i="12"/>
  <c r="J489" i="12"/>
  <c r="I489" i="12"/>
  <c r="G489" i="12"/>
  <c r="L488" i="12"/>
  <c r="J488" i="12"/>
  <c r="I488" i="12"/>
  <c r="G488" i="12"/>
  <c r="L487" i="12"/>
  <c r="J487" i="12"/>
  <c r="I487" i="12"/>
  <c r="G487" i="12"/>
  <c r="L486" i="12"/>
  <c r="J486" i="12"/>
  <c r="I486" i="12"/>
  <c r="G486" i="12"/>
  <c r="L485" i="12"/>
  <c r="J485" i="12"/>
  <c r="I485" i="12"/>
  <c r="G485" i="12"/>
  <c r="L484" i="12"/>
  <c r="J484" i="12"/>
  <c r="I484" i="12"/>
  <c r="G484" i="12"/>
  <c r="L483" i="12"/>
  <c r="J483" i="12"/>
  <c r="I483" i="12"/>
  <c r="G483" i="12"/>
  <c r="L482" i="12"/>
  <c r="J482" i="12"/>
  <c r="I482" i="12"/>
  <c r="G482" i="12"/>
  <c r="L481" i="12"/>
  <c r="I481" i="12"/>
  <c r="G481" i="12"/>
  <c r="L480" i="12"/>
  <c r="G480" i="12"/>
  <c r="I480" i="12" s="1"/>
  <c r="L479" i="12"/>
  <c r="G479" i="12"/>
  <c r="I479" i="12" s="1"/>
  <c r="L478" i="12"/>
  <c r="I478" i="12"/>
  <c r="G478" i="12"/>
  <c r="L477" i="12"/>
  <c r="I477" i="12"/>
  <c r="G477" i="12"/>
  <c r="L476" i="12"/>
  <c r="G476" i="12"/>
  <c r="I476" i="12" s="1"/>
  <c r="L475" i="12"/>
  <c r="G475" i="12"/>
  <c r="I475" i="12" s="1"/>
  <c r="L474" i="12"/>
  <c r="I474" i="12"/>
  <c r="G474" i="12"/>
  <c r="L473" i="12"/>
  <c r="I473" i="12"/>
  <c r="G473" i="12"/>
  <c r="L472" i="12"/>
  <c r="G472" i="12"/>
  <c r="I472" i="12" s="1"/>
  <c r="L471" i="12"/>
  <c r="G471" i="12"/>
  <c r="I471" i="12" s="1"/>
  <c r="L470" i="12"/>
  <c r="I470" i="12"/>
  <c r="G470" i="12"/>
  <c r="L469" i="12"/>
  <c r="I469" i="12"/>
  <c r="G469" i="12"/>
  <c r="L468" i="12"/>
  <c r="G468" i="12"/>
  <c r="I468" i="12" s="1"/>
  <c r="L467" i="12"/>
  <c r="G467" i="12"/>
  <c r="I467" i="12" s="1"/>
  <c r="L466" i="12"/>
  <c r="I466" i="12"/>
  <c r="G466" i="12"/>
  <c r="L465" i="12"/>
  <c r="I465" i="12"/>
  <c r="G465" i="12"/>
  <c r="L464" i="12"/>
  <c r="G464" i="12"/>
  <c r="I464" i="12" s="1"/>
  <c r="L463" i="12"/>
  <c r="G463" i="12"/>
  <c r="I463" i="12" s="1"/>
  <c r="L462" i="12"/>
  <c r="I462" i="12"/>
  <c r="G462" i="12"/>
  <c r="L461" i="12"/>
  <c r="I461" i="12"/>
  <c r="G461" i="12"/>
  <c r="L460" i="12"/>
  <c r="G460" i="12"/>
  <c r="I460" i="12" s="1"/>
  <c r="L459" i="12"/>
  <c r="G459" i="12"/>
  <c r="I459" i="12" s="1"/>
  <c r="L458" i="12"/>
  <c r="I458" i="12"/>
  <c r="G458" i="12"/>
  <c r="L457" i="12"/>
  <c r="I457" i="12"/>
  <c r="G457" i="12"/>
  <c r="L456" i="12"/>
  <c r="G456" i="12"/>
  <c r="I456" i="12" s="1"/>
  <c r="L455" i="12"/>
  <c r="G455" i="12"/>
  <c r="I455" i="12" s="1"/>
  <c r="L454" i="12"/>
  <c r="I454" i="12"/>
  <c r="G454" i="12"/>
  <c r="L453" i="12"/>
  <c r="I453" i="12"/>
  <c r="G453" i="12"/>
  <c r="L452" i="12"/>
  <c r="G452" i="12"/>
  <c r="I452" i="12" s="1"/>
  <c r="L451" i="12"/>
  <c r="G451" i="12"/>
  <c r="I451" i="12" s="1"/>
  <c r="L450" i="12"/>
  <c r="I450" i="12"/>
  <c r="G450" i="12"/>
  <c r="L449" i="12"/>
  <c r="J449" i="12"/>
  <c r="I449" i="12"/>
  <c r="G449" i="12"/>
  <c r="L448" i="12"/>
  <c r="J448" i="12"/>
  <c r="I448" i="12"/>
  <c r="G448" i="12"/>
  <c r="L447" i="12"/>
  <c r="J447" i="12"/>
  <c r="I447" i="12"/>
  <c r="G447" i="12"/>
  <c r="L446" i="12"/>
  <c r="J446" i="12"/>
  <c r="I446" i="12"/>
  <c r="G446" i="12"/>
  <c r="L445" i="12"/>
  <c r="J445" i="12"/>
  <c r="I445" i="12"/>
  <c r="G445" i="12"/>
  <c r="L444" i="12"/>
  <c r="J444" i="12"/>
  <c r="I444" i="12"/>
  <c r="G444" i="12"/>
  <c r="L443" i="12"/>
  <c r="J443" i="12"/>
  <c r="I443" i="12"/>
  <c r="G443" i="12"/>
  <c r="L442" i="12"/>
  <c r="J442" i="12"/>
  <c r="I442" i="12"/>
  <c r="G442" i="12"/>
  <c r="L441" i="12"/>
  <c r="J441" i="12"/>
  <c r="I441" i="12"/>
  <c r="G441" i="12"/>
  <c r="L440" i="12"/>
  <c r="J440" i="12"/>
  <c r="I440" i="12"/>
  <c r="G440" i="12"/>
  <c r="L439" i="12"/>
  <c r="J439" i="12"/>
  <c r="I439" i="12"/>
  <c r="G439" i="12"/>
  <c r="L438" i="12"/>
  <c r="I438" i="12"/>
  <c r="G438" i="12"/>
  <c r="L437" i="12"/>
  <c r="G437" i="12"/>
  <c r="I437" i="12" s="1"/>
  <c r="L436" i="12"/>
  <c r="G436" i="12"/>
  <c r="I436" i="12" s="1"/>
  <c r="L435" i="12"/>
  <c r="I435" i="12"/>
  <c r="G435" i="12"/>
  <c r="L434" i="12"/>
  <c r="I434" i="12"/>
  <c r="G434" i="12"/>
  <c r="L433" i="12"/>
  <c r="G433" i="12"/>
  <c r="I433" i="12" s="1"/>
  <c r="L432" i="12"/>
  <c r="G432" i="12"/>
  <c r="I432" i="12" s="1"/>
  <c r="L431" i="12"/>
  <c r="I431" i="12"/>
  <c r="G431" i="12"/>
  <c r="L430" i="12"/>
  <c r="I430" i="12"/>
  <c r="G430" i="12"/>
  <c r="L429" i="12"/>
  <c r="G429" i="12"/>
  <c r="I429" i="12" s="1"/>
  <c r="L428" i="12"/>
  <c r="G428" i="12"/>
  <c r="I428" i="12" s="1"/>
  <c r="L427" i="12"/>
  <c r="I427" i="12"/>
  <c r="G427" i="12"/>
  <c r="L426" i="12"/>
  <c r="I426" i="12"/>
  <c r="G426" i="12"/>
  <c r="L425" i="12"/>
  <c r="G425" i="12"/>
  <c r="I425" i="12" s="1"/>
  <c r="L424" i="12"/>
  <c r="G424" i="12"/>
  <c r="I424" i="12" s="1"/>
  <c r="L423" i="12"/>
  <c r="I423" i="12"/>
  <c r="G423" i="12"/>
  <c r="L422" i="12"/>
  <c r="G422" i="12"/>
  <c r="I422" i="12" s="1"/>
  <c r="L421" i="12"/>
  <c r="G421" i="12"/>
  <c r="I421" i="12" s="1"/>
  <c r="L420" i="12"/>
  <c r="G420" i="12"/>
  <c r="I420" i="12" s="1"/>
  <c r="L419" i="12"/>
  <c r="I419" i="12"/>
  <c r="G419" i="12"/>
  <c r="L418" i="12"/>
  <c r="G418" i="12"/>
  <c r="I418" i="12" s="1"/>
  <c r="L417" i="12"/>
  <c r="G417" i="12"/>
  <c r="I417" i="12" s="1"/>
  <c r="L416" i="12"/>
  <c r="G416" i="12"/>
  <c r="I416" i="12" s="1"/>
  <c r="L415" i="12"/>
  <c r="I415" i="12"/>
  <c r="G415" i="12"/>
  <c r="L414" i="12"/>
  <c r="G414" i="12"/>
  <c r="I414" i="12" s="1"/>
  <c r="L413" i="12"/>
  <c r="G413" i="12"/>
  <c r="I413" i="12" s="1"/>
  <c r="L412" i="12"/>
  <c r="G412" i="12"/>
  <c r="I412" i="12" s="1"/>
  <c r="L411" i="12"/>
  <c r="J411" i="12"/>
  <c r="G411" i="12"/>
  <c r="I411" i="12" s="1"/>
  <c r="L410" i="12"/>
  <c r="J410" i="12"/>
  <c r="G410" i="12"/>
  <c r="I410" i="12" s="1"/>
  <c r="L409" i="12"/>
  <c r="J409" i="12"/>
  <c r="G409" i="12"/>
  <c r="I409" i="12" s="1"/>
  <c r="L408" i="12"/>
  <c r="J408" i="12"/>
  <c r="G408" i="12"/>
  <c r="I408" i="12" s="1"/>
  <c r="L407" i="12"/>
  <c r="J407" i="12"/>
  <c r="G407" i="12"/>
  <c r="I407" i="12" s="1"/>
  <c r="L406" i="12"/>
  <c r="J406" i="12"/>
  <c r="G406" i="12"/>
  <c r="I406" i="12" s="1"/>
  <c r="L405" i="12"/>
  <c r="J405" i="12"/>
  <c r="G405" i="12"/>
  <c r="I405" i="12" s="1"/>
  <c r="L404" i="12"/>
  <c r="J404" i="12"/>
  <c r="G404" i="12"/>
  <c r="I404" i="12" s="1"/>
  <c r="L403" i="12"/>
  <c r="J403" i="12"/>
  <c r="G403" i="12"/>
  <c r="I403" i="12" s="1"/>
  <c r="L402" i="12"/>
  <c r="J402" i="12"/>
  <c r="G402" i="12"/>
  <c r="I402" i="12" s="1"/>
  <c r="L401" i="12"/>
  <c r="J401" i="12"/>
  <c r="G401" i="12"/>
  <c r="I401" i="12" s="1"/>
  <c r="L400" i="12"/>
  <c r="J400" i="12"/>
  <c r="G400" i="12"/>
  <c r="I400" i="12" s="1"/>
  <c r="L399" i="12"/>
  <c r="J399" i="12"/>
  <c r="G399" i="12"/>
  <c r="I399" i="12" s="1"/>
  <c r="L398" i="12"/>
  <c r="I398" i="12"/>
  <c r="G398" i="12"/>
  <c r="L397" i="12"/>
  <c r="I397" i="12"/>
  <c r="G397" i="12"/>
  <c r="L396" i="12"/>
  <c r="G396" i="12"/>
  <c r="I396" i="12" s="1"/>
  <c r="L395" i="12"/>
  <c r="G395" i="12"/>
  <c r="I395" i="12" s="1"/>
  <c r="L394" i="12"/>
  <c r="I394" i="12"/>
  <c r="G394" i="12"/>
  <c r="L393" i="12"/>
  <c r="G393" i="12"/>
  <c r="I393" i="12" s="1"/>
  <c r="L392" i="12"/>
  <c r="G392" i="12"/>
  <c r="I392" i="12" s="1"/>
  <c r="L391" i="12"/>
  <c r="G391" i="12"/>
  <c r="I391" i="12" s="1"/>
  <c r="L390" i="12"/>
  <c r="I390" i="12"/>
  <c r="G390" i="12"/>
  <c r="L389" i="12"/>
  <c r="I389" i="12"/>
  <c r="G389" i="12"/>
  <c r="L388" i="12"/>
  <c r="G388" i="12"/>
  <c r="I388" i="12" s="1"/>
  <c r="L387" i="12"/>
  <c r="G387" i="12"/>
  <c r="I387" i="12" s="1"/>
  <c r="L386" i="12"/>
  <c r="I386" i="12"/>
  <c r="G386" i="12"/>
  <c r="L385" i="12"/>
  <c r="G385" i="12"/>
  <c r="I385" i="12" s="1"/>
  <c r="L384" i="12"/>
  <c r="G384" i="12"/>
  <c r="I384" i="12" s="1"/>
  <c r="L383" i="12"/>
  <c r="G383" i="12"/>
  <c r="I383" i="12" s="1"/>
  <c r="L382" i="12"/>
  <c r="I382" i="12"/>
  <c r="G382" i="12"/>
  <c r="L381" i="12"/>
  <c r="I381" i="12"/>
  <c r="G381" i="12"/>
  <c r="L380" i="12"/>
  <c r="G380" i="12"/>
  <c r="I380" i="12" s="1"/>
  <c r="L379" i="12"/>
  <c r="G379" i="12"/>
  <c r="I379" i="12" s="1"/>
  <c r="L378" i="12"/>
  <c r="I378" i="12"/>
  <c r="G378" i="12"/>
  <c r="L377" i="12"/>
  <c r="G377" i="12"/>
  <c r="I377" i="12" s="1"/>
  <c r="L376" i="12"/>
  <c r="G376" i="12"/>
  <c r="I376" i="12" s="1"/>
  <c r="L375" i="12"/>
  <c r="G375" i="12"/>
  <c r="I375" i="12" s="1"/>
  <c r="L374" i="12"/>
  <c r="I374" i="12"/>
  <c r="G374" i="12"/>
  <c r="L373" i="12"/>
  <c r="I373" i="12"/>
  <c r="G373" i="12"/>
  <c r="L372" i="12"/>
  <c r="G372" i="12"/>
  <c r="I372" i="12" s="1"/>
  <c r="L371" i="12"/>
  <c r="G371" i="12"/>
  <c r="I371" i="12" s="1"/>
  <c r="L370" i="12"/>
  <c r="I370" i="12"/>
  <c r="G370" i="12"/>
  <c r="L369" i="12"/>
  <c r="G369" i="12"/>
  <c r="I369" i="12" s="1"/>
  <c r="L368" i="12"/>
  <c r="J368" i="12"/>
  <c r="G368" i="12"/>
  <c r="I368" i="12" s="1"/>
  <c r="L367" i="12"/>
  <c r="J367" i="12"/>
  <c r="G367" i="12"/>
  <c r="I367" i="12" s="1"/>
  <c r="L366" i="12"/>
  <c r="J366" i="12"/>
  <c r="G366" i="12"/>
  <c r="I366" i="12" s="1"/>
  <c r="L365" i="12"/>
  <c r="J365" i="12"/>
  <c r="G365" i="12"/>
  <c r="I365" i="12" s="1"/>
  <c r="L364" i="12"/>
  <c r="J364" i="12"/>
  <c r="G364" i="12"/>
  <c r="I364" i="12" s="1"/>
  <c r="L363" i="12"/>
  <c r="J363" i="12"/>
  <c r="G363" i="12"/>
  <c r="I363" i="12" s="1"/>
  <c r="L362" i="12"/>
  <c r="J362" i="12"/>
  <c r="G362" i="12"/>
  <c r="I362" i="12" s="1"/>
  <c r="L361" i="12"/>
  <c r="J361" i="12"/>
  <c r="G361" i="12"/>
  <c r="I361" i="12" s="1"/>
  <c r="L360" i="12"/>
  <c r="J360" i="12"/>
  <c r="G360" i="12"/>
  <c r="I360" i="12" s="1"/>
  <c r="L359" i="12"/>
  <c r="J359" i="12"/>
  <c r="G359" i="12"/>
  <c r="I359" i="12" s="1"/>
  <c r="L358" i="12"/>
  <c r="J358" i="12"/>
  <c r="G358" i="12"/>
  <c r="I358" i="12" s="1"/>
  <c r="L357" i="12"/>
  <c r="J357" i="12"/>
  <c r="G357" i="12"/>
  <c r="I357" i="12" s="1"/>
  <c r="L356" i="12"/>
  <c r="J356" i="12"/>
  <c r="G356" i="12"/>
  <c r="I356" i="12" s="1"/>
  <c r="L355" i="12"/>
  <c r="J355" i="12"/>
  <c r="G355" i="12"/>
  <c r="I355" i="12" s="1"/>
  <c r="L354" i="12"/>
  <c r="J354" i="12"/>
  <c r="G354" i="12"/>
  <c r="I354" i="12" s="1"/>
  <c r="L353" i="12"/>
  <c r="G353" i="12"/>
  <c r="I353" i="12" s="1"/>
  <c r="L352" i="12"/>
  <c r="G352" i="12"/>
  <c r="I352" i="12" s="1"/>
  <c r="L351" i="12"/>
  <c r="I351" i="12"/>
  <c r="G351" i="12"/>
  <c r="L350" i="12"/>
  <c r="I350" i="12"/>
  <c r="G350" i="12"/>
  <c r="L349" i="12"/>
  <c r="G349" i="12"/>
  <c r="I349" i="12" s="1"/>
  <c r="L348" i="12"/>
  <c r="G348" i="12"/>
  <c r="I348" i="12" s="1"/>
  <c r="L347" i="12"/>
  <c r="I347" i="12"/>
  <c r="G347" i="12"/>
  <c r="L346" i="12"/>
  <c r="G346" i="12"/>
  <c r="I346" i="12" s="1"/>
  <c r="L345" i="12"/>
  <c r="G345" i="12"/>
  <c r="I345" i="12" s="1"/>
  <c r="L344" i="12"/>
  <c r="G344" i="12"/>
  <c r="I344" i="12" s="1"/>
  <c r="L343" i="12"/>
  <c r="I343" i="12"/>
  <c r="G343" i="12"/>
  <c r="L342" i="12"/>
  <c r="I342" i="12"/>
  <c r="G342" i="12"/>
  <c r="L341" i="12"/>
  <c r="G341" i="12"/>
  <c r="I341" i="12" s="1"/>
  <c r="L340" i="12"/>
  <c r="G340" i="12"/>
  <c r="I340" i="12" s="1"/>
  <c r="L339" i="12"/>
  <c r="I339" i="12"/>
  <c r="G339" i="12"/>
  <c r="L338" i="12"/>
  <c r="G338" i="12"/>
  <c r="I338" i="12" s="1"/>
  <c r="L337" i="12"/>
  <c r="G337" i="12"/>
  <c r="I337" i="12" s="1"/>
  <c r="L336" i="12"/>
  <c r="G336" i="12"/>
  <c r="I336" i="12" s="1"/>
  <c r="L335" i="12"/>
  <c r="I335" i="12"/>
  <c r="G335" i="12"/>
  <c r="L334" i="12"/>
  <c r="I334" i="12"/>
  <c r="G334" i="12"/>
  <c r="L333" i="12"/>
  <c r="G333" i="12"/>
  <c r="I333" i="12" s="1"/>
  <c r="L332" i="12"/>
  <c r="G332" i="12"/>
  <c r="I332" i="12" s="1"/>
  <c r="L331" i="12"/>
  <c r="I331" i="12"/>
  <c r="G331" i="12"/>
  <c r="L330" i="12"/>
  <c r="G330" i="12"/>
  <c r="I330" i="12" s="1"/>
  <c r="L329" i="12"/>
  <c r="G329" i="12"/>
  <c r="I329" i="12" s="1"/>
  <c r="L328" i="12"/>
  <c r="G328" i="12"/>
  <c r="I328" i="12" s="1"/>
  <c r="L327" i="12"/>
  <c r="I327" i="12"/>
  <c r="G327" i="12"/>
  <c r="L326" i="12"/>
  <c r="I326" i="12"/>
  <c r="G326" i="12"/>
  <c r="L325" i="12"/>
  <c r="G325" i="12"/>
  <c r="I325" i="12" s="1"/>
  <c r="L324" i="12"/>
  <c r="G324" i="12"/>
  <c r="I324" i="12" s="1"/>
  <c r="L323" i="12"/>
  <c r="I323" i="12"/>
  <c r="G323" i="12"/>
  <c r="L322" i="12"/>
  <c r="G322" i="12"/>
  <c r="I322" i="12" s="1"/>
  <c r="L321" i="12"/>
  <c r="J321" i="12"/>
  <c r="G321" i="12"/>
  <c r="I321" i="12" s="1"/>
  <c r="L320" i="12"/>
  <c r="J320" i="12"/>
  <c r="G320" i="12"/>
  <c r="I320" i="12" s="1"/>
  <c r="L319" i="12"/>
  <c r="J319" i="12"/>
  <c r="G319" i="12"/>
  <c r="I319" i="12" s="1"/>
  <c r="L318" i="12"/>
  <c r="J318" i="12"/>
  <c r="G318" i="12"/>
  <c r="I318" i="12" s="1"/>
  <c r="L317" i="12"/>
  <c r="J317" i="12"/>
  <c r="G317" i="12"/>
  <c r="I317" i="12" s="1"/>
  <c r="L316" i="12"/>
  <c r="J316" i="12"/>
  <c r="G316" i="12"/>
  <c r="I316" i="12" s="1"/>
  <c r="L315" i="12"/>
  <c r="J315" i="12"/>
  <c r="G315" i="12"/>
  <c r="I315" i="12" s="1"/>
  <c r="L314" i="12"/>
  <c r="J314" i="12"/>
  <c r="G314" i="12"/>
  <c r="I314" i="12" s="1"/>
  <c r="L313" i="12"/>
  <c r="J313" i="12"/>
  <c r="G313" i="12"/>
  <c r="I313" i="12" s="1"/>
  <c r="L312" i="12"/>
  <c r="J312" i="12"/>
  <c r="G312" i="12"/>
  <c r="I312" i="12" s="1"/>
  <c r="L311" i="12"/>
  <c r="G311" i="12"/>
  <c r="I311" i="12" s="1"/>
  <c r="L310" i="12"/>
  <c r="G310" i="12"/>
  <c r="I310" i="12" s="1"/>
  <c r="L309" i="12"/>
  <c r="I309" i="12"/>
  <c r="G309" i="12"/>
  <c r="L308" i="12"/>
  <c r="G308" i="12"/>
  <c r="I308" i="12" s="1"/>
  <c r="L307" i="12"/>
  <c r="I307" i="12"/>
  <c r="G307" i="12"/>
  <c r="L306" i="12"/>
  <c r="G306" i="12"/>
  <c r="I306" i="12" s="1"/>
  <c r="L305" i="12"/>
  <c r="I305" i="12"/>
  <c r="G305" i="12"/>
  <c r="L304" i="12"/>
  <c r="I304" i="12"/>
  <c r="G304" i="12"/>
  <c r="L303" i="12"/>
  <c r="G303" i="12"/>
  <c r="I303" i="12" s="1"/>
  <c r="L302" i="12"/>
  <c r="G302" i="12"/>
  <c r="I302" i="12" s="1"/>
  <c r="L301" i="12"/>
  <c r="I301" i="12"/>
  <c r="G301" i="12"/>
  <c r="L300" i="12"/>
  <c r="G300" i="12"/>
  <c r="I300" i="12" s="1"/>
  <c r="L299" i="12"/>
  <c r="G299" i="12"/>
  <c r="I299" i="12" s="1"/>
  <c r="L298" i="12"/>
  <c r="G298" i="12"/>
  <c r="I298" i="12" s="1"/>
  <c r="L297" i="12"/>
  <c r="I297" i="12"/>
  <c r="G297" i="12"/>
  <c r="L296" i="12"/>
  <c r="G296" i="12"/>
  <c r="I296" i="12" s="1"/>
  <c r="L295" i="12"/>
  <c r="G295" i="12"/>
  <c r="I295" i="12" s="1"/>
  <c r="L294" i="12"/>
  <c r="G294" i="12"/>
  <c r="I294" i="12" s="1"/>
  <c r="L293" i="12"/>
  <c r="I293" i="12"/>
  <c r="G293" i="12"/>
  <c r="L292" i="12"/>
  <c r="G292" i="12"/>
  <c r="I292" i="12" s="1"/>
  <c r="L291" i="12"/>
  <c r="I291" i="12"/>
  <c r="G291" i="12"/>
  <c r="L290" i="12"/>
  <c r="J290" i="12"/>
  <c r="I290" i="12"/>
  <c r="G290" i="12"/>
  <c r="L289" i="12"/>
  <c r="J289" i="12"/>
  <c r="I289" i="12"/>
  <c r="G289" i="12"/>
  <c r="L288" i="12"/>
  <c r="J288" i="12"/>
  <c r="I288" i="12"/>
  <c r="G288" i="12"/>
  <c r="L287" i="12"/>
  <c r="J287" i="12"/>
  <c r="I287" i="12"/>
  <c r="G287" i="12"/>
  <c r="L286" i="12"/>
  <c r="J286" i="12"/>
  <c r="I286" i="12"/>
  <c r="G286" i="12"/>
  <c r="L285" i="12"/>
  <c r="J285" i="12"/>
  <c r="I285" i="12"/>
  <c r="G285" i="12"/>
  <c r="L284" i="12"/>
  <c r="J284" i="12"/>
  <c r="I284" i="12"/>
  <c r="G284" i="12"/>
  <c r="L283" i="12"/>
  <c r="J283" i="12"/>
  <c r="I283" i="12"/>
  <c r="G283" i="12"/>
  <c r="L282" i="12"/>
  <c r="J282" i="12"/>
  <c r="I282" i="12"/>
  <c r="G282" i="12"/>
  <c r="L281" i="12"/>
  <c r="J281" i="12"/>
  <c r="I281" i="12"/>
  <c r="G281" i="12"/>
  <c r="L280" i="12"/>
  <c r="J280" i="12"/>
  <c r="I280" i="12"/>
  <c r="G280" i="12"/>
  <c r="L279" i="12"/>
  <c r="J279" i="12"/>
  <c r="I279" i="12"/>
  <c r="G279" i="12"/>
  <c r="K278" i="12"/>
  <c r="J278" i="12"/>
  <c r="G278" i="12"/>
  <c r="I278" i="12" s="1"/>
  <c r="L277" i="12"/>
  <c r="I277" i="12"/>
  <c r="G277" i="12"/>
  <c r="L276" i="12"/>
  <c r="G276" i="12"/>
  <c r="I276" i="12" s="1"/>
  <c r="L275" i="12"/>
  <c r="I275" i="12"/>
  <c r="G275" i="12"/>
  <c r="L274" i="12"/>
  <c r="I274" i="12"/>
  <c r="G274" i="12"/>
  <c r="L273" i="12"/>
  <c r="G273" i="12"/>
  <c r="I273" i="12" s="1"/>
  <c r="L272" i="12"/>
  <c r="G272" i="12"/>
  <c r="I272" i="12" s="1"/>
  <c r="L271" i="12"/>
  <c r="I271" i="12"/>
  <c r="G271" i="12"/>
  <c r="L270" i="12"/>
  <c r="G270" i="12"/>
  <c r="I270" i="12" s="1"/>
  <c r="L269" i="12"/>
  <c r="G269" i="12"/>
  <c r="I269" i="12" s="1"/>
  <c r="L268" i="12"/>
  <c r="G268" i="12"/>
  <c r="I268" i="12" s="1"/>
  <c r="L267" i="12"/>
  <c r="I267" i="12"/>
  <c r="G267" i="12"/>
  <c r="L266" i="12"/>
  <c r="G266" i="12"/>
  <c r="I266" i="12" s="1"/>
  <c r="L265" i="12"/>
  <c r="G265" i="12"/>
  <c r="I265" i="12" s="1"/>
  <c r="L264" i="12"/>
  <c r="G264" i="12"/>
  <c r="I264" i="12" s="1"/>
  <c r="L263" i="12"/>
  <c r="I263" i="12"/>
  <c r="G263" i="12"/>
  <c r="L262" i="12"/>
  <c r="G262" i="12"/>
  <c r="I262" i="12" s="1"/>
  <c r="L261" i="12"/>
  <c r="I261" i="12"/>
  <c r="G261" i="12"/>
  <c r="L260" i="12"/>
  <c r="G260" i="12"/>
  <c r="I260" i="12" s="1"/>
  <c r="L259" i="12"/>
  <c r="I259" i="12"/>
  <c r="G259" i="12"/>
  <c r="L258" i="12"/>
  <c r="I258" i="12"/>
  <c r="G258" i="12"/>
  <c r="L257" i="12"/>
  <c r="G257" i="12"/>
  <c r="I257" i="12" s="1"/>
  <c r="L256" i="12"/>
  <c r="G256" i="12"/>
  <c r="I256" i="12" s="1"/>
  <c r="L255" i="12"/>
  <c r="I255" i="12"/>
  <c r="G255" i="12"/>
  <c r="L254" i="12"/>
  <c r="G254" i="12"/>
  <c r="I254" i="12" s="1"/>
  <c r="L253" i="12"/>
  <c r="G253" i="12"/>
  <c r="I253" i="12" s="1"/>
  <c r="L252" i="12"/>
  <c r="G252" i="12"/>
  <c r="I252" i="12" s="1"/>
  <c r="L251" i="12"/>
  <c r="J251" i="12"/>
  <c r="G251" i="12"/>
  <c r="I251" i="12" s="1"/>
  <c r="L250" i="12"/>
  <c r="J250" i="12"/>
  <c r="G250" i="12"/>
  <c r="I250" i="12" s="1"/>
  <c r="L249" i="12"/>
  <c r="J249" i="12"/>
  <c r="G249" i="12"/>
  <c r="I249" i="12" s="1"/>
  <c r="L248" i="12"/>
  <c r="J248" i="12"/>
  <c r="G248" i="12"/>
  <c r="I248" i="12" s="1"/>
  <c r="L247" i="12"/>
  <c r="J247" i="12"/>
  <c r="G247" i="12"/>
  <c r="I247" i="12" s="1"/>
  <c r="L246" i="12"/>
  <c r="J246" i="12"/>
  <c r="G246" i="12"/>
  <c r="I246" i="12" s="1"/>
  <c r="L245" i="12"/>
  <c r="J245" i="12"/>
  <c r="G245" i="12"/>
  <c r="I245" i="12" s="1"/>
  <c r="L244" i="12"/>
  <c r="J244" i="12"/>
  <c r="G244" i="12"/>
  <c r="I244" i="12" s="1"/>
  <c r="L243" i="12"/>
  <c r="I243" i="12"/>
  <c r="G243" i="12"/>
  <c r="L242" i="12"/>
  <c r="G242" i="12"/>
  <c r="I242" i="12" s="1"/>
  <c r="L241" i="12"/>
  <c r="G241" i="12"/>
  <c r="I241" i="12" s="1"/>
  <c r="L240" i="12"/>
  <c r="G240" i="12"/>
  <c r="I240" i="12" s="1"/>
  <c r="L239" i="12"/>
  <c r="I239" i="12"/>
  <c r="G239" i="12"/>
  <c r="L238" i="12"/>
  <c r="G238" i="12"/>
  <c r="I238" i="12" s="1"/>
  <c r="L237" i="12"/>
  <c r="I237" i="12"/>
  <c r="G237" i="12"/>
  <c r="L236" i="12"/>
  <c r="G236" i="12"/>
  <c r="I236" i="12" s="1"/>
  <c r="L235" i="12"/>
  <c r="I235" i="12"/>
  <c r="G235" i="12"/>
  <c r="L234" i="12"/>
  <c r="I234" i="12"/>
  <c r="G234" i="12"/>
  <c r="L233" i="12"/>
  <c r="I233" i="12"/>
  <c r="G233" i="12"/>
  <c r="L232" i="12"/>
  <c r="G232" i="12"/>
  <c r="I232" i="12" s="1"/>
  <c r="L231" i="12"/>
  <c r="I231" i="12"/>
  <c r="G231" i="12"/>
  <c r="L230" i="12"/>
  <c r="I230" i="12"/>
  <c r="G230" i="12"/>
  <c r="L229" i="12"/>
  <c r="G229" i="12"/>
  <c r="I229" i="12" s="1"/>
  <c r="L228" i="12"/>
  <c r="G228" i="12"/>
  <c r="I228" i="12" s="1"/>
  <c r="L227" i="12"/>
  <c r="I227" i="12"/>
  <c r="G227" i="12"/>
  <c r="L226" i="12"/>
  <c r="G226" i="12"/>
  <c r="I226" i="12" s="1"/>
  <c r="L225" i="12"/>
  <c r="G225" i="12"/>
  <c r="I225" i="12" s="1"/>
  <c r="L224" i="12"/>
  <c r="G224" i="12"/>
  <c r="I224" i="12" s="1"/>
  <c r="L223" i="12"/>
  <c r="I223" i="12"/>
  <c r="G223" i="12"/>
  <c r="L222" i="12"/>
  <c r="G222" i="12"/>
  <c r="I222" i="12" s="1"/>
  <c r="L221" i="12"/>
  <c r="I221" i="12"/>
  <c r="G221" i="12"/>
  <c r="L220" i="12"/>
  <c r="G220" i="12"/>
  <c r="I220" i="12" s="1"/>
  <c r="L219" i="12"/>
  <c r="I219" i="12"/>
  <c r="G219" i="12"/>
  <c r="L218" i="12"/>
  <c r="I218" i="12"/>
  <c r="G218" i="12"/>
  <c r="L217" i="12"/>
  <c r="I217" i="12"/>
  <c r="G217" i="12"/>
  <c r="L216" i="12"/>
  <c r="G216" i="12"/>
  <c r="I216" i="12" s="1"/>
  <c r="L215" i="12"/>
  <c r="I215" i="12"/>
  <c r="G215" i="12"/>
  <c r="L214" i="12"/>
  <c r="I214" i="12"/>
  <c r="G214" i="12"/>
  <c r="L213" i="12"/>
  <c r="G213" i="12"/>
  <c r="I213" i="12" s="1"/>
  <c r="L212" i="12"/>
  <c r="G212" i="12"/>
  <c r="I212" i="12" s="1"/>
  <c r="L211" i="12"/>
  <c r="I211" i="12"/>
  <c r="G211" i="12"/>
  <c r="L210" i="12"/>
  <c r="J210" i="12"/>
  <c r="I210" i="12"/>
  <c r="G210" i="12"/>
  <c r="L209" i="12"/>
  <c r="J209" i="12"/>
  <c r="I209" i="12"/>
  <c r="G209" i="12"/>
  <c r="L208" i="12"/>
  <c r="J208" i="12"/>
  <c r="I208" i="12"/>
  <c r="G208" i="12"/>
  <c r="L207" i="12"/>
  <c r="J207" i="12"/>
  <c r="I207" i="12"/>
  <c r="G207" i="12"/>
  <c r="L206" i="12"/>
  <c r="J206" i="12"/>
  <c r="I206" i="12"/>
  <c r="G206" i="12"/>
  <c r="L205" i="12"/>
  <c r="J205" i="12"/>
  <c r="I205" i="12"/>
  <c r="G205" i="12"/>
  <c r="L204" i="12"/>
  <c r="J204" i="12"/>
  <c r="I204" i="12"/>
  <c r="G204" i="12"/>
  <c r="L203" i="12"/>
  <c r="J203" i="12"/>
  <c r="I203" i="12"/>
  <c r="G203" i="12"/>
  <c r="L202" i="12"/>
  <c r="J202" i="12"/>
  <c r="I202" i="12"/>
  <c r="G202" i="12"/>
  <c r="L201" i="12"/>
  <c r="J201" i="12"/>
  <c r="I201" i="12"/>
  <c r="G201" i="12"/>
  <c r="L200" i="12"/>
  <c r="K200" i="12"/>
  <c r="I200" i="12"/>
  <c r="G200" i="12"/>
  <c r="L199" i="12"/>
  <c r="K199" i="12"/>
  <c r="I199" i="12"/>
  <c r="G199" i="12"/>
  <c r="L198" i="12"/>
  <c r="K198" i="12"/>
  <c r="I198" i="12"/>
  <c r="G198" i="12"/>
  <c r="L197" i="12"/>
  <c r="K197" i="12"/>
  <c r="I197" i="12"/>
  <c r="G197" i="12"/>
  <c r="L196" i="12"/>
  <c r="K196" i="12"/>
  <c r="I196" i="12"/>
  <c r="G196" i="12"/>
  <c r="L195" i="12"/>
  <c r="K195" i="12"/>
  <c r="I195" i="12"/>
  <c r="G195" i="12"/>
  <c r="L194" i="12"/>
  <c r="K194" i="12"/>
  <c r="I194" i="12"/>
  <c r="G194" i="12"/>
  <c r="L193" i="12"/>
  <c r="K193" i="12"/>
  <c r="I193" i="12"/>
  <c r="G193" i="12"/>
  <c r="L192" i="12"/>
  <c r="K192" i="12"/>
  <c r="I192" i="12"/>
  <c r="G192" i="12"/>
  <c r="L191" i="12"/>
  <c r="K191" i="12"/>
  <c r="I191" i="12"/>
  <c r="G191" i="12"/>
  <c r="L190" i="12"/>
  <c r="K190" i="12"/>
  <c r="I190" i="12"/>
  <c r="G190" i="12"/>
  <c r="L189" i="12"/>
  <c r="K189" i="12"/>
  <c r="I189" i="12"/>
  <c r="G189" i="12"/>
  <c r="L188" i="12"/>
  <c r="K188" i="12"/>
  <c r="I188" i="12"/>
  <c r="G188" i="12"/>
  <c r="L187" i="12"/>
  <c r="K187" i="12"/>
  <c r="I187" i="12"/>
  <c r="G187" i="12"/>
  <c r="L186" i="12"/>
  <c r="K186" i="12"/>
  <c r="I186" i="12"/>
  <c r="G186" i="12"/>
  <c r="L185" i="12"/>
  <c r="K185" i="12"/>
  <c r="I185" i="12"/>
  <c r="G185" i="12"/>
  <c r="L184" i="12"/>
  <c r="K184" i="12"/>
  <c r="I184" i="12"/>
  <c r="G184" i="12"/>
  <c r="L183" i="12"/>
  <c r="K183" i="12"/>
  <c r="I183" i="12"/>
  <c r="G183" i="12"/>
  <c r="L182" i="12"/>
  <c r="K182" i="12"/>
  <c r="I182" i="12"/>
  <c r="G182" i="12"/>
  <c r="L181" i="12"/>
  <c r="K181" i="12"/>
  <c r="I181" i="12"/>
  <c r="G181" i="12"/>
  <c r="L180" i="12"/>
  <c r="K180" i="12"/>
  <c r="I180" i="12"/>
  <c r="G180" i="12"/>
  <c r="L179" i="12"/>
  <c r="K179" i="12"/>
  <c r="I179" i="12"/>
  <c r="G179" i="12"/>
  <c r="L178" i="12"/>
  <c r="K178" i="12"/>
  <c r="I178" i="12"/>
  <c r="G178" i="12"/>
  <c r="L177" i="12"/>
  <c r="K177" i="12"/>
  <c r="I177" i="12"/>
  <c r="G177" i="12"/>
  <c r="L176" i="12"/>
  <c r="K176" i="12"/>
  <c r="I176" i="12"/>
  <c r="G176" i="12"/>
  <c r="L175" i="12"/>
  <c r="K175" i="12"/>
  <c r="I175" i="12"/>
  <c r="G175" i="12"/>
  <c r="L174" i="12"/>
  <c r="K174" i="12"/>
  <c r="I174" i="12"/>
  <c r="G174" i="12"/>
  <c r="L173" i="12"/>
  <c r="K173" i="12"/>
  <c r="I173" i="12"/>
  <c r="G173" i="12"/>
  <c r="L172" i="12"/>
  <c r="G172" i="12"/>
  <c r="I172" i="12" s="1"/>
  <c r="L171" i="12"/>
  <c r="G171" i="12"/>
  <c r="I171" i="12" s="1"/>
  <c r="L170" i="12"/>
  <c r="G170" i="12"/>
  <c r="I170" i="12" s="1"/>
  <c r="L169" i="12"/>
  <c r="I169" i="12"/>
  <c r="G169" i="12"/>
  <c r="L168" i="12"/>
  <c r="J168" i="12"/>
  <c r="I168" i="12"/>
  <c r="G168" i="12"/>
  <c r="L167" i="12"/>
  <c r="J167" i="12"/>
  <c r="I167" i="12"/>
  <c r="G167" i="12"/>
  <c r="L166" i="12"/>
  <c r="J166" i="12"/>
  <c r="I166" i="12"/>
  <c r="G166" i="12"/>
  <c r="L165" i="12"/>
  <c r="J165" i="12"/>
  <c r="I165" i="12"/>
  <c r="G165" i="12"/>
  <c r="L164" i="12"/>
  <c r="J164" i="12"/>
  <c r="I164" i="12"/>
  <c r="G164" i="12"/>
  <c r="L163" i="12"/>
  <c r="J163" i="12"/>
  <c r="I163" i="12"/>
  <c r="G163" i="12"/>
  <c r="L162" i="12"/>
  <c r="J162" i="12"/>
  <c r="I162" i="12"/>
  <c r="G162" i="12"/>
  <c r="L161" i="12"/>
  <c r="J161" i="12"/>
  <c r="I161" i="12"/>
  <c r="G161" i="12"/>
  <c r="L160" i="12"/>
  <c r="J160" i="12"/>
  <c r="I160" i="12"/>
  <c r="G160" i="12"/>
  <c r="L159" i="12"/>
  <c r="J159" i="12"/>
  <c r="I159" i="12"/>
  <c r="G159" i="12"/>
  <c r="L158" i="12"/>
  <c r="J158" i="12"/>
  <c r="I158" i="12"/>
  <c r="G158" i="12"/>
  <c r="L157" i="12"/>
  <c r="G157" i="12"/>
  <c r="I157" i="12" s="1"/>
  <c r="L156" i="12"/>
  <c r="I156" i="12"/>
  <c r="G156" i="12"/>
  <c r="L155" i="12"/>
  <c r="K155" i="12"/>
  <c r="I155" i="12"/>
  <c r="G155" i="12"/>
  <c r="L154" i="12"/>
  <c r="K154" i="12"/>
  <c r="I154" i="12"/>
  <c r="G154" i="12"/>
  <c r="L153" i="12"/>
  <c r="K153" i="12"/>
  <c r="I153" i="12"/>
  <c r="G153" i="12"/>
  <c r="L152" i="12"/>
  <c r="K152" i="12"/>
  <c r="I152" i="12"/>
  <c r="G152" i="12"/>
  <c r="L151" i="12"/>
  <c r="K151" i="12"/>
  <c r="I151" i="12"/>
  <c r="G151" i="12"/>
  <c r="L150" i="12"/>
  <c r="K150" i="12"/>
  <c r="I150" i="12"/>
  <c r="G150" i="12"/>
  <c r="L149" i="12"/>
  <c r="K149" i="12"/>
  <c r="I149" i="12"/>
  <c r="G149" i="12"/>
  <c r="L148" i="12"/>
  <c r="K148" i="12"/>
  <c r="I148" i="12"/>
  <c r="G148" i="12"/>
  <c r="L147" i="12"/>
  <c r="K147" i="12"/>
  <c r="I147" i="12"/>
  <c r="G147" i="12"/>
  <c r="L146" i="12"/>
  <c r="K146" i="12"/>
  <c r="I146" i="12"/>
  <c r="G146" i="12"/>
  <c r="L145" i="12"/>
  <c r="K145" i="12"/>
  <c r="I145" i="12"/>
  <c r="G145" i="12"/>
  <c r="L144" i="12"/>
  <c r="K144" i="12"/>
  <c r="I144" i="12"/>
  <c r="G144" i="12"/>
  <c r="L143" i="12"/>
  <c r="K143" i="12"/>
  <c r="I143" i="12"/>
  <c r="G143" i="12"/>
  <c r="L142" i="12"/>
  <c r="K142" i="12"/>
  <c r="I142" i="12"/>
  <c r="G142" i="12"/>
  <c r="L141" i="12"/>
  <c r="K141" i="12"/>
  <c r="I141" i="12"/>
  <c r="G141" i="12"/>
  <c r="L140" i="12"/>
  <c r="K140" i="12"/>
  <c r="I140" i="12"/>
  <c r="G140" i="12"/>
  <c r="L139" i="12"/>
  <c r="K139" i="12"/>
  <c r="I139" i="12"/>
  <c r="G139" i="12"/>
  <c r="L138" i="12"/>
  <c r="K138" i="12"/>
  <c r="I138" i="12"/>
  <c r="G138" i="12"/>
  <c r="L137" i="12"/>
  <c r="K137" i="12"/>
  <c r="I137" i="12"/>
  <c r="G137" i="12"/>
  <c r="L136" i="12"/>
  <c r="K136" i="12"/>
  <c r="I136" i="12"/>
  <c r="G136" i="12"/>
  <c r="L135" i="12"/>
  <c r="K135" i="12"/>
  <c r="I135" i="12"/>
  <c r="G135" i="12"/>
  <c r="L134" i="12"/>
  <c r="K134" i="12"/>
  <c r="I134" i="12"/>
  <c r="G134" i="12"/>
  <c r="L133" i="12"/>
  <c r="K133" i="12"/>
  <c r="I133" i="12"/>
  <c r="G133" i="12"/>
  <c r="L132" i="12"/>
  <c r="K132" i="12"/>
  <c r="I132" i="12"/>
  <c r="G132" i="12"/>
  <c r="L131" i="12"/>
  <c r="K131" i="12"/>
  <c r="I131" i="12"/>
  <c r="G131" i="12"/>
  <c r="L130" i="12"/>
  <c r="K130" i="12"/>
  <c r="I130" i="12"/>
  <c r="G130" i="12"/>
  <c r="L129" i="12"/>
  <c r="K129" i="12"/>
  <c r="I129" i="12"/>
  <c r="G129" i="12"/>
  <c r="L128" i="12"/>
  <c r="K128" i="12"/>
  <c r="I128" i="12"/>
  <c r="G128" i="12"/>
  <c r="L127" i="12"/>
  <c r="K127" i="12"/>
  <c r="I127" i="12"/>
  <c r="G127" i="12"/>
  <c r="L126" i="12"/>
  <c r="K126" i="12"/>
  <c r="I126" i="12"/>
  <c r="G126" i="12"/>
  <c r="L125" i="12"/>
  <c r="K125" i="12"/>
  <c r="I125" i="12"/>
  <c r="G125" i="12"/>
  <c r="L124" i="12"/>
  <c r="K124" i="12"/>
  <c r="I124" i="12"/>
  <c r="G124" i="12"/>
  <c r="L123" i="12"/>
  <c r="K123" i="12"/>
  <c r="I123" i="12"/>
  <c r="G123" i="12"/>
  <c r="L122" i="12"/>
  <c r="K122" i="12"/>
  <c r="I122" i="12"/>
  <c r="G122" i="12"/>
  <c r="L121" i="12"/>
  <c r="K121" i="12"/>
  <c r="I121" i="12"/>
  <c r="G121" i="12"/>
  <c r="L120" i="12"/>
  <c r="K120" i="12"/>
  <c r="I120" i="12"/>
  <c r="G120" i="12"/>
  <c r="L119" i="12"/>
  <c r="K119" i="12"/>
  <c r="I119" i="12"/>
  <c r="G119" i="12"/>
  <c r="L118" i="12"/>
  <c r="K118" i="12"/>
  <c r="I118" i="12"/>
  <c r="G118" i="12"/>
  <c r="L117" i="12"/>
  <c r="K117" i="12"/>
  <c r="I117" i="12"/>
  <c r="G117" i="12"/>
  <c r="L116" i="12"/>
  <c r="K116" i="12"/>
  <c r="I116" i="12"/>
  <c r="G116" i="12"/>
  <c r="L115" i="12"/>
  <c r="K115" i="12"/>
  <c r="I115" i="12"/>
  <c r="G115" i="12"/>
  <c r="L114" i="12"/>
  <c r="K114" i="12"/>
  <c r="I114" i="12"/>
  <c r="G114" i="12"/>
  <c r="L113" i="12"/>
  <c r="G113" i="12"/>
  <c r="I113" i="12" s="1"/>
  <c r="L112" i="12"/>
  <c r="I112" i="12"/>
  <c r="G112" i="12"/>
  <c r="L111" i="12"/>
  <c r="J111" i="12"/>
  <c r="I111" i="12"/>
  <c r="G111" i="12"/>
  <c r="L110" i="12"/>
  <c r="J110" i="12"/>
  <c r="I110" i="12"/>
  <c r="G110" i="12"/>
  <c r="L109" i="12"/>
  <c r="J109" i="12"/>
  <c r="I109" i="12"/>
  <c r="G109" i="12"/>
  <c r="L108" i="12"/>
  <c r="J108" i="12"/>
  <c r="I108" i="12"/>
  <c r="G108" i="12"/>
  <c r="L107" i="12"/>
  <c r="J107" i="12"/>
  <c r="I107" i="12"/>
  <c r="G107" i="12"/>
  <c r="L106" i="12"/>
  <c r="J106" i="12"/>
  <c r="I106" i="12"/>
  <c r="G106" i="12"/>
  <c r="L105" i="12"/>
  <c r="J105" i="12"/>
  <c r="I105" i="12"/>
  <c r="G105" i="12"/>
  <c r="L104" i="12"/>
  <c r="J104" i="12"/>
  <c r="I104" i="12"/>
  <c r="G104" i="12"/>
  <c r="L103" i="12"/>
  <c r="J103" i="12"/>
  <c r="I103" i="12"/>
  <c r="G103" i="12"/>
  <c r="L102" i="12"/>
  <c r="J102" i="12"/>
  <c r="I102" i="12"/>
  <c r="G102" i="12"/>
  <c r="L101" i="12"/>
  <c r="K101" i="12"/>
  <c r="I101" i="12"/>
  <c r="G101" i="12"/>
  <c r="L100" i="12"/>
  <c r="K100" i="12"/>
  <c r="I100" i="12"/>
  <c r="G100" i="12"/>
  <c r="L99" i="12"/>
  <c r="K99" i="12"/>
  <c r="I99" i="12"/>
  <c r="G99" i="12"/>
  <c r="L98" i="12"/>
  <c r="K98" i="12"/>
  <c r="I98" i="12"/>
  <c r="G98" i="12"/>
  <c r="L97" i="12"/>
  <c r="K97" i="12"/>
  <c r="I97" i="12"/>
  <c r="G97" i="12"/>
  <c r="L96" i="12"/>
  <c r="K96" i="12"/>
  <c r="I96" i="12"/>
  <c r="G96" i="12"/>
  <c r="L95" i="12"/>
  <c r="K95" i="12"/>
  <c r="I95" i="12"/>
  <c r="G95" i="12"/>
  <c r="L94" i="12"/>
  <c r="K94" i="12"/>
  <c r="I94" i="12"/>
  <c r="G94" i="12"/>
  <c r="L93" i="12"/>
  <c r="K93" i="12"/>
  <c r="I93" i="12"/>
  <c r="G93" i="12"/>
  <c r="L92" i="12"/>
  <c r="K92" i="12"/>
  <c r="G92" i="12"/>
  <c r="I92" i="12" s="1"/>
  <c r="L91" i="12"/>
  <c r="K91" i="12"/>
  <c r="G91" i="12"/>
  <c r="I91" i="12" s="1"/>
  <c r="L90" i="12"/>
  <c r="K90" i="12"/>
  <c r="G90" i="12"/>
  <c r="I90" i="12" s="1"/>
  <c r="L89" i="12"/>
  <c r="K89" i="12"/>
  <c r="G89" i="12"/>
  <c r="I89" i="12" s="1"/>
  <c r="L88" i="12"/>
  <c r="K88" i="12"/>
  <c r="G88" i="12"/>
  <c r="I88" i="12" s="1"/>
  <c r="L87" i="12"/>
  <c r="K87" i="12"/>
  <c r="G87" i="12"/>
  <c r="I87" i="12" s="1"/>
  <c r="L86" i="12"/>
  <c r="K86" i="12"/>
  <c r="G86" i="12"/>
  <c r="I86" i="12" s="1"/>
  <c r="L85" i="12"/>
  <c r="K85" i="12"/>
  <c r="G85" i="12"/>
  <c r="I85" i="12" s="1"/>
  <c r="L84" i="12"/>
  <c r="K84" i="12"/>
  <c r="G84" i="12"/>
  <c r="I84" i="12" s="1"/>
  <c r="L83" i="12"/>
  <c r="K83" i="12"/>
  <c r="G83" i="12"/>
  <c r="I83" i="12" s="1"/>
  <c r="L82" i="12"/>
  <c r="K82" i="12"/>
  <c r="G82" i="12"/>
  <c r="I82" i="12" s="1"/>
  <c r="L81" i="12"/>
  <c r="K81" i="12"/>
  <c r="G81" i="12"/>
  <c r="I81" i="12" s="1"/>
  <c r="L80" i="12"/>
  <c r="K80" i="12"/>
  <c r="G80" i="12"/>
  <c r="I80" i="12" s="1"/>
  <c r="L79" i="12"/>
  <c r="K79" i="12"/>
  <c r="G79" i="12"/>
  <c r="I79" i="12" s="1"/>
  <c r="L78" i="12"/>
  <c r="K78" i="12"/>
  <c r="G78" i="12"/>
  <c r="I78" i="12" s="1"/>
  <c r="L77" i="12"/>
  <c r="K77" i="12"/>
  <c r="G77" i="12"/>
  <c r="I77" i="12" s="1"/>
  <c r="L76" i="12"/>
  <c r="K76" i="12"/>
  <c r="G76" i="12"/>
  <c r="I76" i="12" s="1"/>
  <c r="L75" i="12"/>
  <c r="K75" i="12"/>
  <c r="G75" i="12"/>
  <c r="I75" i="12" s="1"/>
  <c r="L74" i="12"/>
  <c r="K74" i="12"/>
  <c r="G74" i="12"/>
  <c r="I74" i="12" s="1"/>
  <c r="L73" i="12"/>
  <c r="K73" i="12"/>
  <c r="G73" i="12"/>
  <c r="I73" i="12" s="1"/>
  <c r="L72" i="12"/>
  <c r="K72" i="12"/>
  <c r="G72" i="12"/>
  <c r="I72" i="12" s="1"/>
  <c r="L71" i="12"/>
  <c r="K71" i="12"/>
  <c r="G71" i="12"/>
  <c r="I71" i="12" s="1"/>
  <c r="L70" i="12"/>
  <c r="K70" i="12"/>
  <c r="G70" i="12"/>
  <c r="I70" i="12" s="1"/>
  <c r="L69" i="12"/>
  <c r="K69" i="12"/>
  <c r="G69" i="12"/>
  <c r="I69" i="12" s="1"/>
  <c r="L68" i="12"/>
  <c r="K68" i="12"/>
  <c r="G68" i="12"/>
  <c r="I68" i="12" s="1"/>
  <c r="L67" i="12"/>
  <c r="I67" i="12"/>
  <c r="G67" i="12"/>
  <c r="L66" i="12"/>
  <c r="J66" i="12"/>
  <c r="I66" i="12"/>
  <c r="G66" i="12"/>
  <c r="L65" i="12"/>
  <c r="J65" i="12"/>
  <c r="I65" i="12"/>
  <c r="G65" i="12"/>
  <c r="L64" i="12"/>
  <c r="J64" i="12"/>
  <c r="I64" i="12"/>
  <c r="G64" i="12"/>
  <c r="L63" i="12"/>
  <c r="J63" i="12"/>
  <c r="I63" i="12"/>
  <c r="G63" i="12"/>
  <c r="L62" i="12"/>
  <c r="J62" i="12"/>
  <c r="I62" i="12"/>
  <c r="G62" i="12"/>
  <c r="L61" i="12"/>
  <c r="J61" i="12"/>
  <c r="I61" i="12"/>
  <c r="G61" i="12"/>
  <c r="L60" i="12"/>
  <c r="J60" i="12"/>
  <c r="I60" i="12"/>
  <c r="G60" i="12"/>
  <c r="L59" i="12"/>
  <c r="J59" i="12"/>
  <c r="I59" i="12"/>
  <c r="G59" i="12"/>
  <c r="L58" i="12"/>
  <c r="J58" i="12"/>
  <c r="I58" i="12"/>
  <c r="G58" i="12"/>
  <c r="L57" i="12"/>
  <c r="J57" i="12"/>
  <c r="I57" i="12"/>
  <c r="G57" i="12"/>
  <c r="L56" i="12"/>
  <c r="J56" i="12"/>
  <c r="I56" i="12"/>
  <c r="G56" i="12"/>
  <c r="L55" i="12"/>
  <c r="I55" i="12"/>
  <c r="G55" i="12"/>
  <c r="L54" i="12"/>
  <c r="G54" i="12"/>
  <c r="I54" i="12" s="1"/>
  <c r="L53" i="12"/>
  <c r="G53" i="12"/>
  <c r="I53" i="12" s="1"/>
  <c r="L52" i="12"/>
  <c r="I52" i="12"/>
  <c r="G52" i="12"/>
  <c r="L51" i="12"/>
  <c r="G51" i="12"/>
  <c r="I51" i="12" s="1"/>
  <c r="L50" i="12"/>
  <c r="G50" i="12"/>
  <c r="I50" i="12" s="1"/>
  <c r="L49" i="12"/>
  <c r="G49" i="12"/>
  <c r="I49" i="12" s="1"/>
  <c r="L48" i="12"/>
  <c r="I48" i="12"/>
  <c r="G48" i="12"/>
  <c r="L47" i="12"/>
  <c r="I47" i="12"/>
  <c r="G47" i="12"/>
  <c r="L46" i="12"/>
  <c r="G46" i="12"/>
  <c r="I46" i="12" s="1"/>
  <c r="L45" i="12"/>
  <c r="G45" i="12"/>
  <c r="I45" i="12" s="1"/>
  <c r="L44" i="12"/>
  <c r="I44" i="12"/>
  <c r="G44" i="12"/>
  <c r="L43" i="12"/>
  <c r="G43" i="12"/>
  <c r="I43" i="12" s="1"/>
  <c r="L42" i="12"/>
  <c r="G42" i="12"/>
  <c r="I42" i="12" s="1"/>
  <c r="L41" i="12"/>
  <c r="G41" i="12"/>
  <c r="I41" i="12" s="1"/>
  <c r="L40" i="12"/>
  <c r="I40" i="12"/>
  <c r="G40" i="12"/>
  <c r="L39" i="12"/>
  <c r="I39" i="12"/>
  <c r="G39" i="12"/>
  <c r="L38" i="12"/>
  <c r="G38" i="12"/>
  <c r="I38" i="12" s="1"/>
  <c r="L37" i="12"/>
  <c r="G37" i="12"/>
  <c r="I37" i="12" s="1"/>
  <c r="L36" i="12"/>
  <c r="I36" i="12"/>
  <c r="G36" i="12"/>
  <c r="L35" i="12"/>
  <c r="G35" i="12"/>
  <c r="I35" i="12" s="1"/>
  <c r="L34" i="12"/>
  <c r="G34" i="12"/>
  <c r="I34" i="12" s="1"/>
  <c r="L33" i="12"/>
  <c r="G33" i="12"/>
  <c r="I33" i="12" s="1"/>
  <c r="L32" i="12"/>
  <c r="I32" i="12"/>
  <c r="G32" i="12"/>
  <c r="L31" i="12"/>
  <c r="I31" i="12"/>
  <c r="G31" i="12"/>
  <c r="L30" i="12"/>
  <c r="G30" i="12"/>
  <c r="I30" i="12" s="1"/>
  <c r="L29" i="12"/>
  <c r="G29" i="12"/>
  <c r="I29" i="12" s="1"/>
  <c r="L28" i="12"/>
  <c r="I28" i="12"/>
  <c r="G28" i="12"/>
  <c r="L27" i="12"/>
  <c r="G27" i="12"/>
  <c r="I27" i="12" s="1"/>
  <c r="L26" i="12"/>
  <c r="G26" i="12"/>
  <c r="I26" i="12" s="1"/>
  <c r="L25" i="12"/>
  <c r="G25" i="12"/>
  <c r="I25" i="12" s="1"/>
  <c r="L24" i="12"/>
  <c r="I24" i="12"/>
  <c r="G24" i="12"/>
  <c r="L23" i="12"/>
  <c r="I23" i="12"/>
  <c r="G23" i="12"/>
  <c r="L22" i="12"/>
  <c r="G22" i="12"/>
  <c r="I22" i="12" s="1"/>
  <c r="L21" i="12"/>
  <c r="G21" i="12"/>
  <c r="I21" i="12" s="1"/>
  <c r="L20" i="12"/>
  <c r="I20" i="12"/>
  <c r="G20" i="12"/>
  <c r="L19" i="12"/>
  <c r="G19" i="12"/>
  <c r="I19" i="12" s="1"/>
  <c r="L18" i="12"/>
  <c r="G18" i="12"/>
  <c r="I18" i="12" s="1"/>
  <c r="L17" i="12"/>
  <c r="G17" i="12"/>
  <c r="I17" i="12" s="1"/>
  <c r="L16" i="12"/>
  <c r="I16" i="12"/>
  <c r="G16" i="12"/>
  <c r="L15" i="12"/>
  <c r="I15" i="12"/>
  <c r="G15" i="12"/>
  <c r="L14" i="12"/>
  <c r="G14" i="12"/>
  <c r="I14" i="12" s="1"/>
  <c r="L13" i="12"/>
  <c r="G13" i="12"/>
  <c r="I13" i="12" s="1"/>
  <c r="L12" i="12"/>
  <c r="J12" i="12"/>
  <c r="G12" i="12"/>
  <c r="I12" i="12" s="1"/>
  <c r="L11" i="12"/>
  <c r="J11" i="12"/>
  <c r="G11" i="12"/>
  <c r="I11" i="12" s="1"/>
  <c r="L10" i="12"/>
  <c r="J10" i="12"/>
  <c r="G10" i="12"/>
  <c r="I10" i="12" s="1"/>
  <c r="L9" i="12"/>
  <c r="J9" i="12"/>
  <c r="G9" i="12"/>
  <c r="I9" i="12" s="1"/>
  <c r="L8" i="12"/>
  <c r="J8" i="12"/>
  <c r="G8" i="12"/>
  <c r="I8" i="12" s="1"/>
  <c r="L7" i="12"/>
  <c r="J7" i="12"/>
  <c r="G7" i="12"/>
  <c r="I7" i="12" s="1"/>
  <c r="L6" i="12"/>
  <c r="J6" i="12"/>
  <c r="G6" i="12"/>
  <c r="I6" i="12" s="1"/>
  <c r="L5" i="12"/>
  <c r="J5" i="12"/>
  <c r="G5" i="12"/>
  <c r="I5" i="12" s="1"/>
  <c r="L4" i="12"/>
  <c r="J4" i="12"/>
  <c r="G4" i="12"/>
  <c r="I4" i="12" s="1"/>
  <c r="L3" i="12"/>
  <c r="J3" i="12"/>
  <c r="G3" i="12"/>
  <c r="I3" i="12" s="1"/>
  <c r="R2" i="12"/>
  <c r="L2" i="12"/>
  <c r="J2" i="12"/>
  <c r="G2" i="12"/>
  <c r="I2" i="12" s="1"/>
  <c r="M6" i="11"/>
  <c r="K6" i="11"/>
  <c r="I6" i="11"/>
  <c r="M5" i="11"/>
  <c r="K5" i="11"/>
  <c r="I5" i="11"/>
  <c r="M4" i="11"/>
  <c r="I4" i="11"/>
  <c r="K4" i="11" s="1"/>
  <c r="M3" i="11"/>
  <c r="I3" i="11"/>
  <c r="K3" i="11" s="1"/>
  <c r="S2" i="11"/>
  <c r="C18" i="2" s="1"/>
  <c r="M2" i="11"/>
  <c r="N2" i="11" s="1"/>
  <c r="K2" i="11"/>
  <c r="I2" i="11"/>
  <c r="K24" i="10"/>
  <c r="I24" i="10"/>
  <c r="G24" i="10"/>
  <c r="K23" i="10"/>
  <c r="J23" i="10"/>
  <c r="I23" i="10"/>
  <c r="G23" i="10"/>
  <c r="K22" i="10"/>
  <c r="J22" i="10"/>
  <c r="I22" i="10"/>
  <c r="G22" i="10"/>
  <c r="K21" i="10"/>
  <c r="G21" i="10"/>
  <c r="I21" i="10" s="1"/>
  <c r="K20" i="10"/>
  <c r="G20" i="10"/>
  <c r="I20" i="10" s="1"/>
  <c r="K19" i="10"/>
  <c r="I19" i="10"/>
  <c r="G19" i="10"/>
  <c r="K18" i="10"/>
  <c r="G18" i="10"/>
  <c r="I18" i="10" s="1"/>
  <c r="K17" i="10"/>
  <c r="G17" i="10"/>
  <c r="I17" i="10" s="1"/>
  <c r="K16" i="10"/>
  <c r="G16" i="10"/>
  <c r="I16" i="10" s="1"/>
  <c r="K15" i="10"/>
  <c r="I15" i="10"/>
  <c r="G15" i="10"/>
  <c r="K14" i="10"/>
  <c r="J14" i="10"/>
  <c r="I14" i="10"/>
  <c r="G14" i="10"/>
  <c r="K13" i="10"/>
  <c r="I13" i="10"/>
  <c r="G13" i="10"/>
  <c r="K12" i="10"/>
  <c r="G12" i="10"/>
  <c r="I12" i="10" s="1"/>
  <c r="K11" i="10"/>
  <c r="G11" i="10"/>
  <c r="I11" i="10" s="1"/>
  <c r="K10" i="10"/>
  <c r="I10" i="10"/>
  <c r="G10" i="10"/>
  <c r="K9" i="10"/>
  <c r="G9" i="10"/>
  <c r="I9" i="10" s="1"/>
  <c r="K8" i="10"/>
  <c r="G8" i="10"/>
  <c r="I8" i="10" s="1"/>
  <c r="K7" i="10"/>
  <c r="L2" i="10" s="1"/>
  <c r="E17" i="2" s="1"/>
  <c r="G7" i="10"/>
  <c r="I7" i="10" s="1"/>
  <c r="K6" i="10"/>
  <c r="I6" i="10"/>
  <c r="G6" i="10"/>
  <c r="K5" i="10"/>
  <c r="J5" i="10"/>
  <c r="I5" i="10"/>
  <c r="G5" i="10"/>
  <c r="K4" i="10"/>
  <c r="J4" i="10"/>
  <c r="I4" i="10"/>
  <c r="G4" i="10"/>
  <c r="K3" i="10"/>
  <c r="I3" i="10"/>
  <c r="G3" i="10"/>
  <c r="Q2" i="10"/>
  <c r="K2" i="10"/>
  <c r="G2" i="10"/>
  <c r="I2" i="10" s="1"/>
  <c r="P2" i="10" s="1"/>
  <c r="L55" i="9"/>
  <c r="G55" i="9"/>
  <c r="I55" i="9" s="1"/>
  <c r="L54" i="9"/>
  <c r="G54" i="9"/>
  <c r="I54" i="9" s="1"/>
  <c r="L53" i="9"/>
  <c r="I53" i="9"/>
  <c r="G53" i="9"/>
  <c r="L52" i="9"/>
  <c r="G52" i="9"/>
  <c r="I52" i="9" s="1"/>
  <c r="K51" i="9"/>
  <c r="G51" i="9"/>
  <c r="L51" i="9" s="1"/>
  <c r="L50" i="9"/>
  <c r="I50" i="9"/>
  <c r="G50" i="9"/>
  <c r="L49" i="9"/>
  <c r="G49" i="9"/>
  <c r="I49" i="9" s="1"/>
  <c r="L48" i="9"/>
  <c r="I48" i="9"/>
  <c r="G48" i="9"/>
  <c r="L47" i="9"/>
  <c r="I47" i="9"/>
  <c r="G47" i="9"/>
  <c r="L46" i="9"/>
  <c r="I46" i="9"/>
  <c r="G46" i="9"/>
  <c r="L45" i="9"/>
  <c r="G45" i="9"/>
  <c r="I45" i="9" s="1"/>
  <c r="L44" i="9"/>
  <c r="I44" i="9"/>
  <c r="G44" i="9"/>
  <c r="L43" i="9"/>
  <c r="I43" i="9"/>
  <c r="G43" i="9"/>
  <c r="K42" i="9"/>
  <c r="G42" i="9"/>
  <c r="L42" i="9" s="1"/>
  <c r="L41" i="9"/>
  <c r="G41" i="9"/>
  <c r="I41" i="9" s="1"/>
  <c r="L40" i="9"/>
  <c r="G40" i="9"/>
  <c r="I40" i="9" s="1"/>
  <c r="L39" i="9"/>
  <c r="I39" i="9"/>
  <c r="G39" i="9"/>
  <c r="L38" i="9"/>
  <c r="G38" i="9"/>
  <c r="I38" i="9" s="1"/>
  <c r="L37" i="9"/>
  <c r="I37" i="9"/>
  <c r="G37" i="9"/>
  <c r="L36" i="9"/>
  <c r="G36" i="9"/>
  <c r="I36" i="9" s="1"/>
  <c r="L35" i="9"/>
  <c r="G35" i="9"/>
  <c r="I35" i="9" s="1"/>
  <c r="L34" i="9"/>
  <c r="K34" i="9"/>
  <c r="G34" i="9"/>
  <c r="I34" i="9" s="1"/>
  <c r="L33" i="9"/>
  <c r="I33" i="9"/>
  <c r="G33" i="9"/>
  <c r="L32" i="9"/>
  <c r="I32" i="9"/>
  <c r="G32" i="9"/>
  <c r="L31" i="9"/>
  <c r="G31" i="9"/>
  <c r="I31" i="9" s="1"/>
  <c r="L30" i="9"/>
  <c r="G30" i="9"/>
  <c r="I30" i="9" s="1"/>
  <c r="L29" i="9"/>
  <c r="K29" i="9"/>
  <c r="G29" i="9"/>
  <c r="I29" i="9" s="1"/>
  <c r="L28" i="9"/>
  <c r="I28" i="9"/>
  <c r="G28" i="9"/>
  <c r="L27" i="9"/>
  <c r="I27" i="9"/>
  <c r="G27" i="9"/>
  <c r="L26" i="9"/>
  <c r="G26" i="9"/>
  <c r="I26" i="9" s="1"/>
  <c r="K25" i="9"/>
  <c r="G25" i="9"/>
  <c r="L25" i="9" s="1"/>
  <c r="L24" i="9"/>
  <c r="G24" i="9"/>
  <c r="I24" i="9" s="1"/>
  <c r="L23" i="9"/>
  <c r="I23" i="9"/>
  <c r="G23" i="9"/>
  <c r="L22" i="9"/>
  <c r="K22" i="9"/>
  <c r="I22" i="9"/>
  <c r="G22" i="9"/>
  <c r="L21" i="9"/>
  <c r="I21" i="9"/>
  <c r="G21" i="9"/>
  <c r="L20" i="9"/>
  <c r="G20" i="9"/>
  <c r="I20" i="9" s="1"/>
  <c r="L19" i="9"/>
  <c r="G19" i="9"/>
  <c r="I19" i="9" s="1"/>
  <c r="L18" i="9"/>
  <c r="K18" i="9"/>
  <c r="G18" i="9"/>
  <c r="I18" i="9" s="1"/>
  <c r="L17" i="9"/>
  <c r="I17" i="9"/>
  <c r="G17" i="9"/>
  <c r="L16" i="9"/>
  <c r="I16" i="9"/>
  <c r="G16" i="9"/>
  <c r="L15" i="9"/>
  <c r="J15" i="9"/>
  <c r="I15" i="9"/>
  <c r="G15" i="9"/>
  <c r="L14" i="9"/>
  <c r="G14" i="9"/>
  <c r="I14" i="9" s="1"/>
  <c r="L13" i="9"/>
  <c r="G13" i="9"/>
  <c r="I13" i="9" s="1"/>
  <c r="L12" i="9"/>
  <c r="I12" i="9"/>
  <c r="G12" i="9"/>
  <c r="L11" i="9"/>
  <c r="J11" i="9"/>
  <c r="J102" i="9" s="1"/>
  <c r="H15" i="2" s="1"/>
  <c r="I11" i="9"/>
  <c r="G11" i="9"/>
  <c r="L10" i="9"/>
  <c r="I10" i="9"/>
  <c r="G10" i="9"/>
  <c r="L9" i="9"/>
  <c r="G9" i="9"/>
  <c r="I9" i="9" s="1"/>
  <c r="L8" i="9"/>
  <c r="G8" i="9"/>
  <c r="I8" i="9" s="1"/>
  <c r="L7" i="9"/>
  <c r="I7" i="9"/>
  <c r="G7" i="9"/>
  <c r="L6" i="9"/>
  <c r="I6" i="9"/>
  <c r="G6" i="9"/>
  <c r="L5" i="9"/>
  <c r="G5" i="9"/>
  <c r="I5" i="9" s="1"/>
  <c r="L4" i="9"/>
  <c r="G4" i="9"/>
  <c r="I4" i="9" s="1"/>
  <c r="L3" i="9"/>
  <c r="I3" i="9"/>
  <c r="G3" i="9"/>
  <c r="R2" i="9"/>
  <c r="C15" i="2" s="1"/>
  <c r="L2" i="9"/>
  <c r="M2" i="9" s="1"/>
  <c r="E15" i="2" s="1"/>
  <c r="I2" i="9"/>
  <c r="G2" i="9"/>
  <c r="J36" i="8"/>
  <c r="I36" i="8"/>
  <c r="G36" i="8"/>
  <c r="K36" i="8" s="1"/>
  <c r="K35" i="8"/>
  <c r="J35" i="8"/>
  <c r="I35" i="8"/>
  <c r="G35" i="8"/>
  <c r="J34" i="8"/>
  <c r="I34" i="8"/>
  <c r="G34" i="8"/>
  <c r="K34" i="8" s="1"/>
  <c r="K33" i="8"/>
  <c r="J33" i="8"/>
  <c r="I33" i="8"/>
  <c r="G33" i="8"/>
  <c r="J32" i="8"/>
  <c r="I32" i="8"/>
  <c r="G32" i="8"/>
  <c r="K32" i="8" s="1"/>
  <c r="K31" i="8"/>
  <c r="J31" i="8"/>
  <c r="I31" i="8"/>
  <c r="G31" i="8"/>
  <c r="J30" i="8"/>
  <c r="I30" i="8"/>
  <c r="G30" i="8"/>
  <c r="K30" i="8" s="1"/>
  <c r="K29" i="8"/>
  <c r="G29" i="8"/>
  <c r="I29" i="8" s="1"/>
  <c r="J28" i="8"/>
  <c r="G28" i="8"/>
  <c r="K28" i="8" s="1"/>
  <c r="K27" i="8"/>
  <c r="G27" i="8"/>
  <c r="I27" i="8" s="1"/>
  <c r="K26" i="8"/>
  <c r="J26" i="8"/>
  <c r="G26" i="8"/>
  <c r="I26" i="8" s="1"/>
  <c r="K25" i="8"/>
  <c r="J25" i="8"/>
  <c r="G25" i="8"/>
  <c r="I25" i="8" s="1"/>
  <c r="K24" i="8"/>
  <c r="J24" i="8"/>
  <c r="G24" i="8"/>
  <c r="I24" i="8" s="1"/>
  <c r="K23" i="8"/>
  <c r="I23" i="8"/>
  <c r="G23" i="8"/>
  <c r="K22" i="8"/>
  <c r="J22" i="8"/>
  <c r="I22" i="8"/>
  <c r="G22" i="8"/>
  <c r="K21" i="8"/>
  <c r="I21" i="8"/>
  <c r="G21" i="8"/>
  <c r="J20" i="8"/>
  <c r="I20" i="8"/>
  <c r="G20" i="8"/>
  <c r="K20" i="8" s="1"/>
  <c r="K19" i="8"/>
  <c r="J19" i="8"/>
  <c r="I19" i="8"/>
  <c r="G19" i="8"/>
  <c r="J18" i="8"/>
  <c r="I18" i="8"/>
  <c r="G18" i="8"/>
  <c r="K18" i="8" s="1"/>
  <c r="K17" i="8"/>
  <c r="J17" i="8"/>
  <c r="I17" i="8"/>
  <c r="G17" i="8"/>
  <c r="K16" i="8"/>
  <c r="G16" i="8"/>
  <c r="I16" i="8" s="1"/>
  <c r="J15" i="8"/>
  <c r="G15" i="8"/>
  <c r="K15" i="8" s="1"/>
  <c r="K14" i="8"/>
  <c r="J14" i="8"/>
  <c r="G14" i="8"/>
  <c r="I14" i="8" s="1"/>
  <c r="J13" i="8"/>
  <c r="G13" i="8"/>
  <c r="K13" i="8" s="1"/>
  <c r="K12" i="8"/>
  <c r="G12" i="8"/>
  <c r="I12" i="8" s="1"/>
  <c r="K11" i="8"/>
  <c r="J11" i="8"/>
  <c r="G11" i="8"/>
  <c r="I11" i="8" s="1"/>
  <c r="K10" i="8"/>
  <c r="J10" i="8"/>
  <c r="G10" i="8"/>
  <c r="I10" i="8" s="1"/>
  <c r="K9" i="8"/>
  <c r="J9" i="8"/>
  <c r="G9" i="8"/>
  <c r="I9" i="8" s="1"/>
  <c r="K8" i="8"/>
  <c r="I8" i="8"/>
  <c r="G8" i="8"/>
  <c r="K7" i="8"/>
  <c r="J7" i="8"/>
  <c r="I7" i="8"/>
  <c r="G7" i="8"/>
  <c r="K6" i="8"/>
  <c r="J6" i="8"/>
  <c r="I6" i="8"/>
  <c r="G6" i="8"/>
  <c r="K5" i="8"/>
  <c r="I5" i="8"/>
  <c r="G5" i="8"/>
  <c r="K4" i="8"/>
  <c r="G4" i="8"/>
  <c r="I4" i="8" s="1"/>
  <c r="K3" i="8"/>
  <c r="G3" i="8"/>
  <c r="I3" i="8" s="1"/>
  <c r="Q2" i="8"/>
  <c r="K2" i="8"/>
  <c r="J2" i="8"/>
  <c r="G2" i="8"/>
  <c r="I2" i="8" s="1"/>
  <c r="B126" i="7"/>
  <c r="K91" i="7"/>
  <c r="I91" i="7"/>
  <c r="G91" i="7"/>
  <c r="L91" i="7" s="1"/>
  <c r="G90" i="7"/>
  <c r="I90" i="7" s="1"/>
  <c r="K89" i="7"/>
  <c r="J89" i="7"/>
  <c r="G89" i="7"/>
  <c r="I89" i="7" s="1"/>
  <c r="K88" i="7"/>
  <c r="J88" i="7"/>
  <c r="I88" i="7"/>
  <c r="G88" i="7"/>
  <c r="L88" i="7" s="1"/>
  <c r="G87" i="7"/>
  <c r="I87" i="7" s="1"/>
  <c r="L86" i="7"/>
  <c r="K86" i="7"/>
  <c r="G86" i="7"/>
  <c r="I86" i="7" s="1"/>
  <c r="L85" i="7"/>
  <c r="K85" i="7"/>
  <c r="G85" i="7"/>
  <c r="I85" i="7" s="1"/>
  <c r="K84" i="7"/>
  <c r="J84" i="7"/>
  <c r="G84" i="7"/>
  <c r="I84" i="7" s="1"/>
  <c r="I83" i="7"/>
  <c r="G83" i="7"/>
  <c r="L82" i="7"/>
  <c r="K82" i="7"/>
  <c r="I82" i="7"/>
  <c r="G82" i="7"/>
  <c r="L81" i="7"/>
  <c r="K81" i="7"/>
  <c r="I81" i="7"/>
  <c r="G81" i="7"/>
  <c r="K80" i="7"/>
  <c r="J80" i="7"/>
  <c r="G80" i="7"/>
  <c r="I80" i="7" s="1"/>
  <c r="L79" i="7"/>
  <c r="K79" i="7"/>
  <c r="J79" i="7"/>
  <c r="G79" i="7"/>
  <c r="I79" i="7" s="1"/>
  <c r="K78" i="7"/>
  <c r="G78" i="7"/>
  <c r="L78" i="7" s="1"/>
  <c r="K77" i="7"/>
  <c r="G77" i="7"/>
  <c r="L77" i="7" s="1"/>
  <c r="K76" i="7"/>
  <c r="J76" i="7"/>
  <c r="I76" i="7"/>
  <c r="G76" i="7"/>
  <c r="L76" i="7" s="1"/>
  <c r="G75" i="7"/>
  <c r="I75" i="7" s="1"/>
  <c r="I74" i="7"/>
  <c r="G74" i="7"/>
  <c r="K73" i="7"/>
  <c r="I73" i="7"/>
  <c r="G73" i="7"/>
  <c r="L73" i="7" s="1"/>
  <c r="K72" i="7"/>
  <c r="J72" i="7"/>
  <c r="I72" i="7"/>
  <c r="G72" i="7"/>
  <c r="L72" i="7" s="1"/>
  <c r="K71" i="7"/>
  <c r="J71" i="7"/>
  <c r="G71" i="7"/>
  <c r="I71" i="7" s="1"/>
  <c r="K70" i="7"/>
  <c r="J70" i="7"/>
  <c r="G70" i="7"/>
  <c r="L70" i="7" s="1"/>
  <c r="K69" i="7"/>
  <c r="G69" i="7"/>
  <c r="L69" i="7" s="1"/>
  <c r="K68" i="7"/>
  <c r="G68" i="7"/>
  <c r="L68" i="7" s="1"/>
  <c r="K67" i="7"/>
  <c r="G67" i="7"/>
  <c r="L67" i="7" s="1"/>
  <c r="I66" i="7"/>
  <c r="G66" i="7"/>
  <c r="K65" i="7"/>
  <c r="J65" i="7"/>
  <c r="G65" i="7"/>
  <c r="I65" i="7" s="1"/>
  <c r="K64" i="7"/>
  <c r="J64" i="7"/>
  <c r="G64" i="7"/>
  <c r="I64" i="7" s="1"/>
  <c r="G63" i="7"/>
  <c r="L63" i="7" s="1"/>
  <c r="K62" i="7"/>
  <c r="G62" i="7"/>
  <c r="L62" i="7" s="1"/>
  <c r="I61" i="7"/>
  <c r="G61" i="7"/>
  <c r="K60" i="7"/>
  <c r="J60" i="7"/>
  <c r="G60" i="7"/>
  <c r="I60" i="7" s="1"/>
  <c r="K59" i="7"/>
  <c r="J59" i="7"/>
  <c r="G59" i="7"/>
  <c r="L59" i="7" s="1"/>
  <c r="K58" i="7"/>
  <c r="G58" i="7"/>
  <c r="L58" i="7" s="1"/>
  <c r="I57" i="7"/>
  <c r="G57" i="7"/>
  <c r="L56" i="7"/>
  <c r="K56" i="7"/>
  <c r="I56" i="7"/>
  <c r="G56" i="7"/>
  <c r="L55" i="7"/>
  <c r="K55" i="7"/>
  <c r="I55" i="7"/>
  <c r="G55" i="7"/>
  <c r="K54" i="7"/>
  <c r="J54" i="7"/>
  <c r="G54" i="7"/>
  <c r="I54" i="7" s="1"/>
  <c r="L53" i="7"/>
  <c r="K53" i="7"/>
  <c r="G53" i="7"/>
  <c r="I53" i="7" s="1"/>
  <c r="L52" i="7"/>
  <c r="G52" i="7"/>
  <c r="K52" i="7" s="1"/>
  <c r="L51" i="7"/>
  <c r="K51" i="7"/>
  <c r="G51" i="7"/>
  <c r="I51" i="7" s="1"/>
  <c r="I50" i="7"/>
  <c r="G50" i="7"/>
  <c r="K49" i="7"/>
  <c r="J49" i="7"/>
  <c r="I49" i="7"/>
  <c r="G49" i="7"/>
  <c r="L49" i="7" s="1"/>
  <c r="G48" i="7"/>
  <c r="I48" i="7" s="1"/>
  <c r="K47" i="7"/>
  <c r="G47" i="7"/>
  <c r="L47" i="7" s="1"/>
  <c r="G46" i="7"/>
  <c r="L46" i="7" s="1"/>
  <c r="K45" i="7"/>
  <c r="G45" i="7"/>
  <c r="L45" i="7" s="1"/>
  <c r="K44" i="7"/>
  <c r="G44" i="7"/>
  <c r="L44" i="7" s="1"/>
  <c r="K43" i="7"/>
  <c r="J43" i="7"/>
  <c r="I43" i="7"/>
  <c r="G43" i="7"/>
  <c r="L43" i="7" s="1"/>
  <c r="K42" i="7"/>
  <c r="J42" i="7"/>
  <c r="I42" i="7"/>
  <c r="G42" i="7"/>
  <c r="L42" i="7" s="1"/>
  <c r="K41" i="7"/>
  <c r="J41" i="7"/>
  <c r="G41" i="7"/>
  <c r="I41" i="7" s="1"/>
  <c r="L40" i="7"/>
  <c r="K40" i="7"/>
  <c r="G40" i="7"/>
  <c r="I40" i="7" s="1"/>
  <c r="I39" i="7"/>
  <c r="G39" i="7"/>
  <c r="K38" i="7"/>
  <c r="J38" i="7"/>
  <c r="I38" i="7"/>
  <c r="G38" i="7"/>
  <c r="L38" i="7" s="1"/>
  <c r="L37" i="7"/>
  <c r="K37" i="7"/>
  <c r="I37" i="7"/>
  <c r="G37" i="7"/>
  <c r="L36" i="7"/>
  <c r="K36" i="7"/>
  <c r="I36" i="7"/>
  <c r="G36" i="7"/>
  <c r="L35" i="7"/>
  <c r="K35" i="7"/>
  <c r="I35" i="7"/>
  <c r="G35" i="7"/>
  <c r="L34" i="7"/>
  <c r="K34" i="7"/>
  <c r="I34" i="7"/>
  <c r="G34" i="7"/>
  <c r="L33" i="7"/>
  <c r="K33" i="7"/>
  <c r="I33" i="7"/>
  <c r="G33" i="7"/>
  <c r="G32" i="7"/>
  <c r="I32" i="7" s="1"/>
  <c r="K31" i="7"/>
  <c r="G31" i="7"/>
  <c r="L31" i="7" s="1"/>
  <c r="K30" i="7"/>
  <c r="J30" i="7"/>
  <c r="I30" i="7"/>
  <c r="G30" i="7"/>
  <c r="L30" i="7" s="1"/>
  <c r="K29" i="7"/>
  <c r="J29" i="7"/>
  <c r="I29" i="7"/>
  <c r="G29" i="7"/>
  <c r="L29" i="7" s="1"/>
  <c r="L28" i="7"/>
  <c r="K28" i="7"/>
  <c r="I28" i="7"/>
  <c r="G28" i="7"/>
  <c r="L27" i="7"/>
  <c r="K27" i="7"/>
  <c r="I27" i="7"/>
  <c r="G27" i="7"/>
  <c r="L26" i="7"/>
  <c r="K26" i="7"/>
  <c r="I26" i="7"/>
  <c r="G26" i="7"/>
  <c r="G25" i="7"/>
  <c r="I25" i="7" s="1"/>
  <c r="K24" i="7"/>
  <c r="J24" i="7"/>
  <c r="I24" i="7"/>
  <c r="G24" i="7"/>
  <c r="L24" i="7" s="1"/>
  <c r="K23" i="7"/>
  <c r="J23" i="7"/>
  <c r="I23" i="7"/>
  <c r="G23" i="7"/>
  <c r="L23" i="7" s="1"/>
  <c r="K22" i="7"/>
  <c r="J22" i="7"/>
  <c r="G22" i="7"/>
  <c r="I22" i="7" s="1"/>
  <c r="L21" i="7"/>
  <c r="K21" i="7"/>
  <c r="G21" i="7"/>
  <c r="I21" i="7" s="1"/>
  <c r="L20" i="7"/>
  <c r="K20" i="7"/>
  <c r="G20" i="7"/>
  <c r="I20" i="7" s="1"/>
  <c r="L19" i="7"/>
  <c r="G19" i="7"/>
  <c r="K19" i="7" s="1"/>
  <c r="L18" i="7"/>
  <c r="K18" i="7"/>
  <c r="G18" i="7"/>
  <c r="I18" i="7" s="1"/>
  <c r="I17" i="7"/>
  <c r="G17" i="7"/>
  <c r="K16" i="7"/>
  <c r="J16" i="7"/>
  <c r="I16" i="7"/>
  <c r="G16" i="7"/>
  <c r="L16" i="7" s="1"/>
  <c r="L15" i="7"/>
  <c r="K15" i="7"/>
  <c r="I15" i="7"/>
  <c r="G15" i="7"/>
  <c r="K14" i="7"/>
  <c r="J14" i="7"/>
  <c r="G14" i="7"/>
  <c r="I14" i="7" s="1"/>
  <c r="L13" i="7"/>
  <c r="K13" i="7"/>
  <c r="G13" i="7"/>
  <c r="I13" i="7" s="1"/>
  <c r="L12" i="7"/>
  <c r="K12" i="7"/>
  <c r="G12" i="7"/>
  <c r="I12" i="7" s="1"/>
  <c r="I11" i="7"/>
  <c r="G11" i="7"/>
  <c r="K10" i="7"/>
  <c r="I10" i="7"/>
  <c r="G10" i="7"/>
  <c r="L10" i="7" s="1"/>
  <c r="K9" i="7"/>
  <c r="I9" i="7"/>
  <c r="G9" i="7"/>
  <c r="L9" i="7" s="1"/>
  <c r="K8" i="7"/>
  <c r="J8" i="7"/>
  <c r="J167" i="7" s="1"/>
  <c r="H12" i="2" s="1"/>
  <c r="I8" i="7"/>
  <c r="G8" i="7"/>
  <c r="L8" i="7" s="1"/>
  <c r="L7" i="7"/>
  <c r="K7" i="7"/>
  <c r="I7" i="7"/>
  <c r="G7" i="7"/>
  <c r="L6" i="7"/>
  <c r="K6" i="7"/>
  <c r="I6" i="7"/>
  <c r="G6" i="7"/>
  <c r="L5" i="7"/>
  <c r="K5" i="7"/>
  <c r="I5" i="7"/>
  <c r="G5" i="7"/>
  <c r="L4" i="7"/>
  <c r="K4" i="7"/>
  <c r="I4" i="7"/>
  <c r="G4" i="7"/>
  <c r="L3" i="7"/>
  <c r="K3" i="7"/>
  <c r="I3" i="7"/>
  <c r="G3" i="7"/>
  <c r="R2" i="7"/>
  <c r="C12" i="2" s="1"/>
  <c r="G2" i="7"/>
  <c r="I2" i="7" s="1"/>
  <c r="N22" i="6"/>
  <c r="L22" i="6"/>
  <c r="K22" i="6"/>
  <c r="I22" i="6"/>
  <c r="N21" i="6"/>
  <c r="L21" i="6"/>
  <c r="K21" i="6"/>
  <c r="I21" i="6"/>
  <c r="N20" i="6"/>
  <c r="L20" i="6"/>
  <c r="K20" i="6"/>
  <c r="I20" i="6"/>
  <c r="N19" i="6"/>
  <c r="L19" i="6"/>
  <c r="K19" i="6"/>
  <c r="I19" i="6"/>
  <c r="N18" i="6"/>
  <c r="L18" i="6"/>
  <c r="K18" i="6"/>
  <c r="I18" i="6"/>
  <c r="N17" i="6"/>
  <c r="L17" i="6"/>
  <c r="K17" i="6"/>
  <c r="I17" i="6"/>
  <c r="N16" i="6"/>
  <c r="L16" i="6"/>
  <c r="K16" i="6"/>
  <c r="I16" i="6"/>
  <c r="N15" i="6"/>
  <c r="L15" i="6"/>
  <c r="K15" i="6"/>
  <c r="I15" i="6"/>
  <c r="N14" i="6"/>
  <c r="L14" i="6"/>
  <c r="K14" i="6"/>
  <c r="I14" i="6"/>
  <c r="N12" i="6"/>
  <c r="L12" i="6"/>
  <c r="K12" i="6"/>
  <c r="I12" i="6"/>
  <c r="N11" i="6"/>
  <c r="L11" i="6"/>
  <c r="K11" i="6"/>
  <c r="I11" i="6"/>
  <c r="N4" i="6"/>
  <c r="L4" i="6"/>
  <c r="K4" i="6"/>
  <c r="I4" i="6"/>
  <c r="N3" i="6"/>
  <c r="L3" i="6"/>
  <c r="K3" i="6"/>
  <c r="I3" i="6"/>
  <c r="T2" i="6"/>
  <c r="O2" i="6"/>
  <c r="N2" i="6"/>
  <c r="L2" i="6"/>
  <c r="L102" i="6" s="1"/>
  <c r="H11" i="2" s="1"/>
  <c r="K2" i="6"/>
  <c r="S2" i="6" s="1"/>
  <c r="I2" i="6"/>
  <c r="L67" i="5"/>
  <c r="K67" i="5"/>
  <c r="I67" i="5"/>
  <c r="G67" i="5"/>
  <c r="L66" i="5"/>
  <c r="K66" i="5"/>
  <c r="I66" i="5"/>
  <c r="G66" i="5"/>
  <c r="L65" i="5"/>
  <c r="K65" i="5"/>
  <c r="I65" i="5"/>
  <c r="G65" i="5"/>
  <c r="L64" i="5"/>
  <c r="K64" i="5"/>
  <c r="I64" i="5"/>
  <c r="G64" i="5"/>
  <c r="L63" i="5"/>
  <c r="K63" i="5"/>
  <c r="I63" i="5"/>
  <c r="G63" i="5"/>
  <c r="L62" i="5"/>
  <c r="K62" i="5"/>
  <c r="I62" i="5"/>
  <c r="G62" i="5"/>
  <c r="L61" i="5"/>
  <c r="K61" i="5"/>
  <c r="I61" i="5"/>
  <c r="G61" i="5"/>
  <c r="L60" i="5"/>
  <c r="K60" i="5"/>
  <c r="I60" i="5"/>
  <c r="G60" i="5"/>
  <c r="L59" i="5"/>
  <c r="K59" i="5"/>
  <c r="I59" i="5"/>
  <c r="G59" i="5"/>
  <c r="L58" i="5"/>
  <c r="K58" i="5"/>
  <c r="I58" i="5"/>
  <c r="G58" i="5"/>
  <c r="L57" i="5"/>
  <c r="K57" i="5"/>
  <c r="I57" i="5"/>
  <c r="G57" i="5"/>
  <c r="L56" i="5"/>
  <c r="K56" i="5"/>
  <c r="I56" i="5"/>
  <c r="G56" i="5"/>
  <c r="L55" i="5"/>
  <c r="K55" i="5"/>
  <c r="I55" i="5"/>
  <c r="G55" i="5"/>
  <c r="L54" i="5"/>
  <c r="K54" i="5"/>
  <c r="I54" i="5"/>
  <c r="G54" i="5"/>
  <c r="L53" i="5"/>
  <c r="K53" i="5"/>
  <c r="I53" i="5"/>
  <c r="G53" i="5"/>
  <c r="K52" i="5"/>
  <c r="J52" i="5"/>
  <c r="G52" i="5"/>
  <c r="I52" i="5" s="1"/>
  <c r="K51" i="5"/>
  <c r="J51" i="5"/>
  <c r="G51" i="5"/>
  <c r="I51" i="5" s="1"/>
  <c r="K50" i="5"/>
  <c r="G50" i="5"/>
  <c r="L50" i="5" s="1"/>
  <c r="K49" i="5"/>
  <c r="G49" i="5"/>
  <c r="L49" i="5" s="1"/>
  <c r="K48" i="5"/>
  <c r="G48" i="5"/>
  <c r="L48" i="5" s="1"/>
  <c r="K47" i="5"/>
  <c r="G47" i="5"/>
  <c r="L47" i="5" s="1"/>
  <c r="K46" i="5"/>
  <c r="G46" i="5"/>
  <c r="L46" i="5" s="1"/>
  <c r="K45" i="5"/>
  <c r="G45" i="5"/>
  <c r="L45" i="5" s="1"/>
  <c r="K44" i="5"/>
  <c r="J44" i="5"/>
  <c r="I44" i="5"/>
  <c r="G44" i="5"/>
  <c r="L44" i="5" s="1"/>
  <c r="K43" i="5"/>
  <c r="J43" i="5"/>
  <c r="I43" i="5"/>
  <c r="G43" i="5"/>
  <c r="L43" i="5" s="1"/>
  <c r="L42" i="5"/>
  <c r="K42" i="5"/>
  <c r="I42" i="5"/>
  <c r="G42" i="5"/>
  <c r="L41" i="5"/>
  <c r="K41" i="5"/>
  <c r="I41" i="5"/>
  <c r="G41" i="5"/>
  <c r="L40" i="5"/>
  <c r="K40" i="5"/>
  <c r="I40" i="5"/>
  <c r="G40" i="5"/>
  <c r="L39" i="5"/>
  <c r="K39" i="5"/>
  <c r="I39" i="5"/>
  <c r="G39" i="5"/>
  <c r="L38" i="5"/>
  <c r="K38" i="5"/>
  <c r="I38" i="5"/>
  <c r="G38" i="5"/>
  <c r="L37" i="5"/>
  <c r="K37" i="5"/>
  <c r="I37" i="5"/>
  <c r="G37" i="5"/>
  <c r="L36" i="5"/>
  <c r="K36" i="5"/>
  <c r="I36" i="5"/>
  <c r="G36" i="5"/>
  <c r="K35" i="5"/>
  <c r="J35" i="5"/>
  <c r="G35" i="5"/>
  <c r="I35" i="5" s="1"/>
  <c r="K34" i="5"/>
  <c r="J34" i="5"/>
  <c r="G34" i="5"/>
  <c r="I34" i="5" s="1"/>
  <c r="K33" i="5"/>
  <c r="J33" i="5"/>
  <c r="I33" i="5"/>
  <c r="G33" i="5"/>
  <c r="L33" i="5" s="1"/>
  <c r="K32" i="5"/>
  <c r="I32" i="5"/>
  <c r="G32" i="5"/>
  <c r="L32" i="5" s="1"/>
  <c r="K31" i="5"/>
  <c r="I31" i="5"/>
  <c r="G31" i="5"/>
  <c r="L31" i="5" s="1"/>
  <c r="K30" i="5"/>
  <c r="I30" i="5"/>
  <c r="G30" i="5"/>
  <c r="L30" i="5" s="1"/>
  <c r="K29" i="5"/>
  <c r="I29" i="5"/>
  <c r="G29" i="5"/>
  <c r="L29" i="5" s="1"/>
  <c r="K28" i="5"/>
  <c r="I28" i="5"/>
  <c r="G28" i="5"/>
  <c r="L28" i="5" s="1"/>
  <c r="K27" i="5"/>
  <c r="I27" i="5"/>
  <c r="G27" i="5"/>
  <c r="L27" i="5" s="1"/>
  <c r="K26" i="5"/>
  <c r="I26" i="5"/>
  <c r="G26" i="5"/>
  <c r="L26" i="5" s="1"/>
  <c r="K25" i="5"/>
  <c r="J25" i="5"/>
  <c r="I25" i="5"/>
  <c r="G25" i="5"/>
  <c r="L25" i="5" s="1"/>
  <c r="K24" i="5"/>
  <c r="J24" i="5"/>
  <c r="G24" i="5"/>
  <c r="I24" i="5" s="1"/>
  <c r="K23" i="5"/>
  <c r="J23" i="5"/>
  <c r="J102" i="5" s="1"/>
  <c r="H8" i="2" s="1"/>
  <c r="G23" i="5"/>
  <c r="L23" i="5" s="1"/>
  <c r="K22" i="5"/>
  <c r="G22" i="5"/>
  <c r="L22" i="5" s="1"/>
  <c r="K21" i="5"/>
  <c r="G21" i="5"/>
  <c r="L21" i="5" s="1"/>
  <c r="K20" i="5"/>
  <c r="G20" i="5"/>
  <c r="L20" i="5" s="1"/>
  <c r="K19" i="5"/>
  <c r="G19" i="5"/>
  <c r="L19" i="5" s="1"/>
  <c r="K18" i="5"/>
  <c r="G18" i="5"/>
  <c r="L18" i="5" s="1"/>
  <c r="K17" i="5"/>
  <c r="G17" i="5"/>
  <c r="L17" i="5" s="1"/>
  <c r="K16" i="5"/>
  <c r="G16" i="5"/>
  <c r="L16" i="5" s="1"/>
  <c r="K15" i="5"/>
  <c r="G15" i="5"/>
  <c r="L15" i="5" s="1"/>
  <c r="K14" i="5"/>
  <c r="G14" i="5"/>
  <c r="L14" i="5" s="1"/>
  <c r="K13" i="5"/>
  <c r="G13" i="5"/>
  <c r="L13" i="5" s="1"/>
  <c r="K11" i="5"/>
  <c r="G11" i="5"/>
  <c r="L11" i="5" s="1"/>
  <c r="K10" i="5"/>
  <c r="G10" i="5"/>
  <c r="L10" i="5" s="1"/>
  <c r="K9" i="5"/>
  <c r="G9" i="5"/>
  <c r="L9" i="5" s="1"/>
  <c r="K8" i="5"/>
  <c r="G8" i="5"/>
  <c r="L8" i="5" s="1"/>
  <c r="K7" i="5"/>
  <c r="G7" i="5"/>
  <c r="L7" i="5" s="1"/>
  <c r="K4" i="5"/>
  <c r="G4" i="5"/>
  <c r="L4" i="5" s="1"/>
  <c r="K3" i="5"/>
  <c r="G3" i="5"/>
  <c r="L3" i="5" s="1"/>
  <c r="R2" i="5"/>
  <c r="K2" i="5"/>
  <c r="G2" i="5"/>
  <c r="L2" i="5" s="1"/>
  <c r="L85" i="4"/>
  <c r="G85" i="4"/>
  <c r="I85" i="4" s="1"/>
  <c r="L84" i="4"/>
  <c r="G84" i="4"/>
  <c r="I84" i="4" s="1"/>
  <c r="L83" i="4"/>
  <c r="I83" i="4"/>
  <c r="G83" i="4"/>
  <c r="L82" i="4"/>
  <c r="K82" i="4"/>
  <c r="I82" i="4"/>
  <c r="G82" i="4"/>
  <c r="L81" i="4"/>
  <c r="I81" i="4"/>
  <c r="G81" i="4"/>
  <c r="L80" i="4"/>
  <c r="K80" i="4"/>
  <c r="I80" i="4"/>
  <c r="G80" i="4"/>
  <c r="L79" i="4"/>
  <c r="G79" i="4"/>
  <c r="I79" i="4" s="1"/>
  <c r="L78" i="4"/>
  <c r="G78" i="4"/>
  <c r="I78" i="4" s="1"/>
  <c r="L77" i="4"/>
  <c r="K77" i="4"/>
  <c r="G77" i="4"/>
  <c r="I77" i="4" s="1"/>
  <c r="L76" i="4"/>
  <c r="I76" i="4"/>
  <c r="G76" i="4"/>
  <c r="L75" i="4"/>
  <c r="K75" i="4"/>
  <c r="I75" i="4"/>
  <c r="G75" i="4"/>
  <c r="L74" i="4"/>
  <c r="I74" i="4"/>
  <c r="G74" i="4"/>
  <c r="L73" i="4"/>
  <c r="G73" i="4"/>
  <c r="I73" i="4" s="1"/>
  <c r="L72" i="4"/>
  <c r="G72" i="4"/>
  <c r="I72" i="4" s="1"/>
  <c r="L71" i="4"/>
  <c r="I71" i="4"/>
  <c r="G71" i="4"/>
  <c r="L70" i="4"/>
  <c r="K70" i="4"/>
  <c r="I70" i="4"/>
  <c r="G70" i="4"/>
  <c r="L69" i="4"/>
  <c r="I69" i="4"/>
  <c r="G69" i="4"/>
  <c r="L68" i="4"/>
  <c r="G68" i="4"/>
  <c r="I68" i="4" s="1"/>
  <c r="L67" i="4"/>
  <c r="G67" i="4"/>
  <c r="I67" i="4" s="1"/>
  <c r="L66" i="4"/>
  <c r="I66" i="4"/>
  <c r="G66" i="4"/>
  <c r="L65" i="4"/>
  <c r="I65" i="4"/>
  <c r="G65" i="4"/>
  <c r="L64" i="4"/>
  <c r="J64" i="4"/>
  <c r="I64" i="4"/>
  <c r="G64" i="4"/>
  <c r="K63" i="4"/>
  <c r="I63" i="4"/>
  <c r="G63" i="4"/>
  <c r="L63" i="4" s="1"/>
  <c r="L62" i="4"/>
  <c r="K62" i="4"/>
  <c r="I62" i="4"/>
  <c r="G62" i="4"/>
  <c r="L61" i="4"/>
  <c r="G61" i="4"/>
  <c r="I61" i="4" s="1"/>
  <c r="L60" i="4"/>
  <c r="K60" i="4"/>
  <c r="G60" i="4"/>
  <c r="I60" i="4" s="1"/>
  <c r="L59" i="4"/>
  <c r="G59" i="4"/>
  <c r="I59" i="4" s="1"/>
  <c r="L58" i="4"/>
  <c r="J58" i="4"/>
  <c r="G58" i="4"/>
  <c r="I58" i="4" s="1"/>
  <c r="L57" i="4"/>
  <c r="I57" i="4"/>
  <c r="G57" i="4"/>
  <c r="L56" i="4"/>
  <c r="K56" i="4"/>
  <c r="I56" i="4"/>
  <c r="G56" i="4"/>
  <c r="L55" i="4"/>
  <c r="I55" i="4"/>
  <c r="G55" i="4"/>
  <c r="K54" i="4"/>
  <c r="I54" i="4"/>
  <c r="G54" i="4"/>
  <c r="L54" i="4" s="1"/>
  <c r="L53" i="4"/>
  <c r="J53" i="4"/>
  <c r="I53" i="4"/>
  <c r="G53" i="4"/>
  <c r="K52" i="4"/>
  <c r="I52" i="4"/>
  <c r="G52" i="4"/>
  <c r="L52" i="4" s="1"/>
  <c r="L51" i="4"/>
  <c r="G51" i="4"/>
  <c r="I51" i="4" s="1"/>
  <c r="L50" i="4"/>
  <c r="K50" i="4"/>
  <c r="G50" i="4"/>
  <c r="I50" i="4" s="1"/>
  <c r="L49" i="4"/>
  <c r="G49" i="4"/>
  <c r="I49" i="4" s="1"/>
  <c r="L48" i="4"/>
  <c r="J48" i="4"/>
  <c r="G48" i="4"/>
  <c r="I48" i="4" s="1"/>
  <c r="L47" i="4"/>
  <c r="K47" i="4"/>
  <c r="G47" i="4"/>
  <c r="I47" i="4" s="1"/>
  <c r="L46" i="4"/>
  <c r="K46" i="4"/>
  <c r="G46" i="4"/>
  <c r="I46" i="4" s="1"/>
  <c r="L45" i="4"/>
  <c r="K45" i="4"/>
  <c r="G45" i="4"/>
  <c r="I45" i="4" s="1"/>
  <c r="L44" i="4"/>
  <c r="K44" i="4"/>
  <c r="G44" i="4"/>
  <c r="I44" i="4" s="1"/>
  <c r="L43" i="4"/>
  <c r="K43" i="4"/>
  <c r="G43" i="4"/>
  <c r="I43" i="4" s="1"/>
  <c r="L42" i="4"/>
  <c r="K42" i="4"/>
  <c r="G42" i="4"/>
  <c r="I42" i="4" s="1"/>
  <c r="L41" i="4"/>
  <c r="I41" i="4"/>
  <c r="G41" i="4"/>
  <c r="L40" i="4"/>
  <c r="K40" i="4"/>
  <c r="I40" i="4"/>
  <c r="G40" i="4"/>
  <c r="L39" i="4"/>
  <c r="I39" i="4"/>
  <c r="G39" i="4"/>
  <c r="L38" i="4"/>
  <c r="J38" i="4"/>
  <c r="I38" i="4"/>
  <c r="G38" i="4"/>
  <c r="L37" i="4"/>
  <c r="G37" i="4"/>
  <c r="I37" i="4" s="1"/>
  <c r="L36" i="4"/>
  <c r="K36" i="4"/>
  <c r="G36" i="4"/>
  <c r="I36" i="4" s="1"/>
  <c r="L35" i="4"/>
  <c r="K35" i="4"/>
  <c r="G35" i="4"/>
  <c r="I35" i="4" s="1"/>
  <c r="L34" i="4"/>
  <c r="K34" i="4"/>
  <c r="G34" i="4"/>
  <c r="I34" i="4" s="1"/>
  <c r="L33" i="4"/>
  <c r="J33" i="4"/>
  <c r="G33" i="4"/>
  <c r="I33" i="4" s="1"/>
  <c r="K32" i="4"/>
  <c r="G32" i="4"/>
  <c r="L32" i="4" s="1"/>
  <c r="M2" i="4" s="1"/>
  <c r="E3" i="2" s="1"/>
  <c r="L31" i="4"/>
  <c r="K31" i="4"/>
  <c r="G31" i="4"/>
  <c r="I31" i="4" s="1"/>
  <c r="L30" i="4"/>
  <c r="G30" i="4"/>
  <c r="I30" i="4" s="1"/>
  <c r="L29" i="4"/>
  <c r="I29" i="4"/>
  <c r="G29" i="4"/>
  <c r="L28" i="4"/>
  <c r="K28" i="4"/>
  <c r="I28" i="4"/>
  <c r="G28" i="4"/>
  <c r="L27" i="4"/>
  <c r="K27" i="4"/>
  <c r="I27" i="4"/>
  <c r="G27" i="4"/>
  <c r="L26" i="4"/>
  <c r="K26" i="4"/>
  <c r="I26" i="4"/>
  <c r="G26" i="4"/>
  <c r="L25" i="4"/>
  <c r="K25" i="4"/>
  <c r="I25" i="4"/>
  <c r="G25" i="4"/>
  <c r="L24" i="4"/>
  <c r="K24" i="4"/>
  <c r="I24" i="4"/>
  <c r="G24" i="4"/>
  <c r="L23" i="4"/>
  <c r="K23" i="4"/>
  <c r="I23" i="4"/>
  <c r="G23" i="4"/>
  <c r="L22" i="4"/>
  <c r="J22" i="4"/>
  <c r="I22" i="4"/>
  <c r="G22" i="4"/>
  <c r="L21" i="4"/>
  <c r="K21" i="4"/>
  <c r="I21" i="4"/>
  <c r="G21" i="4"/>
  <c r="L20" i="4"/>
  <c r="K20" i="4"/>
  <c r="I20" i="4"/>
  <c r="G20" i="4"/>
  <c r="L19" i="4"/>
  <c r="K19" i="4"/>
  <c r="I19" i="4"/>
  <c r="G19" i="4"/>
  <c r="L18" i="4"/>
  <c r="K18" i="4"/>
  <c r="I18" i="4"/>
  <c r="G18" i="4"/>
  <c r="L17" i="4"/>
  <c r="K17" i="4"/>
  <c r="I17" i="4"/>
  <c r="G17" i="4"/>
  <c r="L16" i="4"/>
  <c r="K16" i="4"/>
  <c r="I16" i="4"/>
  <c r="G16" i="4"/>
  <c r="L15" i="4"/>
  <c r="J15" i="4"/>
  <c r="I15" i="4"/>
  <c r="G15" i="4"/>
  <c r="L14" i="4"/>
  <c r="K14" i="4"/>
  <c r="I14" i="4"/>
  <c r="G14" i="4"/>
  <c r="L13" i="4"/>
  <c r="K13" i="4"/>
  <c r="I13" i="4"/>
  <c r="G13" i="4"/>
  <c r="L12" i="4"/>
  <c r="K12" i="4"/>
  <c r="I12" i="4"/>
  <c r="G12" i="4"/>
  <c r="L11" i="4"/>
  <c r="K11" i="4"/>
  <c r="I11" i="4"/>
  <c r="G11" i="4"/>
  <c r="L10" i="4"/>
  <c r="K10" i="4"/>
  <c r="I10" i="4"/>
  <c r="G10" i="4"/>
  <c r="L9" i="4"/>
  <c r="K9" i="4"/>
  <c r="I9" i="4"/>
  <c r="G9" i="4"/>
  <c r="L8" i="4"/>
  <c r="J8" i="4"/>
  <c r="I8" i="4"/>
  <c r="G8" i="4"/>
  <c r="L7" i="4"/>
  <c r="K7" i="4"/>
  <c r="I7" i="4"/>
  <c r="G7" i="4"/>
  <c r="L6" i="4"/>
  <c r="I6" i="4"/>
  <c r="G6" i="4"/>
  <c r="L5" i="4"/>
  <c r="K5" i="4"/>
  <c r="I5" i="4"/>
  <c r="G5" i="4"/>
  <c r="L4" i="4"/>
  <c r="G4" i="4"/>
  <c r="I4" i="4" s="1"/>
  <c r="L3" i="4"/>
  <c r="K3" i="4"/>
  <c r="G3" i="4"/>
  <c r="I3" i="4" s="1"/>
  <c r="R2" i="4"/>
  <c r="L2" i="4"/>
  <c r="J2" i="4"/>
  <c r="J202" i="4" s="1"/>
  <c r="H3" i="2" s="1"/>
  <c r="G2" i="4"/>
  <c r="I2" i="4" s="1"/>
  <c r="J107" i="3"/>
  <c r="G107" i="3"/>
  <c r="K107" i="3" s="1"/>
  <c r="J106" i="3"/>
  <c r="G106" i="3"/>
  <c r="K106" i="3" s="1"/>
  <c r="J105" i="3"/>
  <c r="G105" i="3"/>
  <c r="K105" i="3" s="1"/>
  <c r="J104" i="3"/>
  <c r="G104" i="3"/>
  <c r="K104" i="3" s="1"/>
  <c r="J103" i="3"/>
  <c r="G103" i="3"/>
  <c r="K103" i="3" s="1"/>
  <c r="K102" i="3"/>
  <c r="J102" i="3"/>
  <c r="G102" i="3"/>
  <c r="I102" i="3" s="1"/>
  <c r="K101" i="3"/>
  <c r="J101" i="3"/>
  <c r="G101" i="3"/>
  <c r="I101" i="3" s="1"/>
  <c r="K100" i="3"/>
  <c r="J100" i="3"/>
  <c r="G100" i="3"/>
  <c r="I100" i="3" s="1"/>
  <c r="J99" i="3"/>
  <c r="G99" i="3"/>
  <c r="K99" i="3" s="1"/>
  <c r="J98" i="3"/>
  <c r="G98" i="3"/>
  <c r="K98" i="3" s="1"/>
  <c r="J97" i="3"/>
  <c r="G97" i="3"/>
  <c r="K97" i="3" s="1"/>
  <c r="K96" i="3"/>
  <c r="J96" i="3"/>
  <c r="G96" i="3"/>
  <c r="I96" i="3" s="1"/>
  <c r="K95" i="3"/>
  <c r="G95" i="3"/>
  <c r="I95" i="3" s="1"/>
  <c r="J94" i="3"/>
  <c r="G94" i="3"/>
  <c r="I94" i="3" s="1"/>
  <c r="K93" i="3"/>
  <c r="J93" i="3"/>
  <c r="G93" i="3"/>
  <c r="I93" i="3" s="1"/>
  <c r="K92" i="3"/>
  <c r="J92" i="3"/>
  <c r="G92" i="3"/>
  <c r="I92" i="3" s="1"/>
  <c r="J91" i="3"/>
  <c r="G91" i="3"/>
  <c r="I91" i="3" s="1"/>
  <c r="J90" i="3"/>
  <c r="G90" i="3"/>
  <c r="I90" i="3" s="1"/>
  <c r="K89" i="3"/>
  <c r="G89" i="3"/>
  <c r="I89" i="3" s="1"/>
  <c r="K88" i="3"/>
  <c r="J88" i="3"/>
  <c r="G88" i="3"/>
  <c r="I88" i="3" s="1"/>
  <c r="K87" i="3"/>
  <c r="J87" i="3"/>
  <c r="G87" i="3"/>
  <c r="I87" i="3" s="1"/>
  <c r="K86" i="3"/>
  <c r="J86" i="3"/>
  <c r="G86" i="3"/>
  <c r="I86" i="3" s="1"/>
  <c r="K85" i="3"/>
  <c r="J85" i="3"/>
  <c r="G85" i="3"/>
  <c r="I85" i="3" s="1"/>
  <c r="K84" i="3"/>
  <c r="J84" i="3"/>
  <c r="G84" i="3"/>
  <c r="I84" i="3" s="1"/>
  <c r="K83" i="3"/>
  <c r="J83" i="3"/>
  <c r="G83" i="3"/>
  <c r="I83" i="3" s="1"/>
  <c r="K82" i="3"/>
  <c r="J82" i="3"/>
  <c r="G82" i="3"/>
  <c r="I82" i="3" s="1"/>
  <c r="K81" i="3"/>
  <c r="J81" i="3"/>
  <c r="G81" i="3"/>
  <c r="I81" i="3" s="1"/>
  <c r="K80" i="3"/>
  <c r="J80" i="3"/>
  <c r="G80" i="3"/>
  <c r="I80" i="3" s="1"/>
  <c r="K79" i="3"/>
  <c r="J79" i="3"/>
  <c r="G79" i="3"/>
  <c r="I79" i="3" s="1"/>
  <c r="K78" i="3"/>
  <c r="J78" i="3"/>
  <c r="G78" i="3"/>
  <c r="I78" i="3" s="1"/>
  <c r="K77" i="3"/>
  <c r="I77" i="3"/>
  <c r="G77" i="3"/>
  <c r="K76" i="3"/>
  <c r="J76" i="3"/>
  <c r="I76" i="3"/>
  <c r="G76" i="3"/>
  <c r="J75" i="3"/>
  <c r="G75" i="3"/>
  <c r="K75" i="3" s="1"/>
  <c r="J74" i="3"/>
  <c r="G74" i="3"/>
  <c r="K74" i="3" s="1"/>
  <c r="J73" i="3"/>
  <c r="G73" i="3"/>
  <c r="K73" i="3" s="1"/>
  <c r="J72" i="3"/>
  <c r="I72" i="3"/>
  <c r="G72" i="3"/>
  <c r="K72" i="3" s="1"/>
  <c r="J71" i="3"/>
  <c r="G71" i="3"/>
  <c r="K71" i="3" s="1"/>
  <c r="J70" i="3"/>
  <c r="G70" i="3"/>
  <c r="K70" i="3" s="1"/>
  <c r="K69" i="3"/>
  <c r="G69" i="3"/>
  <c r="I69" i="3" s="1"/>
  <c r="K68" i="3"/>
  <c r="G68" i="3"/>
  <c r="I68" i="3" s="1"/>
  <c r="K67" i="3"/>
  <c r="J67" i="3"/>
  <c r="G67" i="3"/>
  <c r="I67" i="3" s="1"/>
  <c r="K66" i="3"/>
  <c r="J66" i="3"/>
  <c r="G66" i="3"/>
  <c r="I66" i="3" s="1"/>
  <c r="J65" i="3"/>
  <c r="G65" i="3"/>
  <c r="I65" i="3" s="1"/>
  <c r="J64" i="3"/>
  <c r="G64" i="3"/>
  <c r="I64" i="3" s="1"/>
  <c r="K63" i="3"/>
  <c r="J63" i="3"/>
  <c r="G63" i="3"/>
  <c r="I63" i="3" s="1"/>
  <c r="K62" i="3"/>
  <c r="J62" i="3"/>
  <c r="G62" i="3"/>
  <c r="I62" i="3" s="1"/>
  <c r="K61" i="3"/>
  <c r="G61" i="3"/>
  <c r="I61" i="3" s="1"/>
  <c r="K60" i="3"/>
  <c r="G60" i="3"/>
  <c r="I60" i="3" s="1"/>
  <c r="K59" i="3"/>
  <c r="J59" i="3"/>
  <c r="G59" i="3"/>
  <c r="I59" i="3" s="1"/>
  <c r="K58" i="3"/>
  <c r="J58" i="3"/>
  <c r="G58" i="3"/>
  <c r="I58" i="3" s="1"/>
  <c r="K57" i="3"/>
  <c r="G57" i="3"/>
  <c r="I57" i="3" s="1"/>
  <c r="J56" i="3"/>
  <c r="G56" i="3"/>
  <c r="K56" i="3" s="1"/>
  <c r="J55" i="3"/>
  <c r="G55" i="3"/>
  <c r="K55" i="3" s="1"/>
  <c r="J54" i="3"/>
  <c r="G54" i="3"/>
  <c r="K54" i="3" s="1"/>
  <c r="J53" i="3"/>
  <c r="G53" i="3"/>
  <c r="K53" i="3" s="1"/>
  <c r="K52" i="3"/>
  <c r="G52" i="3"/>
  <c r="I52" i="3" s="1"/>
  <c r="K51" i="3"/>
  <c r="J51" i="3"/>
  <c r="G51" i="3"/>
  <c r="I51" i="3" s="1"/>
  <c r="K50" i="3"/>
  <c r="J50" i="3"/>
  <c r="G50" i="3"/>
  <c r="I50" i="3" s="1"/>
  <c r="J49" i="3"/>
  <c r="G49" i="3"/>
  <c r="I49" i="3" s="1"/>
  <c r="J48" i="3"/>
  <c r="G48" i="3"/>
  <c r="I48" i="3" s="1"/>
  <c r="K47" i="3"/>
  <c r="J47" i="3"/>
  <c r="G47" i="3"/>
  <c r="I47" i="3" s="1"/>
  <c r="K46" i="3"/>
  <c r="I46" i="3"/>
  <c r="G46" i="3"/>
  <c r="K45" i="3"/>
  <c r="G45" i="3"/>
  <c r="I45" i="3" s="1"/>
  <c r="J44" i="3"/>
  <c r="G44" i="3"/>
  <c r="K44" i="3" s="1"/>
  <c r="J43" i="3"/>
  <c r="G43" i="3"/>
  <c r="K43" i="3" s="1"/>
  <c r="J42" i="3"/>
  <c r="I42" i="3"/>
  <c r="G42" i="3"/>
  <c r="K42" i="3" s="1"/>
  <c r="J41" i="3"/>
  <c r="G41" i="3"/>
  <c r="K41" i="3" s="1"/>
  <c r="J40" i="3"/>
  <c r="G40" i="3"/>
  <c r="K40" i="3" s="1"/>
  <c r="K39" i="3"/>
  <c r="G39" i="3"/>
  <c r="I39" i="3" s="1"/>
  <c r="K38" i="3"/>
  <c r="J38" i="3"/>
  <c r="G38" i="3"/>
  <c r="I38" i="3" s="1"/>
  <c r="J37" i="3"/>
  <c r="G37" i="3"/>
  <c r="K37" i="3" s="1"/>
  <c r="J36" i="3"/>
  <c r="G36" i="3"/>
  <c r="K36" i="3" s="1"/>
  <c r="K35" i="3"/>
  <c r="G35" i="3"/>
  <c r="I35" i="3" s="1"/>
  <c r="K34" i="3"/>
  <c r="I34" i="3"/>
  <c r="G34" i="3"/>
  <c r="J33" i="3"/>
  <c r="G33" i="3"/>
  <c r="K33" i="3" s="1"/>
  <c r="J32" i="3"/>
  <c r="G32" i="3"/>
  <c r="K32" i="3" s="1"/>
  <c r="J31" i="3"/>
  <c r="G31" i="3"/>
  <c r="K31" i="3" s="1"/>
  <c r="J30" i="3"/>
  <c r="I30" i="3"/>
  <c r="G30" i="3"/>
  <c r="K30" i="3" s="1"/>
  <c r="J29" i="3"/>
  <c r="G29" i="3"/>
  <c r="K29" i="3" s="1"/>
  <c r="K28" i="3"/>
  <c r="J28" i="3"/>
  <c r="G28" i="3"/>
  <c r="I28" i="3" s="1"/>
  <c r="K27" i="3"/>
  <c r="J27" i="3"/>
  <c r="G27" i="3"/>
  <c r="I27" i="3" s="1"/>
  <c r="J26" i="3"/>
  <c r="G26" i="3"/>
  <c r="K26" i="3" s="1"/>
  <c r="J25" i="3"/>
  <c r="G25" i="3"/>
  <c r="K25" i="3" s="1"/>
  <c r="J24" i="3"/>
  <c r="I24" i="3"/>
  <c r="G24" i="3"/>
  <c r="K24" i="3" s="1"/>
  <c r="J23" i="3"/>
  <c r="G23" i="3"/>
  <c r="K23" i="3" s="1"/>
  <c r="K22" i="3"/>
  <c r="J22" i="3"/>
  <c r="G22" i="3"/>
  <c r="I22" i="3" s="1"/>
  <c r="J21" i="3"/>
  <c r="G21" i="3"/>
  <c r="K21" i="3" s="1"/>
  <c r="J20" i="3"/>
  <c r="G20" i="3"/>
  <c r="K20" i="3" s="1"/>
  <c r="J19" i="3"/>
  <c r="I19" i="3"/>
  <c r="G19" i="3"/>
  <c r="K19" i="3" s="1"/>
  <c r="J18" i="3"/>
  <c r="G18" i="3"/>
  <c r="K18" i="3" s="1"/>
  <c r="J17" i="3"/>
  <c r="G17" i="3"/>
  <c r="K17" i="3" s="1"/>
  <c r="J16" i="3"/>
  <c r="G16" i="3"/>
  <c r="K16" i="3" s="1"/>
  <c r="J15" i="3"/>
  <c r="I15" i="3"/>
  <c r="G15" i="3"/>
  <c r="K15" i="3" s="1"/>
  <c r="J14" i="3"/>
  <c r="G14" i="3"/>
  <c r="K14" i="3" s="1"/>
  <c r="J13" i="3"/>
  <c r="G13" i="3"/>
  <c r="K13" i="3" s="1"/>
  <c r="J12" i="3"/>
  <c r="G12" i="3"/>
  <c r="K12" i="3" s="1"/>
  <c r="J11" i="3"/>
  <c r="I11" i="3"/>
  <c r="G11" i="3"/>
  <c r="K11" i="3" s="1"/>
  <c r="J10" i="3"/>
  <c r="G10" i="3"/>
  <c r="K10" i="3" s="1"/>
  <c r="J9" i="3"/>
  <c r="G9" i="3"/>
  <c r="K9" i="3" s="1"/>
  <c r="J8" i="3"/>
  <c r="G8" i="3"/>
  <c r="K8" i="3" s="1"/>
  <c r="J7" i="3"/>
  <c r="I7" i="3"/>
  <c r="G7" i="3"/>
  <c r="K7" i="3" s="1"/>
  <c r="K6" i="3"/>
  <c r="G6" i="3"/>
  <c r="I6" i="3" s="1"/>
  <c r="J5" i="3"/>
  <c r="G5" i="3"/>
  <c r="K5" i="3" s="1"/>
  <c r="J4" i="3"/>
  <c r="G4" i="3"/>
  <c r="K4" i="3" s="1"/>
  <c r="J3" i="3"/>
  <c r="I3" i="3"/>
  <c r="G3" i="3"/>
  <c r="K3" i="3" s="1"/>
  <c r="Q2" i="3"/>
  <c r="C2" i="2" s="1"/>
  <c r="J2" i="3"/>
  <c r="I2" i="3"/>
  <c r="G2" i="3"/>
  <c r="K2" i="3" s="1"/>
  <c r="C104" i="2"/>
  <c r="C100" i="2"/>
  <c r="C96" i="2"/>
  <c r="C91" i="2"/>
  <c r="C87" i="2"/>
  <c r="D81" i="2"/>
  <c r="C81" i="2"/>
  <c r="C79" i="2"/>
  <c r="C78" i="2"/>
  <c r="C72" i="2"/>
  <c r="C70" i="2"/>
  <c r="D69" i="2"/>
  <c r="C69" i="2"/>
  <c r="D68" i="2"/>
  <c r="D72" i="2" s="1"/>
  <c r="C68" i="2"/>
  <c r="D60" i="2"/>
  <c r="C60" i="2"/>
  <c r="C59" i="2"/>
  <c r="D58" i="2"/>
  <c r="D62" i="2" s="1"/>
  <c r="C58" i="2"/>
  <c r="C57" i="2"/>
  <c r="C56" i="2"/>
  <c r="C55" i="2"/>
  <c r="C62" i="2" s="1"/>
  <c r="B49" i="2"/>
  <c r="J34" i="2"/>
  <c r="E33" i="2"/>
  <c r="D33" i="2"/>
  <c r="C33" i="2"/>
  <c r="B33" i="2"/>
  <c r="E32" i="2"/>
  <c r="D32" i="2"/>
  <c r="C32" i="2"/>
  <c r="B32" i="2"/>
  <c r="C31" i="2"/>
  <c r="C30" i="2"/>
  <c r="E28" i="2"/>
  <c r="C28" i="2"/>
  <c r="E27" i="2"/>
  <c r="D27" i="2"/>
  <c r="C27" i="2"/>
  <c r="E25" i="2"/>
  <c r="C25" i="2"/>
  <c r="E24" i="2"/>
  <c r="C24" i="2"/>
  <c r="B24" i="2"/>
  <c r="H23" i="2"/>
  <c r="C23" i="2"/>
  <c r="E22" i="2"/>
  <c r="D22" i="2"/>
  <c r="C22" i="2"/>
  <c r="B22" i="2"/>
  <c r="C21" i="2"/>
  <c r="H20" i="2"/>
  <c r="E20" i="2"/>
  <c r="C20" i="2"/>
  <c r="H19" i="2"/>
  <c r="E19" i="2"/>
  <c r="C19" i="2"/>
  <c r="E18" i="2"/>
  <c r="C17" i="2"/>
  <c r="E16" i="2"/>
  <c r="D16" i="2"/>
  <c r="C16" i="2"/>
  <c r="B16" i="2"/>
  <c r="H14" i="2"/>
  <c r="E14" i="2"/>
  <c r="C14" i="2"/>
  <c r="B14" i="2"/>
  <c r="C13" i="2"/>
  <c r="E11" i="2"/>
  <c r="C11" i="2"/>
  <c r="E10" i="2"/>
  <c r="D10" i="2"/>
  <c r="C10" i="2"/>
  <c r="B10" i="2"/>
  <c r="E9" i="2"/>
  <c r="C9" i="2"/>
  <c r="C8" i="2"/>
  <c r="C7" i="2"/>
  <c r="E6" i="2"/>
  <c r="D6" i="2"/>
  <c r="C6" i="2"/>
  <c r="B6" i="2"/>
  <c r="E5" i="2"/>
  <c r="D5" i="2"/>
  <c r="C5" i="2"/>
  <c r="B5" i="2"/>
  <c r="E4" i="2"/>
  <c r="D4" i="2"/>
  <c r="C4" i="2"/>
  <c r="B4" i="2"/>
  <c r="C3" i="2"/>
  <c r="L15" i="18" l="1"/>
  <c r="I4" i="18"/>
  <c r="J202" i="18"/>
  <c r="H29" i="2" s="1"/>
  <c r="L46" i="18"/>
  <c r="L34" i="18"/>
  <c r="I19" i="18"/>
  <c r="I75" i="18"/>
  <c r="L20" i="18"/>
  <c r="L26" i="18"/>
  <c r="L38" i="18"/>
  <c r="L43" i="18"/>
  <c r="I24" i="18"/>
  <c r="I2" i="18"/>
  <c r="I10" i="18"/>
  <c r="I61" i="18"/>
  <c r="I62" i="18"/>
  <c r="I63" i="18"/>
  <c r="I64" i="18"/>
  <c r="I6" i="18"/>
  <c r="I9" i="18"/>
  <c r="L17" i="18"/>
  <c r="L51" i="18"/>
  <c r="L52" i="18"/>
  <c r="L56" i="18"/>
  <c r="I59" i="18"/>
  <c r="I73" i="18"/>
  <c r="L16" i="18"/>
  <c r="L22" i="18"/>
  <c r="L27" i="18"/>
  <c r="L30" i="18"/>
  <c r="L35" i="18"/>
  <c r="L36" i="18"/>
  <c r="L39" i="18"/>
  <c r="L50" i="18"/>
  <c r="L55" i="18"/>
  <c r="I68" i="18"/>
  <c r="I37" i="15"/>
  <c r="I95" i="15"/>
  <c r="L11" i="15"/>
  <c r="L22" i="15"/>
  <c r="I36" i="15"/>
  <c r="I48" i="15"/>
  <c r="I71" i="15"/>
  <c r="L87" i="15"/>
  <c r="I106" i="15"/>
  <c r="L111" i="15"/>
  <c r="I143" i="15"/>
  <c r="I157" i="15"/>
  <c r="L10" i="15"/>
  <c r="L19" i="15"/>
  <c r="L27" i="15"/>
  <c r="I41" i="15"/>
  <c r="I42" i="15"/>
  <c r="I70" i="15"/>
  <c r="L86" i="15"/>
  <c r="I104" i="15"/>
  <c r="L110" i="15"/>
  <c r="L115" i="15"/>
  <c r="L123" i="15"/>
  <c r="I142" i="15"/>
  <c r="I156" i="15"/>
  <c r="I66" i="15"/>
  <c r="I74" i="15"/>
  <c r="I96" i="15"/>
  <c r="I158" i="15"/>
  <c r="I75" i="3"/>
  <c r="I5" i="3"/>
  <c r="I13" i="3"/>
  <c r="I17" i="3"/>
  <c r="I26" i="3"/>
  <c r="I32" i="3"/>
  <c r="K49" i="3"/>
  <c r="L2" i="3" s="1"/>
  <c r="E2" i="2" s="1"/>
  <c r="I70" i="3"/>
  <c r="I74" i="3"/>
  <c r="I4" i="3"/>
  <c r="I8" i="3"/>
  <c r="I12" i="3"/>
  <c r="I16" i="3"/>
  <c r="I20" i="3"/>
  <c r="I25" i="3"/>
  <c r="I31" i="3"/>
  <c r="I43" i="3"/>
  <c r="K48" i="3"/>
  <c r="K64" i="3"/>
  <c r="I73" i="3"/>
  <c r="K90" i="3"/>
  <c r="K94" i="3"/>
  <c r="I10" i="3"/>
  <c r="I14" i="3"/>
  <c r="I18" i="3"/>
  <c r="I23" i="3"/>
  <c r="I29" i="3"/>
  <c r="I33" i="3"/>
  <c r="I41" i="3"/>
  <c r="I71" i="3"/>
  <c r="I9" i="3"/>
  <c r="I21" i="3"/>
  <c r="I40" i="3"/>
  <c r="I44" i="3"/>
  <c r="K65" i="3"/>
  <c r="K91" i="3"/>
  <c r="C34" i="2"/>
  <c r="L2" i="8"/>
  <c r="E13" i="2" s="1"/>
  <c r="R2" i="10"/>
  <c r="D17" i="2" s="1"/>
  <c r="B17" i="2"/>
  <c r="P2" i="8"/>
  <c r="U2" i="6"/>
  <c r="D11" i="2" s="1"/>
  <c r="B11" i="2"/>
  <c r="L34" i="5"/>
  <c r="L51" i="5"/>
  <c r="L64" i="7"/>
  <c r="L84" i="7"/>
  <c r="L89" i="7"/>
  <c r="Q2" i="12"/>
  <c r="N412" i="19"/>
  <c r="K412" i="19"/>
  <c r="N416" i="19"/>
  <c r="K416" i="19"/>
  <c r="N420" i="19"/>
  <c r="K420" i="19"/>
  <c r="N483" i="19"/>
  <c r="K483" i="19"/>
  <c r="N487" i="19"/>
  <c r="K487" i="19"/>
  <c r="N491" i="19"/>
  <c r="K491" i="19"/>
  <c r="N495" i="19"/>
  <c r="K495" i="19"/>
  <c r="N497" i="19"/>
  <c r="K497" i="19"/>
  <c r="N547" i="19"/>
  <c r="K547" i="19"/>
  <c r="N551" i="19"/>
  <c r="K551" i="19"/>
  <c r="N559" i="19"/>
  <c r="K559" i="19"/>
  <c r="N567" i="19"/>
  <c r="K567" i="19"/>
  <c r="N668" i="19"/>
  <c r="K668" i="19"/>
  <c r="I32" i="20"/>
  <c r="K32" i="20"/>
  <c r="I111" i="20"/>
  <c r="K111" i="20"/>
  <c r="K183" i="20"/>
  <c r="I183" i="20"/>
  <c r="J105" i="30"/>
  <c r="I105" i="30"/>
  <c r="J111" i="30"/>
  <c r="I111" i="30"/>
  <c r="B19" i="2"/>
  <c r="I36" i="3"/>
  <c r="I37" i="3"/>
  <c r="I53" i="3"/>
  <c r="I54" i="3"/>
  <c r="I55" i="3"/>
  <c r="I56" i="3"/>
  <c r="I97" i="3"/>
  <c r="I98" i="3"/>
  <c r="I99" i="3"/>
  <c r="I103" i="3"/>
  <c r="I104" i="3"/>
  <c r="I105" i="3"/>
  <c r="I106" i="3"/>
  <c r="I107" i="3"/>
  <c r="I32" i="4"/>
  <c r="Q2" i="4" s="1"/>
  <c r="I2" i="5"/>
  <c r="I3" i="5"/>
  <c r="I4" i="5"/>
  <c r="I7" i="5"/>
  <c r="I8" i="5"/>
  <c r="I9" i="5"/>
  <c r="I10" i="5"/>
  <c r="I11" i="5"/>
  <c r="I13" i="5"/>
  <c r="I14" i="5"/>
  <c r="I15" i="5"/>
  <c r="I16" i="5"/>
  <c r="I17" i="5"/>
  <c r="I18" i="5"/>
  <c r="I19" i="5"/>
  <c r="I20" i="5"/>
  <c r="I21" i="5"/>
  <c r="I22" i="5"/>
  <c r="I23" i="5"/>
  <c r="L24" i="5"/>
  <c r="M2" i="5" s="1"/>
  <c r="E8" i="2" s="1"/>
  <c r="L35" i="5"/>
  <c r="I45" i="5"/>
  <c r="I46" i="5"/>
  <c r="I47" i="5"/>
  <c r="I48" i="5"/>
  <c r="I49" i="5"/>
  <c r="I50" i="5"/>
  <c r="L52" i="5"/>
  <c r="L14" i="7"/>
  <c r="L22" i="7"/>
  <c r="M2" i="7" s="1"/>
  <c r="E12" i="2" s="1"/>
  <c r="I31" i="7"/>
  <c r="L41" i="7"/>
  <c r="I44" i="7"/>
  <c r="I45" i="7"/>
  <c r="I46" i="7"/>
  <c r="I47" i="7"/>
  <c r="L54" i="7"/>
  <c r="I58" i="7"/>
  <c r="I59" i="7"/>
  <c r="L60" i="7"/>
  <c r="I62" i="7"/>
  <c r="I63" i="7"/>
  <c r="L65" i="7"/>
  <c r="I67" i="7"/>
  <c r="I68" i="7"/>
  <c r="I69" i="7"/>
  <c r="I70" i="7"/>
  <c r="L71" i="7"/>
  <c r="I77" i="7"/>
  <c r="I78" i="7"/>
  <c r="L80" i="7"/>
  <c r="I13" i="8"/>
  <c r="I15" i="8"/>
  <c r="I28" i="8"/>
  <c r="I25" i="9"/>
  <c r="Q2" i="9" s="1"/>
  <c r="I42" i="9"/>
  <c r="J702" i="12"/>
  <c r="H21" i="2" s="1"/>
  <c r="H34" i="2" s="1"/>
  <c r="I21" i="15"/>
  <c r="L21" i="15"/>
  <c r="I29" i="15"/>
  <c r="L29" i="15"/>
  <c r="I43" i="15"/>
  <c r="L43" i="15"/>
  <c r="L73" i="15"/>
  <c r="I73" i="15"/>
  <c r="L145" i="15"/>
  <c r="I145" i="15"/>
  <c r="L8" i="18"/>
  <c r="I8" i="18"/>
  <c r="I14" i="18"/>
  <c r="L14" i="18"/>
  <c r="I49" i="18"/>
  <c r="L49" i="18"/>
  <c r="N414" i="19"/>
  <c r="K414" i="19"/>
  <c r="N418" i="19"/>
  <c r="K418" i="19"/>
  <c r="N422" i="19"/>
  <c r="K422" i="19"/>
  <c r="N471" i="19"/>
  <c r="K471" i="19"/>
  <c r="N473" i="19"/>
  <c r="K473" i="19"/>
  <c r="N475" i="19"/>
  <c r="K475" i="19"/>
  <c r="N477" i="19"/>
  <c r="K477" i="19"/>
  <c r="N479" i="19"/>
  <c r="K479" i="19"/>
  <c r="N481" i="19"/>
  <c r="K481" i="19"/>
  <c r="N485" i="19"/>
  <c r="K485" i="19"/>
  <c r="N489" i="19"/>
  <c r="K489" i="19"/>
  <c r="N493" i="19"/>
  <c r="K493" i="19"/>
  <c r="N545" i="19"/>
  <c r="K545" i="19"/>
  <c r="N557" i="19"/>
  <c r="K557" i="19"/>
  <c r="N565" i="19"/>
  <c r="K565" i="19"/>
  <c r="N684" i="19"/>
  <c r="K684" i="19"/>
  <c r="I24" i="20"/>
  <c r="K24" i="20"/>
  <c r="K214" i="20"/>
  <c r="I214" i="20"/>
  <c r="I254" i="20"/>
  <c r="K254" i="20"/>
  <c r="J109" i="30"/>
  <c r="I109" i="30"/>
  <c r="I19" i="7"/>
  <c r="Q2" i="7" s="1"/>
  <c r="K46" i="7"/>
  <c r="I52" i="7"/>
  <c r="K63" i="7"/>
  <c r="I51" i="9"/>
  <c r="R2" i="11"/>
  <c r="L204" i="13"/>
  <c r="I204" i="13"/>
  <c r="L206" i="13"/>
  <c r="I206" i="13"/>
  <c r="L208" i="13"/>
  <c r="I208" i="13"/>
  <c r="L210" i="13"/>
  <c r="I210" i="13"/>
  <c r="I213" i="13"/>
  <c r="L213" i="13"/>
  <c r="I76" i="13"/>
  <c r="L76" i="13"/>
  <c r="N549" i="19"/>
  <c r="K549" i="19"/>
  <c r="N553" i="19"/>
  <c r="K553" i="19"/>
  <c r="N555" i="19"/>
  <c r="K555" i="19"/>
  <c r="N561" i="19"/>
  <c r="K561" i="19"/>
  <c r="N563" i="19"/>
  <c r="K563" i="19"/>
  <c r="N676" i="19"/>
  <c r="K676" i="19"/>
  <c r="K75" i="20"/>
  <c r="I75" i="20"/>
  <c r="J103" i="30"/>
  <c r="I103" i="30"/>
  <c r="J107" i="30"/>
  <c r="I107" i="30"/>
  <c r="J113" i="30"/>
  <c r="I113" i="30"/>
  <c r="L91" i="13"/>
  <c r="I91" i="13"/>
  <c r="L107" i="13"/>
  <c r="I107" i="13"/>
  <c r="I200" i="13"/>
  <c r="L200" i="13"/>
  <c r="L21" i="13"/>
  <c r="I21" i="13"/>
  <c r="L23" i="13"/>
  <c r="I23" i="13"/>
  <c r="L25" i="13"/>
  <c r="I25" i="13"/>
  <c r="L27" i="13"/>
  <c r="I27" i="13"/>
  <c r="L60" i="13"/>
  <c r="I60" i="13"/>
  <c r="L62" i="13"/>
  <c r="I62" i="13"/>
  <c r="L64" i="13"/>
  <c r="I64" i="13"/>
  <c r="J202" i="15"/>
  <c r="H26" i="2" s="1"/>
  <c r="I85" i="15"/>
  <c r="L85" i="15"/>
  <c r="I93" i="15"/>
  <c r="L93" i="15"/>
  <c r="I122" i="15"/>
  <c r="L122" i="15"/>
  <c r="S2" i="16"/>
  <c r="B27" i="2" s="1"/>
  <c r="P2" i="17"/>
  <c r="I33" i="18"/>
  <c r="L33" i="18"/>
  <c r="I45" i="18"/>
  <c r="L45" i="18"/>
  <c r="L67" i="18"/>
  <c r="I67" i="18"/>
  <c r="L72" i="18"/>
  <c r="I72" i="18"/>
  <c r="L278" i="12"/>
  <c r="M2" i="12" s="1"/>
  <c r="E21" i="2" s="1"/>
  <c r="L90" i="13"/>
  <c r="I90" i="13"/>
  <c r="L106" i="13"/>
  <c r="I106" i="13"/>
  <c r="L205" i="13"/>
  <c r="I205" i="13"/>
  <c r="L207" i="13"/>
  <c r="I207" i="13"/>
  <c r="L209" i="13"/>
  <c r="I209" i="13"/>
  <c r="I25" i="15"/>
  <c r="L25" i="15"/>
  <c r="L69" i="15"/>
  <c r="I69" i="15"/>
  <c r="L141" i="15"/>
  <c r="I141" i="15"/>
  <c r="L152" i="15"/>
  <c r="I152" i="15"/>
  <c r="L3" i="18"/>
  <c r="I3" i="18"/>
  <c r="L20" i="13"/>
  <c r="I20" i="13"/>
  <c r="Q2" i="13" s="1"/>
  <c r="L22" i="13"/>
  <c r="I22" i="13"/>
  <c r="L24" i="13"/>
  <c r="I24" i="13"/>
  <c r="L26" i="13"/>
  <c r="I26" i="13"/>
  <c r="L61" i="13"/>
  <c r="I61" i="13"/>
  <c r="L63" i="13"/>
  <c r="I63" i="13"/>
  <c r="R2" i="14"/>
  <c r="L39" i="15"/>
  <c r="I39" i="15"/>
  <c r="I89" i="15"/>
  <c r="L89" i="15"/>
  <c r="I118" i="15"/>
  <c r="L118" i="15"/>
  <c r="I29" i="18"/>
  <c r="L29" i="18"/>
  <c r="I41" i="18"/>
  <c r="L41" i="18"/>
  <c r="L3" i="13"/>
  <c r="M2" i="13" s="1"/>
  <c r="E23" i="2" s="1"/>
  <c r="L40" i="13"/>
  <c r="L53" i="13"/>
  <c r="L57" i="13"/>
  <c r="L77" i="13"/>
  <c r="L81" i="13"/>
  <c r="L103" i="13"/>
  <c r="L117" i="13"/>
  <c r="L133" i="13"/>
  <c r="L159" i="13"/>
  <c r="L180" i="13"/>
  <c r="L184" i="13"/>
  <c r="L197" i="13"/>
  <c r="L201" i="13"/>
  <c r="L227" i="13"/>
  <c r="L13" i="15"/>
  <c r="L105" i="15"/>
  <c r="L114" i="15"/>
  <c r="N424" i="19"/>
  <c r="K424" i="19"/>
  <c r="K633" i="19"/>
  <c r="N633" i="19"/>
  <c r="K641" i="19"/>
  <c r="N641" i="19"/>
  <c r="I38" i="15"/>
  <c r="I68" i="15"/>
  <c r="I72" i="15"/>
  <c r="L94" i="15"/>
  <c r="I140" i="15"/>
  <c r="I144" i="15"/>
  <c r="I151" i="15"/>
  <c r="L202" i="16"/>
  <c r="H27" i="2" s="1"/>
  <c r="I7" i="18"/>
  <c r="I11" i="18"/>
  <c r="L42" i="18"/>
  <c r="I66" i="18"/>
  <c r="I71" i="18"/>
  <c r="I76" i="18"/>
  <c r="N411" i="19"/>
  <c r="O2" i="19" s="1"/>
  <c r="E30" i="2" s="1"/>
  <c r="K411" i="19"/>
  <c r="S2" i="19" s="1"/>
  <c r="N413" i="19"/>
  <c r="K413" i="19"/>
  <c r="N415" i="19"/>
  <c r="K415" i="19"/>
  <c r="N417" i="19"/>
  <c r="K417" i="19"/>
  <c r="N419" i="19"/>
  <c r="K419" i="19"/>
  <c r="N421" i="19"/>
  <c r="K421" i="19"/>
  <c r="N470" i="19"/>
  <c r="K470" i="19"/>
  <c r="N472" i="19"/>
  <c r="K472" i="19"/>
  <c r="N474" i="19"/>
  <c r="K474" i="19"/>
  <c r="N476" i="19"/>
  <c r="K476" i="19"/>
  <c r="N478" i="19"/>
  <c r="K478" i="19"/>
  <c r="N480" i="19"/>
  <c r="K480" i="19"/>
  <c r="N482" i="19"/>
  <c r="K482" i="19"/>
  <c r="N484" i="19"/>
  <c r="K484" i="19"/>
  <c r="N486" i="19"/>
  <c r="K486" i="19"/>
  <c r="N488" i="19"/>
  <c r="K488" i="19"/>
  <c r="N490" i="19"/>
  <c r="K490" i="19"/>
  <c r="N492" i="19"/>
  <c r="K492" i="19"/>
  <c r="N494" i="19"/>
  <c r="K494" i="19"/>
  <c r="N496" i="19"/>
  <c r="K496" i="19"/>
  <c r="N544" i="19"/>
  <c r="K544" i="19"/>
  <c r="N546" i="19"/>
  <c r="K546" i="19"/>
  <c r="N548" i="19"/>
  <c r="K548" i="19"/>
  <c r="N550" i="19"/>
  <c r="K550" i="19"/>
  <c r="N552" i="19"/>
  <c r="K552" i="19"/>
  <c r="N554" i="19"/>
  <c r="K554" i="19"/>
  <c r="N556" i="19"/>
  <c r="K556" i="19"/>
  <c r="N558" i="19"/>
  <c r="K558" i="19"/>
  <c r="N560" i="19"/>
  <c r="K560" i="19"/>
  <c r="N562" i="19"/>
  <c r="K562" i="19"/>
  <c r="N564" i="19"/>
  <c r="K564" i="19"/>
  <c r="N566" i="19"/>
  <c r="K566" i="19"/>
  <c r="N664" i="19"/>
  <c r="K664" i="19"/>
  <c r="N672" i="19"/>
  <c r="K672" i="19"/>
  <c r="N680" i="19"/>
  <c r="K680" i="19"/>
  <c r="N688" i="19"/>
  <c r="K688" i="19"/>
  <c r="L20" i="15"/>
  <c r="L24" i="15"/>
  <c r="L28" i="15"/>
  <c r="L84" i="15"/>
  <c r="L88" i="15"/>
  <c r="L92" i="15"/>
  <c r="L117" i="15"/>
  <c r="L121" i="15"/>
  <c r="L13" i="18"/>
  <c r="L32" i="18"/>
  <c r="L40" i="18"/>
  <c r="K637" i="19"/>
  <c r="N637" i="19"/>
  <c r="L18" i="18"/>
  <c r="L23" i="18"/>
  <c r="L53" i="18"/>
  <c r="L58" i="18"/>
  <c r="N630" i="19"/>
  <c r="N634" i="19"/>
  <c r="N638" i="19"/>
  <c r="N765" i="19"/>
  <c r="K765" i="19"/>
  <c r="N767" i="19"/>
  <c r="K767" i="19"/>
  <c r="N769" i="19"/>
  <c r="K769" i="19"/>
  <c r="N771" i="19"/>
  <c r="K771" i="19"/>
  <c r="N773" i="19"/>
  <c r="K773" i="19"/>
  <c r="N775" i="19"/>
  <c r="K775" i="19"/>
  <c r="K994" i="19"/>
  <c r="N994" i="19"/>
  <c r="K1002" i="19"/>
  <c r="N1002" i="19"/>
  <c r="K1010" i="19"/>
  <c r="N1010" i="19"/>
  <c r="K79" i="20"/>
  <c r="I79" i="20"/>
  <c r="K91" i="20"/>
  <c r="I91" i="20"/>
  <c r="K129" i="20"/>
  <c r="I129" i="20"/>
  <c r="L1502" i="19"/>
  <c r="H30" i="2" s="1"/>
  <c r="K663" i="19"/>
  <c r="K667" i="19"/>
  <c r="K671" i="19"/>
  <c r="K675" i="19"/>
  <c r="K679" i="19"/>
  <c r="K683" i="19"/>
  <c r="K687" i="19"/>
  <c r="K10" i="20"/>
  <c r="I10" i="20"/>
  <c r="I28" i="20"/>
  <c r="K28" i="20"/>
  <c r="K83" i="20"/>
  <c r="I83" i="20"/>
  <c r="K95" i="20"/>
  <c r="I95" i="20"/>
  <c r="N764" i="19"/>
  <c r="K764" i="19"/>
  <c r="N766" i="19"/>
  <c r="K766" i="19"/>
  <c r="N768" i="19"/>
  <c r="K768" i="19"/>
  <c r="N770" i="19"/>
  <c r="K770" i="19"/>
  <c r="N772" i="19"/>
  <c r="K772" i="19"/>
  <c r="N774" i="19"/>
  <c r="K774" i="19"/>
  <c r="N776" i="19"/>
  <c r="K776" i="19"/>
  <c r="K990" i="19"/>
  <c r="N990" i="19"/>
  <c r="K998" i="19"/>
  <c r="N998" i="19"/>
  <c r="K1006" i="19"/>
  <c r="N1006" i="19"/>
  <c r="K14" i="20"/>
  <c r="I14" i="20"/>
  <c r="K71" i="20"/>
  <c r="I71" i="20"/>
  <c r="I13" i="20"/>
  <c r="I70" i="20"/>
  <c r="I74" i="20"/>
  <c r="I78" i="20"/>
  <c r="I82" i="20"/>
  <c r="I94" i="20"/>
  <c r="K215" i="20"/>
  <c r="I215" i="20"/>
  <c r="N989" i="19"/>
  <c r="N993" i="19"/>
  <c r="N997" i="19"/>
  <c r="N1001" i="19"/>
  <c r="N1005" i="19"/>
  <c r="N1009" i="19"/>
  <c r="N1013" i="19"/>
  <c r="I12" i="20"/>
  <c r="K23" i="20"/>
  <c r="L2" i="20" s="1"/>
  <c r="E31" i="2" s="1"/>
  <c r="K27" i="20"/>
  <c r="K31" i="20"/>
  <c r="I73" i="20"/>
  <c r="I77" i="20"/>
  <c r="I81" i="20"/>
  <c r="I93" i="20"/>
  <c r="K110" i="20"/>
  <c r="K114" i="20"/>
  <c r="S2" i="25"/>
  <c r="D14" i="2" s="1"/>
  <c r="J61" i="30"/>
  <c r="I61" i="30"/>
  <c r="J63" i="30"/>
  <c r="I63" i="30"/>
  <c r="J65" i="30"/>
  <c r="I65" i="30"/>
  <c r="J67" i="30"/>
  <c r="I67" i="30"/>
  <c r="J69" i="30"/>
  <c r="I69" i="30"/>
  <c r="I255" i="20"/>
  <c r="K255" i="20"/>
  <c r="R2" i="23"/>
  <c r="J104" i="30"/>
  <c r="I104" i="30"/>
  <c r="J106" i="30"/>
  <c r="I106" i="30"/>
  <c r="J108" i="30"/>
  <c r="I108" i="30"/>
  <c r="J110" i="30"/>
  <c r="I110" i="30"/>
  <c r="J112" i="30"/>
  <c r="I112" i="30"/>
  <c r="J62" i="30"/>
  <c r="I62" i="30"/>
  <c r="P2" i="30" s="1"/>
  <c r="J64" i="30"/>
  <c r="I64" i="30"/>
  <c r="J66" i="30"/>
  <c r="I66" i="30"/>
  <c r="J68" i="30"/>
  <c r="I68" i="30"/>
  <c r="Q2" i="31"/>
  <c r="M2" i="18" l="1"/>
  <c r="E29" i="2" s="1"/>
  <c r="Q2" i="18"/>
  <c r="B29" i="2" s="1"/>
  <c r="M2" i="15"/>
  <c r="E26" i="2" s="1"/>
  <c r="Q2" i="15"/>
  <c r="B26" i="2" s="1"/>
  <c r="P2" i="3"/>
  <c r="B2" i="2" s="1"/>
  <c r="S2" i="4"/>
  <c r="D3" i="2" s="1"/>
  <c r="B3" i="2"/>
  <c r="U2" i="19"/>
  <c r="D30" i="2" s="1"/>
  <c r="B30" i="2"/>
  <c r="B12" i="2"/>
  <c r="S2" i="7"/>
  <c r="D12" i="2" s="1"/>
  <c r="R2" i="30"/>
  <c r="D7" i="2" s="1"/>
  <c r="B7" i="2"/>
  <c r="S2" i="15"/>
  <c r="D26" i="2" s="1"/>
  <c r="S2" i="13"/>
  <c r="D23" i="2" s="1"/>
  <c r="B23" i="2"/>
  <c r="B15" i="2"/>
  <c r="S2" i="9"/>
  <c r="D15" i="2" s="1"/>
  <c r="T2" i="14"/>
  <c r="D25" i="2" s="1"/>
  <c r="B25" i="2"/>
  <c r="S2" i="31"/>
  <c r="D20" i="2" s="1"/>
  <c r="B20" i="2"/>
  <c r="T2" i="23"/>
  <c r="D9" i="2" s="1"/>
  <c r="B9" i="2"/>
  <c r="L2" i="30"/>
  <c r="E7" i="2" s="1"/>
  <c r="Q2" i="5"/>
  <c r="P2" i="20"/>
  <c r="B13" i="2"/>
  <c r="R2" i="8"/>
  <c r="D13" i="2" s="1"/>
  <c r="R2" i="17"/>
  <c r="D28" i="2" s="1"/>
  <c r="B28" i="2"/>
  <c r="T2" i="11"/>
  <c r="D18" i="2" s="1"/>
  <c r="B18" i="2"/>
  <c r="B21" i="2"/>
  <c r="S2" i="12"/>
  <c r="D21" i="2" s="1"/>
  <c r="S2" i="18" l="1"/>
  <c r="D29" i="2" s="1"/>
  <c r="E34" i="2"/>
  <c r="E36" i="2" s="1"/>
  <c r="R2" i="3"/>
  <c r="D2" i="2" s="1"/>
  <c r="R2" i="20"/>
  <c r="D31" i="2" s="1"/>
  <c r="B31" i="2"/>
  <c r="S2" i="5"/>
  <c r="D8" i="2" s="1"/>
  <c r="B8" i="2"/>
  <c r="B34" i="2" s="1"/>
  <c r="D3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Walter Huffington</author>
  </authors>
  <commentList>
    <comment ref="E1" authorId="0" shapeId="0" xr:uid="{8481F918-1F5A-4E12-9A9B-BFCCBA4613FA}">
      <text>
        <r>
          <rPr>
            <b/>
            <sz val="9"/>
            <color indexed="81"/>
            <rFont val="Tahoma"/>
          </rPr>
          <t>Walter Huffington:</t>
        </r>
        <r>
          <rPr>
            <sz val="9"/>
            <color indexed="81"/>
            <rFont val="Tahoma"/>
          </rPr>
          <t xml:space="preserve">
WINS/LOSSES BY PLAYER IN EACH CLUB FOR THE PERIOD IN THE CLUB'S CURRENCY</t>
        </r>
      </text>
    </comment>
    <comment ref="F1" authorId="0" shapeId="0" xr:uid="{CD03A512-068F-447E-946B-517317906C77}">
      <text>
        <r>
          <rPr>
            <b/>
            <sz val="9"/>
            <color indexed="81"/>
            <rFont val="Tahoma"/>
          </rPr>
          <t>Walter Huffington:</t>
        </r>
        <r>
          <rPr>
            <sz val="9"/>
            <color indexed="81"/>
            <rFont val="Tahoma"/>
          </rPr>
          <t xml:space="preserve">
RAKE BACK (WHAT THE AGENCY KEEPS FROM EACH CUSTOMER)</t>
        </r>
      </text>
    </comment>
    <comment ref="G1" authorId="0" shapeId="0" xr:uid="{7F73B643-1B25-459B-BE14-CD347515E76F}">
      <text>
        <r>
          <rPr>
            <b/>
            <sz val="9"/>
            <color indexed="81"/>
            <rFont val="Tahoma"/>
          </rPr>
          <t xml:space="preserve">Walter Huffington:
</t>
        </r>
        <r>
          <rPr>
            <sz val="9"/>
            <color indexed="81"/>
            <rFont val="Tahoma"/>
            <family val="2"/>
          </rPr>
          <t xml:space="preserve">
HOW YOU CALCULATE THE BONUS PERCENTAGE?</t>
        </r>
      </text>
    </comment>
    <comment ref="H1" authorId="0" shapeId="0" xr:uid="{07427E30-F702-454C-8F4C-826D45576F30}">
      <text>
        <r>
          <rPr>
            <b/>
            <sz val="9"/>
            <color indexed="81"/>
            <rFont val="Tahoma"/>
          </rPr>
          <t>Walter Huffington:</t>
        </r>
        <r>
          <rPr>
            <sz val="9"/>
            <color indexed="81"/>
            <rFont val="Tahoma"/>
          </rPr>
          <t xml:space="preserve">
FOREIGN EXCHANGE RATE FROM CLUB CURRENCY TO USD
</t>
        </r>
      </text>
    </comment>
    <comment ref="I1" authorId="0" shapeId="0" xr:uid="{BBBD68EC-AA91-4F39-88B0-9851A865CD35}">
      <text>
        <r>
          <rPr>
            <b/>
            <sz val="9"/>
            <color indexed="81"/>
            <rFont val="Tahoma"/>
            <family val="2"/>
          </rPr>
          <t>Walter Huffington:</t>
        </r>
        <r>
          <rPr>
            <sz val="9"/>
            <color indexed="81"/>
            <rFont val="Tahoma"/>
            <family val="2"/>
          </rPr>
          <t xml:space="preserve">
Walter Huffington:
THE LAST NUMBER IN THE EQUATION DEPENDS ON THE CLUB (CLUB DEAL)</t>
        </r>
      </text>
    </comment>
    <comment ref="K1" authorId="0" shapeId="0" xr:uid="{68C5C64F-C0A8-4E9F-85DB-AB5F864A4054}">
      <text>
        <r>
          <rPr>
            <b/>
            <sz val="9"/>
            <color indexed="81"/>
            <rFont val="Tahoma"/>
            <family val="2"/>
          </rPr>
          <t>Walter Huffington:</t>
        </r>
        <r>
          <rPr>
            <sz val="9"/>
            <color indexed="81"/>
            <rFont val="Tahoma"/>
            <family val="2"/>
          </rPr>
          <t xml:space="preserve">
THE PERCENTAGE OF THE AGENCY ACTION IS CLUB DEPENDANT. IT CHANGES OVER TIME ACCORDING TO THE DEAL.</t>
        </r>
      </text>
    </comment>
  </commentList>
</comments>
</file>

<file path=xl/sharedStrings.xml><?xml version="1.0" encoding="utf-8"?>
<sst xmlns="http://schemas.openxmlformats.org/spreadsheetml/2006/main" count="19431" uniqueCount="1429">
  <si>
    <t>Player</t>
  </si>
  <si>
    <t>Club</t>
  </si>
  <si>
    <t>Original RB deal</t>
  </si>
  <si>
    <t>RB cut (agency)</t>
  </si>
  <si>
    <t>RB deal (player)</t>
  </si>
  <si>
    <t>Original chip rate</t>
  </si>
  <si>
    <t>Chip cut (agency)</t>
  </si>
  <si>
    <t>Chip rate (player)</t>
  </si>
  <si>
    <t>Other</t>
  </si>
  <si>
    <t>AAwezz</t>
  </si>
  <si>
    <t>Broka Suprema</t>
  </si>
  <si>
    <t>75 %</t>
  </si>
  <si>
    <t>10 %</t>
  </si>
  <si>
    <t>65 %</t>
  </si>
  <si>
    <t>1 chip = 1 BRL</t>
  </si>
  <si>
    <t>/</t>
  </si>
  <si>
    <t>2 % fee in case of positive weekly result.</t>
  </si>
  <si>
    <t>C.P.C. OnLine</t>
  </si>
  <si>
    <t>70 %</t>
  </si>
  <si>
    <t>5 %</t>
  </si>
  <si>
    <t>0.10 BRL</t>
  </si>
  <si>
    <t>1 chip = 0.90 BRL</t>
  </si>
  <si>
    <t>1 % vig.</t>
  </si>
  <si>
    <t>ClubeDaSorte</t>
  </si>
  <si>
    <t>0 %</t>
  </si>
  <si>
    <t>Degen united</t>
  </si>
  <si>
    <t>73 %</t>
  </si>
  <si>
    <t>3 %</t>
  </si>
  <si>
    <t>0.07 BRL</t>
  </si>
  <si>
    <t>1 chip = 0.93 BRL</t>
  </si>
  <si>
    <t>Double up!</t>
  </si>
  <si>
    <t>Start Over (重新来过)</t>
  </si>
  <si>
    <t>1 chip = 0.90 SGD</t>
  </si>
  <si>
    <t>0.10 SGD</t>
  </si>
  <si>
    <t>1 chip = 0.80 SGD</t>
  </si>
  <si>
    <t>TMNT</t>
  </si>
  <si>
    <t>88 %</t>
  </si>
  <si>
    <t>1 %</t>
  </si>
  <si>
    <t>82 %</t>
  </si>
  <si>
    <t>1 chip = 0.87 ILS</t>
  </si>
  <si>
    <t>0.087 ILS</t>
  </si>
  <si>
    <t>1 chip = 0.783 ILS</t>
  </si>
  <si>
    <t>5 % RB to Ben.</t>
  </si>
  <si>
    <t>Whalepond</t>
  </si>
  <si>
    <t>1 chip = 1 AUD</t>
  </si>
  <si>
    <t>0.10 AUD</t>
  </si>
  <si>
    <t>1 chip = 0.90 AUD</t>
  </si>
  <si>
    <t>Alex</t>
  </si>
  <si>
    <t>Avatar</t>
  </si>
  <si>
    <t>100 %</t>
  </si>
  <si>
    <t>35 %</t>
  </si>
  <si>
    <t>1 chip = 1 USD</t>
  </si>
  <si>
    <t>0.33 USD</t>
  </si>
  <si>
    <t>1 chip = 0.67 USD</t>
  </si>
  <si>
    <t>Bob's game</t>
  </si>
  <si>
    <t>Boombox</t>
  </si>
  <si>
    <t>63 %</t>
  </si>
  <si>
    <t>16 %</t>
  </si>
  <si>
    <t>44.5 %</t>
  </si>
  <si>
    <t>3 % crypto fee. 2.5 % goes to Ben.</t>
  </si>
  <si>
    <t>60 %</t>
  </si>
  <si>
    <t>House of PokerCH</t>
  </si>
  <si>
    <t>15 %</t>
  </si>
  <si>
    <t>50 %</t>
  </si>
  <si>
    <t>1 chip = 1 CHF</t>
  </si>
  <si>
    <t>SNOOP</t>
  </si>
  <si>
    <t>85 %</t>
  </si>
  <si>
    <t>1 chip = 1 ILS</t>
  </si>
  <si>
    <t>Andraz</t>
  </si>
  <si>
    <t>Afghanistan</t>
  </si>
  <si>
    <t>30 %</t>
  </si>
  <si>
    <t>The Bads</t>
  </si>
  <si>
    <t>25 %</t>
  </si>
  <si>
    <t>55 %</t>
  </si>
  <si>
    <t>1 chip = 1 TWD</t>
  </si>
  <si>
    <t>5 % RB to Ben. 5 % fee in case of positive weekly result.</t>
  </si>
  <si>
    <t>The North</t>
  </si>
  <si>
    <t>N/A</t>
  </si>
  <si>
    <t>1 chip = 0.80 USD</t>
  </si>
  <si>
    <t>5 % fee in case of positive weekly result.</t>
  </si>
  <si>
    <t>33 %</t>
  </si>
  <si>
    <t>Tonys room</t>
  </si>
  <si>
    <t>45 %</t>
  </si>
  <si>
    <t>0.20 USD</t>
  </si>
  <si>
    <t>5 % RB to Ben. 3 % crypto fee.</t>
  </si>
  <si>
    <t>Andreas</t>
  </si>
  <si>
    <t>5card4life</t>
  </si>
  <si>
    <t>20 %</t>
  </si>
  <si>
    <t>1 chip = 0.87 USD</t>
  </si>
  <si>
    <t>0.2175 USD</t>
  </si>
  <si>
    <t>1 chip = 0.6525 USD</t>
  </si>
  <si>
    <t>0.25 USD</t>
  </si>
  <si>
    <t>1 chip = 0.75 USD</t>
  </si>
  <si>
    <t>40 %</t>
  </si>
  <si>
    <t>Diamond balagan</t>
  </si>
  <si>
    <t>0.75 USD</t>
  </si>
  <si>
    <t>1 chip = 0.25 USD</t>
  </si>
  <si>
    <t>18 %</t>
  </si>
  <si>
    <t>0.2175 ILS</t>
  </si>
  <si>
    <t>1 chip = 0.6525 ILS</t>
  </si>
  <si>
    <t>Ankush</t>
  </si>
  <si>
    <t>5 % RB to Ben. Chip rate split with Shane 50/50.</t>
  </si>
  <si>
    <t>chip rate split with Shane 50/50.</t>
  </si>
  <si>
    <t>78 %</t>
  </si>
  <si>
    <t>0.174 ILS</t>
  </si>
  <si>
    <t>1 chip = 0.696 ILS</t>
  </si>
  <si>
    <t>Ash</t>
  </si>
  <si>
    <t>P5Poker Panam</t>
  </si>
  <si>
    <t>77 %</t>
  </si>
  <si>
    <t>15 % (+ extra 2 % for M.)</t>
  </si>
  <si>
    <t>1 chip = 0.85 USD</t>
  </si>
  <si>
    <t>0.05 USD</t>
  </si>
  <si>
    <t>15 % rebate applicable to P/L and rake (for agency only), earnings split 70/30 (us/Shane).</t>
  </si>
  <si>
    <t>Bazz &amp; team</t>
  </si>
  <si>
    <t>AA Avocados</t>
  </si>
  <si>
    <t>0.10 USD</t>
  </si>
  <si>
    <t>1 chip = 0.90 USD</t>
  </si>
  <si>
    <t>Arena X</t>
  </si>
  <si>
    <t>85 % (90 % if weekly rake &gt; 30k)</t>
  </si>
  <si>
    <t>8 % (or 13 %)</t>
  </si>
  <si>
    <t>26 %</t>
  </si>
  <si>
    <t>74 %</t>
  </si>
  <si>
    <t>Balenciaga</t>
  </si>
  <si>
    <t>80 %</t>
  </si>
  <si>
    <t>8 %</t>
  </si>
  <si>
    <t>72 %</t>
  </si>
  <si>
    <t>0.10 ILS</t>
  </si>
  <si>
    <t>1 chip = 0.90 ILS</t>
  </si>
  <si>
    <t>6 %</t>
  </si>
  <si>
    <t>54.5 %</t>
  </si>
  <si>
    <t>3 % crypto fee (for agency only). 2.5 % goes to Ben.</t>
  </si>
  <si>
    <t>Club Deuces</t>
  </si>
  <si>
    <t>Carpe Diem</t>
  </si>
  <si>
    <t>Cuiabá Poker Stage</t>
  </si>
  <si>
    <t>9 %</t>
  </si>
  <si>
    <t>66 %</t>
  </si>
  <si>
    <t>Club Value</t>
  </si>
  <si>
    <t>Edgeville</t>
  </si>
  <si>
    <t>FichasNet</t>
  </si>
  <si>
    <t>FichasNet HG</t>
  </si>
  <si>
    <t>FN Broka AUS</t>
  </si>
  <si>
    <t>High Speed</t>
  </si>
  <si>
    <t>1 chip = 0.95 USD</t>
  </si>
  <si>
    <t>0.10 CHF</t>
  </si>
  <si>
    <t>1 chip = 0.90 CHF</t>
  </si>
  <si>
    <t>HSH</t>
  </si>
  <si>
    <t>India Dubai</t>
  </si>
  <si>
    <t>Mirit</t>
  </si>
  <si>
    <t>Nut_flush</t>
  </si>
  <si>
    <t>1 chip = 0.95 BRL</t>
  </si>
  <si>
    <t>1 chip = 0.85 BRL</t>
  </si>
  <si>
    <t>Poker Dojo</t>
  </si>
  <si>
    <t>Sakura Palace</t>
  </si>
  <si>
    <t>1 chip = 0.95 SGD</t>
  </si>
  <si>
    <t>0.15 SGD</t>
  </si>
  <si>
    <t>Small Tiger</t>
  </si>
  <si>
    <t>Swagger</t>
  </si>
  <si>
    <t>4.5 %</t>
  </si>
  <si>
    <t>2.5 % to Ben.</t>
  </si>
  <si>
    <t>Ben</t>
  </si>
  <si>
    <t>Supreme22</t>
  </si>
  <si>
    <t>0.05 AUD</t>
  </si>
  <si>
    <t>1 chip = 0.95 AUD</t>
  </si>
  <si>
    <t>Carl</t>
  </si>
  <si>
    <t>Kingsclubpkr</t>
  </si>
  <si>
    <t>62.5 %</t>
  </si>
  <si>
    <t>15.5 %</t>
  </si>
  <si>
    <t>47 %</t>
  </si>
  <si>
    <t>2 % crypto fee (for Agency only).</t>
  </si>
  <si>
    <t>Carter</t>
  </si>
  <si>
    <t>27.5 %</t>
  </si>
  <si>
    <t>72.5 %</t>
  </si>
  <si>
    <t>BAT CAVE</t>
  </si>
  <si>
    <t>5 % / 0 %</t>
  </si>
  <si>
    <t>80 % (85 % if weekly rake &gt; 100k)</t>
  </si>
  <si>
    <t>60 % for casino.</t>
  </si>
  <si>
    <t>13 %</t>
  </si>
  <si>
    <t>47.5 %</t>
  </si>
  <si>
    <t>Bubblech</t>
  </si>
  <si>
    <t>2.5 % RB to Ben.</t>
  </si>
  <si>
    <t>Crashhouse</t>
  </si>
  <si>
    <t>NoDiceUSA</t>
  </si>
  <si>
    <t>7 %</t>
  </si>
  <si>
    <t>3 % crypto fee.</t>
  </si>
  <si>
    <t>Tel Aviv</t>
  </si>
  <si>
    <t>Damir</t>
  </si>
  <si>
    <t>4th Street</t>
  </si>
  <si>
    <t>10 % (+ extra 5 % for M.)</t>
  </si>
  <si>
    <t>0.40 USD</t>
  </si>
  <si>
    <t>1 chip = 0.60 USD</t>
  </si>
  <si>
    <t>2 % WWF. 15 % rebate applicable to P/L and rake (for agency only), earnings split 70/30 (us/Shane).</t>
  </si>
  <si>
    <t>0.25 ILS</t>
  </si>
  <si>
    <t>1 chip = 0.75 ILS</t>
  </si>
  <si>
    <t>23 %</t>
  </si>
  <si>
    <t>37.5 %</t>
  </si>
  <si>
    <t>7.5 %</t>
  </si>
  <si>
    <t>Club 51</t>
  </si>
  <si>
    <t>87 %</t>
  </si>
  <si>
    <t>9.5 %</t>
  </si>
  <si>
    <t>0.25 CHF</t>
  </si>
  <si>
    <t>1 chip = 0.75 CHF</t>
  </si>
  <si>
    <t>Madcrash</t>
  </si>
  <si>
    <t>0.50 USD</t>
  </si>
  <si>
    <t>1 chip = 0.50 USD</t>
  </si>
  <si>
    <t>0.05 SGD</t>
  </si>
  <si>
    <t>5 % RB to Ben. 3 % fee in case of positive weekly result. 3 % crypto fee.</t>
  </si>
  <si>
    <t>0.2875 AUD</t>
  </si>
  <si>
    <t>1 chip = 0.7125 AUD</t>
  </si>
  <si>
    <t>Dejan</t>
  </si>
  <si>
    <t>2 % fee in case of positive weekly result. 1 % vig.</t>
  </si>
  <si>
    <t>Emil</t>
  </si>
  <si>
    <t>15 % rebate applicable to P/L and rake (for agency only), earnings split 70/30 (us/Shane). 3 % crypto fee.</t>
  </si>
  <si>
    <t>Fede</t>
  </si>
  <si>
    <t>HS</t>
  </si>
  <si>
    <t>25.5 %</t>
  </si>
  <si>
    <t>74.5 %</t>
  </si>
  <si>
    <t>Jake</t>
  </si>
  <si>
    <t>21.5 %</t>
  </si>
  <si>
    <t>73.5 %</t>
  </si>
  <si>
    <t>Kaleb</t>
  </si>
  <si>
    <t>GutShotClub</t>
  </si>
  <si>
    <t>12.5 %</t>
  </si>
  <si>
    <t>52.5 %</t>
  </si>
  <si>
    <t>2 % crypto fee.</t>
  </si>
  <si>
    <t>Pokerrrr2</t>
  </si>
  <si>
    <t>Pumpkin patch</t>
  </si>
  <si>
    <t>68 %</t>
  </si>
  <si>
    <t>Kingo</t>
  </si>
  <si>
    <t>67 %</t>
  </si>
  <si>
    <t>31.5 %</t>
  </si>
  <si>
    <t>8.5 % RB to Kingo.</t>
  </si>
  <si>
    <t>Medi</t>
  </si>
  <si>
    <t>MPLO</t>
  </si>
  <si>
    <t>Patrick</t>
  </si>
  <si>
    <t>Phillip</t>
  </si>
  <si>
    <t>2 % fee in case of positive weekly result. 5 % RB to Damir.</t>
  </si>
  <si>
    <t>5 % fee in case of positive weekly result. 5 % RB to Damir.</t>
  </si>
  <si>
    <t>5 % RB to Ben and 5 % RB to Damir.</t>
  </si>
  <si>
    <t>Shane</t>
  </si>
  <si>
    <t>0.15 USD</t>
  </si>
  <si>
    <t>Billionarios PKR</t>
  </si>
  <si>
    <t>50 % for casino.</t>
  </si>
  <si>
    <t>0.5 %</t>
  </si>
  <si>
    <t>BROKA</t>
  </si>
  <si>
    <t>C.R.E.A.M USD2</t>
  </si>
  <si>
    <t>0 % (+ extra 5 % for M.)</t>
  </si>
  <si>
    <t>12 %</t>
  </si>
  <si>
    <t>57 %</t>
  </si>
  <si>
    <t>MGM</t>
  </si>
  <si>
    <t>84 %</t>
  </si>
  <si>
    <t>77 % (or 78 %)</t>
  </si>
  <si>
    <t>10 % (+ extra 2 % (or 3 %) for M.)</t>
  </si>
  <si>
    <t>Playland</t>
  </si>
  <si>
    <t>2 % crypto fee</t>
  </si>
  <si>
    <t xml:space="preserve"> 5 %</t>
  </si>
  <si>
    <t>1 chip = 9 DKK</t>
  </si>
  <si>
    <t>cca. 0.4 USD</t>
  </si>
  <si>
    <t>4 %</t>
  </si>
  <si>
    <t>79 %</t>
  </si>
  <si>
    <t>WhaleclubGG</t>
  </si>
  <si>
    <t>1 chip = 0.90 CAD</t>
  </si>
  <si>
    <t>Wholesome Only</t>
  </si>
  <si>
    <t>Sheldon</t>
  </si>
  <si>
    <t>Broka Phili</t>
  </si>
  <si>
    <t>57.5 %</t>
  </si>
  <si>
    <t>1 chip = 0.90 PHP</t>
  </si>
  <si>
    <t>0.10 PHP</t>
  </si>
  <si>
    <t>1 chip = 0.80 PHP</t>
  </si>
  <si>
    <t>Broka Principal</t>
  </si>
  <si>
    <t>22 %</t>
  </si>
  <si>
    <t>0.05 BRL</t>
  </si>
  <si>
    <t>God mode</t>
  </si>
  <si>
    <t>Guppy pond</t>
  </si>
  <si>
    <t>ALL Pokerrrr2 deals</t>
  </si>
  <si>
    <t>5 % - 50 %</t>
  </si>
  <si>
    <t>3 % crypto fee (for agency only).</t>
  </si>
  <si>
    <t>Tomaz</t>
  </si>
  <si>
    <t>Duarte</t>
  </si>
  <si>
    <t>0.0.8 USD</t>
  </si>
  <si>
    <t>Jeanchris</t>
  </si>
  <si>
    <t>Mr. LV</t>
  </si>
  <si>
    <t>John</t>
  </si>
  <si>
    <t>no data / outdated</t>
  </si>
  <si>
    <t>TOT results</t>
  </si>
  <si>
    <t>TOT W/D</t>
  </si>
  <si>
    <t>Available</t>
  </si>
  <si>
    <t>Earnings</t>
  </si>
  <si>
    <t>Ben earnings</t>
  </si>
  <si>
    <t>Ben settlements (date/amount)</t>
  </si>
  <si>
    <t>DEDUCTIONS/ADDITIONS (NEGATIVES)</t>
  </si>
  <si>
    <t>8.1.2024</t>
  </si>
  <si>
    <t>Period</t>
  </si>
  <si>
    <t>Date</t>
  </si>
  <si>
    <t>Amount</t>
  </si>
  <si>
    <t>Note</t>
  </si>
  <si>
    <t>15.1.2024</t>
  </si>
  <si>
    <t>1 jan - 7 jan</t>
  </si>
  <si>
    <t>2 % weekly winning fee (Kaleb)</t>
  </si>
  <si>
    <t>* inactive</t>
  </si>
  <si>
    <t>22.1.2024</t>
  </si>
  <si>
    <t>2 % crypto fee (Kingsclubpkr)</t>
  </si>
  <si>
    <t>29.1.2024</t>
  </si>
  <si>
    <t>3 % crypto fee (Kingsclubpkr) (MPLO)</t>
  </si>
  <si>
    <t>5.2.2024</t>
  </si>
  <si>
    <t>9.1.2024</t>
  </si>
  <si>
    <t>3 % crypto fee (4th Street and C.R.E.A.M USD2)</t>
  </si>
  <si>
    <t>12.2.2024</t>
  </si>
  <si>
    <t>3 % crypto (4th Street) (Shane)</t>
  </si>
  <si>
    <t>Bazz</t>
  </si>
  <si>
    <t>19.2.2024</t>
  </si>
  <si>
    <t>3 % crypto (C.R.E.A.M USD2) (Shane)</t>
  </si>
  <si>
    <t>26.2.2024</t>
  </si>
  <si>
    <t>10.1.2024</t>
  </si>
  <si>
    <t>2 % crypto fee (Baruffi)</t>
  </si>
  <si>
    <t>4.3.2024</t>
  </si>
  <si>
    <t>1 % crypto fee (Baruffi) (downline)</t>
  </si>
  <si>
    <t>11.3.2024</t>
  </si>
  <si>
    <t>8 jan - 14 jan</t>
  </si>
  <si>
    <t>18.3.2024</t>
  </si>
  <si>
    <t>26.3.2024</t>
  </si>
  <si>
    <t>1.4.2024</t>
  </si>
  <si>
    <t>* when he gets back to 0, he may not go down for more than 5k total at any point</t>
  </si>
  <si>
    <t>8.4.2024</t>
  </si>
  <si>
    <t>15.4.2024</t>
  </si>
  <si>
    <t>Gubic</t>
  </si>
  <si>
    <t>15 jan - 21 jan</t>
  </si>
  <si>
    <t>2 % weekly winning fee (TMNT) (Kaleb)</t>
  </si>
  <si>
    <t>Luka</t>
  </si>
  <si>
    <t>Niki</t>
  </si>
  <si>
    <t>23.1.2024</t>
  </si>
  <si>
    <t>3 % crypto fee (pokerrrr2)</t>
  </si>
  <si>
    <t>3 % crypto fee (pokerrrr2) (Kaleb)</t>
  </si>
  <si>
    <t>22 jan - 28 jan</t>
  </si>
  <si>
    <t>Primaz</t>
  </si>
  <si>
    <t>30.1.2024</t>
  </si>
  <si>
    <t>Sheldon - Avatar</t>
  </si>
  <si>
    <t>SUM</t>
  </si>
  <si>
    <t>SUM - current month</t>
  </si>
  <si>
    <t>current month</t>
  </si>
  <si>
    <t>* from 8.1. onward, Avatar earnings are deducted and considered separately as 25 % of total monthly earnings</t>
  </si>
  <si>
    <t>29 jan - 4 feb</t>
  </si>
  <si>
    <t>TALLIES</t>
  </si>
  <si>
    <t>Tony's room overlay</t>
  </si>
  <si>
    <t>Upline</t>
  </si>
  <si>
    <t>Tally</t>
  </si>
  <si>
    <t>Last update</t>
  </si>
  <si>
    <t>Clubs (only active ones)!</t>
  </si>
  <si>
    <t>Baruffi</t>
  </si>
  <si>
    <t>22.4.2024</t>
  </si>
  <si>
    <t>C.P.C. OnLine and ClubeDaSorte</t>
  </si>
  <si>
    <t>6.2.2024</t>
  </si>
  <si>
    <t>Afghanistan, Bob's game, Carpe Diem, Swagger, Tel Aviv and TMNT</t>
  </si>
  <si>
    <t>added to report</t>
  </si>
  <si>
    <t>4th Street, C.R.E.A.M USD2 and P5Poker Panam</t>
  </si>
  <si>
    <t>23.4.2024</t>
  </si>
  <si>
    <t>Mr LV</t>
  </si>
  <si>
    <t>Sakura Palace and Whalepond</t>
  </si>
  <si>
    <t>Broka Phili, Broka Principal, Broka Suprema, FN Broka AUS, Kingsclubpkr, Nut_flush and pokerrrr2</t>
  </si>
  <si>
    <t>TOTAL</t>
  </si>
  <si>
    <t>5 feb - 11 feb</t>
  </si>
  <si>
    <t>Shane weekly upline results (add to total tally each week)</t>
  </si>
  <si>
    <t>13.2.2024</t>
  </si>
  <si>
    <t>Total</t>
  </si>
  <si>
    <t>Total * fee</t>
  </si>
  <si>
    <t>Total fees</t>
  </si>
  <si>
    <t>Broka Prin. &amp; Sup.</t>
  </si>
  <si>
    <t>12 feb - 18 feb</t>
  </si>
  <si>
    <t>20.2.2024</t>
  </si>
  <si>
    <t>Marshall weekly upline results (add to report each week)</t>
  </si>
  <si>
    <t>C.R.E.A.M. USD2</t>
  </si>
  <si>
    <t>19 feb - 25 feb</t>
  </si>
  <si>
    <t>Mr. LV weekly upline results (add to total tally each week)</t>
  </si>
  <si>
    <t>26 feb - 3 mar</t>
  </si>
  <si>
    <t>Avatar earnings</t>
  </si>
  <si>
    <t>Per week</t>
  </si>
  <si>
    <t>Per month</t>
  </si>
  <si>
    <t>5.3.2024</t>
  </si>
  <si>
    <t>4 mar - 10 mar</t>
  </si>
  <si>
    <t>12.3.2024</t>
  </si>
  <si>
    <t>11 mar - 17 mar</t>
  </si>
  <si>
    <t>18 mar - 24 mar</t>
  </si>
  <si>
    <t>25 mar - 31 mar</t>
  </si>
  <si>
    <t>1 apr - 7 apr</t>
  </si>
  <si>
    <t>8 apr - 14 apr</t>
  </si>
  <si>
    <t>15 apr - 21 apr</t>
  </si>
  <si>
    <t>22 apr - 28 apr</t>
  </si>
  <si>
    <t>29 apr - 5 may</t>
  </si>
  <si>
    <t>6 may - 12 may</t>
  </si>
  <si>
    <t>13 may - 19 may</t>
  </si>
  <si>
    <t>19.3.2024</t>
  </si>
  <si>
    <t>20 may - 26 may</t>
  </si>
  <si>
    <t>27 may - 2 jun</t>
  </si>
  <si>
    <t>25.3.2024</t>
  </si>
  <si>
    <t>missing 2 % WWF in 4th Street for period 26 feb - 3 mar (Damir)</t>
  </si>
  <si>
    <t>2.4.2024</t>
  </si>
  <si>
    <t>missing 2 % WWF in 4th Street for periods 15 jan - 21 jan and 26 feb - 3 mar (Damir) (for Shane)</t>
  </si>
  <si>
    <t>3 % crypto fee for missing 2 % WWF in 4th Street for periods 15 jan - 21 jan and 26 feb - 3 mar (Damir) (for Shane)</t>
  </si>
  <si>
    <t>9.4.2024</t>
  </si>
  <si>
    <t>16.4.2024</t>
  </si>
  <si>
    <t>ID</t>
  </si>
  <si>
    <t>Nick</t>
  </si>
  <si>
    <t>Points</t>
  </si>
  <si>
    <t>Bonus</t>
  </si>
  <si>
    <t>Bonus * %</t>
  </si>
  <si>
    <t>Rate</t>
  </si>
  <si>
    <t>Result</t>
  </si>
  <si>
    <t>Agency action</t>
  </si>
  <si>
    <t>Agency bonus</t>
  </si>
  <si>
    <t>Agency TOT</t>
  </si>
  <si>
    <t>W/D date</t>
  </si>
  <si>
    <t>W/D amount</t>
  </si>
  <si>
    <t>JackReacher-</t>
  </si>
  <si>
    <t>5.1.2024</t>
  </si>
  <si>
    <t>2023 balance</t>
  </si>
  <si>
    <t>pp9470656</t>
  </si>
  <si>
    <t>1 % vig ClubeDaSorte &amp; C.P.C. OnLine (1 jan - 7 jan)</t>
  </si>
  <si>
    <t>1 % vig ClubeDaSorte &amp; C.P.C. OnLine (8 jan - 14 jan)</t>
  </si>
  <si>
    <t>1 % vig ClubeDaSorte &amp; C.P.C. OnLine (15 jan - 21 jan)</t>
  </si>
  <si>
    <t>973992</t>
  </si>
  <si>
    <t>27.1.2024</t>
  </si>
  <si>
    <t>VIP (Suprema)</t>
  </si>
  <si>
    <t>2 x VIP (ClubeDaSorte)</t>
  </si>
  <si>
    <t>1 % vig ClubeDaSorte &amp; C.P.C. OnLine (22 jan - 28 jan)</t>
  </si>
  <si>
    <t>1 % vig ClubeDaSorte &amp; C.P.C. OnLine (29 jan - 4 feb)</t>
  </si>
  <si>
    <t>10.2.2024</t>
  </si>
  <si>
    <t>1 % vig ClubeDaSorte &amp; C.P.C. OnLine (5 feb - 11 feb)</t>
  </si>
  <si>
    <t>1 % vig ClubeDaSorte (12 feb - 18 feb)</t>
  </si>
  <si>
    <t>VIP (ClubeDaSorte)</t>
  </si>
  <si>
    <t>1 % vig ClubeDaSorte (19 feb - 25 feb)</t>
  </si>
  <si>
    <t>28.2.2024</t>
  </si>
  <si>
    <t>1 % vig ClubeDaSorte (26 feb - 3 mar)</t>
  </si>
  <si>
    <t>6.3.2024</t>
  </si>
  <si>
    <t>VIP (Double up!)</t>
  </si>
  <si>
    <t>OneTableNoYellow</t>
  </si>
  <si>
    <t>1 % vig ClubeDaSorte (4 mar - 10 mar)</t>
  </si>
  <si>
    <t>ConorMcGregor-</t>
  </si>
  <si>
    <t>13.3.2024</t>
  </si>
  <si>
    <t>15.3.2024</t>
  </si>
  <si>
    <t>2 x VIP (Suprema)</t>
  </si>
  <si>
    <t>Palapagos</t>
  </si>
  <si>
    <t>1 % vig ClubeDaSorte (18 mar - 24 mar)</t>
  </si>
  <si>
    <t>31.3.2024</t>
  </si>
  <si>
    <t>50 timebanks (Suprema)</t>
  </si>
  <si>
    <t>5.4.2024</t>
  </si>
  <si>
    <t>4 x VIP (Double up! &amp; Degen united)</t>
  </si>
  <si>
    <t>12.4.2024</t>
  </si>
  <si>
    <t>100 timebanks</t>
  </si>
  <si>
    <t>XP2542408</t>
  </si>
  <si>
    <t>Bahangolo</t>
  </si>
  <si>
    <t>Walangulo</t>
  </si>
  <si>
    <t>JasonBourne-</t>
  </si>
  <si>
    <t>Talangoo</t>
  </si>
  <si>
    <t>MichiTan</t>
  </si>
  <si>
    <t>pp10051692</t>
  </si>
  <si>
    <t>pp9320085</t>
  </si>
  <si>
    <t>pp95Bahangolo10579</t>
  </si>
  <si>
    <t>pp10062871</t>
  </si>
  <si>
    <t>MrRayReddington</t>
  </si>
  <si>
    <t>pp10089135</t>
  </si>
  <si>
    <t>MissAngela</t>
  </si>
  <si>
    <t>Superfruit</t>
  </si>
  <si>
    <t>blackpepper</t>
  </si>
  <si>
    <t>UllDoAsYoureTold</t>
  </si>
  <si>
    <t>pp10183546</t>
  </si>
  <si>
    <t>Ben cut (5 %)</t>
  </si>
  <si>
    <t>2127-2361</t>
  </si>
  <si>
    <t>Israel Keyes</t>
  </si>
  <si>
    <t>E-Sut</t>
  </si>
  <si>
    <t>-</t>
  </si>
  <si>
    <t>6.1.2024</t>
  </si>
  <si>
    <t>MarkPanish</t>
  </si>
  <si>
    <t>13.1.2024</t>
  </si>
  <si>
    <t>Chankinpla</t>
  </si>
  <si>
    <t>USDT</t>
  </si>
  <si>
    <t>SimonTrumpet</t>
  </si>
  <si>
    <t>9.2.2024</t>
  </si>
  <si>
    <t>N8 (January)</t>
  </si>
  <si>
    <t>11.2.2024</t>
  </si>
  <si>
    <t>15.2.2024</t>
  </si>
  <si>
    <t>JaneDoe</t>
  </si>
  <si>
    <t>1.3.2024</t>
  </si>
  <si>
    <t>2.3.2024</t>
  </si>
  <si>
    <t>Baba-Vanga</t>
  </si>
  <si>
    <t>N8 (February)</t>
  </si>
  <si>
    <t>20.3.2024</t>
  </si>
  <si>
    <t>MrBallen</t>
  </si>
  <si>
    <t>29.3.2024</t>
  </si>
  <si>
    <t>30.3.2024</t>
  </si>
  <si>
    <t>4.4.2024</t>
  </si>
  <si>
    <t>N8 (March)</t>
  </si>
  <si>
    <t>6.4.2024</t>
  </si>
  <si>
    <t>18.4.2024</t>
  </si>
  <si>
    <t>25.4.2024</t>
  </si>
  <si>
    <t>AnísioSousa</t>
  </si>
  <si>
    <t>NaeFaeYoker</t>
  </si>
  <si>
    <t>Ali Mallu</t>
  </si>
  <si>
    <t>Aavak</t>
  </si>
  <si>
    <t>M4MASANG</t>
  </si>
  <si>
    <t>deal change (TMNT) (8.4.)!</t>
  </si>
  <si>
    <t>deal change (Bob's game) (8.4.)!</t>
  </si>
  <si>
    <t>pp9020286</t>
  </si>
  <si>
    <t>pp8778114</t>
  </si>
  <si>
    <t>pp9728097</t>
  </si>
  <si>
    <t>200 timebanks (ClubeDaSorte)</t>
  </si>
  <si>
    <t>300 timebanks (Degen united)</t>
  </si>
  <si>
    <t>2 x VIP (Double up! &amp; Degen united)</t>
  </si>
  <si>
    <t>100 timebanks (Double up! &amp; Degen united)</t>
  </si>
  <si>
    <t>11.4.2024</t>
  </si>
  <si>
    <t>pp9015315</t>
  </si>
  <si>
    <t>pp9018934</t>
  </si>
  <si>
    <t>8651-3543</t>
  </si>
  <si>
    <t>milmulim</t>
  </si>
  <si>
    <t>7336-2745</t>
  </si>
  <si>
    <t>P7336-2745</t>
  </si>
  <si>
    <t>5963-1658</t>
  </si>
  <si>
    <t>P5963-1658</t>
  </si>
  <si>
    <t>pp10011481</t>
  </si>
  <si>
    <t>pp10012956</t>
  </si>
  <si>
    <t>pp10105355</t>
  </si>
  <si>
    <t>lefivotoo</t>
  </si>
  <si>
    <t>deal change (Boombox) (25.3.)!</t>
  </si>
  <si>
    <t>Agent ID</t>
  </si>
  <si>
    <t>Agent nick</t>
  </si>
  <si>
    <t>3739-4317</t>
  </si>
  <si>
    <t>potyouhard</t>
  </si>
  <si>
    <t>9446-1139</t>
  </si>
  <si>
    <t>Natural9nine</t>
  </si>
  <si>
    <t>5381-5870</t>
  </si>
  <si>
    <t>JudgeJudd</t>
  </si>
  <si>
    <t>settlement</t>
  </si>
  <si>
    <t>24.1.2024</t>
  </si>
  <si>
    <t>3.4.2024</t>
  </si>
  <si>
    <t>4388-8921</t>
  </si>
  <si>
    <t>P4388-8921</t>
  </si>
  <si>
    <t>M.Holding</t>
  </si>
  <si>
    <t>Gus Logie</t>
  </si>
  <si>
    <t>SNOOP reimbursement (1 jan - 7 jan)</t>
  </si>
  <si>
    <t>5872-6570</t>
  </si>
  <si>
    <t>Hawkeye99</t>
  </si>
  <si>
    <t>€5k (hard cash)</t>
  </si>
  <si>
    <t>GGPoker</t>
  </si>
  <si>
    <t>14.3.2024</t>
  </si>
  <si>
    <t>fp141628</t>
  </si>
  <si>
    <t>21.3.2024</t>
  </si>
  <si>
    <t>6428-0252</t>
  </si>
  <si>
    <t>Raphaelite</t>
  </si>
  <si>
    <t>missing 2 % weekly winning fee in 4th Street for period 26 feb - 3 mar</t>
  </si>
  <si>
    <t>27.3.2024</t>
  </si>
  <si>
    <t>HawkEye99</t>
  </si>
  <si>
    <t>4  mar - 10 mar</t>
  </si>
  <si>
    <t>Zgagac</t>
  </si>
  <si>
    <t>Flyslip</t>
  </si>
  <si>
    <t>3493-3077</t>
  </si>
  <si>
    <t>KalissiSabi</t>
  </si>
  <si>
    <t>5 % cut (Phillip)</t>
  </si>
  <si>
    <t>pp9805633</t>
  </si>
  <si>
    <t>pp9691016</t>
  </si>
  <si>
    <t>50 timebanks (Double up!)</t>
  </si>
  <si>
    <t>50 timebanks (ClubeDaSorte)</t>
  </si>
  <si>
    <t>1 % vig ClubeDaSorte (11 mar - 17 mar)</t>
  </si>
  <si>
    <t>1 % vig ClubeDaSorte (25 mar - 31 mar)</t>
  </si>
  <si>
    <t>1 % vig ClubeDaSorte (1 apr - 7 apr)</t>
  </si>
  <si>
    <t>1 % vig ClubeDaSorte (8 apr - 14 apr)</t>
  </si>
  <si>
    <t>1 % vig ClubeDaSorte (15 apr - 21 apr)</t>
  </si>
  <si>
    <t>24.4.2024</t>
  </si>
  <si>
    <t>€2,0000.00 (€ Skrill)</t>
  </si>
  <si>
    <t>pp9776371</t>
  </si>
  <si>
    <t>pp9782743</t>
  </si>
  <si>
    <t>fp141206</t>
  </si>
  <si>
    <t>2083075</t>
  </si>
  <si>
    <t>HeyGuys</t>
  </si>
  <si>
    <t>4409-7898</t>
  </si>
  <si>
    <t>P4409-7898</t>
  </si>
  <si>
    <t>3 x VIP (ClubeDaSorte)</t>
  </si>
  <si>
    <t>pp9874434</t>
  </si>
  <si>
    <t>LoDeOsvaldo</t>
  </si>
  <si>
    <t>ViruZ!</t>
  </si>
  <si>
    <t>Bobbey_LEE</t>
  </si>
  <si>
    <t>FrodoBagins</t>
  </si>
  <si>
    <t>Viperrr</t>
  </si>
  <si>
    <t>Rockefellers</t>
  </si>
  <si>
    <t>1088-8226</t>
  </si>
  <si>
    <t>trizzz</t>
  </si>
  <si>
    <t>1462-2382</t>
  </si>
  <si>
    <t>GRAUSS BITTE</t>
  </si>
  <si>
    <t>3490-6517</t>
  </si>
  <si>
    <t>BurgerBob</t>
  </si>
  <si>
    <t>3428-3590</t>
  </si>
  <si>
    <t>chef45</t>
  </si>
  <si>
    <t>all clubs (1 jan - 7 jan)</t>
  </si>
  <si>
    <t>6 x VIP (PokerBros)</t>
  </si>
  <si>
    <t>4641-6163</t>
  </si>
  <si>
    <t>kingg</t>
  </si>
  <si>
    <t>8110-1117</t>
  </si>
  <si>
    <t>Duda77</t>
  </si>
  <si>
    <t>3 x VIP (PokerBros)</t>
  </si>
  <si>
    <t>all clubs (8 jan - 14 jan)</t>
  </si>
  <si>
    <t>18.1.2024</t>
  </si>
  <si>
    <t>all clubs (15 jan - 21 jan)</t>
  </si>
  <si>
    <t>26.1.2024</t>
  </si>
  <si>
    <t>VIP (PokerBros)</t>
  </si>
  <si>
    <t>all clubs (22 jan - 28 jan)</t>
  </si>
  <si>
    <t>31.1.2024</t>
  </si>
  <si>
    <t>END</t>
  </si>
  <si>
    <t>2 x VIP (PokerBros)</t>
  </si>
  <si>
    <t>all clubs (29 jan - 4 feb)</t>
  </si>
  <si>
    <t>7.2.2024</t>
  </si>
  <si>
    <t>8.2.2024</t>
  </si>
  <si>
    <t>all clubs (5 feb - 11 feb)</t>
  </si>
  <si>
    <t>14.2.2024</t>
  </si>
  <si>
    <t>all clubs (12 feb - 18 feb)</t>
  </si>
  <si>
    <t>21.2.2024</t>
  </si>
  <si>
    <t>24.2.2024</t>
  </si>
  <si>
    <t>all clubs (19 feb - 25 feb)</t>
  </si>
  <si>
    <t>all clubs (26 feb - 3 mar)</t>
  </si>
  <si>
    <t>all clubs (4 mar - 10 mar)</t>
  </si>
  <si>
    <t>7 x VIP (PokerBros)</t>
  </si>
  <si>
    <t>all clubs (11 mar - 17 mar)</t>
  </si>
  <si>
    <t>all clubs (18 mar - 24 mar)</t>
  </si>
  <si>
    <t>all clubs (25 mar - 31 mar)</t>
  </si>
  <si>
    <t>all clubs (1 apr - 7 apr)</t>
  </si>
  <si>
    <t>all clubs (8 apr - 14 apr)</t>
  </si>
  <si>
    <t>all clubs (15 apr - 21 apr)</t>
  </si>
  <si>
    <t>3020-7277</t>
  </si>
  <si>
    <t>5030-4992</t>
  </si>
  <si>
    <t>ArielYosef</t>
  </si>
  <si>
    <t>2 % weekly winning fee in TMNT (1 jan - 7 jan)</t>
  </si>
  <si>
    <t>8622-7819</t>
  </si>
  <si>
    <t>Bonucci19</t>
  </si>
  <si>
    <t>17.1.2024</t>
  </si>
  <si>
    <t>3164-0567</t>
  </si>
  <si>
    <t>LOCO!</t>
  </si>
  <si>
    <t>2 % weekly winning fee in TMNT (15 jan - 21 jan)</t>
  </si>
  <si>
    <t>5514-0901</t>
  </si>
  <si>
    <t>RichKid1</t>
  </si>
  <si>
    <t>3 % crypto fee in pokerrrr2 (15 jan - 21 jan)</t>
  </si>
  <si>
    <t>6968-5135</t>
  </si>
  <si>
    <t>clownworld_!</t>
  </si>
  <si>
    <t>9152-9649</t>
  </si>
  <si>
    <t>gasolinaaaa</t>
  </si>
  <si>
    <t>2 % weekly winning fee in TMNT (22 jan - 28 jan)</t>
  </si>
  <si>
    <t>2584-4090</t>
  </si>
  <si>
    <t>grecc</t>
  </si>
  <si>
    <t>3 % crypto fee in pokerrrr2 (22 jan - 28 jan)</t>
  </si>
  <si>
    <t>8344-5261</t>
  </si>
  <si>
    <t>שןןאבק</t>
  </si>
  <si>
    <t>2 % weekly winning fee in TMNT (29 jan - 4 feb)</t>
  </si>
  <si>
    <t>7535-0703</t>
  </si>
  <si>
    <t>BARUH MARZEL</t>
  </si>
  <si>
    <t>3 % crypto fee in pokerrrr2 (29 jan - 4 feb)</t>
  </si>
  <si>
    <t>4264-7774</t>
  </si>
  <si>
    <t>יננב וקוש</t>
  </si>
  <si>
    <t>nikkyboi</t>
  </si>
  <si>
    <t>2 % weekly winning fee in TMNT (5 feb - 11 feb)</t>
  </si>
  <si>
    <t>newonefor1</t>
  </si>
  <si>
    <t>3 % crypto fee in pokerrrr2 (5 feb - 11 feb)</t>
  </si>
  <si>
    <t>rp7</t>
  </si>
  <si>
    <t>king12345</t>
  </si>
  <si>
    <t>3 % crypto fee in pokerrrr2 (12 feb - 18 feb)</t>
  </si>
  <si>
    <t>kobishvili</t>
  </si>
  <si>
    <t>25.2.2024</t>
  </si>
  <si>
    <t>ABA swap</t>
  </si>
  <si>
    <t>Ha Tova</t>
  </si>
  <si>
    <t>3 % crypto fee in pokerrrr2 (19 feb - 25 feb)</t>
  </si>
  <si>
    <t>Begin1988</t>
  </si>
  <si>
    <t>3.3.2024</t>
  </si>
  <si>
    <t>omer51</t>
  </si>
  <si>
    <t>2 % weekly winning fee in TMNT (26 feb - 3 mar)</t>
  </si>
  <si>
    <t>3 % crypto fee in pokerrrr2 (26 feb - 3 mar)</t>
  </si>
  <si>
    <t>mickymuck1</t>
  </si>
  <si>
    <t>2 % weekly winning fee in TMNT (4 mar - 10 mar)</t>
  </si>
  <si>
    <t>shf122233</t>
  </si>
  <si>
    <t>16.3.2024</t>
  </si>
  <si>
    <t>superma6</t>
  </si>
  <si>
    <t>3 % crypto fee in pokerrrr2 (18 mar - 24 mar)</t>
  </si>
  <si>
    <t>superma7</t>
  </si>
  <si>
    <t>2 % weekly winning fee in TMNT (25 mar - 31 mar)</t>
  </si>
  <si>
    <t>superma010</t>
  </si>
  <si>
    <t>2 % weekly winning fee in TMNT (1 apr - 7 apr)</t>
  </si>
  <si>
    <t>superma012</t>
  </si>
  <si>
    <t>3 % crypto fee in pokerrrr2 (1 apr - 7 apr)</t>
  </si>
  <si>
    <t>onlyvic</t>
  </si>
  <si>
    <t>3 % crypto fee in pokerrrr2 (8 apr - 14 apr)</t>
  </si>
  <si>
    <t>21.4.2024</t>
  </si>
  <si>
    <t>Bruce IL</t>
  </si>
  <si>
    <t>3 % crypto fee in pokerrrr2 (15 apr - 21 apr)</t>
  </si>
  <si>
    <t>Shaka 23</t>
  </si>
  <si>
    <t>llaa</t>
  </si>
  <si>
    <t>avi12</t>
  </si>
  <si>
    <t>dollar999</t>
  </si>
  <si>
    <t>nik42</t>
  </si>
  <si>
    <t>Kazanova</t>
  </si>
  <si>
    <t>komi</t>
  </si>
  <si>
    <t>machine111</t>
  </si>
  <si>
    <t>kingas</t>
  </si>
  <si>
    <t>ed sha</t>
  </si>
  <si>
    <t>amerbo</t>
  </si>
  <si>
    <t>avi ash</t>
  </si>
  <si>
    <t>haziza</t>
  </si>
  <si>
    <t>joker112</t>
  </si>
  <si>
    <t>it'saroberry</t>
  </si>
  <si>
    <t>lukylook</t>
  </si>
  <si>
    <t>Kazanova77</t>
  </si>
  <si>
    <t>Harel</t>
  </si>
  <si>
    <t>avi123</t>
  </si>
  <si>
    <t>kings11</t>
  </si>
  <si>
    <t>cevesss</t>
  </si>
  <si>
    <t>chockersss</t>
  </si>
  <si>
    <t>4228-6226</t>
  </si>
  <si>
    <t>שרה90</t>
  </si>
  <si>
    <t>dduubbyybbo</t>
  </si>
  <si>
    <t>superma16</t>
  </si>
  <si>
    <t>superma17</t>
  </si>
  <si>
    <t>haim171171</t>
  </si>
  <si>
    <t>yoyo331</t>
  </si>
  <si>
    <t>arpoker</t>
  </si>
  <si>
    <t>asherd</t>
  </si>
  <si>
    <t>Maor</t>
  </si>
  <si>
    <t>pokerbaha</t>
  </si>
  <si>
    <t>talman1998</t>
  </si>
  <si>
    <t>ארקפו7</t>
  </si>
  <si>
    <t>orabu2</t>
  </si>
  <si>
    <t>bigdavid</t>
  </si>
  <si>
    <t>Natan741</t>
  </si>
  <si>
    <t>omer2000</t>
  </si>
  <si>
    <t>noko</t>
  </si>
  <si>
    <t>goldhirsh</t>
  </si>
  <si>
    <t>yaniv</t>
  </si>
  <si>
    <t>1618-8624</t>
  </si>
  <si>
    <t>יאללה</t>
  </si>
  <si>
    <t>jerryR@TM</t>
  </si>
  <si>
    <t>mamoosh3</t>
  </si>
  <si>
    <t>bmwinline.</t>
  </si>
  <si>
    <t>maoz546</t>
  </si>
  <si>
    <t>dv2003@</t>
  </si>
  <si>
    <t>27offsuit</t>
  </si>
  <si>
    <t>rk007</t>
  </si>
  <si>
    <t>tal123123</t>
  </si>
  <si>
    <t>extazza</t>
  </si>
  <si>
    <t>joker560</t>
  </si>
  <si>
    <t>SickNick</t>
  </si>
  <si>
    <t>bambinoo1</t>
  </si>
  <si>
    <t>Kanek_12</t>
  </si>
  <si>
    <t>NivDavid</t>
  </si>
  <si>
    <t>Tommy1948</t>
  </si>
  <si>
    <t>l1l1l</t>
  </si>
  <si>
    <t>giligg</t>
  </si>
  <si>
    <t>tomer001</t>
  </si>
  <si>
    <t>Poker_4zedq</t>
  </si>
  <si>
    <t>Eitanbeng</t>
  </si>
  <si>
    <t>mr kriza</t>
  </si>
  <si>
    <t>Tekt</t>
  </si>
  <si>
    <t>haziza191</t>
  </si>
  <si>
    <t>Faz Mahal</t>
  </si>
  <si>
    <t>#CR1XB</t>
  </si>
  <si>
    <t>Johnny Flow1</t>
  </si>
  <si>
    <t>Merger</t>
  </si>
  <si>
    <t>#UG8EJ</t>
  </si>
  <si>
    <t>JOHNNY FLOW 2</t>
  </si>
  <si>
    <t>8016-6881</t>
  </si>
  <si>
    <t>יורי פורמן</t>
  </si>
  <si>
    <t>Johnny Flow 2</t>
  </si>
  <si>
    <t>Queens Club</t>
  </si>
  <si>
    <t>safo</t>
  </si>
  <si>
    <t>79suits</t>
  </si>
  <si>
    <t>wasatrap</t>
  </si>
  <si>
    <t>tortor</t>
  </si>
  <si>
    <t>giliggg</t>
  </si>
  <si>
    <t>ben ten</t>
  </si>
  <si>
    <t>yogv78</t>
  </si>
  <si>
    <t>nuts111</t>
  </si>
  <si>
    <t>ralabibib</t>
  </si>
  <si>
    <t>2712D</t>
  </si>
  <si>
    <t>giliav</t>
  </si>
  <si>
    <t>wow2000</t>
  </si>
  <si>
    <t>lol&amp;lol</t>
  </si>
  <si>
    <t>giligggg</t>
  </si>
  <si>
    <t>Mr Jeffery</t>
  </si>
  <si>
    <t>shayo386</t>
  </si>
  <si>
    <t>4479-5730</t>
  </si>
  <si>
    <t>חיים רביבו</t>
  </si>
  <si>
    <t>#8NSSF</t>
  </si>
  <si>
    <t>samfarah99</t>
  </si>
  <si>
    <t>babyb1</t>
  </si>
  <si>
    <t>superma14</t>
  </si>
  <si>
    <t>Marshmallow1</t>
  </si>
  <si>
    <t>itsaroberry</t>
  </si>
  <si>
    <t>yosibenyun</t>
  </si>
  <si>
    <t>jiz</t>
  </si>
  <si>
    <t>Hsotor43</t>
  </si>
  <si>
    <t>hect0rrr</t>
  </si>
  <si>
    <t>Art123</t>
  </si>
  <si>
    <t>Arthur1979</t>
  </si>
  <si>
    <t>Koyo-K</t>
  </si>
  <si>
    <t>tomer222</t>
  </si>
  <si>
    <t>avi revivo</t>
  </si>
  <si>
    <t>ramiradi123</t>
  </si>
  <si>
    <t>4205-6478</t>
  </si>
  <si>
    <t>AuthenthiCAT</t>
  </si>
  <si>
    <t>1024-8751</t>
  </si>
  <si>
    <t>Chupachups13</t>
  </si>
  <si>
    <t>8282-8288</t>
  </si>
  <si>
    <t>Raisinsins</t>
  </si>
  <si>
    <t>9197-5000</t>
  </si>
  <si>
    <t>lolsickplay</t>
  </si>
  <si>
    <t>superma011</t>
  </si>
  <si>
    <t>smsm</t>
  </si>
  <si>
    <t>kssss</t>
  </si>
  <si>
    <t>tzur_samson</t>
  </si>
  <si>
    <t>Yanivb 1979</t>
  </si>
  <si>
    <t>Chip&amp;Chair</t>
  </si>
  <si>
    <t>#9NAL9</t>
  </si>
  <si>
    <t>Johnny Flow 3</t>
  </si>
  <si>
    <t>AC8</t>
  </si>
  <si>
    <t>LAMAQUINAA</t>
  </si>
  <si>
    <t>checkit1</t>
  </si>
  <si>
    <t>Eden aaaa</t>
  </si>
  <si>
    <t>pro_master</t>
  </si>
  <si>
    <t>yosi1994</t>
  </si>
  <si>
    <t>maornatan</t>
  </si>
  <si>
    <t>Shahaf13</t>
  </si>
  <si>
    <t>CheapLeader</t>
  </si>
  <si>
    <t>yosefif1</t>
  </si>
  <si>
    <t>bitran</t>
  </si>
  <si>
    <t>2261-2885</t>
  </si>
  <si>
    <t>נשימת_אומץ</t>
  </si>
  <si>
    <t>T.Hilly</t>
  </si>
  <si>
    <t>Cabana2</t>
  </si>
  <si>
    <t>Boonia</t>
  </si>
  <si>
    <t>kini42</t>
  </si>
  <si>
    <t>erial457</t>
  </si>
  <si>
    <t>yoyoboy</t>
  </si>
  <si>
    <t>gino72</t>
  </si>
  <si>
    <t>yairos101</t>
  </si>
  <si>
    <t>yair145</t>
  </si>
  <si>
    <t>playall</t>
  </si>
  <si>
    <t>ariel zamor</t>
  </si>
  <si>
    <t>maor191919</t>
  </si>
  <si>
    <t>gili Aa</t>
  </si>
  <si>
    <t>Ben1322</t>
  </si>
  <si>
    <t>testboy</t>
  </si>
  <si>
    <t>Dolevp1</t>
  </si>
  <si>
    <t>superma18</t>
  </si>
  <si>
    <t>kakado1</t>
  </si>
  <si>
    <t>win dispel</t>
  </si>
  <si>
    <t>jerrryy</t>
  </si>
  <si>
    <t>Tayko</t>
  </si>
  <si>
    <t>maorlll</t>
  </si>
  <si>
    <t>galago</t>
  </si>
  <si>
    <t>nehorai3110</t>
  </si>
  <si>
    <t>dildo</t>
  </si>
  <si>
    <t>henl123</t>
  </si>
  <si>
    <t>Escobarr</t>
  </si>
  <si>
    <t>shill</t>
  </si>
  <si>
    <t>yarden227</t>
  </si>
  <si>
    <t>piqa</t>
  </si>
  <si>
    <t>talswe</t>
  </si>
  <si>
    <t>worsss</t>
  </si>
  <si>
    <t>king2101</t>
  </si>
  <si>
    <t>shoting</t>
  </si>
  <si>
    <t>slimjims</t>
  </si>
  <si>
    <t>AguaII</t>
  </si>
  <si>
    <t>#UJCCW</t>
  </si>
  <si>
    <t>Johnny Flow 1</t>
  </si>
  <si>
    <t>yehuda22</t>
  </si>
  <si>
    <t>mayan kopi</t>
  </si>
  <si>
    <t>aleshlo</t>
  </si>
  <si>
    <t>or</t>
  </si>
  <si>
    <t>kobi55</t>
  </si>
  <si>
    <t>dudu400</t>
  </si>
  <si>
    <t>ido2423</t>
  </si>
  <si>
    <t>dudu014</t>
  </si>
  <si>
    <t>#RYGN9</t>
  </si>
  <si>
    <t>Nayzak</t>
  </si>
  <si>
    <t>hbo24</t>
  </si>
  <si>
    <t>gigoagig</t>
  </si>
  <si>
    <t>danidin5</t>
  </si>
  <si>
    <t>dolar11</t>
  </si>
  <si>
    <t>meandyou1</t>
  </si>
  <si>
    <t>ido23</t>
  </si>
  <si>
    <t>lidor23</t>
  </si>
  <si>
    <t>yossi</t>
  </si>
  <si>
    <t>Alfonse</t>
  </si>
  <si>
    <t>kobi2701</t>
  </si>
  <si>
    <t>6847-7799</t>
  </si>
  <si>
    <t>laIiberté</t>
  </si>
  <si>
    <t>8761-0735</t>
  </si>
  <si>
    <t>kaza kaza</t>
  </si>
  <si>
    <t>5399-9782</t>
  </si>
  <si>
    <t>miImuIim</t>
  </si>
  <si>
    <t>11.1.2024</t>
  </si>
  <si>
    <t>EUR</t>
  </si>
  <si>
    <t>pp9677734</t>
  </si>
  <si>
    <t>pp9677947</t>
  </si>
  <si>
    <t>19.1.2024</t>
  </si>
  <si>
    <t>for Bazz</t>
  </si>
  <si>
    <t>pp9676837</t>
  </si>
  <si>
    <t>21.1.2024</t>
  </si>
  <si>
    <t>picanhaa</t>
  </si>
  <si>
    <t>4.2.2024</t>
  </si>
  <si>
    <t>2243517</t>
  </si>
  <si>
    <t>XP2243517</t>
  </si>
  <si>
    <t>USDT (for Bazz)</t>
  </si>
  <si>
    <t>VIP (FN Broka AUS)</t>
  </si>
  <si>
    <t>BONZA77</t>
  </si>
  <si>
    <t>13.4.2024</t>
  </si>
  <si>
    <t>6676-7862</t>
  </si>
  <si>
    <t>Vinícius</t>
  </si>
  <si>
    <t>7695-4352</t>
  </si>
  <si>
    <t>BugattiBlitz</t>
  </si>
  <si>
    <t>2521-2370</t>
  </si>
  <si>
    <t>EnriqueIgles</t>
  </si>
  <si>
    <t>8589-3767</t>
  </si>
  <si>
    <t>kaza kazaa</t>
  </si>
  <si>
    <t>pp9880161</t>
  </si>
  <si>
    <t>pp9880626</t>
  </si>
  <si>
    <t>pp9880767</t>
  </si>
  <si>
    <t>XP2503482</t>
  </si>
  <si>
    <t>FUTUR0</t>
  </si>
  <si>
    <t>kaBOOOM!</t>
  </si>
  <si>
    <t>ravioliNinja</t>
  </si>
  <si>
    <t>SempreDritto</t>
  </si>
  <si>
    <t>9162-8558</t>
  </si>
  <si>
    <t>ChmpagnePapi</t>
  </si>
  <si>
    <t>6855-8892</t>
  </si>
  <si>
    <t>VIPVentura</t>
  </si>
  <si>
    <t>2518-7510</t>
  </si>
  <si>
    <t>VegasBaby!</t>
  </si>
  <si>
    <t>9012-5822</t>
  </si>
  <si>
    <t>GranBalena</t>
  </si>
  <si>
    <t>Milanista</t>
  </si>
  <si>
    <t>pp10010296</t>
  </si>
  <si>
    <t>pp10010311</t>
  </si>
  <si>
    <t>pp10011898</t>
  </si>
  <si>
    <t>5975-1466</t>
  </si>
  <si>
    <t>bobcatJoe</t>
  </si>
  <si>
    <t>7514-2718</t>
  </si>
  <si>
    <t>פול אטרידס</t>
  </si>
  <si>
    <t>duane33</t>
  </si>
  <si>
    <t>kennesaw22</t>
  </si>
  <si>
    <t>3 % fee (1 jan - 7 jan)</t>
  </si>
  <si>
    <t>Double up! (1 jan - 7 jan)</t>
  </si>
  <si>
    <t>3 % fee (8 jan - 14 jan)</t>
  </si>
  <si>
    <t>16.1.2024</t>
  </si>
  <si>
    <t>Double up! (8 jan - 14 jan)</t>
  </si>
  <si>
    <t>God mode (8 jan - 14 jan)</t>
  </si>
  <si>
    <t>3 % fee (15 jan - 21 jan)</t>
  </si>
  <si>
    <t>Double up! (15 jan - 21 jan)</t>
  </si>
  <si>
    <t>God mode (15 jan - 21 jan)</t>
  </si>
  <si>
    <t>rambooo11</t>
  </si>
  <si>
    <t>3 % fee (22 jan - 28 jan)</t>
  </si>
  <si>
    <t>Double up! (22 jan - 28 jan)</t>
  </si>
  <si>
    <t>God mode (22 jan - 28 jan)</t>
  </si>
  <si>
    <t>3 % fee (29 jan - 4 feb)</t>
  </si>
  <si>
    <t>God mode (29 jan - 4 feb)</t>
  </si>
  <si>
    <t>God mode (5 feb - 11 feb)</t>
  </si>
  <si>
    <t>3 % fee (12 feb - 18 feb)</t>
  </si>
  <si>
    <t>God mode (12 feb - 18 feb)</t>
  </si>
  <si>
    <t>27.2.2024</t>
  </si>
  <si>
    <t>God mode (19 feb - 25 feb)</t>
  </si>
  <si>
    <t>God mode (26 feb - 3 mar)</t>
  </si>
  <si>
    <t>3 % fee (4 mar - 10 mar)</t>
  </si>
  <si>
    <t>God mode (4 mar - 10 mar)</t>
  </si>
  <si>
    <t>3 % fee (11 mar - 17 mar)</t>
  </si>
  <si>
    <t>God mode (11 mar - 17 mar)</t>
  </si>
  <si>
    <t>24.3.2024</t>
  </si>
  <si>
    <t>3 % fee (18 mar - 24 mar)</t>
  </si>
  <si>
    <t>God mode (18 mar - 24 mar)</t>
  </si>
  <si>
    <t>God mode (25 mar - 31 mar)</t>
  </si>
  <si>
    <t>3 % fee (1 apr - 7 apr)</t>
  </si>
  <si>
    <t>God mode (1 apr - 7 apr)</t>
  </si>
  <si>
    <t>3 % fee (8 apr - 14 apr)</t>
  </si>
  <si>
    <t>God mode (8 apr - 14 apr)</t>
  </si>
  <si>
    <t>17.4.2024</t>
  </si>
  <si>
    <t>3 % fee (15 apr - 21 apr)</t>
  </si>
  <si>
    <t>God mode (15 apr - 21 apr)</t>
  </si>
  <si>
    <t>pp9646253</t>
  </si>
  <si>
    <t>pp9766638</t>
  </si>
  <si>
    <t>pp9667475</t>
  </si>
  <si>
    <t>2379685</t>
  </si>
  <si>
    <t>XP2379685</t>
  </si>
  <si>
    <t>25.1.2024</t>
  </si>
  <si>
    <t>4 x VIP (Double up!)</t>
  </si>
  <si>
    <t>pp9870578</t>
  </si>
  <si>
    <t>2294-0427</t>
  </si>
  <si>
    <t>ןדמח סנא</t>
  </si>
  <si>
    <t>pp9886830</t>
  </si>
  <si>
    <t>pp9886838</t>
  </si>
  <si>
    <t>pp9886827</t>
  </si>
  <si>
    <t>pp9886835</t>
  </si>
  <si>
    <t>4.3.2.2024</t>
  </si>
  <si>
    <t>2 x VIP (ClubeDaSorte) + 2 x 50 timebanks</t>
  </si>
  <si>
    <t>Ebbe</t>
  </si>
  <si>
    <t>Sacchi</t>
  </si>
  <si>
    <t>2 x VIP (Double up!)</t>
  </si>
  <si>
    <t>adorable)</t>
  </si>
  <si>
    <t>100 timebanks (Double up!)</t>
  </si>
  <si>
    <t>nightofzombiez</t>
  </si>
  <si>
    <t>2 x VIP (Degen united)</t>
  </si>
  <si>
    <t>XP2504558</t>
  </si>
  <si>
    <t>400 timebanks (Degen united)</t>
  </si>
  <si>
    <t>LEVERKUSEN1904</t>
  </si>
  <si>
    <t>28.3.2024</t>
  </si>
  <si>
    <t>El Buldog</t>
  </si>
  <si>
    <t>mossø</t>
  </si>
  <si>
    <t>økse</t>
  </si>
  <si>
    <t>PokerStars nikkita14</t>
  </si>
  <si>
    <t>kartoffel</t>
  </si>
  <si>
    <t>tipp3r</t>
  </si>
  <si>
    <t>2085-7110</t>
  </si>
  <si>
    <t>Sea_dance</t>
  </si>
  <si>
    <t>1878-8251</t>
  </si>
  <si>
    <t>kartoffelmos</t>
  </si>
  <si>
    <t>XP2529212</t>
  </si>
  <si>
    <t>XP2590080</t>
  </si>
  <si>
    <t>XP2596847</t>
  </si>
  <si>
    <t>pp9995089</t>
  </si>
  <si>
    <t>pp9995086</t>
  </si>
  <si>
    <t>6566-7094</t>
  </si>
  <si>
    <t>sinaja</t>
  </si>
  <si>
    <t>pp9995097</t>
  </si>
  <si>
    <t>pp9586720</t>
  </si>
  <si>
    <t>pp10011430</t>
  </si>
  <si>
    <t>Zack9</t>
  </si>
  <si>
    <t>pp9995091</t>
  </si>
  <si>
    <t>5990-6124</t>
  </si>
  <si>
    <t>suntome</t>
  </si>
  <si>
    <t>5647-6938</t>
  </si>
  <si>
    <t>כהנא</t>
  </si>
  <si>
    <t>XP2707518</t>
  </si>
  <si>
    <t>1672-7214</t>
  </si>
  <si>
    <t>P1672-7214</t>
  </si>
  <si>
    <t>pp10049382</t>
  </si>
  <si>
    <t>Sagitárioo</t>
  </si>
  <si>
    <t>pp10102186</t>
  </si>
  <si>
    <t>pp10102182</t>
  </si>
  <si>
    <t>7096-1830</t>
  </si>
  <si>
    <t>gargamel</t>
  </si>
  <si>
    <t>5717-1056</t>
  </si>
  <si>
    <t>الرجل الوطوا</t>
  </si>
  <si>
    <t>8056-8985</t>
  </si>
  <si>
    <t>FishBait99</t>
  </si>
  <si>
    <t>4401-1095</t>
  </si>
  <si>
    <t>Heffalump</t>
  </si>
  <si>
    <t>8711-0332</t>
  </si>
  <si>
    <t>Dude!</t>
  </si>
  <si>
    <t>8450-5587</t>
  </si>
  <si>
    <t>FiveHigh</t>
  </si>
  <si>
    <t>2153-3947</t>
  </si>
  <si>
    <t>givati18</t>
  </si>
  <si>
    <t>9632-0893</t>
  </si>
  <si>
    <t>mInUsEv</t>
  </si>
  <si>
    <t>7353-4376</t>
  </si>
  <si>
    <t>schötpot</t>
  </si>
  <si>
    <t>GHOmIghT</t>
  </si>
  <si>
    <t>ramberita</t>
  </si>
  <si>
    <t>veyerepic</t>
  </si>
  <si>
    <t>topuplilb</t>
  </si>
  <si>
    <t>merctedes600</t>
  </si>
  <si>
    <t>TaikoNaka</t>
  </si>
  <si>
    <t>mallehoi</t>
  </si>
  <si>
    <t>nasjesttylusamo</t>
  </si>
  <si>
    <t>small tuna</t>
  </si>
  <si>
    <t>LEGO</t>
  </si>
  <si>
    <t>fp142334</t>
  </si>
  <si>
    <t>9833-7504</t>
  </si>
  <si>
    <t>zaazzuu</t>
  </si>
  <si>
    <t>2928-1492</t>
  </si>
  <si>
    <t>kibinimattt</t>
  </si>
  <si>
    <t>5060-4648</t>
  </si>
  <si>
    <t>PuntsAwaY</t>
  </si>
  <si>
    <t>3462-0748</t>
  </si>
  <si>
    <t>RichWhale</t>
  </si>
  <si>
    <t>5294-3442</t>
  </si>
  <si>
    <t>ImperialSpin</t>
  </si>
  <si>
    <t>9501-3406</t>
  </si>
  <si>
    <t>Rozvadov</t>
  </si>
  <si>
    <t>manolito123</t>
  </si>
  <si>
    <t>6551-0747</t>
  </si>
  <si>
    <t>Quasimodo</t>
  </si>
  <si>
    <t>Nokkengang</t>
  </si>
  <si>
    <t>Monteristi</t>
  </si>
  <si>
    <t>9810-1940</t>
  </si>
  <si>
    <t>Junkiefish</t>
  </si>
  <si>
    <t>#35PZA</t>
  </si>
  <si>
    <t>Gatorrrr</t>
  </si>
  <si>
    <t>#M1EA1</t>
  </si>
  <si>
    <t>HotNutz</t>
  </si>
  <si>
    <t>#LP14V</t>
  </si>
  <si>
    <t>Sharkbait</t>
  </si>
  <si>
    <t>#RLCD5</t>
  </si>
  <si>
    <t>Carter3</t>
  </si>
  <si>
    <t>2390-1829</t>
  </si>
  <si>
    <t>easymoney</t>
  </si>
  <si>
    <t>easymoney87</t>
  </si>
  <si>
    <t>Poker1sFun</t>
  </si>
  <si>
    <t>DubzT</t>
  </si>
  <si>
    <t>karsonmin19</t>
  </si>
  <si>
    <t>Kokopuff’d</t>
  </si>
  <si>
    <t>PayPal</t>
  </si>
  <si>
    <t>2.2.2024</t>
  </si>
  <si>
    <t>17.2.2024</t>
  </si>
  <si>
    <t>10.3.2024</t>
  </si>
  <si>
    <t>6810-5339</t>
  </si>
  <si>
    <t>eliseee</t>
  </si>
  <si>
    <t>pp9510579</t>
  </si>
  <si>
    <t>pp9062790</t>
  </si>
  <si>
    <t>Madmaxx11</t>
  </si>
  <si>
    <t>1.2.2024</t>
  </si>
  <si>
    <t>pp9873420</t>
  </si>
  <si>
    <t>VIP (Degen united)</t>
  </si>
  <si>
    <t>XP2607375</t>
  </si>
  <si>
    <t>2374-1235</t>
  </si>
  <si>
    <t>Hoho123</t>
  </si>
  <si>
    <t>6246-3631</t>
  </si>
  <si>
    <t>Gehalim</t>
  </si>
  <si>
    <t>2337-0818</t>
  </si>
  <si>
    <t>morenamia</t>
  </si>
  <si>
    <t>5082-9392</t>
  </si>
  <si>
    <t>Nitpoker</t>
  </si>
  <si>
    <t>9947-2096</t>
  </si>
  <si>
    <t>BUD23</t>
  </si>
  <si>
    <t>3 % crypto fee (4th Street) (1 jan - 7 jan)</t>
  </si>
  <si>
    <t>3586-0051</t>
  </si>
  <si>
    <t>vemdente</t>
  </si>
  <si>
    <t>3 % crypto fee (C.R.E.A.M USD2) (1 jan - 7 jan)</t>
  </si>
  <si>
    <t>6076-7093</t>
  </si>
  <si>
    <t>kxrengifo</t>
  </si>
  <si>
    <t>3274-6367</t>
  </si>
  <si>
    <t>HebrewPeople</t>
  </si>
  <si>
    <t>1815-6763</t>
  </si>
  <si>
    <t>NvrfolduIII</t>
  </si>
  <si>
    <t>2770-1108</t>
  </si>
  <si>
    <t>PloWarrior86</t>
  </si>
  <si>
    <t>3 % crypto fee (4th Street) (8 jan - 14 jan)</t>
  </si>
  <si>
    <t>1680-3912</t>
  </si>
  <si>
    <t>SEP_1914</t>
  </si>
  <si>
    <t>3 % crypto fee (C.R.E.A.M USD2) (8 jan - 14 jan)</t>
  </si>
  <si>
    <t>2534-7092</t>
  </si>
  <si>
    <t>אליאטי</t>
  </si>
  <si>
    <t>1168-7745</t>
  </si>
  <si>
    <t>DaniloD</t>
  </si>
  <si>
    <t>20.1.2024</t>
  </si>
  <si>
    <t>6358-3683</t>
  </si>
  <si>
    <t>Gordonhachev</t>
  </si>
  <si>
    <t>3 % crypto fee (C.R.E.A.M USD2) (15 jan - 21 jan)</t>
  </si>
  <si>
    <t>5780-5765</t>
  </si>
  <si>
    <t>דליה וקוג</t>
  </si>
  <si>
    <t>3 % crypto fee (4th Street) (15 jan - 21 jan)</t>
  </si>
  <si>
    <t>8062-4582</t>
  </si>
  <si>
    <t>2outriver</t>
  </si>
  <si>
    <t>8983-9748</t>
  </si>
  <si>
    <t>bigsharknuts</t>
  </si>
  <si>
    <t>8632-2762</t>
  </si>
  <si>
    <t>LaBestia10</t>
  </si>
  <si>
    <t>4027-5352</t>
  </si>
  <si>
    <t>P4027-5352</t>
  </si>
  <si>
    <t>3 % crypto fee (4th Street) (22 jan - 28 jan)</t>
  </si>
  <si>
    <t>6656-3425</t>
  </si>
  <si>
    <t>UrielC</t>
  </si>
  <si>
    <t>3 % crypto fee (C.R.E.A.M USD2) (22 jan - 28 jan)</t>
  </si>
  <si>
    <t>Mercedes-</t>
  </si>
  <si>
    <t>fiv5brneww</t>
  </si>
  <si>
    <t>BoraBidoPhil</t>
  </si>
  <si>
    <t>3 % crypto fee (4th Street) (29 jan - 4 feb)</t>
  </si>
  <si>
    <t>EmpatTecnicu</t>
  </si>
  <si>
    <t>TARAKJP</t>
  </si>
  <si>
    <t>3 % crypto fee (C.R.E.A.M USD2) (29 jan - 4 feb)</t>
  </si>
  <si>
    <t>MARIDZ</t>
  </si>
  <si>
    <t>Bruno Mars</t>
  </si>
  <si>
    <t>PkrFesta</t>
  </si>
  <si>
    <t>3 % crypto fee (4th Street) (5 feb - 11 feb)</t>
  </si>
  <si>
    <t>PanchiBoy</t>
  </si>
  <si>
    <t>3 % crypto fee (C.R.E.A.M USD2) (5 feb - 11 feb)</t>
  </si>
  <si>
    <t>Julian.y</t>
  </si>
  <si>
    <t>DanakiLL</t>
  </si>
  <si>
    <t>3 % crypto fee (4th Street) (12 feb - 18 feb)</t>
  </si>
  <si>
    <t>DanakiLL1</t>
  </si>
  <si>
    <t>3 % crypto fee (C.R.E.A.M USD2) (12 feb - 18 feb)</t>
  </si>
  <si>
    <t>Vava.ag</t>
  </si>
  <si>
    <t>22.2.2024</t>
  </si>
  <si>
    <t>3 % crypto fee (4th Street) (19 feb - 25 feb)</t>
  </si>
  <si>
    <t>3 % crypto fee (C.R.E.A.M USD2) (19 feb - 25 feb)</t>
  </si>
  <si>
    <t>shaqzilla</t>
  </si>
  <si>
    <t>3 % crypto fee (C.R.E.A.M USD2) (26 feb - 3 mar)</t>
  </si>
  <si>
    <t>3 % crypto fee (4th Street) (26 feb - 3 mar)</t>
  </si>
  <si>
    <t>3 % crypto fee (4th Street) (4 mar - 10 mar)</t>
  </si>
  <si>
    <t>3 % crypto fee (C.R.E.A.M USD2) (4 mar - 10 mar)</t>
  </si>
  <si>
    <t>japapotiguar</t>
  </si>
  <si>
    <t>3 % crypto fee (4th Street) (11 mar - 17 mar)</t>
  </si>
  <si>
    <t>Kiimii</t>
  </si>
  <si>
    <t>3 % crypto fee (C.R.E.A.M USD2) (11 mar - 17 mar)</t>
  </si>
  <si>
    <t>Cridtgf</t>
  </si>
  <si>
    <t>3 % crypto fee (4th Street) (18 mar - 24 mar)</t>
  </si>
  <si>
    <t>3 % crypto fee (C.R.E.A.M USD2) (18 mar - 24 mar)</t>
  </si>
  <si>
    <t>missing 2 % WWF in 4th Street for periods 15 jan - 21 jan and 26 feb - 3 mar for 1714680 Gus Logie</t>
  </si>
  <si>
    <t>3 % crypto fee for missing 2 % WWF in 4th Street for periods 15 jan - 21 jan and 26 feb - 3 mar for 1714680 Gus Logie</t>
  </si>
  <si>
    <t>3 % crypto fee (4th Street) (25 mar - 31 mar)</t>
  </si>
  <si>
    <t>3 % crypto fee (C.R.E.A.M USD2) (25 mar - 31 mar)</t>
  </si>
  <si>
    <t>Danakill21</t>
  </si>
  <si>
    <t>3 % crypto fee (4th Street) (1 apr - 7 apr)</t>
  </si>
  <si>
    <t>bravoxxxx</t>
  </si>
  <si>
    <t>xoxogg</t>
  </si>
  <si>
    <t>3 % crypto fee (C.R.E.A.M USD2) (1 apr - 7 apr)</t>
  </si>
  <si>
    <t>10.4.2024</t>
  </si>
  <si>
    <t>152k</t>
  </si>
  <si>
    <t>6350-5480</t>
  </si>
  <si>
    <t>pokerzwt</t>
  </si>
  <si>
    <t>3 % crypto fee (C.R.E.A.M USD2) (8 apr - 14 apr)</t>
  </si>
  <si>
    <t>3 % crypto fee (4th Street) (8 apr - 14 apr)</t>
  </si>
  <si>
    <t>Broka</t>
  </si>
  <si>
    <t>fp142292</t>
  </si>
  <si>
    <t>19.4.2024</t>
  </si>
  <si>
    <t>fp142293</t>
  </si>
  <si>
    <t>3 % crypto fee (4th Street) (15 apr - 21 apr)</t>
  </si>
  <si>
    <t>fp142346</t>
  </si>
  <si>
    <t>3 % crypto fee (C.R.E.A.M USD2) (15 apr - 21 apr)</t>
  </si>
  <si>
    <t>5439-3764</t>
  </si>
  <si>
    <t>Vavaag</t>
  </si>
  <si>
    <t>bigdawg101</t>
  </si>
  <si>
    <t>zerotohero03</t>
  </si>
  <si>
    <t>ryzenblue</t>
  </si>
  <si>
    <t>hightimez94</t>
  </si>
  <si>
    <t>MárioRêgo</t>
  </si>
  <si>
    <t>AndreyYuri</t>
  </si>
  <si>
    <t>ArthurGuedes</t>
  </si>
  <si>
    <t>Berlimmm</t>
  </si>
  <si>
    <t>Damiannn</t>
  </si>
  <si>
    <t>Bumpyy</t>
  </si>
  <si>
    <t>ssassin</t>
  </si>
  <si>
    <t>8130-7618</t>
  </si>
  <si>
    <t>DeBruyne7</t>
  </si>
  <si>
    <t>3538-2172</t>
  </si>
  <si>
    <t>P3538-2172</t>
  </si>
  <si>
    <t>4113-3121</t>
  </si>
  <si>
    <t>Masterbluff</t>
  </si>
  <si>
    <t>7412-8410</t>
  </si>
  <si>
    <t>Zambapalo</t>
  </si>
  <si>
    <t>2672-3548</t>
  </si>
  <si>
    <t>Dayamanthi-</t>
  </si>
  <si>
    <t>5867-0797</t>
  </si>
  <si>
    <t>N0sferatusss</t>
  </si>
  <si>
    <t>5434-5296</t>
  </si>
  <si>
    <t>Vaicom1pésó</t>
  </si>
  <si>
    <t>8114-1593</t>
  </si>
  <si>
    <t>kkroto</t>
  </si>
  <si>
    <t>1134-9054</t>
  </si>
  <si>
    <t>ulipuli</t>
  </si>
  <si>
    <t>7948-5771</t>
  </si>
  <si>
    <t>Fugazzi</t>
  </si>
  <si>
    <t>Andersonjr</t>
  </si>
  <si>
    <t>Kroks</t>
  </si>
  <si>
    <t>Lamb Ch0ps</t>
  </si>
  <si>
    <t>Tabulle</t>
  </si>
  <si>
    <t>RedVelvet</t>
  </si>
  <si>
    <t>lifestyle26</t>
  </si>
  <si>
    <t>Saciperere94</t>
  </si>
  <si>
    <t>Cameronn</t>
  </si>
  <si>
    <t>Polignacc</t>
  </si>
  <si>
    <t>pinguinha_</t>
  </si>
  <si>
    <t>EspadaShim</t>
  </si>
  <si>
    <t>NigthCrawler</t>
  </si>
  <si>
    <t>Shelong</t>
  </si>
  <si>
    <t>R. Ceni</t>
  </si>
  <si>
    <t>2969-5971</t>
  </si>
  <si>
    <t>אובאובה</t>
  </si>
  <si>
    <t>2854-3585</t>
  </si>
  <si>
    <t>URUBU55</t>
  </si>
  <si>
    <t>2600-6014</t>
  </si>
  <si>
    <t>naja88</t>
  </si>
  <si>
    <t>intelij</t>
  </si>
  <si>
    <t>Niggon</t>
  </si>
  <si>
    <t>Ryan Elliot</t>
  </si>
  <si>
    <t>**Jasmine**</t>
  </si>
  <si>
    <t>BellaBiggie</t>
  </si>
  <si>
    <t>WishingWell</t>
  </si>
  <si>
    <t>luizaoag</t>
  </si>
  <si>
    <t>Scoobydoo10</t>
  </si>
  <si>
    <t>Chulapa</t>
  </si>
  <si>
    <t>Tiny_Buffalo</t>
  </si>
  <si>
    <t>*Sathorn12*</t>
  </si>
  <si>
    <t>🌕Hanuman🌕</t>
  </si>
  <si>
    <t>Gaalileo</t>
  </si>
  <si>
    <t>multinomial</t>
  </si>
  <si>
    <t>Reunited</t>
  </si>
  <si>
    <t>Hypercolour</t>
  </si>
  <si>
    <t>6619-5080</t>
  </si>
  <si>
    <t>jorisvaldo</t>
  </si>
  <si>
    <t>Ketson</t>
  </si>
  <si>
    <t>A. Moreno</t>
  </si>
  <si>
    <t>3368-3183</t>
  </si>
  <si>
    <t>P3368-3183</t>
  </si>
  <si>
    <t>7120-0858</t>
  </si>
  <si>
    <t>P7120-0858</t>
  </si>
  <si>
    <t>7913-7499</t>
  </si>
  <si>
    <t>RogerB</t>
  </si>
  <si>
    <t>7172-9842</t>
  </si>
  <si>
    <t>RobotWhale</t>
  </si>
  <si>
    <t>2723-0000</t>
  </si>
  <si>
    <t>BeJellow</t>
  </si>
  <si>
    <t>8746-0251</t>
  </si>
  <si>
    <t>Unzershtick</t>
  </si>
  <si>
    <t>Max Steel</t>
  </si>
  <si>
    <t>Lisbon_Hair</t>
  </si>
  <si>
    <t>7086-5252</t>
  </si>
  <si>
    <t>quack quack</t>
  </si>
  <si>
    <t>1972-8745</t>
  </si>
  <si>
    <t>admir</t>
  </si>
  <si>
    <t>NuggRunn</t>
  </si>
  <si>
    <t>3989-4974</t>
  </si>
  <si>
    <t>Cabecita</t>
  </si>
  <si>
    <t>Cafezin</t>
  </si>
  <si>
    <t>caalll</t>
  </si>
  <si>
    <t>AgAlpha</t>
  </si>
  <si>
    <t>lamh98</t>
  </si>
  <si>
    <t>Sebastiaum</t>
  </si>
  <si>
    <t>5270-8907</t>
  </si>
  <si>
    <t>TheFinalBoss</t>
  </si>
  <si>
    <t>2902-5778</t>
  </si>
  <si>
    <t>P2902-5778</t>
  </si>
  <si>
    <t>sonic10</t>
  </si>
  <si>
    <t>knoucos</t>
  </si>
  <si>
    <t>5655-2626</t>
  </si>
  <si>
    <t>Qualifica</t>
  </si>
  <si>
    <t>2075-4104</t>
  </si>
  <si>
    <t>Drmitim</t>
  </si>
  <si>
    <t>6943-2019</t>
  </si>
  <si>
    <t>UNA BALITA</t>
  </si>
  <si>
    <t>DonkeyBety</t>
  </si>
  <si>
    <t>lil_one</t>
  </si>
  <si>
    <t>1239-1101</t>
  </si>
  <si>
    <t>KHector</t>
  </si>
  <si>
    <t>7228-4444</t>
  </si>
  <si>
    <t>P7228-4444</t>
  </si>
  <si>
    <t>drmitim</t>
  </si>
  <si>
    <t>8776053</t>
  </si>
  <si>
    <t>canijoRRz</t>
  </si>
  <si>
    <t>yesterfg2</t>
  </si>
  <si>
    <t>phosphorus5</t>
  </si>
  <si>
    <t>fewestm2</t>
  </si>
  <si>
    <t xml:space="preserve">Fishpoker freeroll prizes </t>
  </si>
  <si>
    <t>Pizdinhoo</t>
  </si>
  <si>
    <t>michelin2</t>
  </si>
  <si>
    <t>laland1337</t>
  </si>
  <si>
    <t>Avatar January</t>
  </si>
  <si>
    <t>tyhihi</t>
  </si>
  <si>
    <t>feelstable</t>
  </si>
  <si>
    <t>Kvernicola</t>
  </si>
  <si>
    <t>xxxtony</t>
  </si>
  <si>
    <t>return of excess funds sent</t>
  </si>
  <si>
    <t>Palanquin8</t>
  </si>
  <si>
    <t>pretzelx</t>
  </si>
  <si>
    <t>4theflop</t>
  </si>
  <si>
    <t>fp141619</t>
  </si>
  <si>
    <t>whaaatt</t>
  </si>
  <si>
    <t>oneetimeee</t>
  </si>
  <si>
    <t>arraseek</t>
  </si>
  <si>
    <t>lawsonBoy</t>
  </si>
  <si>
    <t>coxxy</t>
  </si>
  <si>
    <t>fabrichio</t>
  </si>
  <si>
    <t>shaiggg</t>
  </si>
  <si>
    <t>tulibud1bu</t>
  </si>
  <si>
    <t>ridzzo</t>
  </si>
  <si>
    <t>FindMuck</t>
  </si>
  <si>
    <t>#SV6XY</t>
  </si>
  <si>
    <t>??GOG??</t>
  </si>
  <si>
    <t>Naked Aces</t>
  </si>
  <si>
    <t>#WUDKA</t>
  </si>
  <si>
    <t>DanJando</t>
  </si>
  <si>
    <t>CoolPunters</t>
  </si>
  <si>
    <t>#C6N02</t>
  </si>
  <si>
    <t>Alexa</t>
  </si>
  <si>
    <t>Royal Beasts</t>
  </si>
  <si>
    <t>#XFFL3</t>
  </si>
  <si>
    <t>ibufi</t>
  </si>
  <si>
    <t>#IBUFI</t>
  </si>
  <si>
    <t>The Call Station</t>
  </si>
  <si>
    <t>#GZ7WB</t>
  </si>
  <si>
    <t>Selena G</t>
  </si>
  <si>
    <t>VG 1/2024</t>
  </si>
  <si>
    <t>7424-2492</t>
  </si>
  <si>
    <t>AgentMan</t>
  </si>
  <si>
    <t>6515-1712</t>
  </si>
  <si>
    <t>DECOCO</t>
  </si>
  <si>
    <t>8686-4174</t>
  </si>
  <si>
    <t>Dunaj</t>
  </si>
  <si>
    <t>1670-2554</t>
  </si>
  <si>
    <t>P1670-2554</t>
  </si>
  <si>
    <t>Bazz settlement of negative balance</t>
  </si>
  <si>
    <t>partial settlement</t>
  </si>
  <si>
    <t>WPT Global</t>
  </si>
  <si>
    <t>7.4.2024</t>
  </si>
  <si>
    <t>3698-3121</t>
  </si>
  <si>
    <t>SawasdeePla!</t>
  </si>
  <si>
    <t>Davinaldo1</t>
  </si>
  <si>
    <t>fp142275</t>
  </si>
  <si>
    <t>deal change (Broka Suprema) (29.1.)!</t>
  </si>
  <si>
    <t>pi3.14</t>
  </si>
  <si>
    <t>bwhale</t>
  </si>
  <si>
    <t>codkiller33</t>
  </si>
  <si>
    <t>jhonsmithy</t>
  </si>
  <si>
    <t>17.3.2024</t>
  </si>
  <si>
    <t>tacotime49</t>
  </si>
  <si>
    <t>🌷Belle🌷</t>
  </si>
  <si>
    <t>BellaWhisgar</t>
  </si>
  <si>
    <t>FatBuddah</t>
  </si>
  <si>
    <t>DnKiluminati</t>
  </si>
  <si>
    <t>__The_Yak__</t>
  </si>
  <si>
    <t>BobbyBraids</t>
  </si>
  <si>
    <t>UpDaAlbion</t>
  </si>
  <si>
    <t xml:space="preserve">3444-0916 </t>
  </si>
  <si>
    <t>D_O_N_E_D</t>
  </si>
  <si>
    <t>7.3.2024</t>
  </si>
  <si>
    <t>1478-8096</t>
  </si>
  <si>
    <t>laguaguita</t>
  </si>
  <si>
    <t>6234-7025</t>
  </si>
  <si>
    <t>gostreamer</t>
  </si>
  <si>
    <t>1877-3038</t>
  </si>
  <si>
    <t>Marpurgi</t>
  </si>
  <si>
    <t>3737-8796</t>
  </si>
  <si>
    <t>Izyo</t>
  </si>
  <si>
    <t>6566-4525</t>
  </si>
  <si>
    <t>Thiwori</t>
  </si>
  <si>
    <t>2138-5832</t>
  </si>
  <si>
    <t>SuperXX</t>
  </si>
  <si>
    <t>1423-4474</t>
  </si>
  <si>
    <t>JamieOliver</t>
  </si>
  <si>
    <t>Rate (FX)</t>
  </si>
  <si>
    <t>Rate (FX Rate)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</si>
</sst>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0"/>
    <numFmt numFmtId="165" formatCode="0.00000"/>
    <numFmt numFmtId="166" formatCode="&quot;€&quot;#,##0.00"/>
  </numFmts>
  <fonts count="15" x14ac:knownFonts="1">
    <font>
      <sz val="10"/>
      <color rgb="FF000000"/>
      <name val="Arial"/>
      <scheme val="minor"/>
    </font>
    <font>
      <b/>
      <i/>
      <sz val="10"/>
      <color theme="1"/>
      <name val="Calibri"/>
    </font>
    <font>
      <sz val="10"/>
      <color theme="1"/>
      <name val="Calibri"/>
    </font>
    <font>
      <sz val="10"/>
      <color rgb="FF000000"/>
      <name val="Calibri"/>
    </font>
    <font>
      <b/>
      <i/>
      <sz val="10"/>
      <color rgb="FF000000"/>
      <name val="Calibri"/>
    </font>
    <font>
      <sz val="10"/>
      <color rgb="FF000000"/>
      <name val="Calibri"/>
    </font>
    <font>
      <sz val="10"/>
      <color theme="1"/>
      <name val="Calibri"/>
    </font>
    <font>
      <b/>
      <sz val="10"/>
      <color rgb="FFFF0000"/>
      <name val="Calibri"/>
    </font>
    <font>
      <b/>
      <sz val="10"/>
      <color theme="1"/>
      <name val="Calibri"/>
    </font>
    <font>
      <sz val="10"/>
      <color theme="1"/>
      <name val="Arial"/>
    </font>
    <font>
      <sz val="10"/>
      <name val="Calibri"/>
    </font>
    <font>
      <sz val="9"/>
      <color indexed="81"/>
      <name val="Tahoma"/>
    </font>
    <font>
      <b/>
      <sz val="9"/>
      <color indexed="81"/>
      <name val="Tahoma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9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  <fill>
      <patternFill patternType="solid">
        <fgColor rgb="FFFCE5CD"/>
        <bgColor rgb="FFFCE5CD"/>
      </patternFill>
    </fill>
    <fill>
      <patternFill patternType="solid">
        <fgColor rgb="FFEA9999"/>
        <bgColor rgb="FFEA9999"/>
      </patternFill>
    </fill>
    <fill>
      <patternFill patternType="solid">
        <fgColor rgb="FFF9CB9C"/>
        <bgColor rgb="FFF9CB9C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B6D7A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2" borderId="0" xfId="0" applyFont="1" applyFill="1" applyAlignment="1">
      <alignment horizontal="left"/>
    </xf>
    <xf numFmtId="0" fontId="2" fillId="0" borderId="0" xfId="0" applyFont="1"/>
    <xf numFmtId="0" fontId="2" fillId="3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3" borderId="0" xfId="0" applyFont="1" applyFill="1"/>
    <xf numFmtId="4" fontId="2" fillId="3" borderId="0" xfId="0" applyNumberFormat="1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2" fillId="4" borderId="0" xfId="0" applyFont="1" applyFill="1"/>
    <xf numFmtId="4" fontId="2" fillId="4" borderId="0" xfId="0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4" fontId="4" fillId="7" borderId="0" xfId="0" applyNumberFormat="1" applyFont="1" applyFill="1"/>
    <xf numFmtId="4" fontId="4" fillId="5" borderId="0" xfId="0" applyNumberFormat="1" applyFont="1" applyFill="1"/>
    <xf numFmtId="0" fontId="2" fillId="0" borderId="0" xfId="0" applyFont="1" applyAlignment="1">
      <alignment horizontal="center"/>
    </xf>
    <xf numFmtId="0" fontId="5" fillId="7" borderId="0" xfId="0" applyFont="1" applyFill="1"/>
    <xf numFmtId="4" fontId="5" fillId="7" borderId="0" xfId="0" applyNumberFormat="1" applyFont="1" applyFill="1"/>
    <xf numFmtId="4" fontId="5" fillId="5" borderId="0" xfId="0" applyNumberFormat="1" applyFont="1" applyFill="1"/>
    <xf numFmtId="0" fontId="2" fillId="8" borderId="0" xfId="0" applyFont="1" applyFill="1"/>
    <xf numFmtId="4" fontId="2" fillId="8" borderId="0" xfId="0" applyNumberFormat="1" applyFont="1" applyFill="1"/>
    <xf numFmtId="4" fontId="4" fillId="6" borderId="0" xfId="0" applyNumberFormat="1" applyFont="1" applyFill="1"/>
    <xf numFmtId="4" fontId="5" fillId="6" borderId="0" xfId="0" applyNumberFormat="1" applyFont="1" applyFill="1"/>
    <xf numFmtId="0" fontId="2" fillId="2" borderId="0" xfId="0" applyFont="1" applyFill="1"/>
    <xf numFmtId="0" fontId="2" fillId="0" borderId="0" xfId="0" applyFont="1" applyAlignment="1">
      <alignment horizontal="right"/>
    </xf>
    <xf numFmtId="0" fontId="5" fillId="6" borderId="0" xfId="0" applyFont="1" applyFill="1"/>
    <xf numFmtId="0" fontId="2" fillId="7" borderId="0" xfId="0" applyFont="1" applyFill="1"/>
    <xf numFmtId="4" fontId="2" fillId="7" borderId="0" xfId="0" applyNumberFormat="1" applyFont="1" applyFill="1"/>
    <xf numFmtId="4" fontId="5" fillId="0" borderId="0" xfId="0" applyNumberFormat="1" applyFont="1" applyAlignment="1">
      <alignment horizontal="right"/>
    </xf>
    <xf numFmtId="4" fontId="6" fillId="0" borderId="0" xfId="0" applyNumberFormat="1" applyFont="1" applyAlignment="1">
      <alignment horizontal="right"/>
    </xf>
    <xf numFmtId="4" fontId="5" fillId="0" borderId="0" xfId="0" applyNumberFormat="1" applyFont="1"/>
    <xf numFmtId="0" fontId="7" fillId="0" borderId="0" xfId="0" applyFont="1"/>
    <xf numFmtId="4" fontId="5" fillId="5" borderId="0" xfId="0" applyNumberFormat="1" applyFont="1" applyFill="1" applyAlignment="1">
      <alignment horizontal="right"/>
    </xf>
    <xf numFmtId="4" fontId="2" fillId="0" borderId="0" xfId="0" applyNumberFormat="1" applyFont="1"/>
    <xf numFmtId="0" fontId="1" fillId="7" borderId="0" xfId="0" applyFont="1" applyFill="1"/>
    <xf numFmtId="4" fontId="1" fillId="7" borderId="0" xfId="0" applyNumberFormat="1" applyFont="1" applyFill="1"/>
    <xf numFmtId="4" fontId="1" fillId="5" borderId="0" xfId="0" applyNumberFormat="1" applyFont="1" applyFill="1"/>
    <xf numFmtId="0" fontId="1" fillId="8" borderId="0" xfId="0" applyFont="1" applyFill="1"/>
    <xf numFmtId="4" fontId="1" fillId="8" borderId="0" xfId="0" applyNumberFormat="1" applyFont="1" applyFill="1"/>
    <xf numFmtId="4" fontId="8" fillId="0" borderId="0" xfId="0" applyNumberFormat="1" applyFont="1"/>
    <xf numFmtId="4" fontId="2" fillId="9" borderId="0" xfId="0" applyNumberFormat="1" applyFont="1" applyFill="1"/>
    <xf numFmtId="4" fontId="1" fillId="10" borderId="0" xfId="0" applyNumberFormat="1" applyFont="1" applyFill="1"/>
    <xf numFmtId="4" fontId="2" fillId="10" borderId="0" xfId="0" applyNumberFormat="1" applyFont="1" applyFill="1"/>
    <xf numFmtId="4" fontId="2" fillId="10" borderId="0" xfId="0" applyNumberFormat="1" applyFont="1" applyFill="1" applyAlignment="1">
      <alignment horizontal="right"/>
    </xf>
    <xf numFmtId="4" fontId="1" fillId="10" borderId="0" xfId="0" applyNumberFormat="1" applyFont="1" applyFill="1" applyAlignment="1">
      <alignment horizontal="right"/>
    </xf>
    <xf numFmtId="0" fontId="1" fillId="2" borderId="0" xfId="0" applyFont="1" applyFill="1"/>
    <xf numFmtId="4" fontId="2" fillId="2" borderId="0" xfId="0" applyNumberFormat="1" applyFont="1" applyFill="1"/>
    <xf numFmtId="4" fontId="2" fillId="0" borderId="0" xfId="0" applyNumberFormat="1" applyFont="1" applyAlignment="1">
      <alignment horizontal="left"/>
    </xf>
    <xf numFmtId="4" fontId="1" fillId="2" borderId="0" xfId="0" applyNumberFormat="1" applyFont="1" applyFill="1"/>
    <xf numFmtId="0" fontId="1" fillId="11" borderId="0" xfId="0" applyFont="1" applyFill="1"/>
    <xf numFmtId="0" fontId="2" fillId="11" borderId="0" xfId="0" applyFont="1" applyFill="1"/>
    <xf numFmtId="4" fontId="2" fillId="11" borderId="0" xfId="0" applyNumberFormat="1" applyFont="1" applyFill="1"/>
    <xf numFmtId="4" fontId="1" fillId="11" borderId="0" xfId="0" applyNumberFormat="1" applyFont="1" applyFill="1"/>
    <xf numFmtId="0" fontId="1" fillId="12" borderId="0" xfId="0" applyFont="1" applyFill="1"/>
    <xf numFmtId="0" fontId="2" fillId="12" borderId="0" xfId="0" applyFont="1" applyFill="1"/>
    <xf numFmtId="4" fontId="2" fillId="12" borderId="0" xfId="0" applyNumberFormat="1" applyFont="1" applyFill="1"/>
    <xf numFmtId="4" fontId="1" fillId="12" borderId="0" xfId="0" applyNumberFormat="1" applyFont="1" applyFill="1"/>
    <xf numFmtId="4" fontId="1" fillId="13" borderId="0" xfId="0" applyNumberFormat="1" applyFont="1" applyFill="1"/>
    <xf numFmtId="4" fontId="2" fillId="13" borderId="0" xfId="0" applyNumberFormat="1" applyFont="1" applyFill="1"/>
    <xf numFmtId="4" fontId="2" fillId="5" borderId="0" xfId="0" applyNumberFormat="1" applyFont="1" applyFill="1"/>
    <xf numFmtId="4" fontId="2" fillId="6" borderId="0" xfId="0" applyNumberFormat="1" applyFont="1" applyFill="1"/>
    <xf numFmtId="4" fontId="2" fillId="6" borderId="0" xfId="0" applyNumberFormat="1" applyFont="1" applyFill="1" applyAlignment="1">
      <alignment horizontal="right"/>
    </xf>
    <xf numFmtId="4" fontId="2" fillId="5" borderId="0" xfId="0" applyNumberFormat="1" applyFont="1" applyFill="1" applyAlignment="1">
      <alignment horizontal="right"/>
    </xf>
    <xf numFmtId="4" fontId="8" fillId="14" borderId="0" xfId="0" applyNumberFormat="1" applyFont="1" applyFill="1"/>
    <xf numFmtId="0" fontId="8" fillId="14" borderId="0" xfId="0" applyFont="1" applyFill="1"/>
    <xf numFmtId="164" fontId="8" fillId="14" borderId="0" xfId="0" applyNumberFormat="1" applyFont="1" applyFill="1"/>
    <xf numFmtId="4" fontId="8" fillId="5" borderId="0" xfId="0" applyNumberFormat="1" applyFont="1" applyFill="1"/>
    <xf numFmtId="4" fontId="8" fillId="9" borderId="0" xfId="0" applyNumberFormat="1" applyFont="1" applyFill="1"/>
    <xf numFmtId="4" fontId="8" fillId="15" borderId="0" xfId="0" applyNumberFormat="1" applyFont="1" applyFill="1"/>
    <xf numFmtId="4" fontId="8" fillId="4" borderId="0" xfId="0" applyNumberFormat="1" applyFont="1" applyFill="1"/>
    <xf numFmtId="4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4" fontId="9" fillId="5" borderId="0" xfId="0" applyNumberFormat="1" applyFont="1" applyFill="1"/>
    <xf numFmtId="49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 applyAlignment="1">
      <alignment horizontal="right"/>
    </xf>
    <xf numFmtId="165" fontId="2" fillId="0" borderId="0" xfId="0" applyNumberFormat="1" applyFont="1"/>
    <xf numFmtId="2" fontId="2" fillId="0" borderId="0" xfId="0" applyNumberFormat="1" applyFont="1"/>
    <xf numFmtId="4" fontId="8" fillId="8" borderId="0" xfId="0" applyNumberFormat="1" applyFont="1" applyFill="1"/>
    <xf numFmtId="4" fontId="2" fillId="8" borderId="0" xfId="0" applyNumberFormat="1" applyFont="1" applyFill="1" applyAlignment="1">
      <alignment horizontal="right"/>
    </xf>
    <xf numFmtId="4" fontId="2" fillId="8" borderId="0" xfId="0" applyNumberFormat="1" applyFont="1" applyFill="1" applyAlignment="1">
      <alignment horizontal="left"/>
    </xf>
    <xf numFmtId="4" fontId="7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4" fontId="2" fillId="5" borderId="0" xfId="0" applyNumberFormat="1" applyFont="1" applyFill="1" applyAlignment="1">
      <alignment horizontal="left"/>
    </xf>
    <xf numFmtId="4" fontId="3" fillId="0" borderId="0" xfId="0" applyNumberFormat="1" applyFont="1" applyAlignment="1">
      <alignment horizontal="left"/>
    </xf>
    <xf numFmtId="4" fontId="7" fillId="0" borderId="0" xfId="0" applyNumberFormat="1" applyFont="1"/>
    <xf numFmtId="165" fontId="2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right"/>
    </xf>
    <xf numFmtId="0" fontId="8" fillId="0" borderId="0" xfId="0" applyFont="1"/>
    <xf numFmtId="4" fontId="8" fillId="2" borderId="0" xfId="0" applyNumberFormat="1" applyFont="1" applyFill="1"/>
    <xf numFmtId="4" fontId="8" fillId="2" borderId="0" xfId="0" applyNumberFormat="1" applyFont="1" applyFill="1" applyAlignment="1">
      <alignment horizontal="right"/>
    </xf>
    <xf numFmtId="0" fontId="5" fillId="0" borderId="0" xfId="0" applyFont="1"/>
    <xf numFmtId="4" fontId="8" fillId="8" borderId="0" xfId="0" applyNumberFormat="1" applyFont="1" applyFill="1" applyAlignment="1">
      <alignment horizontal="left"/>
    </xf>
    <xf numFmtId="0" fontId="8" fillId="14" borderId="0" xfId="0" applyFont="1" applyFill="1" applyAlignment="1">
      <alignment horizontal="left"/>
    </xf>
    <xf numFmtId="4" fontId="9" fillId="0" borderId="0" xfId="0" applyNumberFormat="1" applyFont="1"/>
    <xf numFmtId="49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0" fontId="3" fillId="16" borderId="0" xfId="0" applyFont="1" applyFill="1" applyAlignment="1">
      <alignment horizontal="left"/>
    </xf>
    <xf numFmtId="4" fontId="3" fillId="0" borderId="0" xfId="0" applyNumberFormat="1" applyFont="1"/>
    <xf numFmtId="0" fontId="10" fillId="0" borderId="0" xfId="0" applyFont="1" applyAlignment="1">
      <alignment horizontal="left"/>
    </xf>
    <xf numFmtId="0" fontId="2" fillId="8" borderId="0" xfId="0" applyFont="1" applyFill="1" applyAlignment="1">
      <alignment horizontal="left"/>
    </xf>
    <xf numFmtId="4" fontId="8" fillId="14" borderId="0" xfId="0" applyNumberFormat="1" applyFont="1" applyFill="1" applyAlignment="1">
      <alignment horizontal="left"/>
    </xf>
    <xf numFmtId="164" fontId="8" fillId="14" borderId="0" xfId="0" applyNumberFormat="1" applyFont="1" applyFill="1" applyAlignment="1">
      <alignment horizontal="left"/>
    </xf>
    <xf numFmtId="4" fontId="8" fillId="5" borderId="0" xfId="0" applyNumberFormat="1" applyFont="1" applyFill="1" applyAlignment="1">
      <alignment horizontal="left"/>
    </xf>
    <xf numFmtId="2" fontId="2" fillId="0" borderId="0" xfId="0" applyNumberFormat="1" applyFont="1" applyAlignment="1">
      <alignment horizontal="right"/>
    </xf>
    <xf numFmtId="0" fontId="1" fillId="8" borderId="0" xfId="0" applyFont="1" applyFill="1" applyAlignment="1">
      <alignment horizontal="center"/>
    </xf>
    <xf numFmtId="0" fontId="0" fillId="0" borderId="0" xfId="0"/>
    <xf numFmtId="4" fontId="4" fillId="6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4" fontId="1" fillId="10" borderId="0" xfId="0" applyNumberFormat="1" applyFont="1" applyFill="1"/>
    <xf numFmtId="4" fontId="2" fillId="10" borderId="0" xfId="0" applyNumberFormat="1" applyFont="1" applyFill="1"/>
    <xf numFmtId="0" fontId="1" fillId="11" borderId="0" xfId="0" applyFont="1" applyFill="1" applyAlignment="1">
      <alignment horizontal="center"/>
    </xf>
    <xf numFmtId="0" fontId="1" fillId="12" borderId="0" xfId="0" applyFont="1" applyFill="1" applyAlignment="1">
      <alignment horizontal="center"/>
    </xf>
    <xf numFmtId="4" fontId="1" fillId="13" borderId="0" xfId="0" applyNumberFormat="1" applyFont="1" applyFill="1" applyAlignment="1">
      <alignment horizontal="center"/>
    </xf>
    <xf numFmtId="4" fontId="2" fillId="13" borderId="0" xfId="0" applyNumberFormat="1" applyFont="1" applyFill="1"/>
    <xf numFmtId="0" fontId="1" fillId="2" borderId="0" xfId="0" applyFont="1" applyFill="1" applyAlignment="1">
      <alignment horizontal="center"/>
    </xf>
    <xf numFmtId="4" fontId="2" fillId="17" borderId="0" xfId="0" applyNumberFormat="1" applyFont="1" applyFill="1"/>
    <xf numFmtId="0" fontId="2" fillId="17" borderId="0" xfId="0" applyFont="1" applyFill="1" applyAlignment="1">
      <alignment horizontal="left"/>
    </xf>
    <xf numFmtId="0" fontId="2" fillId="17" borderId="0" xfId="0" applyFont="1" applyFill="1"/>
    <xf numFmtId="4" fontId="2" fillId="17" borderId="0" xfId="0" applyNumberFormat="1" applyFont="1" applyFill="1" applyAlignment="1">
      <alignment horizontal="right"/>
    </xf>
    <xf numFmtId="164" fontId="2" fillId="17" borderId="0" xfId="0" applyNumberFormat="1" applyFont="1" applyFill="1" applyAlignment="1">
      <alignment horizontal="right"/>
    </xf>
    <xf numFmtId="4" fontId="2" fillId="18" borderId="0" xfId="0" applyNumberFormat="1" applyFont="1" applyFill="1" applyAlignment="1">
      <alignment horizontal="left"/>
    </xf>
    <xf numFmtId="0" fontId="0" fillId="17" borderId="0" xfId="0" applyFill="1"/>
    <xf numFmtId="4" fontId="2" fillId="18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vava.a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Z1000"/>
  <sheetViews>
    <sheetView workbookViewId="0">
      <pane ySplit="1" topLeftCell="A2" activePane="bottomLeft" state="frozen"/>
      <selection pane="bottomLeft" activeCell="A222" sqref="A1:Z1000"/>
    </sheetView>
  </sheetViews>
  <sheetFormatPr defaultColWidth="12.6640625" defaultRowHeight="15.75" customHeight="1" x14ac:dyDescent="0.25"/>
  <cols>
    <col min="1" max="8" width="15.77734375" customWidth="1"/>
    <col min="9" max="9" width="75.109375" customWidth="1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hidden="1" customHeight="1" x14ac:dyDescent="0.3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14</v>
      </c>
      <c r="I2" s="3" t="s">
        <v>16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hidden="1" customHeight="1" x14ac:dyDescent="0.3">
      <c r="A3" s="3" t="s">
        <v>9</v>
      </c>
      <c r="B3" s="3" t="s">
        <v>17</v>
      </c>
      <c r="C3" s="3" t="s">
        <v>18</v>
      </c>
      <c r="D3" s="3" t="s">
        <v>19</v>
      </c>
      <c r="E3" s="3" t="s">
        <v>13</v>
      </c>
      <c r="F3" s="3" t="s">
        <v>14</v>
      </c>
      <c r="G3" s="3" t="s">
        <v>20</v>
      </c>
      <c r="H3" s="3" t="s">
        <v>21</v>
      </c>
      <c r="I3" s="3" t="s">
        <v>22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3" t="s">
        <v>9</v>
      </c>
      <c r="B4" s="3" t="s">
        <v>23</v>
      </c>
      <c r="C4" s="3" t="s">
        <v>18</v>
      </c>
      <c r="D4" s="3" t="s">
        <v>24</v>
      </c>
      <c r="E4" s="3" t="s">
        <v>18</v>
      </c>
      <c r="F4" s="3" t="s">
        <v>14</v>
      </c>
      <c r="G4" s="3" t="s">
        <v>20</v>
      </c>
      <c r="H4" s="3" t="s">
        <v>21</v>
      </c>
      <c r="I4" s="3" t="s">
        <v>22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hidden="1" customHeight="1" x14ac:dyDescent="0.3">
      <c r="A5" s="3" t="s">
        <v>9</v>
      </c>
      <c r="B5" s="3" t="s">
        <v>25</v>
      </c>
      <c r="C5" s="3" t="s">
        <v>26</v>
      </c>
      <c r="D5" s="3" t="s">
        <v>27</v>
      </c>
      <c r="E5" s="3" t="s">
        <v>18</v>
      </c>
      <c r="F5" s="3" t="s">
        <v>14</v>
      </c>
      <c r="G5" s="3" t="s">
        <v>28</v>
      </c>
      <c r="H5" s="3" t="s">
        <v>29</v>
      </c>
      <c r="I5" s="3" t="s">
        <v>15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hidden="1" customHeight="1" x14ac:dyDescent="0.3">
      <c r="A6" s="3" t="s">
        <v>9</v>
      </c>
      <c r="B6" s="3" t="s">
        <v>30</v>
      </c>
      <c r="C6" s="3" t="s">
        <v>26</v>
      </c>
      <c r="D6" s="3" t="s">
        <v>27</v>
      </c>
      <c r="E6" s="3" t="s">
        <v>18</v>
      </c>
      <c r="F6" s="3" t="s">
        <v>14</v>
      </c>
      <c r="G6" s="3" t="s">
        <v>28</v>
      </c>
      <c r="H6" s="3" t="s">
        <v>29</v>
      </c>
      <c r="I6" s="3" t="s">
        <v>15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hidden="1" customHeight="1" x14ac:dyDescent="0.3">
      <c r="A7" s="3" t="s">
        <v>9</v>
      </c>
      <c r="B7" s="3" t="s">
        <v>31</v>
      </c>
      <c r="C7" s="3" t="s">
        <v>18</v>
      </c>
      <c r="D7" s="3" t="s">
        <v>24</v>
      </c>
      <c r="E7" s="3" t="s">
        <v>18</v>
      </c>
      <c r="F7" s="3" t="s">
        <v>32</v>
      </c>
      <c r="G7" s="3" t="s">
        <v>33</v>
      </c>
      <c r="H7" s="3" t="s">
        <v>34</v>
      </c>
      <c r="I7" s="3" t="s">
        <v>15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hidden="1" customHeight="1" x14ac:dyDescent="0.3">
      <c r="A8" s="3" t="s">
        <v>9</v>
      </c>
      <c r="B8" s="3" t="s">
        <v>35</v>
      </c>
      <c r="C8" s="3" t="s">
        <v>36</v>
      </c>
      <c r="D8" s="3" t="s">
        <v>37</v>
      </c>
      <c r="E8" s="3" t="s">
        <v>38</v>
      </c>
      <c r="F8" s="3" t="s">
        <v>39</v>
      </c>
      <c r="G8" s="3" t="s">
        <v>40</v>
      </c>
      <c r="H8" s="3" t="s">
        <v>41</v>
      </c>
      <c r="I8" s="3" t="s">
        <v>42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hidden="1" customHeight="1" x14ac:dyDescent="0.3">
      <c r="A9" s="3" t="s">
        <v>9</v>
      </c>
      <c r="B9" s="3" t="s">
        <v>43</v>
      </c>
      <c r="C9" s="3" t="s">
        <v>11</v>
      </c>
      <c r="D9" s="3" t="s">
        <v>19</v>
      </c>
      <c r="E9" s="3" t="s">
        <v>18</v>
      </c>
      <c r="F9" s="3" t="s">
        <v>44</v>
      </c>
      <c r="G9" s="3" t="s">
        <v>45</v>
      </c>
      <c r="H9" s="3" t="s">
        <v>46</v>
      </c>
      <c r="I9" s="3" t="s">
        <v>15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hidden="1" customHeight="1" x14ac:dyDescent="0.3">
      <c r="A10" s="4" t="s">
        <v>47</v>
      </c>
      <c r="B10" s="4" t="s">
        <v>48</v>
      </c>
      <c r="C10" s="4" t="s">
        <v>49</v>
      </c>
      <c r="D10" s="4" t="s">
        <v>50</v>
      </c>
      <c r="E10" s="4" t="s">
        <v>13</v>
      </c>
      <c r="F10" s="4" t="s">
        <v>51</v>
      </c>
      <c r="G10" s="4" t="s">
        <v>52</v>
      </c>
      <c r="H10" s="4" t="s">
        <v>53</v>
      </c>
      <c r="I10" s="4" t="s">
        <v>15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hidden="1" customHeight="1" x14ac:dyDescent="0.3">
      <c r="A11" s="4" t="s">
        <v>47</v>
      </c>
      <c r="B11" s="4" t="s">
        <v>54</v>
      </c>
      <c r="C11" s="4" t="s">
        <v>36</v>
      </c>
      <c r="D11" s="4" t="s">
        <v>12</v>
      </c>
      <c r="E11" s="4" t="s">
        <v>26</v>
      </c>
      <c r="F11" s="4" t="s">
        <v>39</v>
      </c>
      <c r="G11" s="4" t="s">
        <v>15</v>
      </c>
      <c r="H11" s="4" t="s">
        <v>39</v>
      </c>
      <c r="I11" s="4" t="s">
        <v>42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hidden="1" customHeight="1" x14ac:dyDescent="0.3">
      <c r="A12" s="4" t="s">
        <v>47</v>
      </c>
      <c r="B12" s="4" t="s">
        <v>55</v>
      </c>
      <c r="C12" s="4" t="s">
        <v>56</v>
      </c>
      <c r="D12" s="4" t="s">
        <v>57</v>
      </c>
      <c r="E12" s="4" t="s">
        <v>58</v>
      </c>
      <c r="F12" s="4" t="s">
        <v>51</v>
      </c>
      <c r="G12" s="4" t="s">
        <v>15</v>
      </c>
      <c r="H12" s="4" t="s">
        <v>51</v>
      </c>
      <c r="I12" s="4" t="s">
        <v>59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hidden="1" customHeight="1" x14ac:dyDescent="0.3">
      <c r="A13" s="4" t="s">
        <v>47</v>
      </c>
      <c r="B13" s="4" t="s">
        <v>10</v>
      </c>
      <c r="C13" s="4" t="s">
        <v>11</v>
      </c>
      <c r="D13" s="4" t="s">
        <v>19</v>
      </c>
      <c r="E13" s="4" t="s">
        <v>18</v>
      </c>
      <c r="F13" s="4" t="s">
        <v>14</v>
      </c>
      <c r="G13" s="4" t="s">
        <v>15</v>
      </c>
      <c r="H13" s="4" t="s">
        <v>14</v>
      </c>
      <c r="I13" s="4" t="s">
        <v>16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hidden="1" customHeight="1" x14ac:dyDescent="0.3">
      <c r="A14" s="4" t="s">
        <v>47</v>
      </c>
      <c r="B14" s="4" t="s">
        <v>17</v>
      </c>
      <c r="C14" s="4" t="s">
        <v>18</v>
      </c>
      <c r="D14" s="4" t="s">
        <v>12</v>
      </c>
      <c r="E14" s="4" t="s">
        <v>60</v>
      </c>
      <c r="F14" s="4" t="s">
        <v>14</v>
      </c>
      <c r="G14" s="4" t="s">
        <v>15</v>
      </c>
      <c r="H14" s="4" t="s">
        <v>14</v>
      </c>
      <c r="I14" s="4" t="s">
        <v>22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4" t="s">
        <v>47</v>
      </c>
      <c r="B15" s="4" t="s">
        <v>23</v>
      </c>
      <c r="C15" s="4" t="s">
        <v>18</v>
      </c>
      <c r="D15" s="4" t="s">
        <v>12</v>
      </c>
      <c r="E15" s="4" t="s">
        <v>60</v>
      </c>
      <c r="F15" s="4" t="s">
        <v>14</v>
      </c>
      <c r="G15" s="4" t="s">
        <v>15</v>
      </c>
      <c r="H15" s="4" t="s">
        <v>14</v>
      </c>
      <c r="I15" s="4" t="s">
        <v>22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hidden="1" customHeight="1" x14ac:dyDescent="0.3">
      <c r="A16" s="4" t="s">
        <v>47</v>
      </c>
      <c r="B16" s="4" t="s">
        <v>61</v>
      </c>
      <c r="C16" s="4" t="s">
        <v>13</v>
      </c>
      <c r="D16" s="4" t="s">
        <v>62</v>
      </c>
      <c r="E16" s="4" t="s">
        <v>63</v>
      </c>
      <c r="F16" s="4" t="s">
        <v>64</v>
      </c>
      <c r="G16" s="4" t="s">
        <v>15</v>
      </c>
      <c r="H16" s="4" t="s">
        <v>64</v>
      </c>
      <c r="I16" s="4" t="s">
        <v>15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hidden="1" customHeight="1" x14ac:dyDescent="0.3">
      <c r="A17" s="4" t="s">
        <v>47</v>
      </c>
      <c r="B17" s="4" t="s">
        <v>65</v>
      </c>
      <c r="C17" s="4" t="s">
        <v>66</v>
      </c>
      <c r="D17" s="4" t="s">
        <v>62</v>
      </c>
      <c r="E17" s="4" t="s">
        <v>18</v>
      </c>
      <c r="F17" s="4" t="s">
        <v>67</v>
      </c>
      <c r="G17" s="4" t="s">
        <v>15</v>
      </c>
      <c r="H17" s="4" t="s">
        <v>67</v>
      </c>
      <c r="I17" s="4" t="s">
        <v>15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hidden="1" customHeight="1" x14ac:dyDescent="0.3">
      <c r="A18" s="4" t="s">
        <v>47</v>
      </c>
      <c r="B18" s="4" t="s">
        <v>35</v>
      </c>
      <c r="C18" s="4" t="s">
        <v>36</v>
      </c>
      <c r="D18" s="4" t="s">
        <v>12</v>
      </c>
      <c r="E18" s="4" t="s">
        <v>26</v>
      </c>
      <c r="F18" s="4" t="s">
        <v>39</v>
      </c>
      <c r="G18" s="4" t="s">
        <v>15</v>
      </c>
      <c r="H18" s="4" t="s">
        <v>39</v>
      </c>
      <c r="I18" s="4" t="s">
        <v>42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hidden="1" customHeight="1" x14ac:dyDescent="0.3">
      <c r="A19" s="3" t="s">
        <v>68</v>
      </c>
      <c r="B19" s="3" t="s">
        <v>69</v>
      </c>
      <c r="C19" s="3" t="s">
        <v>66</v>
      </c>
      <c r="D19" s="3" t="s">
        <v>70</v>
      </c>
      <c r="E19" s="3" t="s">
        <v>63</v>
      </c>
      <c r="F19" s="3" t="s">
        <v>51</v>
      </c>
      <c r="G19" s="3" t="s">
        <v>15</v>
      </c>
      <c r="H19" s="3" t="s">
        <v>51</v>
      </c>
      <c r="I19" s="3" t="s">
        <v>42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hidden="1" customHeight="1" x14ac:dyDescent="0.3">
      <c r="A20" s="3" t="s">
        <v>68</v>
      </c>
      <c r="B20" s="3" t="s">
        <v>71</v>
      </c>
      <c r="C20" s="3" t="s">
        <v>66</v>
      </c>
      <c r="D20" s="3" t="s">
        <v>72</v>
      </c>
      <c r="E20" s="3" t="s">
        <v>73</v>
      </c>
      <c r="F20" s="3" t="s">
        <v>74</v>
      </c>
      <c r="G20" s="3" t="s">
        <v>15</v>
      </c>
      <c r="H20" s="3" t="s">
        <v>74</v>
      </c>
      <c r="I20" s="3" t="s">
        <v>75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hidden="1" customHeight="1" x14ac:dyDescent="0.3">
      <c r="A21" s="3" t="s">
        <v>68</v>
      </c>
      <c r="B21" s="3" t="s">
        <v>76</v>
      </c>
      <c r="C21" s="3" t="s">
        <v>77</v>
      </c>
      <c r="D21" s="5" t="s">
        <v>77</v>
      </c>
      <c r="E21" s="5" t="s">
        <v>63</v>
      </c>
      <c r="F21" s="5" t="s">
        <v>77</v>
      </c>
      <c r="G21" s="5" t="s">
        <v>77</v>
      </c>
      <c r="H21" s="5" t="s">
        <v>78</v>
      </c>
      <c r="I21" s="3" t="s">
        <v>79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hidden="1" customHeight="1" x14ac:dyDescent="0.3">
      <c r="A22" s="3" t="s">
        <v>68</v>
      </c>
      <c r="B22" s="3" t="s">
        <v>35</v>
      </c>
      <c r="C22" s="3" t="s">
        <v>36</v>
      </c>
      <c r="D22" s="3" t="s">
        <v>80</v>
      </c>
      <c r="E22" s="3" t="s">
        <v>63</v>
      </c>
      <c r="F22" s="3" t="s">
        <v>39</v>
      </c>
      <c r="G22" s="3" t="s">
        <v>15</v>
      </c>
      <c r="H22" s="3" t="s">
        <v>39</v>
      </c>
      <c r="I22" s="3" t="s">
        <v>75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hidden="1" customHeight="1" x14ac:dyDescent="0.3">
      <c r="A23" s="3" t="s">
        <v>68</v>
      </c>
      <c r="B23" s="3" t="s">
        <v>81</v>
      </c>
      <c r="C23" s="3" t="s">
        <v>49</v>
      </c>
      <c r="D23" s="3" t="s">
        <v>82</v>
      </c>
      <c r="E23" s="3" t="s">
        <v>63</v>
      </c>
      <c r="F23" s="3" t="s">
        <v>51</v>
      </c>
      <c r="G23" s="3" t="s">
        <v>83</v>
      </c>
      <c r="H23" s="3" t="s">
        <v>78</v>
      </c>
      <c r="I23" s="3" t="s">
        <v>84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hidden="1" customHeight="1" x14ac:dyDescent="0.3">
      <c r="A24" s="4" t="s">
        <v>85</v>
      </c>
      <c r="B24" s="4" t="s">
        <v>86</v>
      </c>
      <c r="C24" s="4" t="s">
        <v>73</v>
      </c>
      <c r="D24" s="4" t="s">
        <v>87</v>
      </c>
      <c r="E24" s="4" t="s">
        <v>50</v>
      </c>
      <c r="F24" s="4" t="s">
        <v>88</v>
      </c>
      <c r="G24" s="4" t="s">
        <v>89</v>
      </c>
      <c r="H24" s="4" t="s">
        <v>90</v>
      </c>
      <c r="I24" s="4" t="s">
        <v>15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hidden="1" customHeight="1" x14ac:dyDescent="0.3">
      <c r="A25" s="4" t="s">
        <v>85</v>
      </c>
      <c r="B25" s="4" t="s">
        <v>69</v>
      </c>
      <c r="C25" s="4" t="s">
        <v>66</v>
      </c>
      <c r="D25" s="4" t="s">
        <v>87</v>
      </c>
      <c r="E25" s="4" t="s">
        <v>60</v>
      </c>
      <c r="F25" s="4" t="s">
        <v>51</v>
      </c>
      <c r="G25" s="4" t="s">
        <v>91</v>
      </c>
      <c r="H25" s="4" t="s">
        <v>92</v>
      </c>
      <c r="I25" s="4" t="s">
        <v>42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hidden="1" customHeight="1" x14ac:dyDescent="0.3">
      <c r="A26" s="4" t="s">
        <v>85</v>
      </c>
      <c r="B26" s="4" t="s">
        <v>48</v>
      </c>
      <c r="C26" s="4" t="s">
        <v>49</v>
      </c>
      <c r="D26" s="4" t="s">
        <v>93</v>
      </c>
      <c r="E26" s="4" t="s">
        <v>60</v>
      </c>
      <c r="F26" s="4" t="s">
        <v>51</v>
      </c>
      <c r="G26" s="4" t="s">
        <v>91</v>
      </c>
      <c r="H26" s="4" t="s">
        <v>92</v>
      </c>
      <c r="I26" s="4" t="s">
        <v>15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hidden="1" customHeight="1" x14ac:dyDescent="0.3">
      <c r="A27" s="4" t="s">
        <v>85</v>
      </c>
      <c r="B27" s="4" t="s">
        <v>10</v>
      </c>
      <c r="C27" s="4" t="s">
        <v>11</v>
      </c>
      <c r="D27" s="4" t="s">
        <v>87</v>
      </c>
      <c r="E27" s="4" t="s">
        <v>73</v>
      </c>
      <c r="F27" s="4" t="s">
        <v>14</v>
      </c>
      <c r="G27" s="4" t="s">
        <v>15</v>
      </c>
      <c r="H27" s="4" t="s">
        <v>14</v>
      </c>
      <c r="I27" s="4" t="s">
        <v>16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hidden="1" customHeight="1" x14ac:dyDescent="0.3">
      <c r="A28" s="4" t="s">
        <v>85</v>
      </c>
      <c r="B28" s="4" t="s">
        <v>94</v>
      </c>
      <c r="C28" s="4" t="s">
        <v>18</v>
      </c>
      <c r="D28" s="4" t="s">
        <v>12</v>
      </c>
      <c r="E28" s="4" t="s">
        <v>60</v>
      </c>
      <c r="F28" s="4" t="s">
        <v>51</v>
      </c>
      <c r="G28" s="4" t="s">
        <v>95</v>
      </c>
      <c r="H28" s="4" t="s">
        <v>96</v>
      </c>
      <c r="I28" s="4" t="s">
        <v>15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hidden="1" customHeight="1" x14ac:dyDescent="0.3">
      <c r="A29" s="4" t="s">
        <v>85</v>
      </c>
      <c r="B29" s="4" t="s">
        <v>35</v>
      </c>
      <c r="C29" s="4" t="s">
        <v>36</v>
      </c>
      <c r="D29" s="4" t="s">
        <v>97</v>
      </c>
      <c r="E29" s="4" t="s">
        <v>13</v>
      </c>
      <c r="F29" s="4" t="s">
        <v>39</v>
      </c>
      <c r="G29" s="4" t="s">
        <v>98</v>
      </c>
      <c r="H29" s="4" t="s">
        <v>99</v>
      </c>
      <c r="I29" s="4" t="s">
        <v>42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8" hidden="1" x14ac:dyDescent="0.3">
      <c r="A30" s="3" t="s">
        <v>100</v>
      </c>
      <c r="B30" s="3" t="s">
        <v>69</v>
      </c>
      <c r="C30" s="3" t="s">
        <v>66</v>
      </c>
      <c r="D30" s="3" t="s">
        <v>19</v>
      </c>
      <c r="E30" s="3" t="s">
        <v>11</v>
      </c>
      <c r="F30" s="3" t="s">
        <v>51</v>
      </c>
      <c r="G30" s="3" t="s">
        <v>83</v>
      </c>
      <c r="H30" s="3" t="s">
        <v>78</v>
      </c>
      <c r="I30" s="3" t="s">
        <v>101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8" hidden="1" x14ac:dyDescent="0.3">
      <c r="A31" s="3" t="s">
        <v>100</v>
      </c>
      <c r="B31" s="3" t="s">
        <v>48</v>
      </c>
      <c r="C31" s="3" t="s">
        <v>49</v>
      </c>
      <c r="D31" s="3" t="s">
        <v>82</v>
      </c>
      <c r="E31" s="3" t="s">
        <v>73</v>
      </c>
      <c r="F31" s="3" t="s">
        <v>51</v>
      </c>
      <c r="G31" s="3" t="s">
        <v>83</v>
      </c>
      <c r="H31" s="3" t="s">
        <v>78</v>
      </c>
      <c r="I31" s="3" t="s">
        <v>102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8" hidden="1" x14ac:dyDescent="0.3">
      <c r="A32" s="3" t="s">
        <v>100</v>
      </c>
      <c r="B32" s="3" t="s">
        <v>35</v>
      </c>
      <c r="C32" s="3" t="s">
        <v>36</v>
      </c>
      <c r="D32" s="3" t="s">
        <v>19</v>
      </c>
      <c r="E32" s="3" t="s">
        <v>103</v>
      </c>
      <c r="F32" s="3" t="s">
        <v>39</v>
      </c>
      <c r="G32" s="3" t="s">
        <v>104</v>
      </c>
      <c r="H32" s="3" t="s">
        <v>105</v>
      </c>
      <c r="I32" s="3" t="s">
        <v>101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8" hidden="1" x14ac:dyDescent="0.3">
      <c r="A33" s="4" t="s">
        <v>106</v>
      </c>
      <c r="B33" s="4" t="s">
        <v>107</v>
      </c>
      <c r="C33" s="4" t="s">
        <v>108</v>
      </c>
      <c r="D33" s="4" t="s">
        <v>109</v>
      </c>
      <c r="E33" s="4" t="s">
        <v>60</v>
      </c>
      <c r="F33" s="4" t="s">
        <v>110</v>
      </c>
      <c r="G33" s="4" t="s">
        <v>111</v>
      </c>
      <c r="H33" s="4" t="s">
        <v>78</v>
      </c>
      <c r="I33" s="4" t="s">
        <v>112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8" hidden="1" x14ac:dyDescent="0.3">
      <c r="A34" s="4" t="s">
        <v>106</v>
      </c>
      <c r="B34" s="4" t="s">
        <v>76</v>
      </c>
      <c r="C34" s="4" t="s">
        <v>77</v>
      </c>
      <c r="D34" s="4" t="s">
        <v>77</v>
      </c>
      <c r="E34" s="4" t="s">
        <v>73</v>
      </c>
      <c r="F34" s="4" t="s">
        <v>77</v>
      </c>
      <c r="G34" s="4" t="s">
        <v>77</v>
      </c>
      <c r="H34" s="4" t="s">
        <v>78</v>
      </c>
      <c r="I34" s="4" t="s">
        <v>15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8" hidden="1" x14ac:dyDescent="0.3">
      <c r="A35" s="3" t="s">
        <v>113</v>
      </c>
      <c r="B35" s="3" t="s">
        <v>114</v>
      </c>
      <c r="C35" s="3" t="s">
        <v>49</v>
      </c>
      <c r="D35" s="3" t="s">
        <v>72</v>
      </c>
      <c r="E35" s="3" t="s">
        <v>11</v>
      </c>
      <c r="F35" s="3" t="s">
        <v>51</v>
      </c>
      <c r="G35" s="3" t="s">
        <v>115</v>
      </c>
      <c r="H35" s="3" t="s">
        <v>116</v>
      </c>
      <c r="I35" s="3" t="s">
        <v>15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8" hidden="1" x14ac:dyDescent="0.3">
      <c r="A36" s="3" t="s">
        <v>113</v>
      </c>
      <c r="B36" s="3" t="s">
        <v>69</v>
      </c>
      <c r="C36" s="3" t="s">
        <v>66</v>
      </c>
      <c r="D36" s="3" t="s">
        <v>19</v>
      </c>
      <c r="E36" s="3" t="s">
        <v>11</v>
      </c>
      <c r="F36" s="3" t="s">
        <v>51</v>
      </c>
      <c r="G36" s="3" t="s">
        <v>115</v>
      </c>
      <c r="H36" s="3" t="s">
        <v>116</v>
      </c>
      <c r="I36" s="3" t="s">
        <v>42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8" hidden="1" x14ac:dyDescent="0.3">
      <c r="A37" s="3" t="s">
        <v>113</v>
      </c>
      <c r="B37" s="3" t="s">
        <v>117</v>
      </c>
      <c r="C37" s="3" t="s">
        <v>118</v>
      </c>
      <c r="D37" s="3" t="s">
        <v>119</v>
      </c>
      <c r="E37" s="3" t="s">
        <v>108</v>
      </c>
      <c r="F37" s="3" t="s">
        <v>51</v>
      </c>
      <c r="G37" s="3" t="s">
        <v>115</v>
      </c>
      <c r="H37" s="3" t="s">
        <v>116</v>
      </c>
      <c r="I37" s="3" t="s">
        <v>15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8" hidden="1" x14ac:dyDescent="0.3">
      <c r="A38" s="3" t="s">
        <v>113</v>
      </c>
      <c r="B38" s="3" t="s">
        <v>48</v>
      </c>
      <c r="C38" s="3" t="s">
        <v>49</v>
      </c>
      <c r="D38" s="3" t="s">
        <v>120</v>
      </c>
      <c r="E38" s="3" t="s">
        <v>121</v>
      </c>
      <c r="F38" s="3" t="s">
        <v>51</v>
      </c>
      <c r="G38" s="3" t="s">
        <v>115</v>
      </c>
      <c r="H38" s="3" t="s">
        <v>116</v>
      </c>
      <c r="I38" s="3" t="s">
        <v>15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8" hidden="1" x14ac:dyDescent="0.3">
      <c r="A39" s="3" t="s">
        <v>113</v>
      </c>
      <c r="B39" s="3" t="s">
        <v>122</v>
      </c>
      <c r="C39" s="3" t="s">
        <v>123</v>
      </c>
      <c r="D39" s="3" t="s">
        <v>124</v>
      </c>
      <c r="E39" s="3" t="s">
        <v>125</v>
      </c>
      <c r="F39" s="3" t="s">
        <v>67</v>
      </c>
      <c r="G39" s="3" t="s">
        <v>126</v>
      </c>
      <c r="H39" s="3" t="s">
        <v>127</v>
      </c>
      <c r="I39" s="3" t="s">
        <v>42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8" hidden="1" x14ac:dyDescent="0.3">
      <c r="A40" s="3" t="s">
        <v>113</v>
      </c>
      <c r="B40" s="3" t="s">
        <v>55</v>
      </c>
      <c r="C40" s="3" t="s">
        <v>56</v>
      </c>
      <c r="D40" s="3" t="s">
        <v>128</v>
      </c>
      <c r="E40" s="3" t="s">
        <v>129</v>
      </c>
      <c r="F40" s="3" t="s">
        <v>51</v>
      </c>
      <c r="G40" s="3" t="s">
        <v>115</v>
      </c>
      <c r="H40" s="3" t="s">
        <v>116</v>
      </c>
      <c r="I40" s="3" t="s">
        <v>130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8" hidden="1" x14ac:dyDescent="0.3">
      <c r="A41" s="3" t="s">
        <v>113</v>
      </c>
      <c r="B41" s="3" t="s">
        <v>10</v>
      </c>
      <c r="C41" s="3" t="s">
        <v>11</v>
      </c>
      <c r="D41" s="3" t="s">
        <v>19</v>
      </c>
      <c r="E41" s="3" t="s">
        <v>18</v>
      </c>
      <c r="F41" s="3" t="s">
        <v>14</v>
      </c>
      <c r="G41" s="3" t="s">
        <v>15</v>
      </c>
      <c r="H41" s="3" t="s">
        <v>14</v>
      </c>
      <c r="I41" s="3" t="s">
        <v>15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8" hidden="1" x14ac:dyDescent="0.3">
      <c r="A42" s="3" t="s">
        <v>113</v>
      </c>
      <c r="B42" s="3" t="s">
        <v>17</v>
      </c>
      <c r="C42" s="3" t="s">
        <v>18</v>
      </c>
      <c r="D42" s="3" t="s">
        <v>19</v>
      </c>
      <c r="E42" s="3" t="s">
        <v>13</v>
      </c>
      <c r="F42" s="3" t="s">
        <v>14</v>
      </c>
      <c r="G42" s="3" t="s">
        <v>20</v>
      </c>
      <c r="H42" s="3" t="s">
        <v>21</v>
      </c>
      <c r="I42" s="3" t="s">
        <v>22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8" hidden="1" x14ac:dyDescent="0.3">
      <c r="A43" s="3" t="s">
        <v>113</v>
      </c>
      <c r="B43" s="3" t="s">
        <v>131</v>
      </c>
      <c r="C43" s="3" t="s">
        <v>18</v>
      </c>
      <c r="D43" s="3" t="s">
        <v>19</v>
      </c>
      <c r="E43" s="3" t="s">
        <v>13</v>
      </c>
      <c r="F43" s="3" t="s">
        <v>51</v>
      </c>
      <c r="G43" s="3" t="s">
        <v>115</v>
      </c>
      <c r="H43" s="3" t="s">
        <v>116</v>
      </c>
      <c r="I43" s="3" t="s">
        <v>15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8" hidden="1" x14ac:dyDescent="0.3">
      <c r="A44" s="3" t="s">
        <v>113</v>
      </c>
      <c r="B44" s="3" t="s">
        <v>132</v>
      </c>
      <c r="C44" s="3" t="s">
        <v>66</v>
      </c>
      <c r="D44" s="3" t="s">
        <v>19</v>
      </c>
      <c r="E44" s="3" t="s">
        <v>11</v>
      </c>
      <c r="F44" s="3" t="s">
        <v>67</v>
      </c>
      <c r="G44" s="3" t="s">
        <v>126</v>
      </c>
      <c r="H44" s="3" t="s">
        <v>127</v>
      </c>
      <c r="I44" s="3" t="s">
        <v>42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8" hidden="1" x14ac:dyDescent="0.3">
      <c r="A45" s="3" t="s">
        <v>113</v>
      </c>
      <c r="B45" s="6" t="s">
        <v>133</v>
      </c>
      <c r="C45" s="3" t="s">
        <v>11</v>
      </c>
      <c r="D45" s="3" t="s">
        <v>134</v>
      </c>
      <c r="E45" s="3" t="s">
        <v>135</v>
      </c>
      <c r="F45" s="3" t="s">
        <v>14</v>
      </c>
      <c r="G45" s="3" t="s">
        <v>15</v>
      </c>
      <c r="H45" s="3" t="s">
        <v>14</v>
      </c>
      <c r="I45" s="3" t="s">
        <v>15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8" hidden="1" x14ac:dyDescent="0.3">
      <c r="A46" s="3" t="s">
        <v>113</v>
      </c>
      <c r="B46" s="3" t="s">
        <v>136</v>
      </c>
      <c r="C46" s="3" t="s">
        <v>123</v>
      </c>
      <c r="D46" s="3" t="s">
        <v>19</v>
      </c>
      <c r="E46" s="3" t="s">
        <v>11</v>
      </c>
      <c r="F46" s="3" t="s">
        <v>51</v>
      </c>
      <c r="G46" s="3" t="s">
        <v>115</v>
      </c>
      <c r="H46" s="3" t="s">
        <v>116</v>
      </c>
      <c r="I46" s="3" t="s">
        <v>15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3" t="s">
        <v>113</v>
      </c>
      <c r="B47" s="3" t="s">
        <v>23</v>
      </c>
      <c r="C47" s="3" t="s">
        <v>18</v>
      </c>
      <c r="D47" s="3" t="s">
        <v>24</v>
      </c>
      <c r="E47" s="3" t="s">
        <v>18</v>
      </c>
      <c r="F47" s="3" t="s">
        <v>14</v>
      </c>
      <c r="G47" s="3" t="s">
        <v>20</v>
      </c>
      <c r="H47" s="3" t="s">
        <v>21</v>
      </c>
      <c r="I47" s="3" t="s">
        <v>22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8" hidden="1" x14ac:dyDescent="0.3">
      <c r="A48" s="3" t="s">
        <v>113</v>
      </c>
      <c r="B48" s="3" t="s">
        <v>25</v>
      </c>
      <c r="C48" s="3" t="s">
        <v>26</v>
      </c>
      <c r="D48" s="3" t="s">
        <v>27</v>
      </c>
      <c r="E48" s="3" t="s">
        <v>18</v>
      </c>
      <c r="F48" s="3" t="s">
        <v>14</v>
      </c>
      <c r="G48" s="3" t="s">
        <v>28</v>
      </c>
      <c r="H48" s="3" t="s">
        <v>29</v>
      </c>
      <c r="I48" s="3" t="s">
        <v>15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8" hidden="1" x14ac:dyDescent="0.3">
      <c r="A49" s="3" t="s">
        <v>113</v>
      </c>
      <c r="B49" s="3" t="s">
        <v>30</v>
      </c>
      <c r="C49" s="3" t="s">
        <v>26</v>
      </c>
      <c r="D49" s="3" t="s">
        <v>27</v>
      </c>
      <c r="E49" s="3" t="s">
        <v>18</v>
      </c>
      <c r="F49" s="3" t="s">
        <v>14</v>
      </c>
      <c r="G49" s="3" t="s">
        <v>28</v>
      </c>
      <c r="H49" s="3" t="s">
        <v>29</v>
      </c>
      <c r="I49" s="3" t="s">
        <v>15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8" hidden="1" x14ac:dyDescent="0.3">
      <c r="A50" s="3" t="s">
        <v>113</v>
      </c>
      <c r="B50" s="3" t="s">
        <v>137</v>
      </c>
      <c r="C50" s="3" t="s">
        <v>11</v>
      </c>
      <c r="D50" s="3" t="s">
        <v>19</v>
      </c>
      <c r="E50" s="3" t="s">
        <v>18</v>
      </c>
      <c r="F50" s="3" t="s">
        <v>51</v>
      </c>
      <c r="G50" s="3" t="s">
        <v>115</v>
      </c>
      <c r="H50" s="3" t="s">
        <v>116</v>
      </c>
      <c r="I50" s="3" t="s">
        <v>15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8" hidden="1" x14ac:dyDescent="0.3">
      <c r="A51" s="3" t="s">
        <v>113</v>
      </c>
      <c r="B51" s="3" t="s">
        <v>138</v>
      </c>
      <c r="C51" s="3" t="s">
        <v>11</v>
      </c>
      <c r="D51" s="3" t="s">
        <v>134</v>
      </c>
      <c r="E51" s="3" t="s">
        <v>135</v>
      </c>
      <c r="F51" s="3" t="s">
        <v>14</v>
      </c>
      <c r="G51" s="3" t="s">
        <v>15</v>
      </c>
      <c r="H51" s="3" t="s">
        <v>14</v>
      </c>
      <c r="I51" s="3" t="s">
        <v>15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8" hidden="1" x14ac:dyDescent="0.3">
      <c r="A52" s="3" t="s">
        <v>113</v>
      </c>
      <c r="B52" s="3" t="s">
        <v>139</v>
      </c>
      <c r="C52" s="3" t="s">
        <v>123</v>
      </c>
      <c r="D52" s="3" t="s">
        <v>12</v>
      </c>
      <c r="E52" s="3" t="s">
        <v>18</v>
      </c>
      <c r="F52" s="3" t="s">
        <v>14</v>
      </c>
      <c r="G52" s="3" t="s">
        <v>20</v>
      </c>
      <c r="H52" s="3" t="s">
        <v>21</v>
      </c>
      <c r="I52" s="3" t="s">
        <v>15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8" hidden="1" x14ac:dyDescent="0.3">
      <c r="A53" s="3" t="s">
        <v>113</v>
      </c>
      <c r="B53" s="3" t="s">
        <v>140</v>
      </c>
      <c r="C53" s="3" t="s">
        <v>18</v>
      </c>
      <c r="D53" s="3" t="s">
        <v>19</v>
      </c>
      <c r="E53" s="3" t="s">
        <v>13</v>
      </c>
      <c r="F53" s="3" t="s">
        <v>46</v>
      </c>
      <c r="G53" s="3" t="s">
        <v>15</v>
      </c>
      <c r="H53" s="3" t="s">
        <v>46</v>
      </c>
      <c r="I53" s="3" t="s">
        <v>15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8" hidden="1" x14ac:dyDescent="0.3">
      <c r="A54" s="3" t="s">
        <v>113</v>
      </c>
      <c r="B54" s="3" t="s">
        <v>141</v>
      </c>
      <c r="C54" s="3" t="s">
        <v>13</v>
      </c>
      <c r="D54" s="3" t="s">
        <v>19</v>
      </c>
      <c r="E54" s="3" t="s">
        <v>60</v>
      </c>
      <c r="F54" s="3" t="s">
        <v>142</v>
      </c>
      <c r="G54" s="3" t="s">
        <v>111</v>
      </c>
      <c r="H54" s="3" t="s">
        <v>116</v>
      </c>
      <c r="I54" s="3" t="s">
        <v>15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8" hidden="1" x14ac:dyDescent="0.3">
      <c r="A55" s="3" t="s">
        <v>113</v>
      </c>
      <c r="B55" s="3" t="s">
        <v>61</v>
      </c>
      <c r="C55" s="3" t="s">
        <v>13</v>
      </c>
      <c r="D55" s="3" t="s">
        <v>19</v>
      </c>
      <c r="E55" s="3" t="s">
        <v>60</v>
      </c>
      <c r="F55" s="3" t="s">
        <v>64</v>
      </c>
      <c r="G55" s="3" t="s">
        <v>143</v>
      </c>
      <c r="H55" s="3" t="s">
        <v>144</v>
      </c>
      <c r="I55" s="3" t="s">
        <v>15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8" hidden="1" x14ac:dyDescent="0.3">
      <c r="A56" s="3" t="s">
        <v>113</v>
      </c>
      <c r="B56" s="3" t="s">
        <v>145</v>
      </c>
      <c r="C56" s="3" t="s">
        <v>11</v>
      </c>
      <c r="D56" s="3" t="s">
        <v>19</v>
      </c>
      <c r="E56" s="3" t="s">
        <v>18</v>
      </c>
      <c r="F56" s="3" t="s">
        <v>64</v>
      </c>
      <c r="G56" s="3" t="s">
        <v>143</v>
      </c>
      <c r="H56" s="3" t="s">
        <v>144</v>
      </c>
      <c r="I56" s="3" t="s">
        <v>15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8" hidden="1" x14ac:dyDescent="0.3">
      <c r="A57" s="3" t="s">
        <v>113</v>
      </c>
      <c r="B57" s="3" t="s">
        <v>146</v>
      </c>
      <c r="C57" s="3" t="s">
        <v>11</v>
      </c>
      <c r="D57" s="3" t="s">
        <v>19</v>
      </c>
      <c r="E57" s="3" t="s">
        <v>18</v>
      </c>
      <c r="F57" s="3" t="s">
        <v>51</v>
      </c>
      <c r="G57" s="3" t="s">
        <v>115</v>
      </c>
      <c r="H57" s="3" t="s">
        <v>116</v>
      </c>
      <c r="I57" s="3" t="s">
        <v>15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8" hidden="1" x14ac:dyDescent="0.3">
      <c r="A58" s="3" t="s">
        <v>113</v>
      </c>
      <c r="B58" s="3" t="s">
        <v>147</v>
      </c>
      <c r="C58" s="3" t="s">
        <v>18</v>
      </c>
      <c r="D58" s="3" t="s">
        <v>19</v>
      </c>
      <c r="E58" s="3" t="s">
        <v>13</v>
      </c>
      <c r="F58" s="3" t="s">
        <v>67</v>
      </c>
      <c r="G58" s="3" t="s">
        <v>126</v>
      </c>
      <c r="H58" s="3" t="s">
        <v>127</v>
      </c>
      <c r="I58" s="3" t="s">
        <v>15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8" hidden="1" x14ac:dyDescent="0.3">
      <c r="A59" s="3" t="s">
        <v>113</v>
      </c>
      <c r="B59" s="3" t="s">
        <v>148</v>
      </c>
      <c r="C59" s="3" t="s">
        <v>11</v>
      </c>
      <c r="D59" s="3" t="s">
        <v>19</v>
      </c>
      <c r="E59" s="3" t="s">
        <v>18</v>
      </c>
      <c r="F59" s="3" t="s">
        <v>149</v>
      </c>
      <c r="G59" s="3" t="s">
        <v>20</v>
      </c>
      <c r="H59" s="3" t="s">
        <v>150</v>
      </c>
      <c r="I59" s="3" t="s">
        <v>15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8" hidden="1" x14ac:dyDescent="0.3">
      <c r="A60" s="3" t="s">
        <v>113</v>
      </c>
      <c r="B60" s="3" t="s">
        <v>151</v>
      </c>
      <c r="C60" s="3" t="s">
        <v>123</v>
      </c>
      <c r="D60" s="3" t="s">
        <v>12</v>
      </c>
      <c r="E60" s="3" t="s">
        <v>18</v>
      </c>
      <c r="F60" s="3" t="s">
        <v>116</v>
      </c>
      <c r="G60" s="3" t="s">
        <v>111</v>
      </c>
      <c r="H60" s="3" t="s">
        <v>110</v>
      </c>
      <c r="I60" s="3" t="s">
        <v>15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8" hidden="1" x14ac:dyDescent="0.3">
      <c r="A61" s="3" t="s">
        <v>113</v>
      </c>
      <c r="B61" s="3" t="s">
        <v>152</v>
      </c>
      <c r="C61" s="3" t="s">
        <v>18</v>
      </c>
      <c r="D61" s="3" t="s">
        <v>24</v>
      </c>
      <c r="E61" s="3" t="s">
        <v>18</v>
      </c>
      <c r="F61" s="3" t="s">
        <v>153</v>
      </c>
      <c r="G61" s="3" t="s">
        <v>154</v>
      </c>
      <c r="H61" s="3" t="s">
        <v>34</v>
      </c>
      <c r="I61" s="3" t="s">
        <v>15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8" hidden="1" x14ac:dyDescent="0.3">
      <c r="A62" s="3" t="s">
        <v>113</v>
      </c>
      <c r="B62" s="3" t="s">
        <v>155</v>
      </c>
      <c r="C62" s="3" t="s">
        <v>18</v>
      </c>
      <c r="D62" s="3" t="s">
        <v>12</v>
      </c>
      <c r="E62" s="3" t="s">
        <v>60</v>
      </c>
      <c r="F62" s="3" t="s">
        <v>32</v>
      </c>
      <c r="G62" s="3" t="s">
        <v>15</v>
      </c>
      <c r="H62" s="3" t="s">
        <v>32</v>
      </c>
      <c r="I62" s="3" t="s">
        <v>15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8" hidden="1" x14ac:dyDescent="0.3">
      <c r="A63" s="3" t="s">
        <v>113</v>
      </c>
      <c r="B63" s="3" t="s">
        <v>65</v>
      </c>
      <c r="C63" s="3" t="s">
        <v>66</v>
      </c>
      <c r="D63" s="3" t="s">
        <v>19</v>
      </c>
      <c r="E63" s="3" t="s">
        <v>123</v>
      </c>
      <c r="F63" s="3" t="s">
        <v>67</v>
      </c>
      <c r="G63" s="3" t="s">
        <v>126</v>
      </c>
      <c r="H63" s="3" t="s">
        <v>127</v>
      </c>
      <c r="I63" s="3" t="s">
        <v>15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8" hidden="1" x14ac:dyDescent="0.3">
      <c r="A64" s="3" t="s">
        <v>113</v>
      </c>
      <c r="B64" s="3" t="s">
        <v>31</v>
      </c>
      <c r="C64" s="3" t="s">
        <v>18</v>
      </c>
      <c r="D64" s="3" t="s">
        <v>24</v>
      </c>
      <c r="E64" s="3" t="s">
        <v>18</v>
      </c>
      <c r="F64" s="3" t="s">
        <v>32</v>
      </c>
      <c r="G64" s="3" t="s">
        <v>33</v>
      </c>
      <c r="H64" s="3" t="s">
        <v>34</v>
      </c>
      <c r="I64" s="3" t="s">
        <v>15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8" hidden="1" x14ac:dyDescent="0.3">
      <c r="A65" s="3" t="s">
        <v>113</v>
      </c>
      <c r="B65" s="3" t="s">
        <v>156</v>
      </c>
      <c r="C65" s="3" t="s">
        <v>66</v>
      </c>
      <c r="D65" s="3" t="s">
        <v>157</v>
      </c>
      <c r="E65" s="3" t="s">
        <v>103</v>
      </c>
      <c r="F65" s="3" t="s">
        <v>67</v>
      </c>
      <c r="G65" s="3" t="s">
        <v>126</v>
      </c>
      <c r="H65" s="3" t="s">
        <v>127</v>
      </c>
      <c r="I65" s="3" t="s">
        <v>158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8" hidden="1" x14ac:dyDescent="0.3">
      <c r="A66" s="3" t="s">
        <v>113</v>
      </c>
      <c r="B66" s="3" t="s">
        <v>35</v>
      </c>
      <c r="C66" s="3" t="s">
        <v>36</v>
      </c>
      <c r="D66" s="3" t="s">
        <v>37</v>
      </c>
      <c r="E66" s="3" t="s">
        <v>38</v>
      </c>
      <c r="F66" s="3" t="s">
        <v>39</v>
      </c>
      <c r="G66" s="3" t="s">
        <v>40</v>
      </c>
      <c r="H66" s="3" t="s">
        <v>41</v>
      </c>
      <c r="I66" s="3" t="s">
        <v>42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8" hidden="1" x14ac:dyDescent="0.3">
      <c r="A67" s="3" t="s">
        <v>113</v>
      </c>
      <c r="B67" s="3" t="s">
        <v>43</v>
      </c>
      <c r="C67" s="3" t="s">
        <v>11</v>
      </c>
      <c r="D67" s="3" t="s">
        <v>19</v>
      </c>
      <c r="E67" s="3" t="s">
        <v>18</v>
      </c>
      <c r="F67" s="3" t="s">
        <v>44</v>
      </c>
      <c r="G67" s="3" t="s">
        <v>45</v>
      </c>
      <c r="H67" s="3" t="s">
        <v>46</v>
      </c>
      <c r="I67" s="3" t="s">
        <v>15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8" hidden="1" x14ac:dyDescent="0.3">
      <c r="A68" s="4" t="s">
        <v>159</v>
      </c>
      <c r="B68" s="4" t="s">
        <v>10</v>
      </c>
      <c r="C68" s="4" t="s">
        <v>11</v>
      </c>
      <c r="D68" s="4" t="s">
        <v>19</v>
      </c>
      <c r="E68" s="4" t="s">
        <v>18</v>
      </c>
      <c r="F68" s="4" t="s">
        <v>14</v>
      </c>
      <c r="G68" s="4" t="s">
        <v>15</v>
      </c>
      <c r="H68" s="4" t="s">
        <v>14</v>
      </c>
      <c r="I68" s="4" t="s">
        <v>15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8" hidden="1" x14ac:dyDescent="0.3">
      <c r="A69" s="4" t="s">
        <v>159</v>
      </c>
      <c r="B69" s="4" t="s">
        <v>139</v>
      </c>
      <c r="C69" s="4" t="s">
        <v>123</v>
      </c>
      <c r="D69" s="4" t="s">
        <v>62</v>
      </c>
      <c r="E69" s="4" t="s">
        <v>13</v>
      </c>
      <c r="F69" s="4" t="s">
        <v>14</v>
      </c>
      <c r="G69" s="4" t="s">
        <v>15</v>
      </c>
      <c r="H69" s="4" t="s">
        <v>14</v>
      </c>
      <c r="I69" s="4" t="s">
        <v>15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8" hidden="1" x14ac:dyDescent="0.3">
      <c r="A70" s="4" t="s">
        <v>159</v>
      </c>
      <c r="B70" s="4" t="s">
        <v>160</v>
      </c>
      <c r="C70" s="7"/>
      <c r="D70" s="7"/>
      <c r="E70" s="4" t="s">
        <v>63</v>
      </c>
      <c r="F70" s="7"/>
      <c r="G70" s="7"/>
      <c r="H70" s="4" t="s">
        <v>51</v>
      </c>
      <c r="I70" s="4" t="s">
        <v>15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8" hidden="1" x14ac:dyDescent="0.3">
      <c r="A71" s="4" t="s">
        <v>159</v>
      </c>
      <c r="B71" s="4" t="s">
        <v>81</v>
      </c>
      <c r="C71" s="4" t="s">
        <v>49</v>
      </c>
      <c r="D71" s="4" t="s">
        <v>24</v>
      </c>
      <c r="E71" s="4" t="s">
        <v>49</v>
      </c>
      <c r="F71" s="4" t="s">
        <v>51</v>
      </c>
      <c r="G71" s="4" t="s">
        <v>15</v>
      </c>
      <c r="H71" s="4" t="s">
        <v>51</v>
      </c>
      <c r="I71" s="4" t="s">
        <v>15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8" hidden="1" x14ac:dyDescent="0.3">
      <c r="A72" s="4" t="s">
        <v>159</v>
      </c>
      <c r="B72" s="4" t="s">
        <v>43</v>
      </c>
      <c r="C72" s="4" t="s">
        <v>11</v>
      </c>
      <c r="D72" s="4" t="s">
        <v>19</v>
      </c>
      <c r="E72" s="4" t="s">
        <v>18</v>
      </c>
      <c r="F72" s="4" t="s">
        <v>44</v>
      </c>
      <c r="G72" s="4" t="s">
        <v>161</v>
      </c>
      <c r="H72" s="4" t="s">
        <v>162</v>
      </c>
      <c r="I72" s="4" t="s">
        <v>15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8" hidden="1" x14ac:dyDescent="0.3">
      <c r="A73" s="3" t="s">
        <v>163</v>
      </c>
      <c r="B73" s="3" t="s">
        <v>164</v>
      </c>
      <c r="C73" s="3" t="s">
        <v>165</v>
      </c>
      <c r="D73" s="3" t="s">
        <v>166</v>
      </c>
      <c r="E73" s="3" t="s">
        <v>167</v>
      </c>
      <c r="F73" s="3" t="s">
        <v>51</v>
      </c>
      <c r="G73" s="3" t="s">
        <v>15</v>
      </c>
      <c r="H73" s="3" t="s">
        <v>51</v>
      </c>
      <c r="I73" s="3" t="s">
        <v>168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8" hidden="1" x14ac:dyDescent="0.3">
      <c r="A74" s="4" t="s">
        <v>169</v>
      </c>
      <c r="B74" s="4" t="s">
        <v>86</v>
      </c>
      <c r="C74" s="4" t="s">
        <v>73</v>
      </c>
      <c r="D74" s="4" t="s">
        <v>12</v>
      </c>
      <c r="E74" s="4" t="s">
        <v>82</v>
      </c>
      <c r="F74" s="4" t="s">
        <v>88</v>
      </c>
      <c r="G74" s="4" t="s">
        <v>15</v>
      </c>
      <c r="H74" s="4" t="s">
        <v>88</v>
      </c>
      <c r="I74" s="4" t="s">
        <v>15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8" hidden="1" x14ac:dyDescent="0.3">
      <c r="A75" s="4" t="s">
        <v>169</v>
      </c>
      <c r="B75" s="4" t="s">
        <v>114</v>
      </c>
      <c r="C75" s="4" t="s">
        <v>49</v>
      </c>
      <c r="D75" s="8" t="s">
        <v>70</v>
      </c>
      <c r="E75" s="8" t="s">
        <v>18</v>
      </c>
      <c r="F75" s="8" t="s">
        <v>51</v>
      </c>
      <c r="G75" s="8" t="s">
        <v>15</v>
      </c>
      <c r="H75" s="8" t="s">
        <v>51</v>
      </c>
      <c r="I75" s="4" t="s">
        <v>15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8" hidden="1" x14ac:dyDescent="0.3">
      <c r="A76" s="4" t="s">
        <v>169</v>
      </c>
      <c r="B76" s="4" t="s">
        <v>69</v>
      </c>
      <c r="C76" s="4" t="s">
        <v>66</v>
      </c>
      <c r="D76" s="4" t="s">
        <v>124</v>
      </c>
      <c r="E76" s="4" t="s">
        <v>125</v>
      </c>
      <c r="F76" s="4" t="s">
        <v>51</v>
      </c>
      <c r="G76" s="4" t="s">
        <v>15</v>
      </c>
      <c r="H76" s="4" t="s">
        <v>51</v>
      </c>
      <c r="I76" s="4" t="s">
        <v>42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8" hidden="1" x14ac:dyDescent="0.3">
      <c r="A77" s="4" t="s">
        <v>169</v>
      </c>
      <c r="B77" s="4" t="s">
        <v>48</v>
      </c>
      <c r="C77" s="4" t="s">
        <v>49</v>
      </c>
      <c r="D77" s="4" t="s">
        <v>170</v>
      </c>
      <c r="E77" s="4" t="s">
        <v>171</v>
      </c>
      <c r="F77" s="4" t="s">
        <v>51</v>
      </c>
      <c r="G77" s="4" t="s">
        <v>15</v>
      </c>
      <c r="H77" s="4" t="s">
        <v>51</v>
      </c>
      <c r="I77" s="4" t="s">
        <v>15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8" hidden="1" x14ac:dyDescent="0.3">
      <c r="A78" s="4" t="s">
        <v>169</v>
      </c>
      <c r="B78" s="4" t="s">
        <v>172</v>
      </c>
      <c r="C78" s="4" t="s">
        <v>66</v>
      </c>
      <c r="D78" s="4" t="s">
        <v>173</v>
      </c>
      <c r="E78" s="4" t="s">
        <v>174</v>
      </c>
      <c r="F78" s="4" t="s">
        <v>67</v>
      </c>
      <c r="G78" s="4" t="s">
        <v>15</v>
      </c>
      <c r="H78" s="4" t="s">
        <v>67</v>
      </c>
      <c r="I78" s="4" t="s">
        <v>175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8" hidden="1" x14ac:dyDescent="0.3">
      <c r="A79" s="4" t="s">
        <v>169</v>
      </c>
      <c r="B79" s="4" t="s">
        <v>54</v>
      </c>
      <c r="C79" s="4" t="s">
        <v>36</v>
      </c>
      <c r="D79" s="4" t="s">
        <v>128</v>
      </c>
      <c r="E79" s="4" t="s">
        <v>108</v>
      </c>
      <c r="F79" s="4" t="s">
        <v>39</v>
      </c>
      <c r="G79" s="4" t="s">
        <v>15</v>
      </c>
      <c r="H79" s="4" t="s">
        <v>39</v>
      </c>
      <c r="I79" s="4" t="s">
        <v>42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8" hidden="1" x14ac:dyDescent="0.3">
      <c r="A80" s="4" t="s">
        <v>169</v>
      </c>
      <c r="B80" s="4" t="s">
        <v>55</v>
      </c>
      <c r="C80" s="4" t="s">
        <v>56</v>
      </c>
      <c r="D80" s="4" t="s">
        <v>176</v>
      </c>
      <c r="E80" s="4" t="s">
        <v>177</v>
      </c>
      <c r="F80" s="4" t="s">
        <v>51</v>
      </c>
      <c r="G80" s="4" t="s">
        <v>15</v>
      </c>
      <c r="H80" s="4" t="s">
        <v>51</v>
      </c>
      <c r="I80" s="4" t="s">
        <v>59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8" hidden="1" x14ac:dyDescent="0.3">
      <c r="A81" s="4" t="s">
        <v>169</v>
      </c>
      <c r="B81" s="4" t="s">
        <v>178</v>
      </c>
      <c r="C81" s="4" t="s">
        <v>123</v>
      </c>
      <c r="D81" s="4" t="s">
        <v>19</v>
      </c>
      <c r="E81" s="4" t="s">
        <v>171</v>
      </c>
      <c r="F81" s="4" t="s">
        <v>67</v>
      </c>
      <c r="G81" s="4" t="s">
        <v>15</v>
      </c>
      <c r="H81" s="4" t="s">
        <v>67</v>
      </c>
      <c r="I81" s="4" t="s">
        <v>179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8" hidden="1" x14ac:dyDescent="0.3">
      <c r="A82" s="4" t="s">
        <v>169</v>
      </c>
      <c r="B82" s="4" t="s">
        <v>180</v>
      </c>
      <c r="C82" s="4" t="s">
        <v>18</v>
      </c>
      <c r="D82" s="4" t="s">
        <v>19</v>
      </c>
      <c r="E82" s="4" t="s">
        <v>13</v>
      </c>
      <c r="F82" s="4" t="s">
        <v>51</v>
      </c>
      <c r="G82" s="4" t="s">
        <v>15</v>
      </c>
      <c r="H82" s="4" t="s">
        <v>51</v>
      </c>
      <c r="I82" s="4" t="s">
        <v>15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8" hidden="1" x14ac:dyDescent="0.3">
      <c r="A83" s="4" t="s">
        <v>169</v>
      </c>
      <c r="B83" s="4" t="s">
        <v>181</v>
      </c>
      <c r="C83" s="4" t="s">
        <v>123</v>
      </c>
      <c r="D83" s="4" t="s">
        <v>182</v>
      </c>
      <c r="E83" s="4" t="s">
        <v>26</v>
      </c>
      <c r="F83" s="4" t="s">
        <v>51</v>
      </c>
      <c r="G83" s="4" t="s">
        <v>15</v>
      </c>
      <c r="H83" s="4" t="s">
        <v>51</v>
      </c>
      <c r="I83" s="4" t="s">
        <v>183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8" hidden="1" x14ac:dyDescent="0.3">
      <c r="A84" s="4" t="s">
        <v>169</v>
      </c>
      <c r="B84" s="4" t="s">
        <v>184</v>
      </c>
      <c r="C84" s="4" t="s">
        <v>123</v>
      </c>
      <c r="D84" s="4" t="s">
        <v>19</v>
      </c>
      <c r="E84" s="4" t="s">
        <v>171</v>
      </c>
      <c r="F84" s="4" t="s">
        <v>67</v>
      </c>
      <c r="G84" s="4" t="s">
        <v>15</v>
      </c>
      <c r="H84" s="4" t="s">
        <v>67</v>
      </c>
      <c r="I84" s="4" t="s">
        <v>179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8" hidden="1" x14ac:dyDescent="0.3">
      <c r="A85" s="4" t="s">
        <v>169</v>
      </c>
      <c r="B85" s="4" t="s">
        <v>71</v>
      </c>
      <c r="C85" s="4" t="s">
        <v>66</v>
      </c>
      <c r="D85" s="4" t="s">
        <v>12</v>
      </c>
      <c r="E85" s="4" t="s">
        <v>18</v>
      </c>
      <c r="F85" s="4" t="s">
        <v>74</v>
      </c>
      <c r="G85" s="4" t="s">
        <v>15</v>
      </c>
      <c r="H85" s="4" t="s">
        <v>74</v>
      </c>
      <c r="I85" s="4" t="s">
        <v>42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8" hidden="1" x14ac:dyDescent="0.3">
      <c r="A86" s="4" t="s">
        <v>169</v>
      </c>
      <c r="B86" s="4" t="s">
        <v>43</v>
      </c>
      <c r="C86" s="4" t="s">
        <v>11</v>
      </c>
      <c r="D86" s="4" t="s">
        <v>19</v>
      </c>
      <c r="E86" s="4" t="s">
        <v>18</v>
      </c>
      <c r="F86" s="4" t="s">
        <v>44</v>
      </c>
      <c r="G86" s="4" t="s">
        <v>161</v>
      </c>
      <c r="H86" s="4" t="s">
        <v>162</v>
      </c>
      <c r="I86" s="4" t="s">
        <v>15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8" hidden="1" x14ac:dyDescent="0.3">
      <c r="A87" s="3" t="s">
        <v>185</v>
      </c>
      <c r="B87" s="3" t="s">
        <v>186</v>
      </c>
      <c r="C87" s="3" t="s">
        <v>13</v>
      </c>
      <c r="D87" s="3" t="s">
        <v>187</v>
      </c>
      <c r="E87" s="3" t="s">
        <v>63</v>
      </c>
      <c r="F87" s="3" t="s">
        <v>51</v>
      </c>
      <c r="G87" s="3" t="s">
        <v>188</v>
      </c>
      <c r="H87" s="3" t="s">
        <v>189</v>
      </c>
      <c r="I87" s="3" t="s">
        <v>190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8" hidden="1" x14ac:dyDescent="0.3">
      <c r="A88" s="3" t="s">
        <v>185</v>
      </c>
      <c r="B88" s="3" t="s">
        <v>86</v>
      </c>
      <c r="C88" s="3" t="s">
        <v>73</v>
      </c>
      <c r="D88" s="3" t="s">
        <v>12</v>
      </c>
      <c r="E88" s="3" t="s">
        <v>82</v>
      </c>
      <c r="F88" s="3" t="s">
        <v>88</v>
      </c>
      <c r="G88" s="3" t="s">
        <v>89</v>
      </c>
      <c r="H88" s="3" t="s">
        <v>90</v>
      </c>
      <c r="I88" s="3" t="s">
        <v>15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8" hidden="1" x14ac:dyDescent="0.3">
      <c r="A89" s="3" t="s">
        <v>185</v>
      </c>
      <c r="B89" s="3" t="s">
        <v>69</v>
      </c>
      <c r="C89" s="3" t="s">
        <v>66</v>
      </c>
      <c r="D89" s="3" t="s">
        <v>72</v>
      </c>
      <c r="E89" s="3" t="s">
        <v>73</v>
      </c>
      <c r="F89" s="3" t="s">
        <v>51</v>
      </c>
      <c r="G89" s="3" t="s">
        <v>91</v>
      </c>
      <c r="H89" s="3" t="s">
        <v>92</v>
      </c>
      <c r="I89" s="3" t="s">
        <v>42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8" hidden="1" x14ac:dyDescent="0.3">
      <c r="A90" s="3" t="s">
        <v>185</v>
      </c>
      <c r="B90" s="3" t="s">
        <v>122</v>
      </c>
      <c r="C90" s="3" t="s">
        <v>123</v>
      </c>
      <c r="D90" s="3" t="s">
        <v>62</v>
      </c>
      <c r="E90" s="3" t="s">
        <v>60</v>
      </c>
      <c r="F90" s="3" t="s">
        <v>67</v>
      </c>
      <c r="G90" s="3" t="s">
        <v>191</v>
      </c>
      <c r="H90" s="3" t="s">
        <v>192</v>
      </c>
      <c r="I90" s="3" t="s">
        <v>42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8" hidden="1" x14ac:dyDescent="0.3">
      <c r="A91" s="3" t="s">
        <v>185</v>
      </c>
      <c r="B91" s="3" t="s">
        <v>55</v>
      </c>
      <c r="C91" s="3" t="s">
        <v>56</v>
      </c>
      <c r="D91" s="3" t="s">
        <v>193</v>
      </c>
      <c r="E91" s="3" t="s">
        <v>194</v>
      </c>
      <c r="F91" s="3" t="s">
        <v>51</v>
      </c>
      <c r="G91" s="3" t="s">
        <v>91</v>
      </c>
      <c r="H91" s="3" t="s">
        <v>92</v>
      </c>
      <c r="I91" s="3" t="s">
        <v>130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8" hidden="1" x14ac:dyDescent="0.3">
      <c r="A92" s="3" t="s">
        <v>185</v>
      </c>
      <c r="B92" s="3" t="s">
        <v>178</v>
      </c>
      <c r="C92" s="3" t="s">
        <v>123</v>
      </c>
      <c r="D92" s="3" t="s">
        <v>195</v>
      </c>
      <c r="E92" s="3" t="s">
        <v>18</v>
      </c>
      <c r="F92" s="3" t="s">
        <v>67</v>
      </c>
      <c r="G92" s="3" t="s">
        <v>191</v>
      </c>
      <c r="H92" s="3" t="s">
        <v>192</v>
      </c>
      <c r="I92" s="3" t="s">
        <v>179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8" hidden="1" x14ac:dyDescent="0.3">
      <c r="A93" s="3" t="s">
        <v>185</v>
      </c>
      <c r="B93" s="3" t="s">
        <v>132</v>
      </c>
      <c r="C93" s="3" t="s">
        <v>66</v>
      </c>
      <c r="D93" s="3" t="s">
        <v>12</v>
      </c>
      <c r="E93" s="3" t="s">
        <v>18</v>
      </c>
      <c r="F93" s="3" t="s">
        <v>67</v>
      </c>
      <c r="G93" s="3" t="s">
        <v>191</v>
      </c>
      <c r="H93" s="3" t="s">
        <v>192</v>
      </c>
      <c r="I93" s="3" t="s">
        <v>42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8" hidden="1" x14ac:dyDescent="0.3">
      <c r="A94" s="3" t="s">
        <v>185</v>
      </c>
      <c r="B94" s="3" t="s">
        <v>196</v>
      </c>
      <c r="C94" s="3" t="s">
        <v>197</v>
      </c>
      <c r="D94" s="3" t="s">
        <v>198</v>
      </c>
      <c r="E94" s="3" t="s">
        <v>11</v>
      </c>
      <c r="F94" s="3" t="s">
        <v>67</v>
      </c>
      <c r="G94" s="3" t="s">
        <v>191</v>
      </c>
      <c r="H94" s="3" t="s">
        <v>192</v>
      </c>
      <c r="I94" s="3" t="s">
        <v>179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8" hidden="1" x14ac:dyDescent="0.3">
      <c r="A95" s="3" t="s">
        <v>185</v>
      </c>
      <c r="B95" s="3" t="s">
        <v>131</v>
      </c>
      <c r="C95" s="3" t="s">
        <v>56</v>
      </c>
      <c r="D95" s="3" t="s">
        <v>193</v>
      </c>
      <c r="E95" s="3" t="s">
        <v>93</v>
      </c>
      <c r="F95" s="3" t="s">
        <v>51</v>
      </c>
      <c r="G95" s="3" t="s">
        <v>91</v>
      </c>
      <c r="H95" s="3" t="s">
        <v>92</v>
      </c>
      <c r="I95" s="3" t="s">
        <v>15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8" hidden="1" x14ac:dyDescent="0.3">
      <c r="A96" s="3" t="s">
        <v>185</v>
      </c>
      <c r="B96" s="3" t="s">
        <v>94</v>
      </c>
      <c r="C96" s="3" t="s">
        <v>18</v>
      </c>
      <c r="D96" s="3" t="s">
        <v>12</v>
      </c>
      <c r="E96" s="3" t="s">
        <v>60</v>
      </c>
      <c r="F96" s="3" t="s">
        <v>51</v>
      </c>
      <c r="G96" s="3" t="s">
        <v>91</v>
      </c>
      <c r="H96" s="3" t="s">
        <v>92</v>
      </c>
      <c r="I96" s="3" t="s">
        <v>15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8" hidden="1" x14ac:dyDescent="0.3">
      <c r="A97" s="3" t="s">
        <v>185</v>
      </c>
      <c r="B97" s="3" t="s">
        <v>137</v>
      </c>
      <c r="C97" s="3" t="s">
        <v>11</v>
      </c>
      <c r="D97" s="3" t="s">
        <v>12</v>
      </c>
      <c r="E97" s="3" t="s">
        <v>13</v>
      </c>
      <c r="F97" s="3" t="s">
        <v>51</v>
      </c>
      <c r="G97" s="3" t="s">
        <v>91</v>
      </c>
      <c r="H97" s="3" t="s">
        <v>92</v>
      </c>
      <c r="I97" s="3" t="s">
        <v>15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8" hidden="1" x14ac:dyDescent="0.3">
      <c r="A98" s="3" t="s">
        <v>185</v>
      </c>
      <c r="B98" s="3" t="s">
        <v>139</v>
      </c>
      <c r="C98" s="3" t="s">
        <v>123</v>
      </c>
      <c r="D98" s="3" t="s">
        <v>87</v>
      </c>
      <c r="E98" s="3" t="s">
        <v>60</v>
      </c>
      <c r="F98" s="3" t="s">
        <v>14</v>
      </c>
      <c r="G98" s="3" t="s">
        <v>15</v>
      </c>
      <c r="H98" s="3" t="s">
        <v>14</v>
      </c>
      <c r="I98" s="3" t="s">
        <v>15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8" hidden="1" x14ac:dyDescent="0.3">
      <c r="A99" s="3" t="s">
        <v>185</v>
      </c>
      <c r="B99" s="3" t="s">
        <v>61</v>
      </c>
      <c r="C99" s="3" t="s">
        <v>13</v>
      </c>
      <c r="D99" s="3" t="s">
        <v>50</v>
      </c>
      <c r="E99" s="3" t="s">
        <v>70</v>
      </c>
      <c r="F99" s="3" t="s">
        <v>64</v>
      </c>
      <c r="G99" s="3" t="s">
        <v>199</v>
      </c>
      <c r="H99" s="3" t="s">
        <v>200</v>
      </c>
      <c r="I99" s="3" t="s">
        <v>15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8" hidden="1" x14ac:dyDescent="0.3">
      <c r="A100" s="3" t="s">
        <v>185</v>
      </c>
      <c r="B100" s="3" t="s">
        <v>146</v>
      </c>
      <c r="C100" s="3" t="s">
        <v>11</v>
      </c>
      <c r="D100" s="3" t="s">
        <v>62</v>
      </c>
      <c r="E100" s="3" t="s">
        <v>60</v>
      </c>
      <c r="F100" s="3" t="s">
        <v>51</v>
      </c>
      <c r="G100" s="3" t="s">
        <v>91</v>
      </c>
      <c r="H100" s="3" t="s">
        <v>92</v>
      </c>
      <c r="I100" s="3" t="s">
        <v>15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8" hidden="1" x14ac:dyDescent="0.3">
      <c r="A101" s="3" t="s">
        <v>185</v>
      </c>
      <c r="B101" s="3" t="s">
        <v>201</v>
      </c>
      <c r="C101" s="3" t="s">
        <v>13</v>
      </c>
      <c r="D101" s="3" t="s">
        <v>72</v>
      </c>
      <c r="E101" s="3" t="s">
        <v>93</v>
      </c>
      <c r="F101" s="3" t="s">
        <v>51</v>
      </c>
      <c r="G101" s="3" t="s">
        <v>202</v>
      </c>
      <c r="H101" s="3" t="s">
        <v>203</v>
      </c>
      <c r="I101" s="3" t="s">
        <v>15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8" hidden="1" x14ac:dyDescent="0.3">
      <c r="A102" s="3" t="s">
        <v>185</v>
      </c>
      <c r="B102" s="3" t="s">
        <v>152</v>
      </c>
      <c r="C102" s="3" t="s">
        <v>18</v>
      </c>
      <c r="D102" s="3" t="s">
        <v>12</v>
      </c>
      <c r="E102" s="3" t="s">
        <v>60</v>
      </c>
      <c r="F102" s="3" t="s">
        <v>153</v>
      </c>
      <c r="G102" s="3" t="s">
        <v>204</v>
      </c>
      <c r="H102" s="3" t="s">
        <v>32</v>
      </c>
      <c r="I102" s="3" t="s">
        <v>15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8" hidden="1" x14ac:dyDescent="0.3">
      <c r="A103" s="3" t="s">
        <v>185</v>
      </c>
      <c r="B103" s="3" t="s">
        <v>65</v>
      </c>
      <c r="C103" s="3" t="s">
        <v>66</v>
      </c>
      <c r="D103" s="3" t="s">
        <v>87</v>
      </c>
      <c r="E103" s="3" t="s">
        <v>13</v>
      </c>
      <c r="F103" s="3" t="s">
        <v>67</v>
      </c>
      <c r="G103" s="3" t="s">
        <v>191</v>
      </c>
      <c r="H103" s="3" t="s">
        <v>192</v>
      </c>
      <c r="I103" s="3" t="s">
        <v>15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8" hidden="1" x14ac:dyDescent="0.3">
      <c r="A104" s="3" t="s">
        <v>185</v>
      </c>
      <c r="B104" s="3" t="s">
        <v>156</v>
      </c>
      <c r="C104" s="3" t="s">
        <v>66</v>
      </c>
      <c r="D104" s="3" t="s">
        <v>195</v>
      </c>
      <c r="E104" s="3" t="s">
        <v>11</v>
      </c>
      <c r="F104" s="3" t="s">
        <v>67</v>
      </c>
      <c r="G104" s="3" t="s">
        <v>191</v>
      </c>
      <c r="H104" s="3" t="s">
        <v>192</v>
      </c>
      <c r="I104" s="3" t="s">
        <v>158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8" hidden="1" x14ac:dyDescent="0.3">
      <c r="A105" s="3" t="s">
        <v>185</v>
      </c>
      <c r="B105" s="3" t="s">
        <v>184</v>
      </c>
      <c r="C105" s="3" t="s">
        <v>123</v>
      </c>
      <c r="D105" s="3" t="s">
        <v>195</v>
      </c>
      <c r="E105" s="3" t="s">
        <v>18</v>
      </c>
      <c r="F105" s="3" t="s">
        <v>67</v>
      </c>
      <c r="G105" s="3" t="s">
        <v>191</v>
      </c>
      <c r="H105" s="3" t="s">
        <v>192</v>
      </c>
      <c r="I105" s="3" t="s">
        <v>179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8" hidden="1" x14ac:dyDescent="0.3">
      <c r="A106" s="3" t="s">
        <v>185</v>
      </c>
      <c r="B106" s="3" t="s">
        <v>76</v>
      </c>
      <c r="C106" s="6" t="s">
        <v>77</v>
      </c>
      <c r="D106" s="6" t="s">
        <v>77</v>
      </c>
      <c r="E106" s="6" t="s">
        <v>63</v>
      </c>
      <c r="F106" s="3" t="s">
        <v>77</v>
      </c>
      <c r="G106" s="3" t="s">
        <v>77</v>
      </c>
      <c r="H106" s="3" t="s">
        <v>189</v>
      </c>
      <c r="I106" s="3" t="s">
        <v>16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8" hidden="1" x14ac:dyDescent="0.3">
      <c r="A107" s="3" t="s">
        <v>185</v>
      </c>
      <c r="B107" s="3" t="s">
        <v>35</v>
      </c>
      <c r="C107" s="3" t="s">
        <v>36</v>
      </c>
      <c r="D107" s="3" t="s">
        <v>97</v>
      </c>
      <c r="E107" s="3" t="s">
        <v>13</v>
      </c>
      <c r="F107" s="3" t="s">
        <v>39</v>
      </c>
      <c r="G107" s="3" t="s">
        <v>98</v>
      </c>
      <c r="H107" s="3" t="s">
        <v>99</v>
      </c>
      <c r="I107" s="3" t="s">
        <v>75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8" hidden="1" x14ac:dyDescent="0.3">
      <c r="A108" s="3" t="s">
        <v>185</v>
      </c>
      <c r="B108" s="3" t="s">
        <v>81</v>
      </c>
      <c r="C108" s="3" t="s">
        <v>49</v>
      </c>
      <c r="D108" s="3" t="s">
        <v>70</v>
      </c>
      <c r="E108" s="3" t="s">
        <v>13</v>
      </c>
      <c r="F108" s="3" t="s">
        <v>51</v>
      </c>
      <c r="G108" s="3" t="s">
        <v>188</v>
      </c>
      <c r="H108" s="3" t="s">
        <v>189</v>
      </c>
      <c r="I108" s="3" t="s">
        <v>205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8" hidden="1" x14ac:dyDescent="0.3">
      <c r="A109" s="3" t="s">
        <v>185</v>
      </c>
      <c r="B109" s="3" t="s">
        <v>43</v>
      </c>
      <c r="C109" s="3" t="s">
        <v>11</v>
      </c>
      <c r="D109" s="3" t="s">
        <v>62</v>
      </c>
      <c r="E109" s="3" t="s">
        <v>60</v>
      </c>
      <c r="F109" s="3" t="s">
        <v>44</v>
      </c>
      <c r="G109" s="3" t="s">
        <v>206</v>
      </c>
      <c r="H109" s="3" t="s">
        <v>207</v>
      </c>
      <c r="I109" s="3" t="s">
        <v>15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8" hidden="1" x14ac:dyDescent="0.3">
      <c r="A110" s="4" t="s">
        <v>208</v>
      </c>
      <c r="B110" s="4" t="s">
        <v>10</v>
      </c>
      <c r="C110" s="4" t="s">
        <v>11</v>
      </c>
      <c r="D110" s="4" t="s">
        <v>62</v>
      </c>
      <c r="E110" s="4" t="s">
        <v>60</v>
      </c>
      <c r="F110" s="4" t="s">
        <v>14</v>
      </c>
      <c r="G110" s="4" t="s">
        <v>15</v>
      </c>
      <c r="H110" s="4" t="s">
        <v>14</v>
      </c>
      <c r="I110" s="4" t="s">
        <v>16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8" hidden="1" x14ac:dyDescent="0.3">
      <c r="A111" s="4" t="s">
        <v>208</v>
      </c>
      <c r="B111" s="4" t="s">
        <v>17</v>
      </c>
      <c r="C111" s="4" t="s">
        <v>18</v>
      </c>
      <c r="D111" s="4" t="s">
        <v>87</v>
      </c>
      <c r="E111" s="4" t="s">
        <v>63</v>
      </c>
      <c r="F111" s="4" t="s">
        <v>14</v>
      </c>
      <c r="G111" s="4" t="s">
        <v>15</v>
      </c>
      <c r="H111" s="4" t="s">
        <v>14</v>
      </c>
      <c r="I111" s="4" t="s">
        <v>209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4" t="s">
        <v>208</v>
      </c>
      <c r="B112" s="4" t="s">
        <v>23</v>
      </c>
      <c r="C112" s="4" t="s">
        <v>18</v>
      </c>
      <c r="D112" s="4" t="s">
        <v>87</v>
      </c>
      <c r="E112" s="4" t="s">
        <v>63</v>
      </c>
      <c r="F112" s="4" t="s">
        <v>14</v>
      </c>
      <c r="G112" s="4" t="s">
        <v>15</v>
      </c>
      <c r="H112" s="4" t="s">
        <v>14</v>
      </c>
      <c r="I112" s="4" t="s">
        <v>209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8" hidden="1" x14ac:dyDescent="0.3">
      <c r="A113" s="4" t="s">
        <v>208</v>
      </c>
      <c r="B113" s="4" t="s">
        <v>30</v>
      </c>
      <c r="C113" s="4" t="s">
        <v>26</v>
      </c>
      <c r="D113" s="4" t="s">
        <v>27</v>
      </c>
      <c r="E113" s="4" t="s">
        <v>18</v>
      </c>
      <c r="F113" s="4" t="s">
        <v>14</v>
      </c>
      <c r="G113" s="4" t="s">
        <v>28</v>
      </c>
      <c r="H113" s="4" t="s">
        <v>29</v>
      </c>
      <c r="I113" s="4" t="s">
        <v>15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8" hidden="1" x14ac:dyDescent="0.3">
      <c r="A114" s="3" t="s">
        <v>210</v>
      </c>
      <c r="B114" s="3" t="s">
        <v>186</v>
      </c>
      <c r="C114" s="3" t="s">
        <v>13</v>
      </c>
      <c r="D114" s="3" t="s">
        <v>187</v>
      </c>
      <c r="E114" s="3" t="s">
        <v>63</v>
      </c>
      <c r="F114" s="3" t="s">
        <v>51</v>
      </c>
      <c r="G114" s="3" t="s">
        <v>83</v>
      </c>
      <c r="H114" s="3" t="s">
        <v>78</v>
      </c>
      <c r="I114" s="3" t="s">
        <v>211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8" hidden="1" x14ac:dyDescent="0.3">
      <c r="A115" s="3" t="s">
        <v>210</v>
      </c>
      <c r="B115" s="3" t="s">
        <v>122</v>
      </c>
      <c r="C115" s="3" t="s">
        <v>123</v>
      </c>
      <c r="D115" s="3" t="s">
        <v>12</v>
      </c>
      <c r="E115" s="3" t="s">
        <v>13</v>
      </c>
      <c r="F115" s="3" t="s">
        <v>67</v>
      </c>
      <c r="G115" s="3" t="s">
        <v>15</v>
      </c>
      <c r="H115" s="3" t="s">
        <v>67</v>
      </c>
      <c r="I115" s="3" t="s">
        <v>42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8" hidden="1" x14ac:dyDescent="0.3">
      <c r="A116" s="3" t="s">
        <v>210</v>
      </c>
      <c r="B116" s="3" t="s">
        <v>54</v>
      </c>
      <c r="C116" s="3" t="s">
        <v>36</v>
      </c>
      <c r="D116" s="3" t="s">
        <v>176</v>
      </c>
      <c r="E116" s="3" t="s">
        <v>18</v>
      </c>
      <c r="F116" s="3" t="s">
        <v>39</v>
      </c>
      <c r="G116" s="3" t="s">
        <v>15</v>
      </c>
      <c r="H116" s="3" t="s">
        <v>39</v>
      </c>
      <c r="I116" s="3" t="s">
        <v>42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8" hidden="1" x14ac:dyDescent="0.3">
      <c r="A117" s="3" t="s">
        <v>210</v>
      </c>
      <c r="B117" s="3" t="s">
        <v>10</v>
      </c>
      <c r="C117" s="3" t="s">
        <v>11</v>
      </c>
      <c r="D117" s="3" t="s">
        <v>73</v>
      </c>
      <c r="E117" s="3" t="s">
        <v>87</v>
      </c>
      <c r="F117" s="3" t="s">
        <v>14</v>
      </c>
      <c r="G117" s="3" t="s">
        <v>15</v>
      </c>
      <c r="H117" s="3" t="s">
        <v>14</v>
      </c>
      <c r="I117" s="3" t="s">
        <v>15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8" hidden="1" x14ac:dyDescent="0.3">
      <c r="A118" s="3" t="s">
        <v>210</v>
      </c>
      <c r="B118" s="3" t="s">
        <v>17</v>
      </c>
      <c r="C118" s="3" t="s">
        <v>18</v>
      </c>
      <c r="D118" s="3" t="s">
        <v>73</v>
      </c>
      <c r="E118" s="3" t="s">
        <v>62</v>
      </c>
      <c r="F118" s="3" t="s">
        <v>14</v>
      </c>
      <c r="G118" s="3" t="s">
        <v>15</v>
      </c>
      <c r="H118" s="3" t="s">
        <v>14</v>
      </c>
      <c r="I118" s="3" t="s">
        <v>22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8" hidden="1" x14ac:dyDescent="0.3">
      <c r="A119" s="3" t="s">
        <v>210</v>
      </c>
      <c r="B119" s="3" t="s">
        <v>132</v>
      </c>
      <c r="C119" s="3" t="s">
        <v>66</v>
      </c>
      <c r="D119" s="3" t="s">
        <v>12</v>
      </c>
      <c r="E119" s="3" t="s">
        <v>18</v>
      </c>
      <c r="F119" s="3" t="s">
        <v>67</v>
      </c>
      <c r="G119" s="3" t="s">
        <v>15</v>
      </c>
      <c r="H119" s="3" t="s">
        <v>67</v>
      </c>
      <c r="I119" s="3" t="s">
        <v>42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3" t="s">
        <v>210</v>
      </c>
      <c r="B120" s="3" t="s">
        <v>23</v>
      </c>
      <c r="C120" s="3" t="s">
        <v>18</v>
      </c>
      <c r="D120" s="3" t="s">
        <v>73</v>
      </c>
      <c r="E120" s="3" t="s">
        <v>62</v>
      </c>
      <c r="F120" s="3" t="s">
        <v>14</v>
      </c>
      <c r="G120" s="3" t="s">
        <v>15</v>
      </c>
      <c r="H120" s="3" t="s">
        <v>14</v>
      </c>
      <c r="I120" s="3" t="s">
        <v>22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8" hidden="1" x14ac:dyDescent="0.3">
      <c r="A121" s="3" t="s">
        <v>210</v>
      </c>
      <c r="B121" s="3" t="s">
        <v>30</v>
      </c>
      <c r="C121" s="3" t="s">
        <v>26</v>
      </c>
      <c r="D121" s="3" t="s">
        <v>73</v>
      </c>
      <c r="E121" s="5" t="s">
        <v>97</v>
      </c>
      <c r="F121" s="5" t="s">
        <v>14</v>
      </c>
      <c r="G121" s="5" t="s">
        <v>15</v>
      </c>
      <c r="H121" s="5" t="s">
        <v>14</v>
      </c>
      <c r="I121" s="3" t="s">
        <v>15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8" hidden="1" x14ac:dyDescent="0.3">
      <c r="A122" s="3" t="s">
        <v>210</v>
      </c>
      <c r="B122" s="3" t="s">
        <v>137</v>
      </c>
      <c r="C122" s="3" t="s">
        <v>11</v>
      </c>
      <c r="D122" s="3" t="s">
        <v>62</v>
      </c>
      <c r="E122" s="3" t="s">
        <v>60</v>
      </c>
      <c r="F122" s="3" t="s">
        <v>51</v>
      </c>
      <c r="G122" s="3" t="s">
        <v>15</v>
      </c>
      <c r="H122" s="3" t="s">
        <v>51</v>
      </c>
      <c r="I122" s="3" t="s">
        <v>15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8" hidden="1" x14ac:dyDescent="0.3">
      <c r="A123" s="3" t="s">
        <v>210</v>
      </c>
      <c r="B123" s="3" t="s">
        <v>152</v>
      </c>
      <c r="C123" s="3" t="s">
        <v>18</v>
      </c>
      <c r="D123" s="3" t="s">
        <v>12</v>
      </c>
      <c r="E123" s="3" t="s">
        <v>60</v>
      </c>
      <c r="F123" s="3" t="s">
        <v>153</v>
      </c>
      <c r="G123" s="3" t="s">
        <v>204</v>
      </c>
      <c r="H123" s="3" t="s">
        <v>32</v>
      </c>
      <c r="I123" s="3" t="s">
        <v>15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8" hidden="1" x14ac:dyDescent="0.3">
      <c r="A124" s="3" t="s">
        <v>210</v>
      </c>
      <c r="B124" s="3" t="s">
        <v>155</v>
      </c>
      <c r="C124" s="3" t="s">
        <v>18</v>
      </c>
      <c r="D124" s="3" t="s">
        <v>87</v>
      </c>
      <c r="E124" s="3" t="s">
        <v>63</v>
      </c>
      <c r="F124" s="3" t="s">
        <v>32</v>
      </c>
      <c r="G124" s="3" t="s">
        <v>15</v>
      </c>
      <c r="H124" s="3" t="s">
        <v>32</v>
      </c>
      <c r="I124" s="3" t="s">
        <v>15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8" hidden="1" x14ac:dyDescent="0.3">
      <c r="A125" s="3" t="s">
        <v>210</v>
      </c>
      <c r="B125" s="3" t="s">
        <v>31</v>
      </c>
      <c r="C125" s="3" t="s">
        <v>18</v>
      </c>
      <c r="D125" s="3" t="s">
        <v>12</v>
      </c>
      <c r="E125" s="3" t="s">
        <v>60</v>
      </c>
      <c r="F125" s="3" t="s">
        <v>32</v>
      </c>
      <c r="G125" s="3" t="s">
        <v>33</v>
      </c>
      <c r="H125" s="3" t="s">
        <v>34</v>
      </c>
      <c r="I125" s="3" t="s">
        <v>15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8" hidden="1" x14ac:dyDescent="0.3">
      <c r="A126" s="3" t="s">
        <v>210</v>
      </c>
      <c r="B126" s="3" t="s">
        <v>65</v>
      </c>
      <c r="C126" s="3" t="s">
        <v>66</v>
      </c>
      <c r="D126" s="3" t="s">
        <v>87</v>
      </c>
      <c r="E126" s="3" t="s">
        <v>13</v>
      </c>
      <c r="F126" s="3" t="s">
        <v>67</v>
      </c>
      <c r="G126" s="3" t="s">
        <v>15</v>
      </c>
      <c r="H126" s="3" t="s">
        <v>67</v>
      </c>
      <c r="I126" s="3" t="s">
        <v>15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8" hidden="1" x14ac:dyDescent="0.3">
      <c r="A127" s="3" t="s">
        <v>210</v>
      </c>
      <c r="B127" s="3" t="s">
        <v>35</v>
      </c>
      <c r="C127" s="3" t="s">
        <v>36</v>
      </c>
      <c r="D127" s="3" t="s">
        <v>97</v>
      </c>
      <c r="E127" s="3" t="s">
        <v>13</v>
      </c>
      <c r="F127" s="3" t="s">
        <v>39</v>
      </c>
      <c r="G127" s="3" t="s">
        <v>15</v>
      </c>
      <c r="H127" s="3" t="s">
        <v>39</v>
      </c>
      <c r="I127" s="3" t="s">
        <v>42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8" hidden="1" x14ac:dyDescent="0.3">
      <c r="A128" s="4" t="s">
        <v>212</v>
      </c>
      <c r="B128" s="4" t="s">
        <v>69</v>
      </c>
      <c r="C128" s="4" t="s">
        <v>66</v>
      </c>
      <c r="D128" s="4" t="s">
        <v>70</v>
      </c>
      <c r="E128" s="4" t="s">
        <v>63</v>
      </c>
      <c r="F128" s="4" t="s">
        <v>51</v>
      </c>
      <c r="G128" s="4" t="s">
        <v>15</v>
      </c>
      <c r="H128" s="4" t="s">
        <v>51</v>
      </c>
      <c r="I128" s="4" t="s">
        <v>42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8" hidden="1" x14ac:dyDescent="0.3">
      <c r="A129" s="4" t="s">
        <v>212</v>
      </c>
      <c r="B129" s="4" t="s">
        <v>71</v>
      </c>
      <c r="C129" s="4" t="s">
        <v>66</v>
      </c>
      <c r="D129" s="4" t="s">
        <v>93</v>
      </c>
      <c r="E129" s="4" t="s">
        <v>93</v>
      </c>
      <c r="F129" s="4" t="s">
        <v>74</v>
      </c>
      <c r="G129" s="4" t="s">
        <v>15</v>
      </c>
      <c r="H129" s="4" t="s">
        <v>74</v>
      </c>
      <c r="I129" s="4" t="s">
        <v>42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8" hidden="1" x14ac:dyDescent="0.3">
      <c r="A130" s="4" t="s">
        <v>212</v>
      </c>
      <c r="B130" s="4" t="s">
        <v>35</v>
      </c>
      <c r="C130" s="4" t="s">
        <v>36</v>
      </c>
      <c r="D130" s="4" t="s">
        <v>80</v>
      </c>
      <c r="E130" s="4" t="s">
        <v>63</v>
      </c>
      <c r="F130" s="4" t="s">
        <v>39</v>
      </c>
      <c r="G130" s="4" t="s">
        <v>15</v>
      </c>
      <c r="H130" s="4" t="s">
        <v>39</v>
      </c>
      <c r="I130" s="4" t="s">
        <v>75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8" hidden="1" x14ac:dyDescent="0.3">
      <c r="A131" s="4" t="s">
        <v>212</v>
      </c>
      <c r="B131" s="4" t="s">
        <v>81</v>
      </c>
      <c r="C131" s="4" t="s">
        <v>49</v>
      </c>
      <c r="D131" s="4" t="s">
        <v>82</v>
      </c>
      <c r="E131" s="4" t="s">
        <v>63</v>
      </c>
      <c r="F131" s="4" t="s">
        <v>51</v>
      </c>
      <c r="G131" s="4" t="s">
        <v>83</v>
      </c>
      <c r="H131" s="4" t="s">
        <v>78</v>
      </c>
      <c r="I131" s="4" t="s">
        <v>84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8" hidden="1" x14ac:dyDescent="0.3">
      <c r="A132" s="3" t="s">
        <v>213</v>
      </c>
      <c r="B132" s="3" t="s">
        <v>48</v>
      </c>
      <c r="C132" s="3" t="s">
        <v>49</v>
      </c>
      <c r="D132" s="3" t="s">
        <v>214</v>
      </c>
      <c r="E132" s="3" t="s">
        <v>215</v>
      </c>
      <c r="F132" s="3" t="s">
        <v>51</v>
      </c>
      <c r="G132" s="3" t="s">
        <v>15</v>
      </c>
      <c r="H132" s="3" t="s">
        <v>51</v>
      </c>
      <c r="I132" s="3" t="s">
        <v>15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8" hidden="1" x14ac:dyDescent="0.3">
      <c r="A133" s="4" t="s">
        <v>216</v>
      </c>
      <c r="B133" s="4" t="s">
        <v>69</v>
      </c>
      <c r="C133" s="4" t="s">
        <v>66</v>
      </c>
      <c r="D133" s="4" t="s">
        <v>87</v>
      </c>
      <c r="E133" s="4" t="s">
        <v>60</v>
      </c>
      <c r="F133" s="4" t="s">
        <v>51</v>
      </c>
      <c r="G133" s="4" t="s">
        <v>15</v>
      </c>
      <c r="H133" s="4" t="s">
        <v>51</v>
      </c>
      <c r="I133" s="4" t="s">
        <v>42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8" hidden="1" x14ac:dyDescent="0.3">
      <c r="A134" s="4" t="s">
        <v>216</v>
      </c>
      <c r="B134" s="4" t="s">
        <v>10</v>
      </c>
      <c r="C134" s="4" t="s">
        <v>11</v>
      </c>
      <c r="D134" s="4" t="s">
        <v>19</v>
      </c>
      <c r="E134" s="4" t="s">
        <v>18</v>
      </c>
      <c r="F134" s="4" t="s">
        <v>14</v>
      </c>
      <c r="G134" s="4" t="s">
        <v>15</v>
      </c>
      <c r="H134" s="4" t="s">
        <v>14</v>
      </c>
      <c r="I134" s="4" t="s">
        <v>16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8" hidden="1" x14ac:dyDescent="0.3">
      <c r="A135" s="4" t="s">
        <v>216</v>
      </c>
      <c r="B135" s="4" t="s">
        <v>17</v>
      </c>
      <c r="C135" s="4" t="s">
        <v>18</v>
      </c>
      <c r="D135" s="4" t="s">
        <v>12</v>
      </c>
      <c r="E135" s="4" t="s">
        <v>60</v>
      </c>
      <c r="F135" s="4" t="s">
        <v>14</v>
      </c>
      <c r="G135" s="4" t="s">
        <v>15</v>
      </c>
      <c r="H135" s="4" t="s">
        <v>14</v>
      </c>
      <c r="I135" s="4" t="s">
        <v>209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4" t="s">
        <v>216</v>
      </c>
      <c r="B136" s="4" t="s">
        <v>23</v>
      </c>
      <c r="C136" s="4" t="s">
        <v>18</v>
      </c>
      <c r="D136" s="4" t="s">
        <v>12</v>
      </c>
      <c r="E136" s="4" t="s">
        <v>60</v>
      </c>
      <c r="F136" s="4" t="s">
        <v>14</v>
      </c>
      <c r="G136" s="4" t="s">
        <v>15</v>
      </c>
      <c r="H136" s="4" t="s">
        <v>14</v>
      </c>
      <c r="I136" s="4" t="s">
        <v>209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8" hidden="1" x14ac:dyDescent="0.3">
      <c r="A137" s="4" t="s">
        <v>216</v>
      </c>
      <c r="B137" s="4" t="s">
        <v>65</v>
      </c>
      <c r="C137" s="4" t="s">
        <v>66</v>
      </c>
      <c r="D137" s="4" t="s">
        <v>87</v>
      </c>
      <c r="E137" s="4" t="s">
        <v>13</v>
      </c>
      <c r="F137" s="4" t="s">
        <v>67</v>
      </c>
      <c r="G137" s="4" t="s">
        <v>15</v>
      </c>
      <c r="H137" s="4" t="s">
        <v>67</v>
      </c>
      <c r="I137" s="4" t="s">
        <v>15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8" hidden="1" x14ac:dyDescent="0.3">
      <c r="A138" s="4" t="s">
        <v>216</v>
      </c>
      <c r="B138" s="4" t="s">
        <v>35</v>
      </c>
      <c r="C138" s="4" t="s">
        <v>36</v>
      </c>
      <c r="D138" s="4" t="s">
        <v>176</v>
      </c>
      <c r="E138" s="4" t="s">
        <v>18</v>
      </c>
      <c r="F138" s="4" t="s">
        <v>39</v>
      </c>
      <c r="G138" s="4" t="s">
        <v>15</v>
      </c>
      <c r="H138" s="4" t="s">
        <v>39</v>
      </c>
      <c r="I138" s="4" t="s">
        <v>42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8" hidden="1" x14ac:dyDescent="0.3">
      <c r="A139" s="4" t="s">
        <v>216</v>
      </c>
      <c r="B139" s="4" t="s">
        <v>81</v>
      </c>
      <c r="C139" s="4" t="s">
        <v>49</v>
      </c>
      <c r="D139" s="4" t="s">
        <v>217</v>
      </c>
      <c r="E139" s="4" t="s">
        <v>218</v>
      </c>
      <c r="F139" s="4" t="s">
        <v>51</v>
      </c>
      <c r="G139" s="4" t="s">
        <v>83</v>
      </c>
      <c r="H139" s="4" t="s">
        <v>78</v>
      </c>
      <c r="I139" s="4" t="s">
        <v>84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8" hidden="1" x14ac:dyDescent="0.3">
      <c r="A140" s="3" t="s">
        <v>219</v>
      </c>
      <c r="B140" s="3" t="s">
        <v>114</v>
      </c>
      <c r="C140" s="3" t="s">
        <v>49</v>
      </c>
      <c r="D140" s="3" t="s">
        <v>70</v>
      </c>
      <c r="E140" s="3" t="s">
        <v>18</v>
      </c>
      <c r="F140" s="3" t="s">
        <v>51</v>
      </c>
      <c r="G140" s="3" t="s">
        <v>15</v>
      </c>
      <c r="H140" s="3" t="s">
        <v>51</v>
      </c>
      <c r="I140" s="3" t="s">
        <v>15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8" hidden="1" x14ac:dyDescent="0.3">
      <c r="A141" s="3" t="s">
        <v>219</v>
      </c>
      <c r="B141" s="3" t="s">
        <v>69</v>
      </c>
      <c r="C141" s="3" t="s">
        <v>66</v>
      </c>
      <c r="D141" s="3" t="s">
        <v>124</v>
      </c>
      <c r="E141" s="3" t="s">
        <v>125</v>
      </c>
      <c r="F141" s="3" t="s">
        <v>51</v>
      </c>
      <c r="G141" s="3" t="s">
        <v>15</v>
      </c>
      <c r="H141" s="3" t="s">
        <v>51</v>
      </c>
      <c r="I141" s="3" t="s">
        <v>42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8" hidden="1" x14ac:dyDescent="0.3">
      <c r="A142" s="3" t="s">
        <v>219</v>
      </c>
      <c r="B142" s="3" t="s">
        <v>54</v>
      </c>
      <c r="C142" s="3" t="s">
        <v>36</v>
      </c>
      <c r="D142" s="3" t="s">
        <v>124</v>
      </c>
      <c r="E142" s="3" t="s">
        <v>11</v>
      </c>
      <c r="F142" s="3" t="s">
        <v>39</v>
      </c>
      <c r="G142" s="3" t="s">
        <v>15</v>
      </c>
      <c r="H142" s="3" t="s">
        <v>39</v>
      </c>
      <c r="I142" s="3" t="s">
        <v>42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8" hidden="1" x14ac:dyDescent="0.3">
      <c r="A143" s="3" t="s">
        <v>219</v>
      </c>
      <c r="B143" s="3" t="s">
        <v>55</v>
      </c>
      <c r="C143" s="3" t="s">
        <v>56</v>
      </c>
      <c r="D143" s="3" t="s">
        <v>176</v>
      </c>
      <c r="E143" s="3" t="s">
        <v>177</v>
      </c>
      <c r="F143" s="3" t="s">
        <v>51</v>
      </c>
      <c r="G143" s="3" t="s">
        <v>15</v>
      </c>
      <c r="H143" s="3" t="s">
        <v>51</v>
      </c>
      <c r="I143" s="3" t="s">
        <v>59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8" hidden="1" x14ac:dyDescent="0.3">
      <c r="A144" s="3" t="s">
        <v>219</v>
      </c>
      <c r="B144" s="3" t="s">
        <v>10</v>
      </c>
      <c r="C144" s="3" t="s">
        <v>11</v>
      </c>
      <c r="D144" s="3" t="s">
        <v>19</v>
      </c>
      <c r="E144" s="3" t="s">
        <v>18</v>
      </c>
      <c r="F144" s="3" t="s">
        <v>14</v>
      </c>
      <c r="G144" s="3" t="s">
        <v>15</v>
      </c>
      <c r="H144" s="3" t="s">
        <v>14</v>
      </c>
      <c r="I144" s="3" t="s">
        <v>15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8" hidden="1" x14ac:dyDescent="0.3">
      <c r="A145" s="3" t="s">
        <v>219</v>
      </c>
      <c r="B145" s="3" t="s">
        <v>178</v>
      </c>
      <c r="C145" s="3" t="s">
        <v>123</v>
      </c>
      <c r="D145" s="3" t="s">
        <v>19</v>
      </c>
      <c r="E145" s="3" t="s">
        <v>171</v>
      </c>
      <c r="F145" s="3" t="s">
        <v>67</v>
      </c>
      <c r="G145" s="3" t="s">
        <v>15</v>
      </c>
      <c r="H145" s="3" t="s">
        <v>67</v>
      </c>
      <c r="I145" s="3" t="s">
        <v>179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8" hidden="1" x14ac:dyDescent="0.3">
      <c r="A146" s="3" t="s">
        <v>219</v>
      </c>
      <c r="B146" s="3" t="s">
        <v>132</v>
      </c>
      <c r="C146" s="3" t="s">
        <v>66</v>
      </c>
      <c r="D146" s="3" t="s">
        <v>124</v>
      </c>
      <c r="E146" s="3" t="s">
        <v>125</v>
      </c>
      <c r="F146" s="3" t="s">
        <v>67</v>
      </c>
      <c r="G146" s="3" t="s">
        <v>15</v>
      </c>
      <c r="H146" s="3" t="s">
        <v>67</v>
      </c>
      <c r="I146" s="3" t="s">
        <v>42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8" hidden="1" x14ac:dyDescent="0.3">
      <c r="A147" s="3" t="s">
        <v>219</v>
      </c>
      <c r="B147" s="3" t="s">
        <v>180</v>
      </c>
      <c r="C147" s="3" t="s">
        <v>18</v>
      </c>
      <c r="D147" s="3" t="s">
        <v>19</v>
      </c>
      <c r="E147" s="3" t="s">
        <v>13</v>
      </c>
      <c r="F147" s="3" t="s">
        <v>51</v>
      </c>
      <c r="G147" s="3" t="s">
        <v>15</v>
      </c>
      <c r="H147" s="3" t="s">
        <v>51</v>
      </c>
      <c r="I147" s="3" t="s">
        <v>15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8" hidden="1" x14ac:dyDescent="0.3">
      <c r="A148" s="3" t="s">
        <v>219</v>
      </c>
      <c r="B148" s="3" t="s">
        <v>140</v>
      </c>
      <c r="C148" s="6" t="s">
        <v>18</v>
      </c>
      <c r="D148" s="3" t="s">
        <v>12</v>
      </c>
      <c r="E148" s="6" t="s">
        <v>60</v>
      </c>
      <c r="F148" s="3" t="s">
        <v>46</v>
      </c>
      <c r="G148" s="3" t="s">
        <v>15</v>
      </c>
      <c r="H148" s="3" t="s">
        <v>46</v>
      </c>
      <c r="I148" s="3" t="s">
        <v>15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8" hidden="1" x14ac:dyDescent="0.3">
      <c r="A149" s="3" t="s">
        <v>219</v>
      </c>
      <c r="B149" s="3" t="s">
        <v>220</v>
      </c>
      <c r="C149" s="3" t="s">
        <v>11</v>
      </c>
      <c r="D149" s="5" t="s">
        <v>19</v>
      </c>
      <c r="E149" s="5" t="s">
        <v>18</v>
      </c>
      <c r="F149" s="5" t="s">
        <v>21</v>
      </c>
      <c r="G149" s="5" t="s">
        <v>15</v>
      </c>
      <c r="H149" s="5" t="s">
        <v>21</v>
      </c>
      <c r="I149" s="3" t="s">
        <v>15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8" hidden="1" x14ac:dyDescent="0.3">
      <c r="A150" s="3" t="s">
        <v>219</v>
      </c>
      <c r="B150" s="3" t="s">
        <v>61</v>
      </c>
      <c r="C150" s="3" t="s">
        <v>13</v>
      </c>
      <c r="D150" s="3" t="s">
        <v>221</v>
      </c>
      <c r="E150" s="3" t="s">
        <v>222</v>
      </c>
      <c r="F150" s="3" t="s">
        <v>64</v>
      </c>
      <c r="G150" s="3" t="s">
        <v>15</v>
      </c>
      <c r="H150" s="3" t="s">
        <v>64</v>
      </c>
      <c r="I150" s="3" t="s">
        <v>15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8" hidden="1" x14ac:dyDescent="0.3">
      <c r="A151" s="3" t="s">
        <v>219</v>
      </c>
      <c r="B151" s="3" t="s">
        <v>146</v>
      </c>
      <c r="C151" s="3" t="s">
        <v>11</v>
      </c>
      <c r="D151" s="3" t="s">
        <v>12</v>
      </c>
      <c r="E151" s="3" t="s">
        <v>13</v>
      </c>
      <c r="F151" s="3" t="s">
        <v>51</v>
      </c>
      <c r="G151" s="3" t="s">
        <v>15</v>
      </c>
      <c r="H151" s="3" t="s">
        <v>51</v>
      </c>
      <c r="I151" s="3" t="s">
        <v>15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8" hidden="1" x14ac:dyDescent="0.3">
      <c r="A152" s="3" t="s">
        <v>219</v>
      </c>
      <c r="B152" s="3" t="s">
        <v>164</v>
      </c>
      <c r="C152" s="3" t="s">
        <v>165</v>
      </c>
      <c r="D152" s="3" t="s">
        <v>195</v>
      </c>
      <c r="E152" s="3" t="s">
        <v>73</v>
      </c>
      <c r="F152" s="3" t="s">
        <v>51</v>
      </c>
      <c r="G152" s="3" t="s">
        <v>15</v>
      </c>
      <c r="H152" s="3" t="s">
        <v>51</v>
      </c>
      <c r="I152" s="3" t="s">
        <v>223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8" hidden="1" x14ac:dyDescent="0.3">
      <c r="A153" s="3" t="s">
        <v>219</v>
      </c>
      <c r="B153" s="3" t="s">
        <v>224</v>
      </c>
      <c r="C153" s="3" t="s">
        <v>50</v>
      </c>
      <c r="D153" s="3" t="s">
        <v>19</v>
      </c>
      <c r="E153" s="3" t="s">
        <v>70</v>
      </c>
      <c r="F153" s="3" t="s">
        <v>51</v>
      </c>
      <c r="G153" s="3" t="s">
        <v>15</v>
      </c>
      <c r="H153" s="3" t="s">
        <v>51</v>
      </c>
      <c r="I153" s="3" t="s">
        <v>183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8" hidden="1" x14ac:dyDescent="0.3">
      <c r="A154" s="3" t="s">
        <v>219</v>
      </c>
      <c r="B154" s="3" t="s">
        <v>225</v>
      </c>
      <c r="C154" s="3" t="s">
        <v>226</v>
      </c>
      <c r="D154" s="3" t="s">
        <v>124</v>
      </c>
      <c r="E154" s="3" t="s">
        <v>60</v>
      </c>
      <c r="F154" s="5" t="s">
        <v>116</v>
      </c>
      <c r="G154" s="5" t="s">
        <v>15</v>
      </c>
      <c r="H154" s="5" t="s">
        <v>116</v>
      </c>
      <c r="I154" s="3" t="s">
        <v>15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8" hidden="1" x14ac:dyDescent="0.3">
      <c r="A155" s="3" t="s">
        <v>219</v>
      </c>
      <c r="B155" s="3" t="s">
        <v>65</v>
      </c>
      <c r="C155" s="3" t="s">
        <v>66</v>
      </c>
      <c r="D155" s="3" t="s">
        <v>12</v>
      </c>
      <c r="E155" s="3" t="s">
        <v>11</v>
      </c>
      <c r="F155" s="3" t="s">
        <v>67</v>
      </c>
      <c r="G155" s="3" t="s">
        <v>15</v>
      </c>
      <c r="H155" s="3" t="s">
        <v>67</v>
      </c>
      <c r="I155" s="3" t="s">
        <v>15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8" hidden="1" x14ac:dyDescent="0.3">
      <c r="A156" s="3" t="s">
        <v>219</v>
      </c>
      <c r="B156" s="3" t="s">
        <v>184</v>
      </c>
      <c r="C156" s="3" t="s">
        <v>123</v>
      </c>
      <c r="D156" s="3" t="s">
        <v>19</v>
      </c>
      <c r="E156" s="3" t="s">
        <v>171</v>
      </c>
      <c r="F156" s="3" t="s">
        <v>67</v>
      </c>
      <c r="G156" s="3" t="s">
        <v>15</v>
      </c>
      <c r="H156" s="3" t="s">
        <v>67</v>
      </c>
      <c r="I156" s="3" t="s">
        <v>179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8" hidden="1" x14ac:dyDescent="0.3">
      <c r="A157" s="3" t="s">
        <v>219</v>
      </c>
      <c r="B157" s="3" t="s">
        <v>71</v>
      </c>
      <c r="C157" s="3" t="s">
        <v>66</v>
      </c>
      <c r="D157" s="3" t="s">
        <v>62</v>
      </c>
      <c r="E157" s="3" t="s">
        <v>13</v>
      </c>
      <c r="F157" s="3" t="s">
        <v>74</v>
      </c>
      <c r="G157" s="3" t="s">
        <v>15</v>
      </c>
      <c r="H157" s="3" t="s">
        <v>74</v>
      </c>
      <c r="I157" s="3" t="s">
        <v>42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8" hidden="1" x14ac:dyDescent="0.3">
      <c r="A158" s="3" t="s">
        <v>219</v>
      </c>
      <c r="B158" s="3" t="s">
        <v>35</v>
      </c>
      <c r="C158" s="3" t="s">
        <v>36</v>
      </c>
      <c r="D158" s="3" t="s">
        <v>124</v>
      </c>
      <c r="E158" s="3" t="s">
        <v>11</v>
      </c>
      <c r="F158" s="3" t="s">
        <v>39</v>
      </c>
      <c r="G158" s="3" t="s">
        <v>15</v>
      </c>
      <c r="H158" s="3" t="s">
        <v>39</v>
      </c>
      <c r="I158" s="3" t="s">
        <v>42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8" hidden="1" x14ac:dyDescent="0.3">
      <c r="A159" s="3" t="s">
        <v>219</v>
      </c>
      <c r="B159" s="3" t="s">
        <v>81</v>
      </c>
      <c r="C159" s="3" t="s">
        <v>49</v>
      </c>
      <c r="D159" s="3" t="s">
        <v>70</v>
      </c>
      <c r="E159" s="3" t="s">
        <v>13</v>
      </c>
      <c r="F159" s="3" t="s">
        <v>51</v>
      </c>
      <c r="G159" s="3" t="s">
        <v>83</v>
      </c>
      <c r="H159" s="3" t="s">
        <v>78</v>
      </c>
      <c r="I159" s="3" t="s">
        <v>84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8" hidden="1" x14ac:dyDescent="0.3">
      <c r="A160" s="3" t="s">
        <v>219</v>
      </c>
      <c r="B160" s="3" t="s">
        <v>43</v>
      </c>
      <c r="C160" s="3" t="s">
        <v>11</v>
      </c>
      <c r="D160" s="3" t="s">
        <v>19</v>
      </c>
      <c r="E160" s="3" t="s">
        <v>18</v>
      </c>
      <c r="F160" s="3" t="s">
        <v>44</v>
      </c>
      <c r="G160" s="3" t="s">
        <v>161</v>
      </c>
      <c r="H160" s="3" t="s">
        <v>162</v>
      </c>
      <c r="I160" s="3" t="s">
        <v>15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8" hidden="1" x14ac:dyDescent="0.3">
      <c r="A161" s="4" t="s">
        <v>227</v>
      </c>
      <c r="B161" s="4" t="s">
        <v>114</v>
      </c>
      <c r="C161" s="9" t="s">
        <v>49</v>
      </c>
      <c r="D161" s="9" t="s">
        <v>80</v>
      </c>
      <c r="E161" s="9" t="s">
        <v>228</v>
      </c>
      <c r="F161" s="4" t="s">
        <v>51</v>
      </c>
      <c r="G161" s="4" t="s">
        <v>15</v>
      </c>
      <c r="H161" s="4" t="s">
        <v>51</v>
      </c>
      <c r="I161" s="4" t="s">
        <v>15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8" hidden="1" x14ac:dyDescent="0.3">
      <c r="A162" s="4" t="s">
        <v>227</v>
      </c>
      <c r="B162" s="4" t="s">
        <v>48</v>
      </c>
      <c r="C162" s="4" t="s">
        <v>49</v>
      </c>
      <c r="D162" s="4" t="s">
        <v>229</v>
      </c>
      <c r="E162" s="4" t="s">
        <v>60</v>
      </c>
      <c r="F162" s="4" t="s">
        <v>51</v>
      </c>
      <c r="G162" s="4" t="s">
        <v>15</v>
      </c>
      <c r="H162" s="4" t="s">
        <v>51</v>
      </c>
      <c r="I162" s="4" t="s">
        <v>230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8" hidden="1" x14ac:dyDescent="0.3">
      <c r="A163" s="4" t="s">
        <v>227</v>
      </c>
      <c r="B163" s="4" t="s">
        <v>178</v>
      </c>
      <c r="C163" s="4" t="s">
        <v>123</v>
      </c>
      <c r="D163" s="4" t="s">
        <v>19</v>
      </c>
      <c r="E163" s="4" t="s">
        <v>171</v>
      </c>
      <c r="F163" s="4" t="s">
        <v>67</v>
      </c>
      <c r="G163" s="4" t="s">
        <v>15</v>
      </c>
      <c r="H163" s="4" t="s">
        <v>67</v>
      </c>
      <c r="I163" s="4" t="s">
        <v>179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8" hidden="1" x14ac:dyDescent="0.3">
      <c r="A164" s="4" t="s">
        <v>227</v>
      </c>
      <c r="B164" s="4" t="s">
        <v>61</v>
      </c>
      <c r="C164" s="4" t="s">
        <v>13</v>
      </c>
      <c r="D164" s="4" t="s">
        <v>19</v>
      </c>
      <c r="E164" s="4" t="s">
        <v>60</v>
      </c>
      <c r="F164" s="4" t="s">
        <v>64</v>
      </c>
      <c r="G164" s="4" t="s">
        <v>15</v>
      </c>
      <c r="H164" s="4" t="s">
        <v>64</v>
      </c>
      <c r="I164" s="4" t="s">
        <v>15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8" hidden="1" x14ac:dyDescent="0.3">
      <c r="A165" s="4" t="s">
        <v>227</v>
      </c>
      <c r="B165" s="4" t="s">
        <v>65</v>
      </c>
      <c r="C165" s="4" t="s">
        <v>66</v>
      </c>
      <c r="D165" s="4" t="s">
        <v>19</v>
      </c>
      <c r="E165" s="4" t="s">
        <v>123</v>
      </c>
      <c r="F165" s="4" t="s">
        <v>67</v>
      </c>
      <c r="G165" s="4" t="s">
        <v>15</v>
      </c>
      <c r="H165" s="4" t="s">
        <v>67</v>
      </c>
      <c r="I165" s="4" t="s">
        <v>175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8" hidden="1" x14ac:dyDescent="0.3">
      <c r="A166" s="4" t="s">
        <v>227</v>
      </c>
      <c r="B166" s="4" t="s">
        <v>184</v>
      </c>
      <c r="C166" s="4" t="s">
        <v>123</v>
      </c>
      <c r="D166" s="4" t="s">
        <v>19</v>
      </c>
      <c r="E166" s="4" t="s">
        <v>171</v>
      </c>
      <c r="F166" s="4" t="s">
        <v>67</v>
      </c>
      <c r="G166" s="4" t="s">
        <v>15</v>
      </c>
      <c r="H166" s="4" t="s">
        <v>67</v>
      </c>
      <c r="I166" s="4" t="s">
        <v>179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8" hidden="1" x14ac:dyDescent="0.3">
      <c r="A167" s="3" t="s">
        <v>231</v>
      </c>
      <c r="B167" s="3" t="s">
        <v>69</v>
      </c>
      <c r="C167" s="3" t="s">
        <v>66</v>
      </c>
      <c r="D167" s="3" t="s">
        <v>72</v>
      </c>
      <c r="E167" s="3" t="s">
        <v>73</v>
      </c>
      <c r="F167" s="3" t="s">
        <v>51</v>
      </c>
      <c r="G167" s="3" t="s">
        <v>15</v>
      </c>
      <c r="H167" s="3" t="s">
        <v>51</v>
      </c>
      <c r="I167" s="3" t="s">
        <v>42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8" hidden="1" x14ac:dyDescent="0.3">
      <c r="A168" s="3" t="s">
        <v>231</v>
      </c>
      <c r="B168" s="3" t="s">
        <v>10</v>
      </c>
      <c r="C168" s="3" t="s">
        <v>11</v>
      </c>
      <c r="D168" s="3" t="s">
        <v>72</v>
      </c>
      <c r="E168" s="3" t="s">
        <v>63</v>
      </c>
      <c r="F168" s="3" t="s">
        <v>14</v>
      </c>
      <c r="G168" s="3" t="s">
        <v>15</v>
      </c>
      <c r="H168" s="3" t="s">
        <v>14</v>
      </c>
      <c r="I168" s="3" t="s">
        <v>16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8" hidden="1" x14ac:dyDescent="0.3">
      <c r="A169" s="3" t="s">
        <v>231</v>
      </c>
      <c r="B169" s="3" t="s">
        <v>65</v>
      </c>
      <c r="C169" s="3" t="s">
        <v>66</v>
      </c>
      <c r="D169" s="3" t="s">
        <v>87</v>
      </c>
      <c r="E169" s="3" t="s">
        <v>13</v>
      </c>
      <c r="F169" s="3" t="s">
        <v>67</v>
      </c>
      <c r="G169" s="3" t="s">
        <v>15</v>
      </c>
      <c r="H169" s="3" t="s">
        <v>67</v>
      </c>
      <c r="I169" s="3" t="s">
        <v>15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8" hidden="1" x14ac:dyDescent="0.3">
      <c r="A170" s="3" t="s">
        <v>231</v>
      </c>
      <c r="B170" s="3" t="s">
        <v>35</v>
      </c>
      <c r="C170" s="3" t="s">
        <v>36</v>
      </c>
      <c r="D170" s="3" t="s">
        <v>193</v>
      </c>
      <c r="E170" s="3" t="s">
        <v>60</v>
      </c>
      <c r="F170" s="3" t="s">
        <v>39</v>
      </c>
      <c r="G170" s="3" t="s">
        <v>15</v>
      </c>
      <c r="H170" s="3" t="s">
        <v>39</v>
      </c>
      <c r="I170" s="3" t="s">
        <v>42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8" hidden="1" x14ac:dyDescent="0.3">
      <c r="A171" s="3" t="s">
        <v>231</v>
      </c>
      <c r="B171" s="3" t="s">
        <v>81</v>
      </c>
      <c r="C171" s="3" t="s">
        <v>49</v>
      </c>
      <c r="D171" s="3" t="s">
        <v>82</v>
      </c>
      <c r="E171" s="3" t="s">
        <v>63</v>
      </c>
      <c r="F171" s="3" t="s">
        <v>51</v>
      </c>
      <c r="G171" s="3" t="s">
        <v>115</v>
      </c>
      <c r="H171" s="3" t="s">
        <v>116</v>
      </c>
      <c r="I171" s="3" t="s">
        <v>84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8" hidden="1" x14ac:dyDescent="0.3">
      <c r="A172" s="4" t="s">
        <v>232</v>
      </c>
      <c r="B172" s="4" t="s">
        <v>48</v>
      </c>
      <c r="C172" s="4" t="s">
        <v>49</v>
      </c>
      <c r="D172" s="4" t="s">
        <v>70</v>
      </c>
      <c r="E172" s="4" t="s">
        <v>18</v>
      </c>
      <c r="F172" s="4" t="s">
        <v>51</v>
      </c>
      <c r="G172" s="4" t="s">
        <v>15</v>
      </c>
      <c r="H172" s="4" t="s">
        <v>51</v>
      </c>
      <c r="I172" s="4" t="s">
        <v>15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8" hidden="1" x14ac:dyDescent="0.3">
      <c r="A173" s="4" t="s">
        <v>232</v>
      </c>
      <c r="B173" s="4" t="s">
        <v>54</v>
      </c>
      <c r="C173" s="4" t="s">
        <v>36</v>
      </c>
      <c r="D173" s="4" t="s">
        <v>124</v>
      </c>
      <c r="E173" s="4" t="s">
        <v>11</v>
      </c>
      <c r="F173" s="4" t="s">
        <v>39</v>
      </c>
      <c r="G173" s="4" t="s">
        <v>15</v>
      </c>
      <c r="H173" s="4" t="s">
        <v>39</v>
      </c>
      <c r="I173" s="4" t="s">
        <v>42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8" hidden="1" x14ac:dyDescent="0.3">
      <c r="A174" s="4" t="s">
        <v>232</v>
      </c>
      <c r="B174" s="4" t="s">
        <v>220</v>
      </c>
      <c r="C174" s="4" t="s">
        <v>11</v>
      </c>
      <c r="D174" s="4" t="s">
        <v>19</v>
      </c>
      <c r="E174" s="4" t="s">
        <v>18</v>
      </c>
      <c r="F174" s="4" t="s">
        <v>21</v>
      </c>
      <c r="G174" s="4" t="s">
        <v>15</v>
      </c>
      <c r="H174" s="4" t="s">
        <v>21</v>
      </c>
      <c r="I174" s="4" t="s">
        <v>15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8" hidden="1" x14ac:dyDescent="0.3">
      <c r="A175" s="4" t="s">
        <v>232</v>
      </c>
      <c r="B175" s="4" t="s">
        <v>146</v>
      </c>
      <c r="C175" s="4" t="s">
        <v>11</v>
      </c>
      <c r="D175" s="4" t="s">
        <v>19</v>
      </c>
      <c r="E175" s="4" t="s">
        <v>18</v>
      </c>
      <c r="F175" s="4" t="s">
        <v>51</v>
      </c>
      <c r="G175" s="4" t="s">
        <v>15</v>
      </c>
      <c r="H175" s="4" t="s">
        <v>51</v>
      </c>
      <c r="I175" s="4" t="s">
        <v>15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8" hidden="1" x14ac:dyDescent="0.3">
      <c r="A176" s="4" t="s">
        <v>232</v>
      </c>
      <c r="B176" s="4" t="s">
        <v>164</v>
      </c>
      <c r="C176" s="4" t="s">
        <v>165</v>
      </c>
      <c r="D176" s="4" t="s">
        <v>195</v>
      </c>
      <c r="E176" s="4" t="s">
        <v>73</v>
      </c>
      <c r="F176" s="4" t="s">
        <v>51</v>
      </c>
      <c r="G176" s="4" t="s">
        <v>15</v>
      </c>
      <c r="H176" s="4" t="s">
        <v>51</v>
      </c>
      <c r="I176" s="4" t="s">
        <v>183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8" hidden="1" x14ac:dyDescent="0.3">
      <c r="A177" s="4" t="s">
        <v>232</v>
      </c>
      <c r="B177" s="4" t="s">
        <v>81</v>
      </c>
      <c r="C177" s="4" t="s">
        <v>49</v>
      </c>
      <c r="D177" s="4" t="s">
        <v>72</v>
      </c>
      <c r="E177" s="4" t="s">
        <v>18</v>
      </c>
      <c r="F177" s="4" t="s">
        <v>51</v>
      </c>
      <c r="G177" s="4" t="s">
        <v>115</v>
      </c>
      <c r="H177" s="4" t="s">
        <v>116</v>
      </c>
      <c r="I177" s="4" t="s">
        <v>84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8" hidden="1" x14ac:dyDescent="0.3">
      <c r="A178" s="3" t="s">
        <v>233</v>
      </c>
      <c r="B178" s="3" t="s">
        <v>114</v>
      </c>
      <c r="C178" s="3" t="s">
        <v>49</v>
      </c>
      <c r="D178" s="3" t="s">
        <v>72</v>
      </c>
      <c r="E178" s="3" t="s">
        <v>11</v>
      </c>
      <c r="F178" s="3" t="s">
        <v>51</v>
      </c>
      <c r="G178" s="3" t="s">
        <v>15</v>
      </c>
      <c r="H178" s="3" t="s">
        <v>51</v>
      </c>
      <c r="I178" s="3" t="s">
        <v>15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8" hidden="1" x14ac:dyDescent="0.3">
      <c r="A179" s="4" t="s">
        <v>234</v>
      </c>
      <c r="B179" s="4" t="s">
        <v>10</v>
      </c>
      <c r="C179" s="4" t="s">
        <v>11</v>
      </c>
      <c r="D179" s="4" t="s">
        <v>87</v>
      </c>
      <c r="E179" s="4" t="s">
        <v>63</v>
      </c>
      <c r="F179" s="4" t="s">
        <v>14</v>
      </c>
      <c r="G179" s="4" t="s">
        <v>15</v>
      </c>
      <c r="H179" s="4" t="s">
        <v>14</v>
      </c>
      <c r="I179" s="4" t="s">
        <v>235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8" hidden="1" x14ac:dyDescent="0.3">
      <c r="A180" s="4" t="s">
        <v>234</v>
      </c>
      <c r="B180" s="4" t="s">
        <v>76</v>
      </c>
      <c r="C180" s="4" t="s">
        <v>77</v>
      </c>
      <c r="D180" s="4" t="s">
        <v>77</v>
      </c>
      <c r="E180" s="4" t="s">
        <v>63</v>
      </c>
      <c r="F180" s="4" t="s">
        <v>77</v>
      </c>
      <c r="G180" s="4" t="s">
        <v>77</v>
      </c>
      <c r="H180" s="4" t="s">
        <v>78</v>
      </c>
      <c r="I180" s="4" t="s">
        <v>236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8" hidden="1" x14ac:dyDescent="0.3">
      <c r="A181" s="4" t="s">
        <v>234</v>
      </c>
      <c r="B181" s="4" t="s">
        <v>35</v>
      </c>
      <c r="C181" s="4" t="s">
        <v>36</v>
      </c>
      <c r="D181" s="4" t="s">
        <v>97</v>
      </c>
      <c r="E181" s="4" t="s">
        <v>60</v>
      </c>
      <c r="F181" s="4" t="s">
        <v>39</v>
      </c>
      <c r="G181" s="4" t="s">
        <v>15</v>
      </c>
      <c r="H181" s="4" t="s">
        <v>39</v>
      </c>
      <c r="I181" s="4" t="s">
        <v>237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8" hidden="1" x14ac:dyDescent="0.3">
      <c r="A182" s="3" t="s">
        <v>238</v>
      </c>
      <c r="B182" s="3" t="s">
        <v>186</v>
      </c>
      <c r="C182" s="3" t="s">
        <v>13</v>
      </c>
      <c r="D182" s="3" t="s">
        <v>187</v>
      </c>
      <c r="E182" s="3" t="s">
        <v>63</v>
      </c>
      <c r="F182" s="3" t="s">
        <v>51</v>
      </c>
      <c r="G182" s="3" t="s">
        <v>239</v>
      </c>
      <c r="H182" s="3" t="s">
        <v>110</v>
      </c>
      <c r="I182" s="3" t="s">
        <v>211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8" hidden="1" x14ac:dyDescent="0.3">
      <c r="A183" s="3" t="s">
        <v>238</v>
      </c>
      <c r="B183" s="3" t="s">
        <v>86</v>
      </c>
      <c r="C183" s="3" t="s">
        <v>73</v>
      </c>
      <c r="D183" s="3" t="s">
        <v>19</v>
      </c>
      <c r="E183" s="3" t="s">
        <v>63</v>
      </c>
      <c r="F183" s="3" t="s">
        <v>88</v>
      </c>
      <c r="G183" s="3" t="s">
        <v>15</v>
      </c>
      <c r="H183" s="3" t="s">
        <v>88</v>
      </c>
      <c r="I183" s="3" t="s">
        <v>15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8" hidden="1" x14ac:dyDescent="0.3">
      <c r="A184" s="3" t="s">
        <v>238</v>
      </c>
      <c r="B184" s="3" t="s">
        <v>114</v>
      </c>
      <c r="C184" s="3" t="s">
        <v>49</v>
      </c>
      <c r="D184" s="5" t="s">
        <v>70</v>
      </c>
      <c r="E184" s="5" t="s">
        <v>18</v>
      </c>
      <c r="F184" s="5" t="s">
        <v>51</v>
      </c>
      <c r="G184" s="5" t="s">
        <v>15</v>
      </c>
      <c r="H184" s="5" t="s">
        <v>51</v>
      </c>
      <c r="I184" s="3" t="s">
        <v>15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8" hidden="1" x14ac:dyDescent="0.3">
      <c r="A185" s="3" t="s">
        <v>238</v>
      </c>
      <c r="B185" s="3" t="s">
        <v>69</v>
      </c>
      <c r="C185" s="3" t="s">
        <v>66</v>
      </c>
      <c r="D185" s="3" t="s">
        <v>124</v>
      </c>
      <c r="E185" s="3" t="s">
        <v>125</v>
      </c>
      <c r="F185" s="3" t="s">
        <v>51</v>
      </c>
      <c r="G185" s="3" t="s">
        <v>15</v>
      </c>
      <c r="H185" s="3" t="s">
        <v>51</v>
      </c>
      <c r="I185" s="3" t="s">
        <v>42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8" hidden="1" x14ac:dyDescent="0.3">
      <c r="A186" s="3" t="s">
        <v>238</v>
      </c>
      <c r="B186" s="3" t="s">
        <v>117</v>
      </c>
      <c r="C186" s="3" t="s">
        <v>118</v>
      </c>
      <c r="D186" s="5" t="s">
        <v>119</v>
      </c>
      <c r="E186" s="5" t="s">
        <v>108</v>
      </c>
      <c r="F186" s="5" t="s">
        <v>51</v>
      </c>
      <c r="G186" s="5" t="s">
        <v>15</v>
      </c>
      <c r="H186" s="5" t="s">
        <v>51</v>
      </c>
      <c r="I186" s="3" t="s">
        <v>15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8" hidden="1" x14ac:dyDescent="0.3">
      <c r="A187" s="3" t="s">
        <v>238</v>
      </c>
      <c r="B187" s="3" t="s">
        <v>48</v>
      </c>
      <c r="C187" s="3" t="s">
        <v>49</v>
      </c>
      <c r="D187" s="3" t="s">
        <v>70</v>
      </c>
      <c r="E187" s="3" t="s">
        <v>18</v>
      </c>
      <c r="F187" s="3" t="s">
        <v>51</v>
      </c>
      <c r="G187" s="3" t="s">
        <v>15</v>
      </c>
      <c r="H187" s="3" t="s">
        <v>51</v>
      </c>
      <c r="I187" s="3" t="s">
        <v>15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8" hidden="1" x14ac:dyDescent="0.3">
      <c r="A188" s="3" t="s">
        <v>238</v>
      </c>
      <c r="B188" s="3" t="s">
        <v>240</v>
      </c>
      <c r="C188" s="3" t="s">
        <v>66</v>
      </c>
      <c r="D188" s="3" t="s">
        <v>173</v>
      </c>
      <c r="E188" s="3" t="s">
        <v>174</v>
      </c>
      <c r="F188" s="3" t="s">
        <v>67</v>
      </c>
      <c r="G188" s="3" t="s">
        <v>15</v>
      </c>
      <c r="H188" s="3" t="s">
        <v>67</v>
      </c>
      <c r="I188" s="3" t="s">
        <v>241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8" hidden="1" x14ac:dyDescent="0.3">
      <c r="A189" s="3" t="s">
        <v>238</v>
      </c>
      <c r="B189" s="3" t="s">
        <v>55</v>
      </c>
      <c r="C189" s="3" t="s">
        <v>56</v>
      </c>
      <c r="D189" s="3" t="s">
        <v>242</v>
      </c>
      <c r="E189" s="3" t="s">
        <v>60</v>
      </c>
      <c r="F189" s="3" t="s">
        <v>51</v>
      </c>
      <c r="G189" s="3" t="s">
        <v>15</v>
      </c>
      <c r="H189" s="3" t="s">
        <v>51</v>
      </c>
      <c r="I189" s="3" t="s">
        <v>59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8" hidden="1" x14ac:dyDescent="0.3">
      <c r="A190" s="3" t="s">
        <v>238</v>
      </c>
      <c r="B190" s="3" t="s">
        <v>243</v>
      </c>
      <c r="C190" s="3" t="s">
        <v>66</v>
      </c>
      <c r="D190" s="3" t="s">
        <v>173</v>
      </c>
      <c r="E190" s="3" t="s">
        <v>174</v>
      </c>
      <c r="F190" s="3" t="s">
        <v>67</v>
      </c>
      <c r="G190" s="3" t="s">
        <v>15</v>
      </c>
      <c r="H190" s="3" t="s">
        <v>67</v>
      </c>
      <c r="I190" s="3" t="s">
        <v>241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8" hidden="1" x14ac:dyDescent="0.3">
      <c r="A191" s="3" t="s">
        <v>238</v>
      </c>
      <c r="B191" s="3" t="s">
        <v>178</v>
      </c>
      <c r="C191" s="3" t="s">
        <v>123</v>
      </c>
      <c r="D191" s="3" t="s">
        <v>19</v>
      </c>
      <c r="E191" s="3" t="s">
        <v>171</v>
      </c>
      <c r="F191" s="3" t="s">
        <v>67</v>
      </c>
      <c r="G191" s="3" t="s">
        <v>15</v>
      </c>
      <c r="H191" s="3" t="s">
        <v>67</v>
      </c>
      <c r="I191" s="3" t="s">
        <v>179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8" hidden="1" x14ac:dyDescent="0.3">
      <c r="A192" s="3" t="s">
        <v>238</v>
      </c>
      <c r="B192" s="3" t="s">
        <v>244</v>
      </c>
      <c r="C192" s="3" t="s">
        <v>11</v>
      </c>
      <c r="D192" s="3" t="s">
        <v>245</v>
      </c>
      <c r="E192" s="3" t="s">
        <v>18</v>
      </c>
      <c r="F192" s="3" t="s">
        <v>51</v>
      </c>
      <c r="G192" s="3" t="s">
        <v>239</v>
      </c>
      <c r="H192" s="3" t="s">
        <v>110</v>
      </c>
      <c r="I192" s="3" t="s">
        <v>211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8" hidden="1" x14ac:dyDescent="0.3">
      <c r="A193" s="3" t="s">
        <v>238</v>
      </c>
      <c r="B193" s="3" t="s">
        <v>132</v>
      </c>
      <c r="C193" s="3" t="s">
        <v>66</v>
      </c>
      <c r="D193" s="3" t="s">
        <v>19</v>
      </c>
      <c r="E193" s="3" t="s">
        <v>11</v>
      </c>
      <c r="F193" s="3" t="s">
        <v>67</v>
      </c>
      <c r="G193" s="3" t="s">
        <v>15</v>
      </c>
      <c r="H193" s="3" t="s">
        <v>67</v>
      </c>
      <c r="I193" s="3" t="s">
        <v>42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8" hidden="1" x14ac:dyDescent="0.3">
      <c r="A194" s="3" t="s">
        <v>238</v>
      </c>
      <c r="B194" s="3" t="s">
        <v>196</v>
      </c>
      <c r="C194" s="3" t="s">
        <v>197</v>
      </c>
      <c r="D194" s="3" t="s">
        <v>246</v>
      </c>
      <c r="E194" s="3" t="s">
        <v>171</v>
      </c>
      <c r="F194" s="3" t="s">
        <v>67</v>
      </c>
      <c r="G194" s="3" t="s">
        <v>15</v>
      </c>
      <c r="H194" s="3" t="s">
        <v>67</v>
      </c>
      <c r="I194" s="3" t="s">
        <v>179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8" hidden="1" x14ac:dyDescent="0.3">
      <c r="A195" s="3" t="s">
        <v>238</v>
      </c>
      <c r="B195" s="3" t="s">
        <v>131</v>
      </c>
      <c r="C195" s="3" t="s">
        <v>18</v>
      </c>
      <c r="D195" s="3" t="s">
        <v>27</v>
      </c>
      <c r="E195" s="3" t="s">
        <v>228</v>
      </c>
      <c r="F195" s="3" t="s">
        <v>51</v>
      </c>
      <c r="G195" s="3" t="s">
        <v>15</v>
      </c>
      <c r="H195" s="3" t="s">
        <v>51</v>
      </c>
      <c r="I195" s="3" t="s">
        <v>15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8" hidden="1" x14ac:dyDescent="0.3">
      <c r="A196" s="3" t="s">
        <v>238</v>
      </c>
      <c r="B196" s="3" t="s">
        <v>180</v>
      </c>
      <c r="C196" s="3" t="s">
        <v>18</v>
      </c>
      <c r="D196" s="3" t="s">
        <v>19</v>
      </c>
      <c r="E196" s="3" t="s">
        <v>13</v>
      </c>
      <c r="F196" s="3" t="s">
        <v>51</v>
      </c>
      <c r="G196" s="3" t="s">
        <v>15</v>
      </c>
      <c r="H196" s="3" t="s">
        <v>51</v>
      </c>
      <c r="I196" s="3" t="s">
        <v>15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8" hidden="1" x14ac:dyDescent="0.3">
      <c r="A197" s="3" t="s">
        <v>238</v>
      </c>
      <c r="B197" s="3" t="s">
        <v>141</v>
      </c>
      <c r="C197" s="3" t="s">
        <v>13</v>
      </c>
      <c r="D197" s="3" t="s">
        <v>24</v>
      </c>
      <c r="E197" s="3" t="s">
        <v>13</v>
      </c>
      <c r="F197" s="3" t="s">
        <v>142</v>
      </c>
      <c r="G197" s="3" t="s">
        <v>15</v>
      </c>
      <c r="H197" s="3" t="s">
        <v>142</v>
      </c>
      <c r="I197" s="3" t="s">
        <v>15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8" hidden="1" x14ac:dyDescent="0.3">
      <c r="A198" s="3" t="s">
        <v>238</v>
      </c>
      <c r="B198" s="3" t="s">
        <v>61</v>
      </c>
      <c r="C198" s="3" t="s">
        <v>13</v>
      </c>
      <c r="D198" s="3" t="s">
        <v>124</v>
      </c>
      <c r="E198" s="3" t="s">
        <v>247</v>
      </c>
      <c r="F198" s="3" t="s">
        <v>64</v>
      </c>
      <c r="G198" s="3" t="s">
        <v>15</v>
      </c>
      <c r="H198" s="3" t="s">
        <v>64</v>
      </c>
      <c r="I198" s="3" t="s">
        <v>15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8" hidden="1" x14ac:dyDescent="0.3">
      <c r="A199" s="3" t="s">
        <v>238</v>
      </c>
      <c r="B199" s="3" t="s">
        <v>145</v>
      </c>
      <c r="C199" s="3" t="s">
        <v>11</v>
      </c>
      <c r="D199" s="3" t="s">
        <v>70</v>
      </c>
      <c r="E199" s="3" t="s">
        <v>82</v>
      </c>
      <c r="F199" s="3" t="s">
        <v>64</v>
      </c>
      <c r="G199" s="3" t="s">
        <v>15</v>
      </c>
      <c r="H199" s="3" t="s">
        <v>64</v>
      </c>
      <c r="I199" s="3" t="s">
        <v>15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8" hidden="1" x14ac:dyDescent="0.3">
      <c r="A200" s="3" t="s">
        <v>238</v>
      </c>
      <c r="B200" s="3" t="s">
        <v>146</v>
      </c>
      <c r="C200" s="3" t="s">
        <v>11</v>
      </c>
      <c r="D200" s="3" t="s">
        <v>19</v>
      </c>
      <c r="E200" s="3" t="s">
        <v>18</v>
      </c>
      <c r="F200" s="3" t="s">
        <v>51</v>
      </c>
      <c r="G200" s="3" t="s">
        <v>15</v>
      </c>
      <c r="H200" s="3" t="s">
        <v>51</v>
      </c>
      <c r="I200" s="3" t="s">
        <v>15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8" hidden="1" x14ac:dyDescent="0.3">
      <c r="A201" s="3" t="s">
        <v>238</v>
      </c>
      <c r="B201" s="3" t="s">
        <v>248</v>
      </c>
      <c r="C201" s="3" t="s">
        <v>249</v>
      </c>
      <c r="D201" s="3" t="s">
        <v>246</v>
      </c>
      <c r="E201" s="3" t="s">
        <v>125</v>
      </c>
      <c r="F201" s="3" t="s">
        <v>51</v>
      </c>
      <c r="G201" s="3" t="s">
        <v>115</v>
      </c>
      <c r="H201" s="3" t="s">
        <v>116</v>
      </c>
      <c r="I201" s="3" t="s">
        <v>15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8" hidden="1" x14ac:dyDescent="0.3">
      <c r="A202" s="3" t="s">
        <v>238</v>
      </c>
      <c r="B202" s="3" t="s">
        <v>181</v>
      </c>
      <c r="C202" s="3" t="s">
        <v>123</v>
      </c>
      <c r="D202" s="3" t="s">
        <v>182</v>
      </c>
      <c r="E202" s="3" t="s">
        <v>26</v>
      </c>
      <c r="F202" s="3" t="s">
        <v>51</v>
      </c>
      <c r="G202" s="3" t="s">
        <v>15</v>
      </c>
      <c r="H202" s="3" t="s">
        <v>51</v>
      </c>
      <c r="I202" s="3" t="s">
        <v>183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8" hidden="1" x14ac:dyDescent="0.3">
      <c r="A203" s="3" t="s">
        <v>238</v>
      </c>
      <c r="B203" s="3" t="s">
        <v>107</v>
      </c>
      <c r="C203" s="3" t="s">
        <v>250</v>
      </c>
      <c r="D203" s="3" t="s">
        <v>251</v>
      </c>
      <c r="E203" s="3" t="s">
        <v>13</v>
      </c>
      <c r="F203" s="3" t="s">
        <v>110</v>
      </c>
      <c r="G203" s="3" t="s">
        <v>111</v>
      </c>
      <c r="H203" s="3" t="s">
        <v>78</v>
      </c>
      <c r="I203" s="3" t="s">
        <v>112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8" hidden="1" x14ac:dyDescent="0.3">
      <c r="A204" s="3" t="s">
        <v>238</v>
      </c>
      <c r="B204" s="3" t="s">
        <v>252</v>
      </c>
      <c r="C204" s="3" t="s">
        <v>125</v>
      </c>
      <c r="D204" s="3" t="s">
        <v>19</v>
      </c>
      <c r="E204" s="3" t="s">
        <v>228</v>
      </c>
      <c r="F204" s="3" t="s">
        <v>116</v>
      </c>
      <c r="G204" s="3" t="s">
        <v>15</v>
      </c>
      <c r="H204" s="3" t="s">
        <v>116</v>
      </c>
      <c r="I204" s="3" t="s">
        <v>253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8" hidden="1" x14ac:dyDescent="0.3">
      <c r="A205" s="3" t="s">
        <v>238</v>
      </c>
      <c r="B205" s="3" t="s">
        <v>31</v>
      </c>
      <c r="C205" s="3" t="s">
        <v>18</v>
      </c>
      <c r="D205" s="3" t="s">
        <v>254</v>
      </c>
      <c r="E205" s="3" t="s">
        <v>13</v>
      </c>
      <c r="F205" s="3" t="s">
        <v>32</v>
      </c>
      <c r="G205" s="3" t="s">
        <v>15</v>
      </c>
      <c r="H205" s="3" t="s">
        <v>32</v>
      </c>
      <c r="I205" s="3" t="s">
        <v>15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8" hidden="1" x14ac:dyDescent="0.3">
      <c r="A206" s="3" t="s">
        <v>238</v>
      </c>
      <c r="B206" s="3" t="s">
        <v>160</v>
      </c>
      <c r="C206" s="3" t="s">
        <v>13</v>
      </c>
      <c r="D206" s="3" t="s">
        <v>62</v>
      </c>
      <c r="E206" s="3" t="s">
        <v>63</v>
      </c>
      <c r="F206" s="3" t="s">
        <v>255</v>
      </c>
      <c r="G206" s="3" t="s">
        <v>256</v>
      </c>
      <c r="H206" s="3" t="s">
        <v>116</v>
      </c>
      <c r="I206" s="3" t="s">
        <v>183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8" hidden="1" x14ac:dyDescent="0.3">
      <c r="A207" s="3" t="s">
        <v>238</v>
      </c>
      <c r="B207" s="3" t="s">
        <v>156</v>
      </c>
      <c r="C207" s="3" t="s">
        <v>66</v>
      </c>
      <c r="D207" s="3" t="s">
        <v>157</v>
      </c>
      <c r="E207" s="3" t="s">
        <v>103</v>
      </c>
      <c r="F207" s="3" t="s">
        <v>67</v>
      </c>
      <c r="G207" s="3" t="s">
        <v>15</v>
      </c>
      <c r="H207" s="3" t="s">
        <v>67</v>
      </c>
      <c r="I207" s="3" t="s">
        <v>158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8" hidden="1" x14ac:dyDescent="0.3">
      <c r="A208" s="3" t="s">
        <v>238</v>
      </c>
      <c r="B208" s="3" t="s">
        <v>184</v>
      </c>
      <c r="C208" s="3" t="s">
        <v>123</v>
      </c>
      <c r="D208" s="3" t="s">
        <v>19</v>
      </c>
      <c r="E208" s="3" t="s">
        <v>171</v>
      </c>
      <c r="F208" s="3" t="s">
        <v>67</v>
      </c>
      <c r="G208" s="3" t="s">
        <v>15</v>
      </c>
      <c r="H208" s="3" t="s">
        <v>67</v>
      </c>
      <c r="I208" s="3" t="s">
        <v>179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8" hidden="1" x14ac:dyDescent="0.3">
      <c r="A209" s="3" t="s">
        <v>238</v>
      </c>
      <c r="B209" s="3" t="s">
        <v>71</v>
      </c>
      <c r="C209" s="6" t="s">
        <v>66</v>
      </c>
      <c r="D209" s="6" t="s">
        <v>62</v>
      </c>
      <c r="E209" s="6" t="s">
        <v>13</v>
      </c>
      <c r="F209" s="3" t="s">
        <v>74</v>
      </c>
      <c r="G209" s="3" t="s">
        <v>15</v>
      </c>
      <c r="H209" s="3" t="s">
        <v>74</v>
      </c>
      <c r="I209" s="3" t="s">
        <v>42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8" hidden="1" x14ac:dyDescent="0.3">
      <c r="A210" s="3" t="s">
        <v>238</v>
      </c>
      <c r="B210" s="3" t="s">
        <v>35</v>
      </c>
      <c r="C210" s="6" t="s">
        <v>36</v>
      </c>
      <c r="D210" s="6" t="s">
        <v>257</v>
      </c>
      <c r="E210" s="6" t="s">
        <v>258</v>
      </c>
      <c r="F210" s="3" t="s">
        <v>39</v>
      </c>
      <c r="G210" s="3" t="s">
        <v>15</v>
      </c>
      <c r="H210" s="3" t="s">
        <v>39</v>
      </c>
      <c r="I210" s="3" t="s">
        <v>42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8" hidden="1" x14ac:dyDescent="0.3">
      <c r="A211" s="3" t="s">
        <v>238</v>
      </c>
      <c r="B211" s="3" t="s">
        <v>81</v>
      </c>
      <c r="C211" s="3" t="s">
        <v>49</v>
      </c>
      <c r="D211" s="3" t="s">
        <v>193</v>
      </c>
      <c r="E211" s="3" t="s">
        <v>125</v>
      </c>
      <c r="F211" s="3" t="s">
        <v>51</v>
      </c>
      <c r="G211" s="3" t="s">
        <v>115</v>
      </c>
      <c r="H211" s="3" t="s">
        <v>116</v>
      </c>
      <c r="I211" s="3" t="s">
        <v>84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8" hidden="1" x14ac:dyDescent="0.3">
      <c r="A212" s="3" t="s">
        <v>238</v>
      </c>
      <c r="B212" s="3" t="s">
        <v>259</v>
      </c>
      <c r="C212" s="3" t="s">
        <v>18</v>
      </c>
      <c r="D212" s="3" t="s">
        <v>87</v>
      </c>
      <c r="E212" s="3" t="s">
        <v>82</v>
      </c>
      <c r="F212" s="3" t="s">
        <v>260</v>
      </c>
      <c r="G212" s="3" t="s">
        <v>15</v>
      </c>
      <c r="H212" s="3" t="s">
        <v>260</v>
      </c>
      <c r="I212" s="3" t="s">
        <v>42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8" hidden="1" x14ac:dyDescent="0.3">
      <c r="A213" s="3" t="s">
        <v>238</v>
      </c>
      <c r="B213" s="3" t="s">
        <v>43</v>
      </c>
      <c r="C213" s="3" t="s">
        <v>11</v>
      </c>
      <c r="D213" s="3" t="s">
        <v>19</v>
      </c>
      <c r="E213" s="3" t="s">
        <v>18</v>
      </c>
      <c r="F213" s="3" t="s">
        <v>44</v>
      </c>
      <c r="G213" s="3" t="s">
        <v>15</v>
      </c>
      <c r="H213" s="3" t="s">
        <v>44</v>
      </c>
      <c r="I213" s="3" t="s">
        <v>15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8" hidden="1" x14ac:dyDescent="0.3">
      <c r="A214" s="3" t="s">
        <v>238</v>
      </c>
      <c r="B214" s="3" t="s">
        <v>261</v>
      </c>
      <c r="C214" s="3" t="s">
        <v>13</v>
      </c>
      <c r="D214" s="3" t="s">
        <v>87</v>
      </c>
      <c r="E214" s="3" t="s">
        <v>82</v>
      </c>
      <c r="F214" s="3" t="s">
        <v>116</v>
      </c>
      <c r="G214" s="3" t="s">
        <v>15</v>
      </c>
      <c r="H214" s="3" t="s">
        <v>116</v>
      </c>
      <c r="I214" s="3" t="s">
        <v>15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8" hidden="1" x14ac:dyDescent="0.3">
      <c r="A215" s="4" t="s">
        <v>262</v>
      </c>
      <c r="B215" s="4" t="s">
        <v>69</v>
      </c>
      <c r="C215" s="4" t="s">
        <v>66</v>
      </c>
      <c r="D215" s="4" t="s">
        <v>70</v>
      </c>
      <c r="E215" s="4" t="s">
        <v>63</v>
      </c>
      <c r="F215" s="4" t="s">
        <v>51</v>
      </c>
      <c r="G215" s="4" t="s">
        <v>15</v>
      </c>
      <c r="H215" s="4" t="s">
        <v>51</v>
      </c>
      <c r="I215" s="4" t="s">
        <v>42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8" hidden="1" x14ac:dyDescent="0.3">
      <c r="A216" s="4" t="s">
        <v>262</v>
      </c>
      <c r="B216" s="4" t="s">
        <v>48</v>
      </c>
      <c r="C216" s="4" t="s">
        <v>49</v>
      </c>
      <c r="D216" s="4" t="s">
        <v>70</v>
      </c>
      <c r="E216" s="4" t="s">
        <v>18</v>
      </c>
      <c r="F216" s="4" t="s">
        <v>51</v>
      </c>
      <c r="G216" s="4" t="s">
        <v>15</v>
      </c>
      <c r="H216" s="4" t="s">
        <v>51</v>
      </c>
      <c r="I216" s="4" t="s">
        <v>15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8" hidden="1" x14ac:dyDescent="0.3">
      <c r="A217" s="4" t="s">
        <v>262</v>
      </c>
      <c r="B217" s="4" t="s">
        <v>54</v>
      </c>
      <c r="C217" s="4" t="s">
        <v>36</v>
      </c>
      <c r="D217" s="4" t="s">
        <v>80</v>
      </c>
      <c r="E217" s="4" t="s">
        <v>63</v>
      </c>
      <c r="F217" s="4" t="s">
        <v>39</v>
      </c>
      <c r="G217" s="4" t="s">
        <v>15</v>
      </c>
      <c r="H217" s="4" t="s">
        <v>39</v>
      </c>
      <c r="I217" s="4" t="s">
        <v>42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8" hidden="1" x14ac:dyDescent="0.3">
      <c r="A218" s="4" t="s">
        <v>262</v>
      </c>
      <c r="B218" s="4" t="s">
        <v>263</v>
      </c>
      <c r="C218" s="4" t="s">
        <v>18</v>
      </c>
      <c r="D218" s="4" t="s">
        <v>221</v>
      </c>
      <c r="E218" s="4" t="s">
        <v>264</v>
      </c>
      <c r="F218" s="4" t="s">
        <v>265</v>
      </c>
      <c r="G218" s="4" t="s">
        <v>266</v>
      </c>
      <c r="H218" s="4" t="s">
        <v>267</v>
      </c>
      <c r="I218" s="4" t="s">
        <v>79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8" hidden="1" x14ac:dyDescent="0.3">
      <c r="A219" s="4" t="s">
        <v>262</v>
      </c>
      <c r="B219" s="4" t="s">
        <v>268</v>
      </c>
      <c r="C219" s="4" t="s">
        <v>11</v>
      </c>
      <c r="D219" s="4" t="s">
        <v>72</v>
      </c>
      <c r="E219" s="4" t="s">
        <v>63</v>
      </c>
      <c r="F219" s="4" t="s">
        <v>14</v>
      </c>
      <c r="G219" s="4" t="s">
        <v>15</v>
      </c>
      <c r="H219" s="4" t="s">
        <v>14</v>
      </c>
      <c r="I219" s="4" t="s">
        <v>16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8" hidden="1" x14ac:dyDescent="0.3">
      <c r="A220" s="4" t="s">
        <v>262</v>
      </c>
      <c r="B220" s="4" t="s">
        <v>10</v>
      </c>
      <c r="C220" s="4" t="s">
        <v>11</v>
      </c>
      <c r="D220" s="4" t="s">
        <v>72</v>
      </c>
      <c r="E220" s="4" t="s">
        <v>63</v>
      </c>
      <c r="F220" s="4" t="s">
        <v>14</v>
      </c>
      <c r="G220" s="4" t="s">
        <v>15</v>
      </c>
      <c r="H220" s="4" t="s">
        <v>14</v>
      </c>
      <c r="I220" s="4" t="s">
        <v>16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8" hidden="1" x14ac:dyDescent="0.3">
      <c r="A221" s="8" t="s">
        <v>262</v>
      </c>
      <c r="B221" s="8" t="s">
        <v>17</v>
      </c>
      <c r="C221" s="8" t="s">
        <v>18</v>
      </c>
      <c r="D221" s="8" t="s">
        <v>87</v>
      </c>
      <c r="E221" s="8" t="s">
        <v>63</v>
      </c>
      <c r="F221" s="8" t="s">
        <v>14</v>
      </c>
      <c r="G221" s="8" t="s">
        <v>15</v>
      </c>
      <c r="H221" s="8" t="s">
        <v>14</v>
      </c>
      <c r="I221" s="4" t="s">
        <v>209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8" t="s">
        <v>262</v>
      </c>
      <c r="B222" s="8" t="s">
        <v>23</v>
      </c>
      <c r="C222" s="8" t="s">
        <v>18</v>
      </c>
      <c r="D222" s="8" t="s">
        <v>87</v>
      </c>
      <c r="E222" s="8" t="s">
        <v>63</v>
      </c>
      <c r="F222" s="8" t="s">
        <v>14</v>
      </c>
      <c r="G222" s="8" t="s">
        <v>15</v>
      </c>
      <c r="H222" s="8" t="s">
        <v>14</v>
      </c>
      <c r="I222" s="4" t="s">
        <v>209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8" hidden="1" x14ac:dyDescent="0.3">
      <c r="A223" s="4" t="s">
        <v>262</v>
      </c>
      <c r="B223" s="4" t="s">
        <v>30</v>
      </c>
      <c r="C223" s="4" t="s">
        <v>108</v>
      </c>
      <c r="D223" s="4" t="s">
        <v>269</v>
      </c>
      <c r="E223" s="4" t="s">
        <v>73</v>
      </c>
      <c r="F223" s="4" t="s">
        <v>149</v>
      </c>
      <c r="G223" s="4" t="s">
        <v>15</v>
      </c>
      <c r="H223" s="4" t="s">
        <v>149</v>
      </c>
      <c r="I223" s="4" t="s">
        <v>16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8" hidden="1" x14ac:dyDescent="0.3">
      <c r="A224" s="4" t="s">
        <v>262</v>
      </c>
      <c r="B224" s="4" t="s">
        <v>30</v>
      </c>
      <c r="C224" s="4" t="s">
        <v>26</v>
      </c>
      <c r="D224" s="8" t="s">
        <v>97</v>
      </c>
      <c r="E224" s="8" t="s">
        <v>73</v>
      </c>
      <c r="F224" s="8" t="s">
        <v>14</v>
      </c>
      <c r="G224" s="8" t="s">
        <v>270</v>
      </c>
      <c r="H224" s="8" t="s">
        <v>149</v>
      </c>
      <c r="I224" s="4" t="s">
        <v>16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8" hidden="1" x14ac:dyDescent="0.3">
      <c r="A225" s="4" t="s">
        <v>262</v>
      </c>
      <c r="B225" s="4" t="s">
        <v>271</v>
      </c>
      <c r="C225" s="4" t="s">
        <v>125</v>
      </c>
      <c r="D225" s="4" t="s">
        <v>269</v>
      </c>
      <c r="E225" s="4" t="s">
        <v>63</v>
      </c>
      <c r="F225" s="4" t="s">
        <v>116</v>
      </c>
      <c r="G225" s="4" t="s">
        <v>15</v>
      </c>
      <c r="H225" s="4" t="s">
        <v>116</v>
      </c>
      <c r="I225" s="4" t="s">
        <v>16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8" hidden="1" x14ac:dyDescent="0.3">
      <c r="A226" s="4" t="s">
        <v>262</v>
      </c>
      <c r="B226" s="4" t="s">
        <v>272</v>
      </c>
      <c r="C226" s="4" t="s">
        <v>60</v>
      </c>
      <c r="D226" s="4" t="s">
        <v>12</v>
      </c>
      <c r="E226" s="4" t="s">
        <v>63</v>
      </c>
      <c r="F226" s="4" t="s">
        <v>32</v>
      </c>
      <c r="G226" s="4" t="s">
        <v>15</v>
      </c>
      <c r="H226" s="4" t="s">
        <v>32</v>
      </c>
      <c r="I226" s="4" t="s">
        <v>15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8" hidden="1" x14ac:dyDescent="0.3">
      <c r="A227" s="4" t="s">
        <v>262</v>
      </c>
      <c r="B227" s="4" t="s">
        <v>220</v>
      </c>
      <c r="C227" s="4" t="s">
        <v>11</v>
      </c>
      <c r="D227" s="4" t="s">
        <v>72</v>
      </c>
      <c r="E227" s="4" t="s">
        <v>63</v>
      </c>
      <c r="F227" s="4" t="s">
        <v>21</v>
      </c>
      <c r="G227" s="4" t="s">
        <v>15</v>
      </c>
      <c r="H227" s="4" t="s">
        <v>21</v>
      </c>
      <c r="I227" s="4" t="s">
        <v>15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8" hidden="1" x14ac:dyDescent="0.3">
      <c r="A228" s="4" t="s">
        <v>262</v>
      </c>
      <c r="B228" s="4" t="s">
        <v>148</v>
      </c>
      <c r="C228" s="4" t="s">
        <v>11</v>
      </c>
      <c r="D228" s="8" t="s">
        <v>72</v>
      </c>
      <c r="E228" s="8" t="s">
        <v>63</v>
      </c>
      <c r="F228" s="8" t="s">
        <v>149</v>
      </c>
      <c r="G228" s="8" t="s">
        <v>270</v>
      </c>
      <c r="H228" s="8" t="s">
        <v>21</v>
      </c>
      <c r="I228" s="4" t="s">
        <v>15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8" hidden="1" x14ac:dyDescent="0.3">
      <c r="A229" s="4" t="s">
        <v>262</v>
      </c>
      <c r="B229" s="4" t="s">
        <v>273</v>
      </c>
      <c r="C229" s="4" t="s">
        <v>274</v>
      </c>
      <c r="D229" s="4" t="s">
        <v>24</v>
      </c>
      <c r="E229" s="4" t="s">
        <v>274</v>
      </c>
      <c r="F229" s="4" t="s">
        <v>51</v>
      </c>
      <c r="G229" s="4" t="s">
        <v>91</v>
      </c>
      <c r="H229" s="4" t="s">
        <v>92</v>
      </c>
      <c r="I229" s="4" t="s">
        <v>275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8" hidden="1" x14ac:dyDescent="0.3">
      <c r="A230" s="4" t="s">
        <v>262</v>
      </c>
      <c r="B230" s="4" t="s">
        <v>155</v>
      </c>
      <c r="C230" s="4" t="s">
        <v>18</v>
      </c>
      <c r="D230" s="4" t="s">
        <v>87</v>
      </c>
      <c r="E230" s="4" t="s">
        <v>63</v>
      </c>
      <c r="F230" s="4" t="s">
        <v>32</v>
      </c>
      <c r="G230" s="4" t="s">
        <v>15</v>
      </c>
      <c r="H230" s="4" t="s">
        <v>32</v>
      </c>
      <c r="I230" s="4" t="s">
        <v>15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8" hidden="1" x14ac:dyDescent="0.3">
      <c r="A231" s="4" t="s">
        <v>262</v>
      </c>
      <c r="B231" s="4" t="s">
        <v>65</v>
      </c>
      <c r="C231" s="4" t="s">
        <v>66</v>
      </c>
      <c r="D231" s="4" t="s">
        <v>72</v>
      </c>
      <c r="E231" s="4" t="s">
        <v>60</v>
      </c>
      <c r="F231" s="4" t="s">
        <v>67</v>
      </c>
      <c r="G231" s="4" t="s">
        <v>15</v>
      </c>
      <c r="H231" s="4" t="s">
        <v>67</v>
      </c>
      <c r="I231" s="4" t="s">
        <v>15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8" hidden="1" x14ac:dyDescent="0.3">
      <c r="A232" s="4" t="s">
        <v>262</v>
      </c>
      <c r="B232" s="4" t="s">
        <v>71</v>
      </c>
      <c r="C232" s="4" t="s">
        <v>66</v>
      </c>
      <c r="D232" s="4" t="s">
        <v>70</v>
      </c>
      <c r="E232" s="4" t="s">
        <v>63</v>
      </c>
      <c r="F232" s="4" t="s">
        <v>74</v>
      </c>
      <c r="G232" s="4" t="s">
        <v>15</v>
      </c>
      <c r="H232" s="4" t="s">
        <v>74</v>
      </c>
      <c r="I232" s="4" t="s">
        <v>42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8" hidden="1" x14ac:dyDescent="0.3">
      <c r="A233" s="4" t="s">
        <v>262</v>
      </c>
      <c r="B233" s="4" t="s">
        <v>35</v>
      </c>
      <c r="C233" s="4" t="s">
        <v>36</v>
      </c>
      <c r="D233" s="4" t="s">
        <v>80</v>
      </c>
      <c r="E233" s="4" t="s">
        <v>63</v>
      </c>
      <c r="F233" s="4" t="s">
        <v>39</v>
      </c>
      <c r="G233" s="4" t="s">
        <v>15</v>
      </c>
      <c r="H233" s="4" t="s">
        <v>39</v>
      </c>
      <c r="I233" s="4" t="s">
        <v>42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8" hidden="1" x14ac:dyDescent="0.3">
      <c r="A234" s="3" t="s">
        <v>276</v>
      </c>
      <c r="B234" s="3" t="s">
        <v>10</v>
      </c>
      <c r="C234" s="3" t="s">
        <v>11</v>
      </c>
      <c r="D234" s="3" t="s">
        <v>62</v>
      </c>
      <c r="E234" s="3" t="s">
        <v>60</v>
      </c>
      <c r="F234" s="3" t="s">
        <v>14</v>
      </c>
      <c r="G234" s="3" t="s">
        <v>15</v>
      </c>
      <c r="H234" s="3" t="s">
        <v>14</v>
      </c>
      <c r="I234" s="3" t="s">
        <v>16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8" hidden="1" x14ac:dyDescent="0.3">
      <c r="A235" s="3" t="s">
        <v>276</v>
      </c>
      <c r="B235" s="3" t="s">
        <v>65</v>
      </c>
      <c r="C235" s="3" t="s">
        <v>66</v>
      </c>
      <c r="D235" s="3" t="s">
        <v>72</v>
      </c>
      <c r="E235" s="3" t="s">
        <v>60</v>
      </c>
      <c r="F235" s="3" t="s">
        <v>67</v>
      </c>
      <c r="G235" s="3" t="s">
        <v>15</v>
      </c>
      <c r="H235" s="3" t="s">
        <v>67</v>
      </c>
      <c r="I235" s="3" t="s">
        <v>15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8" hidden="1" x14ac:dyDescent="0.3">
      <c r="A236" s="3" t="s">
        <v>276</v>
      </c>
      <c r="B236" s="3" t="s">
        <v>76</v>
      </c>
      <c r="C236" s="3" t="s">
        <v>77</v>
      </c>
      <c r="D236" s="3" t="s">
        <v>77</v>
      </c>
      <c r="E236" s="3" t="s">
        <v>63</v>
      </c>
      <c r="F236" s="3" t="s">
        <v>77</v>
      </c>
      <c r="G236" s="3" t="s">
        <v>77</v>
      </c>
      <c r="H236" s="3" t="s">
        <v>78</v>
      </c>
      <c r="I236" s="3" t="s">
        <v>79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8" hidden="1" x14ac:dyDescent="0.3">
      <c r="A237" s="4" t="s">
        <v>277</v>
      </c>
      <c r="B237" s="4" t="s">
        <v>86</v>
      </c>
      <c r="C237" s="4" t="s">
        <v>73</v>
      </c>
      <c r="D237" s="4" t="s">
        <v>19</v>
      </c>
      <c r="E237" s="4" t="s">
        <v>63</v>
      </c>
      <c r="F237" s="4" t="s">
        <v>88</v>
      </c>
      <c r="G237" s="4" t="s">
        <v>278</v>
      </c>
      <c r="H237" s="4" t="s">
        <v>92</v>
      </c>
      <c r="I237" s="4" t="s">
        <v>15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8" hidden="1" x14ac:dyDescent="0.3">
      <c r="A238" s="4" t="s">
        <v>277</v>
      </c>
      <c r="B238" s="4" t="s">
        <v>69</v>
      </c>
      <c r="C238" s="4" t="s">
        <v>66</v>
      </c>
      <c r="D238" s="4" t="s">
        <v>246</v>
      </c>
      <c r="E238" s="4" t="s">
        <v>226</v>
      </c>
      <c r="F238" s="4" t="s">
        <v>51</v>
      </c>
      <c r="G238" s="4" t="s">
        <v>15</v>
      </c>
      <c r="H238" s="4" t="s">
        <v>51</v>
      </c>
      <c r="I238" s="4" t="s">
        <v>42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8" hidden="1" x14ac:dyDescent="0.3">
      <c r="A239" s="4" t="s">
        <v>277</v>
      </c>
      <c r="B239" s="4" t="s">
        <v>55</v>
      </c>
      <c r="C239" s="4" t="s">
        <v>56</v>
      </c>
      <c r="D239" s="4" t="s">
        <v>176</v>
      </c>
      <c r="E239" s="4" t="s">
        <v>177</v>
      </c>
      <c r="F239" s="4" t="s">
        <v>51</v>
      </c>
      <c r="G239" s="4" t="s">
        <v>115</v>
      </c>
      <c r="H239" s="4" t="s">
        <v>116</v>
      </c>
      <c r="I239" s="4" t="s">
        <v>130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8" hidden="1" x14ac:dyDescent="0.3">
      <c r="A240" s="4" t="s">
        <v>277</v>
      </c>
      <c r="B240" s="4" t="s">
        <v>178</v>
      </c>
      <c r="C240" s="4" t="s">
        <v>123</v>
      </c>
      <c r="D240" s="4" t="s">
        <v>221</v>
      </c>
      <c r="E240" s="4" t="s">
        <v>13</v>
      </c>
      <c r="F240" s="4" t="s">
        <v>67</v>
      </c>
      <c r="G240" s="4" t="s">
        <v>15</v>
      </c>
      <c r="H240" s="4" t="s">
        <v>67</v>
      </c>
      <c r="I240" s="4" t="s">
        <v>179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8" hidden="1" x14ac:dyDescent="0.3">
      <c r="A241" s="4" t="s">
        <v>277</v>
      </c>
      <c r="B241" s="4" t="s">
        <v>140</v>
      </c>
      <c r="C241" s="4" t="s">
        <v>18</v>
      </c>
      <c r="D241" s="4" t="s">
        <v>19</v>
      </c>
      <c r="E241" s="4" t="s">
        <v>13</v>
      </c>
      <c r="F241" s="4" t="s">
        <v>46</v>
      </c>
      <c r="G241" s="4" t="s">
        <v>15</v>
      </c>
      <c r="H241" s="4" t="s">
        <v>46</v>
      </c>
      <c r="I241" s="4" t="s">
        <v>15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8" hidden="1" x14ac:dyDescent="0.3">
      <c r="A242" s="4" t="s">
        <v>277</v>
      </c>
      <c r="B242" s="4" t="s">
        <v>146</v>
      </c>
      <c r="C242" s="4" t="s">
        <v>11</v>
      </c>
      <c r="D242" s="4" t="s">
        <v>12</v>
      </c>
      <c r="E242" s="4" t="s">
        <v>13</v>
      </c>
      <c r="F242" s="4" t="s">
        <v>51</v>
      </c>
      <c r="G242" s="4" t="s">
        <v>115</v>
      </c>
      <c r="H242" s="4" t="s">
        <v>116</v>
      </c>
      <c r="I242" s="4" t="s">
        <v>15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8" hidden="1" x14ac:dyDescent="0.3">
      <c r="A243" s="4" t="s">
        <v>277</v>
      </c>
      <c r="B243" s="4" t="s">
        <v>151</v>
      </c>
      <c r="C243" s="4" t="s">
        <v>123</v>
      </c>
      <c r="D243" s="4" t="s">
        <v>62</v>
      </c>
      <c r="E243" s="4" t="s">
        <v>13</v>
      </c>
      <c r="F243" s="4" t="s">
        <v>116</v>
      </c>
      <c r="G243" s="4" t="s">
        <v>15</v>
      </c>
      <c r="H243" s="4" t="s">
        <v>116</v>
      </c>
      <c r="I243" s="4" t="s">
        <v>15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8" hidden="1" x14ac:dyDescent="0.3">
      <c r="A244" s="4" t="s">
        <v>277</v>
      </c>
      <c r="B244" s="4" t="s">
        <v>35</v>
      </c>
      <c r="C244" s="4" t="s">
        <v>36</v>
      </c>
      <c r="D244" s="4" t="s">
        <v>128</v>
      </c>
      <c r="E244" s="4" t="s">
        <v>108</v>
      </c>
      <c r="F244" s="4" t="s">
        <v>39</v>
      </c>
      <c r="G244" s="4" t="s">
        <v>15</v>
      </c>
      <c r="H244" s="4" t="s">
        <v>39</v>
      </c>
      <c r="I244" s="4" t="s">
        <v>42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8" hidden="1" x14ac:dyDescent="0.3">
      <c r="A245" s="3" t="s">
        <v>279</v>
      </c>
      <c r="B245" s="3" t="s">
        <v>259</v>
      </c>
      <c r="C245" s="3" t="s">
        <v>18</v>
      </c>
      <c r="D245" s="3" t="s">
        <v>87</v>
      </c>
      <c r="E245" s="3" t="s">
        <v>82</v>
      </c>
      <c r="F245" s="3" t="s">
        <v>260</v>
      </c>
      <c r="G245" s="3" t="s">
        <v>15</v>
      </c>
      <c r="H245" s="3" t="s">
        <v>260</v>
      </c>
      <c r="I245" s="3" t="s">
        <v>42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8" hidden="1" x14ac:dyDescent="0.3">
      <c r="A246" s="4" t="s">
        <v>280</v>
      </c>
      <c r="B246" s="4" t="s">
        <v>180</v>
      </c>
      <c r="C246" s="4" t="s">
        <v>18</v>
      </c>
      <c r="D246" s="4" t="s">
        <v>27</v>
      </c>
      <c r="E246" s="4" t="s">
        <v>228</v>
      </c>
      <c r="F246" s="4" t="s">
        <v>51</v>
      </c>
      <c r="G246" s="4" t="s">
        <v>15</v>
      </c>
      <c r="H246" s="4" t="s">
        <v>51</v>
      </c>
      <c r="I246" s="4" t="s">
        <v>15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8" hidden="1" x14ac:dyDescent="0.3">
      <c r="A247" s="3" t="s">
        <v>281</v>
      </c>
      <c r="B247" s="3" t="s">
        <v>225</v>
      </c>
      <c r="C247" s="3" t="s">
        <v>226</v>
      </c>
      <c r="D247" s="3" t="s">
        <v>124</v>
      </c>
      <c r="E247" s="3" t="s">
        <v>60</v>
      </c>
      <c r="F247" s="3" t="s">
        <v>116</v>
      </c>
      <c r="G247" s="3" t="s">
        <v>15</v>
      </c>
      <c r="H247" s="3" t="s">
        <v>116</v>
      </c>
      <c r="I247" s="3" t="s">
        <v>15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8" hidden="1" x14ac:dyDescent="0.3">
      <c r="A248" s="3" t="s">
        <v>281</v>
      </c>
      <c r="B248" s="3" t="s">
        <v>196</v>
      </c>
      <c r="C248" s="3" t="s">
        <v>197</v>
      </c>
      <c r="D248" s="3" t="s">
        <v>198</v>
      </c>
      <c r="E248" s="3" t="s">
        <v>11</v>
      </c>
      <c r="F248" s="3" t="s">
        <v>67</v>
      </c>
      <c r="G248" s="3" t="s">
        <v>15</v>
      </c>
      <c r="H248" s="3" t="s">
        <v>67</v>
      </c>
      <c r="I248" s="3" t="s">
        <v>179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10"/>
      <c r="B249" s="10"/>
      <c r="C249" s="10"/>
      <c r="D249" s="10"/>
      <c r="E249" s="10"/>
      <c r="F249" s="10"/>
      <c r="G249" s="10"/>
      <c r="H249" s="10"/>
      <c r="I249" s="10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11" t="s">
        <v>282</v>
      </c>
      <c r="B250" s="10"/>
      <c r="C250" s="10"/>
      <c r="D250" s="10"/>
      <c r="E250" s="10"/>
      <c r="F250" s="10"/>
      <c r="G250" s="10"/>
      <c r="H250" s="10"/>
      <c r="I250" s="10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10"/>
      <c r="B251" s="10"/>
      <c r="C251" s="10"/>
      <c r="D251" s="10"/>
      <c r="E251" s="10"/>
      <c r="F251" s="10"/>
      <c r="G251" s="10"/>
      <c r="H251" s="10"/>
      <c r="I251" s="10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10"/>
      <c r="B252" s="10"/>
      <c r="C252" s="10"/>
      <c r="D252" s="10"/>
      <c r="E252" s="10"/>
      <c r="F252" s="10"/>
      <c r="G252" s="10"/>
      <c r="H252" s="10"/>
      <c r="I252" s="10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10"/>
      <c r="B253" s="10"/>
      <c r="C253" s="10"/>
      <c r="D253" s="10"/>
      <c r="E253" s="10"/>
      <c r="F253" s="10"/>
      <c r="G253" s="10"/>
      <c r="H253" s="10"/>
      <c r="I253" s="10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10"/>
      <c r="B254" s="10"/>
      <c r="C254" s="10"/>
      <c r="D254" s="10"/>
      <c r="E254" s="10"/>
      <c r="F254" s="10"/>
      <c r="G254" s="10"/>
      <c r="H254" s="10"/>
      <c r="I254" s="10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10"/>
      <c r="B255" s="10"/>
      <c r="C255" s="10"/>
      <c r="D255" s="10"/>
      <c r="E255" s="10"/>
      <c r="F255" s="10"/>
      <c r="G255" s="10"/>
      <c r="H255" s="10"/>
      <c r="I255" s="10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10"/>
      <c r="B256" s="10"/>
      <c r="C256" s="10"/>
      <c r="D256" s="10"/>
      <c r="E256" s="10"/>
      <c r="F256" s="10"/>
      <c r="G256" s="10"/>
      <c r="H256" s="10"/>
      <c r="I256" s="10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10"/>
      <c r="B257" s="10"/>
      <c r="C257" s="10"/>
      <c r="D257" s="10"/>
      <c r="E257" s="10"/>
      <c r="F257" s="10"/>
      <c r="G257" s="10"/>
      <c r="H257" s="10"/>
      <c r="I257" s="10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10"/>
      <c r="B258" s="10"/>
      <c r="C258" s="10"/>
      <c r="D258" s="10"/>
      <c r="E258" s="10"/>
      <c r="F258" s="10"/>
      <c r="G258" s="10"/>
      <c r="H258" s="10"/>
      <c r="I258" s="10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10"/>
      <c r="B259" s="10"/>
      <c r="C259" s="10"/>
      <c r="D259" s="10"/>
      <c r="E259" s="10"/>
      <c r="F259" s="10"/>
      <c r="G259" s="10"/>
      <c r="H259" s="10"/>
      <c r="I259" s="10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10"/>
      <c r="B260" s="10"/>
      <c r="C260" s="10"/>
      <c r="D260" s="10"/>
      <c r="E260" s="10"/>
      <c r="F260" s="10"/>
      <c r="G260" s="10"/>
      <c r="H260" s="10"/>
      <c r="I260" s="10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10"/>
      <c r="B261" s="10"/>
      <c r="C261" s="10"/>
      <c r="D261" s="10"/>
      <c r="E261" s="10"/>
      <c r="F261" s="10"/>
      <c r="G261" s="10"/>
      <c r="H261" s="10"/>
      <c r="I261" s="10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10"/>
      <c r="B262" s="10"/>
      <c r="C262" s="10"/>
      <c r="D262" s="10"/>
      <c r="E262" s="10"/>
      <c r="F262" s="10"/>
      <c r="G262" s="10"/>
      <c r="H262" s="10"/>
      <c r="I262" s="10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10"/>
      <c r="B263" s="10"/>
      <c r="C263" s="10"/>
      <c r="D263" s="10"/>
      <c r="E263" s="10"/>
      <c r="F263" s="10"/>
      <c r="G263" s="10"/>
      <c r="H263" s="10"/>
      <c r="I263" s="10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10"/>
      <c r="B264" s="10"/>
      <c r="C264" s="10"/>
      <c r="D264" s="10"/>
      <c r="E264" s="10"/>
      <c r="F264" s="10"/>
      <c r="G264" s="10"/>
      <c r="H264" s="10"/>
      <c r="I264" s="10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10"/>
      <c r="B265" s="10"/>
      <c r="C265" s="10"/>
      <c r="D265" s="10"/>
      <c r="E265" s="10"/>
      <c r="F265" s="10"/>
      <c r="G265" s="10"/>
      <c r="H265" s="10"/>
      <c r="I265" s="10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10"/>
      <c r="B266" s="10"/>
      <c r="C266" s="10"/>
      <c r="D266" s="10"/>
      <c r="E266" s="10"/>
      <c r="F266" s="10"/>
      <c r="G266" s="10"/>
      <c r="H266" s="10"/>
      <c r="I266" s="10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10"/>
      <c r="B267" s="10"/>
      <c r="C267" s="10"/>
      <c r="D267" s="10"/>
      <c r="E267" s="10"/>
      <c r="F267" s="10"/>
      <c r="G267" s="10"/>
      <c r="H267" s="10"/>
      <c r="I267" s="10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10"/>
      <c r="B268" s="10"/>
      <c r="C268" s="10"/>
      <c r="D268" s="10"/>
      <c r="E268" s="10"/>
      <c r="F268" s="10"/>
      <c r="G268" s="10"/>
      <c r="H268" s="10"/>
      <c r="I268" s="10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10"/>
      <c r="B269" s="10"/>
      <c r="C269" s="10"/>
      <c r="D269" s="10"/>
      <c r="E269" s="10"/>
      <c r="F269" s="10"/>
      <c r="G269" s="10"/>
      <c r="H269" s="10"/>
      <c r="I269" s="10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10"/>
      <c r="B270" s="10"/>
      <c r="C270" s="10"/>
      <c r="D270" s="10"/>
      <c r="E270" s="10"/>
      <c r="F270" s="10"/>
      <c r="G270" s="10"/>
      <c r="H270" s="10"/>
      <c r="I270" s="10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10"/>
      <c r="B271" s="10"/>
      <c r="C271" s="10"/>
      <c r="D271" s="10"/>
      <c r="E271" s="10"/>
      <c r="F271" s="10"/>
      <c r="G271" s="10"/>
      <c r="H271" s="10"/>
      <c r="I271" s="10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10"/>
      <c r="B272" s="10"/>
      <c r="C272" s="10"/>
      <c r="D272" s="10"/>
      <c r="E272" s="10"/>
      <c r="F272" s="10"/>
      <c r="G272" s="10"/>
      <c r="H272" s="10"/>
      <c r="I272" s="10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10"/>
      <c r="B273" s="10"/>
      <c r="C273" s="10"/>
      <c r="D273" s="10"/>
      <c r="E273" s="10"/>
      <c r="F273" s="10"/>
      <c r="G273" s="10"/>
      <c r="H273" s="10"/>
      <c r="I273" s="10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10"/>
      <c r="B274" s="10"/>
      <c r="C274" s="10"/>
      <c r="D274" s="10"/>
      <c r="E274" s="10"/>
      <c r="F274" s="10"/>
      <c r="G274" s="10"/>
      <c r="H274" s="10"/>
      <c r="I274" s="10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10"/>
      <c r="B275" s="10"/>
      <c r="C275" s="10"/>
      <c r="D275" s="10"/>
      <c r="E275" s="10"/>
      <c r="F275" s="10"/>
      <c r="G275" s="10"/>
      <c r="H275" s="10"/>
      <c r="I275" s="10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10"/>
      <c r="B276" s="10"/>
      <c r="C276" s="10"/>
      <c r="D276" s="10"/>
      <c r="E276" s="10"/>
      <c r="F276" s="10"/>
      <c r="G276" s="10"/>
      <c r="H276" s="10"/>
      <c r="I276" s="10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10"/>
      <c r="B277" s="10"/>
      <c r="C277" s="10"/>
      <c r="D277" s="10"/>
      <c r="E277" s="10"/>
      <c r="F277" s="10"/>
      <c r="G277" s="10"/>
      <c r="H277" s="10"/>
      <c r="I277" s="10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10"/>
      <c r="B278" s="10"/>
      <c r="C278" s="10"/>
      <c r="D278" s="10"/>
      <c r="E278" s="10"/>
      <c r="F278" s="10"/>
      <c r="G278" s="10"/>
      <c r="H278" s="10"/>
      <c r="I278" s="10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10"/>
      <c r="B279" s="10"/>
      <c r="C279" s="10"/>
      <c r="D279" s="10"/>
      <c r="E279" s="10"/>
      <c r="F279" s="10"/>
      <c r="G279" s="10"/>
      <c r="H279" s="10"/>
      <c r="I279" s="10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10"/>
      <c r="B280" s="10"/>
      <c r="C280" s="10"/>
      <c r="D280" s="10"/>
      <c r="E280" s="10"/>
      <c r="F280" s="10"/>
      <c r="G280" s="10"/>
      <c r="H280" s="10"/>
      <c r="I280" s="10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10"/>
      <c r="B281" s="10"/>
      <c r="C281" s="10"/>
      <c r="D281" s="10"/>
      <c r="E281" s="10"/>
      <c r="F281" s="10"/>
      <c r="G281" s="10"/>
      <c r="H281" s="10"/>
      <c r="I281" s="10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10"/>
      <c r="B282" s="10"/>
      <c r="C282" s="10"/>
      <c r="D282" s="10"/>
      <c r="E282" s="10"/>
      <c r="F282" s="10"/>
      <c r="G282" s="10"/>
      <c r="H282" s="10"/>
      <c r="I282" s="10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10"/>
      <c r="B283" s="10"/>
      <c r="C283" s="10"/>
      <c r="D283" s="10"/>
      <c r="E283" s="10"/>
      <c r="F283" s="10"/>
      <c r="G283" s="10"/>
      <c r="H283" s="10"/>
      <c r="I283" s="10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10"/>
      <c r="B284" s="10"/>
      <c r="C284" s="10"/>
      <c r="D284" s="10"/>
      <c r="E284" s="10"/>
      <c r="F284" s="10"/>
      <c r="G284" s="10"/>
      <c r="H284" s="10"/>
      <c r="I284" s="10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10"/>
      <c r="B285" s="10"/>
      <c r="C285" s="10"/>
      <c r="D285" s="10"/>
      <c r="E285" s="10"/>
      <c r="F285" s="10"/>
      <c r="G285" s="10"/>
      <c r="H285" s="10"/>
      <c r="I285" s="10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10"/>
      <c r="B286" s="10"/>
      <c r="C286" s="10"/>
      <c r="D286" s="10"/>
      <c r="E286" s="10"/>
      <c r="F286" s="10"/>
      <c r="G286" s="10"/>
      <c r="H286" s="10"/>
      <c r="I286" s="10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10"/>
      <c r="B287" s="10"/>
      <c r="C287" s="10"/>
      <c r="D287" s="10"/>
      <c r="E287" s="10"/>
      <c r="F287" s="10"/>
      <c r="G287" s="10"/>
      <c r="H287" s="10"/>
      <c r="I287" s="10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10"/>
      <c r="B288" s="10"/>
      <c r="C288" s="10"/>
      <c r="D288" s="10"/>
      <c r="E288" s="10"/>
      <c r="F288" s="10"/>
      <c r="G288" s="10"/>
      <c r="H288" s="10"/>
      <c r="I288" s="10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10"/>
      <c r="B289" s="10"/>
      <c r="C289" s="10"/>
      <c r="D289" s="10"/>
      <c r="E289" s="10"/>
      <c r="F289" s="10"/>
      <c r="G289" s="10"/>
      <c r="H289" s="10"/>
      <c r="I289" s="10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10"/>
      <c r="B290" s="10"/>
      <c r="C290" s="10"/>
      <c r="D290" s="10"/>
      <c r="E290" s="10"/>
      <c r="F290" s="10"/>
      <c r="G290" s="10"/>
      <c r="H290" s="10"/>
      <c r="I290" s="10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10"/>
      <c r="B291" s="10"/>
      <c r="C291" s="10"/>
      <c r="D291" s="10"/>
      <c r="E291" s="10"/>
      <c r="F291" s="10"/>
      <c r="G291" s="10"/>
      <c r="H291" s="10"/>
      <c r="I291" s="10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10"/>
      <c r="B292" s="10"/>
      <c r="C292" s="10"/>
      <c r="D292" s="10"/>
      <c r="E292" s="10"/>
      <c r="F292" s="10"/>
      <c r="G292" s="10"/>
      <c r="H292" s="10"/>
      <c r="I292" s="10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10"/>
      <c r="B293" s="10"/>
      <c r="C293" s="10"/>
      <c r="D293" s="10"/>
      <c r="E293" s="10"/>
      <c r="F293" s="10"/>
      <c r="G293" s="10"/>
      <c r="H293" s="10"/>
      <c r="I293" s="10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10"/>
      <c r="B294" s="10"/>
      <c r="C294" s="10"/>
      <c r="D294" s="10"/>
      <c r="E294" s="10"/>
      <c r="F294" s="10"/>
      <c r="G294" s="10"/>
      <c r="H294" s="10"/>
      <c r="I294" s="10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10"/>
      <c r="B295" s="10"/>
      <c r="C295" s="10"/>
      <c r="D295" s="10"/>
      <c r="E295" s="10"/>
      <c r="F295" s="10"/>
      <c r="G295" s="10"/>
      <c r="H295" s="10"/>
      <c r="I295" s="10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10"/>
      <c r="B296" s="10"/>
      <c r="C296" s="10"/>
      <c r="D296" s="10"/>
      <c r="E296" s="10"/>
      <c r="F296" s="10"/>
      <c r="G296" s="10"/>
      <c r="H296" s="10"/>
      <c r="I296" s="10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10"/>
      <c r="B297" s="10"/>
      <c r="C297" s="10"/>
      <c r="D297" s="10"/>
      <c r="E297" s="10"/>
      <c r="F297" s="10"/>
      <c r="G297" s="10"/>
      <c r="H297" s="10"/>
      <c r="I297" s="10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10"/>
      <c r="B298" s="10"/>
      <c r="C298" s="10"/>
      <c r="D298" s="10"/>
      <c r="E298" s="10"/>
      <c r="F298" s="10"/>
      <c r="G298" s="10"/>
      <c r="H298" s="10"/>
      <c r="I298" s="10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10"/>
      <c r="B299" s="10"/>
      <c r="C299" s="10"/>
      <c r="D299" s="10"/>
      <c r="E299" s="10"/>
      <c r="F299" s="10"/>
      <c r="G299" s="10"/>
      <c r="H299" s="10"/>
      <c r="I299" s="10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10"/>
      <c r="B300" s="10"/>
      <c r="C300" s="10"/>
      <c r="D300" s="10"/>
      <c r="E300" s="10"/>
      <c r="F300" s="10"/>
      <c r="G300" s="10"/>
      <c r="H300" s="10"/>
      <c r="I300" s="10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10"/>
      <c r="B301" s="10"/>
      <c r="C301" s="10"/>
      <c r="D301" s="10"/>
      <c r="E301" s="10"/>
      <c r="F301" s="10"/>
      <c r="G301" s="10"/>
      <c r="H301" s="10"/>
      <c r="I301" s="10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10"/>
      <c r="B302" s="10"/>
      <c r="C302" s="10"/>
      <c r="D302" s="10"/>
      <c r="E302" s="10"/>
      <c r="F302" s="10"/>
      <c r="G302" s="10"/>
      <c r="H302" s="10"/>
      <c r="I302" s="10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10"/>
      <c r="B303" s="10"/>
      <c r="C303" s="10"/>
      <c r="D303" s="10"/>
      <c r="E303" s="10"/>
      <c r="F303" s="10"/>
      <c r="G303" s="10"/>
      <c r="H303" s="10"/>
      <c r="I303" s="10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10"/>
      <c r="B304" s="10"/>
      <c r="C304" s="10"/>
      <c r="D304" s="10"/>
      <c r="E304" s="10"/>
      <c r="F304" s="10"/>
      <c r="G304" s="10"/>
      <c r="H304" s="10"/>
      <c r="I304" s="10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10"/>
      <c r="B305" s="10"/>
      <c r="C305" s="10"/>
      <c r="D305" s="10"/>
      <c r="E305" s="10"/>
      <c r="F305" s="10"/>
      <c r="G305" s="10"/>
      <c r="H305" s="10"/>
      <c r="I305" s="10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10"/>
      <c r="B306" s="10"/>
      <c r="C306" s="10"/>
      <c r="D306" s="10"/>
      <c r="E306" s="10"/>
      <c r="F306" s="10"/>
      <c r="G306" s="10"/>
      <c r="H306" s="10"/>
      <c r="I306" s="10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10"/>
      <c r="B307" s="10"/>
      <c r="C307" s="10"/>
      <c r="D307" s="10"/>
      <c r="E307" s="10"/>
      <c r="F307" s="10"/>
      <c r="G307" s="10"/>
      <c r="H307" s="10"/>
      <c r="I307" s="10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10"/>
      <c r="B308" s="10"/>
      <c r="C308" s="10"/>
      <c r="D308" s="10"/>
      <c r="E308" s="10"/>
      <c r="F308" s="10"/>
      <c r="G308" s="10"/>
      <c r="H308" s="10"/>
      <c r="I308" s="10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10"/>
      <c r="B309" s="10"/>
      <c r="C309" s="10"/>
      <c r="D309" s="10"/>
      <c r="E309" s="10"/>
      <c r="F309" s="10"/>
      <c r="G309" s="10"/>
      <c r="H309" s="10"/>
      <c r="I309" s="10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10"/>
      <c r="B310" s="10"/>
      <c r="C310" s="10"/>
      <c r="D310" s="10"/>
      <c r="E310" s="10"/>
      <c r="F310" s="10"/>
      <c r="G310" s="10"/>
      <c r="H310" s="10"/>
      <c r="I310" s="10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10"/>
      <c r="B311" s="10"/>
      <c r="C311" s="10"/>
      <c r="D311" s="10"/>
      <c r="E311" s="10"/>
      <c r="F311" s="10"/>
      <c r="G311" s="10"/>
      <c r="H311" s="10"/>
      <c r="I311" s="10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10"/>
      <c r="B312" s="10"/>
      <c r="C312" s="10"/>
      <c r="D312" s="10"/>
      <c r="E312" s="10"/>
      <c r="F312" s="10"/>
      <c r="G312" s="10"/>
      <c r="H312" s="10"/>
      <c r="I312" s="10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10"/>
      <c r="B313" s="10"/>
      <c r="C313" s="10"/>
      <c r="D313" s="10"/>
      <c r="E313" s="10"/>
      <c r="F313" s="10"/>
      <c r="G313" s="10"/>
      <c r="H313" s="10"/>
      <c r="I313" s="10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10"/>
      <c r="B314" s="10"/>
      <c r="C314" s="10"/>
      <c r="D314" s="10"/>
      <c r="E314" s="10"/>
      <c r="F314" s="10"/>
      <c r="G314" s="10"/>
      <c r="H314" s="10"/>
      <c r="I314" s="10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10"/>
      <c r="B315" s="10"/>
      <c r="C315" s="10"/>
      <c r="D315" s="10"/>
      <c r="E315" s="10"/>
      <c r="F315" s="10"/>
      <c r="G315" s="10"/>
      <c r="H315" s="10"/>
      <c r="I315" s="10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10"/>
      <c r="B316" s="10"/>
      <c r="C316" s="10"/>
      <c r="D316" s="10"/>
      <c r="E316" s="10"/>
      <c r="F316" s="10"/>
      <c r="G316" s="10"/>
      <c r="H316" s="10"/>
      <c r="I316" s="10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10"/>
      <c r="B317" s="10"/>
      <c r="C317" s="10"/>
      <c r="D317" s="10"/>
      <c r="E317" s="10"/>
      <c r="F317" s="10"/>
      <c r="G317" s="10"/>
      <c r="H317" s="10"/>
      <c r="I317" s="10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10"/>
      <c r="B318" s="10"/>
      <c r="C318" s="10"/>
      <c r="D318" s="10"/>
      <c r="E318" s="10"/>
      <c r="F318" s="10"/>
      <c r="G318" s="10"/>
      <c r="H318" s="10"/>
      <c r="I318" s="10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10"/>
      <c r="B319" s="10"/>
      <c r="C319" s="10"/>
      <c r="D319" s="10"/>
      <c r="E319" s="10"/>
      <c r="F319" s="10"/>
      <c r="G319" s="10"/>
      <c r="H319" s="10"/>
      <c r="I319" s="10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10"/>
      <c r="B320" s="10"/>
      <c r="C320" s="10"/>
      <c r="D320" s="10"/>
      <c r="E320" s="10"/>
      <c r="F320" s="10"/>
      <c r="G320" s="10"/>
      <c r="H320" s="10"/>
      <c r="I320" s="10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10"/>
      <c r="B321" s="10"/>
      <c r="C321" s="10"/>
      <c r="D321" s="10"/>
      <c r="E321" s="10"/>
      <c r="F321" s="10"/>
      <c r="G321" s="10"/>
      <c r="H321" s="10"/>
      <c r="I321" s="10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10"/>
      <c r="B322" s="10"/>
      <c r="C322" s="10"/>
      <c r="D322" s="10"/>
      <c r="E322" s="10"/>
      <c r="F322" s="10"/>
      <c r="G322" s="10"/>
      <c r="H322" s="10"/>
      <c r="I322" s="10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10"/>
      <c r="B323" s="10"/>
      <c r="C323" s="10"/>
      <c r="D323" s="10"/>
      <c r="E323" s="10"/>
      <c r="F323" s="10"/>
      <c r="G323" s="10"/>
      <c r="H323" s="10"/>
      <c r="I323" s="10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10"/>
      <c r="B324" s="10"/>
      <c r="C324" s="10"/>
      <c r="D324" s="10"/>
      <c r="E324" s="10"/>
      <c r="F324" s="10"/>
      <c r="G324" s="10"/>
      <c r="H324" s="10"/>
      <c r="I324" s="10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10"/>
      <c r="B325" s="10"/>
      <c r="C325" s="10"/>
      <c r="D325" s="10"/>
      <c r="E325" s="10"/>
      <c r="F325" s="10"/>
      <c r="G325" s="10"/>
      <c r="H325" s="10"/>
      <c r="I325" s="10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10"/>
      <c r="B326" s="10"/>
      <c r="C326" s="10"/>
      <c r="D326" s="10"/>
      <c r="E326" s="10"/>
      <c r="F326" s="10"/>
      <c r="G326" s="10"/>
      <c r="H326" s="10"/>
      <c r="I326" s="10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10"/>
      <c r="B327" s="10"/>
      <c r="C327" s="10"/>
      <c r="D327" s="10"/>
      <c r="E327" s="10"/>
      <c r="F327" s="10"/>
      <c r="G327" s="10"/>
      <c r="H327" s="10"/>
      <c r="I327" s="10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10"/>
      <c r="B328" s="10"/>
      <c r="C328" s="10"/>
      <c r="D328" s="10"/>
      <c r="E328" s="10"/>
      <c r="F328" s="10"/>
      <c r="G328" s="10"/>
      <c r="H328" s="10"/>
      <c r="I328" s="10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10"/>
      <c r="B329" s="10"/>
      <c r="C329" s="10"/>
      <c r="D329" s="10"/>
      <c r="E329" s="10"/>
      <c r="F329" s="10"/>
      <c r="G329" s="10"/>
      <c r="H329" s="10"/>
      <c r="I329" s="10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10"/>
      <c r="B330" s="10"/>
      <c r="C330" s="10"/>
      <c r="D330" s="10"/>
      <c r="E330" s="10"/>
      <c r="F330" s="10"/>
      <c r="G330" s="10"/>
      <c r="H330" s="10"/>
      <c r="I330" s="10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10"/>
      <c r="B331" s="10"/>
      <c r="C331" s="10"/>
      <c r="D331" s="10"/>
      <c r="E331" s="10"/>
      <c r="F331" s="10"/>
      <c r="G331" s="10"/>
      <c r="H331" s="10"/>
      <c r="I331" s="10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10"/>
      <c r="B332" s="10"/>
      <c r="C332" s="10"/>
      <c r="D332" s="10"/>
      <c r="E332" s="10"/>
      <c r="F332" s="10"/>
      <c r="G332" s="10"/>
      <c r="H332" s="10"/>
      <c r="I332" s="10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10"/>
      <c r="B333" s="10"/>
      <c r="C333" s="10"/>
      <c r="D333" s="10"/>
      <c r="E333" s="10"/>
      <c r="F333" s="10"/>
      <c r="G333" s="10"/>
      <c r="H333" s="10"/>
      <c r="I333" s="10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10"/>
      <c r="B334" s="10"/>
      <c r="C334" s="10"/>
      <c r="D334" s="10"/>
      <c r="E334" s="10"/>
      <c r="F334" s="10"/>
      <c r="G334" s="10"/>
      <c r="H334" s="10"/>
      <c r="I334" s="10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10"/>
      <c r="B335" s="10"/>
      <c r="C335" s="10"/>
      <c r="D335" s="10"/>
      <c r="E335" s="10"/>
      <c r="F335" s="10"/>
      <c r="G335" s="10"/>
      <c r="H335" s="10"/>
      <c r="I335" s="10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10"/>
      <c r="B336" s="10"/>
      <c r="C336" s="10"/>
      <c r="D336" s="10"/>
      <c r="E336" s="10"/>
      <c r="F336" s="10"/>
      <c r="G336" s="10"/>
      <c r="H336" s="10"/>
      <c r="I336" s="10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10"/>
      <c r="B337" s="10"/>
      <c r="C337" s="10"/>
      <c r="D337" s="10"/>
      <c r="E337" s="10"/>
      <c r="F337" s="10"/>
      <c r="G337" s="10"/>
      <c r="H337" s="10"/>
      <c r="I337" s="10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10"/>
      <c r="B338" s="10"/>
      <c r="C338" s="10"/>
      <c r="D338" s="10"/>
      <c r="E338" s="10"/>
      <c r="F338" s="10"/>
      <c r="G338" s="10"/>
      <c r="H338" s="10"/>
      <c r="I338" s="10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10"/>
      <c r="B339" s="10"/>
      <c r="C339" s="10"/>
      <c r="D339" s="10"/>
      <c r="E339" s="10"/>
      <c r="F339" s="10"/>
      <c r="G339" s="10"/>
      <c r="H339" s="10"/>
      <c r="I339" s="10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10"/>
      <c r="B340" s="10"/>
      <c r="C340" s="10"/>
      <c r="D340" s="10"/>
      <c r="E340" s="10"/>
      <c r="F340" s="10"/>
      <c r="G340" s="10"/>
      <c r="H340" s="10"/>
      <c r="I340" s="10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10"/>
      <c r="B341" s="10"/>
      <c r="C341" s="10"/>
      <c r="D341" s="10"/>
      <c r="E341" s="10"/>
      <c r="F341" s="10"/>
      <c r="G341" s="10"/>
      <c r="H341" s="10"/>
      <c r="I341" s="10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10"/>
      <c r="B342" s="10"/>
      <c r="C342" s="10"/>
      <c r="D342" s="10"/>
      <c r="E342" s="10"/>
      <c r="F342" s="10"/>
      <c r="G342" s="10"/>
      <c r="H342" s="10"/>
      <c r="I342" s="10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10"/>
      <c r="B343" s="10"/>
      <c r="C343" s="10"/>
      <c r="D343" s="10"/>
      <c r="E343" s="10"/>
      <c r="F343" s="10"/>
      <c r="G343" s="10"/>
      <c r="H343" s="10"/>
      <c r="I343" s="10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10"/>
      <c r="B344" s="10"/>
      <c r="C344" s="10"/>
      <c r="D344" s="10"/>
      <c r="E344" s="10"/>
      <c r="F344" s="10"/>
      <c r="G344" s="10"/>
      <c r="H344" s="10"/>
      <c r="I344" s="10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10"/>
      <c r="B345" s="10"/>
      <c r="C345" s="10"/>
      <c r="D345" s="10"/>
      <c r="E345" s="10"/>
      <c r="F345" s="10"/>
      <c r="G345" s="10"/>
      <c r="H345" s="10"/>
      <c r="I345" s="10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10"/>
      <c r="B346" s="10"/>
      <c r="C346" s="10"/>
      <c r="D346" s="10"/>
      <c r="E346" s="10"/>
      <c r="F346" s="10"/>
      <c r="G346" s="10"/>
      <c r="H346" s="10"/>
      <c r="I346" s="10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10"/>
      <c r="B347" s="10"/>
      <c r="C347" s="10"/>
      <c r="D347" s="10"/>
      <c r="E347" s="10"/>
      <c r="F347" s="10"/>
      <c r="G347" s="10"/>
      <c r="H347" s="10"/>
      <c r="I347" s="10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10"/>
      <c r="B348" s="10"/>
      <c r="C348" s="10"/>
      <c r="D348" s="10"/>
      <c r="E348" s="10"/>
      <c r="F348" s="10"/>
      <c r="G348" s="10"/>
      <c r="H348" s="10"/>
      <c r="I348" s="10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10"/>
      <c r="B349" s="10"/>
      <c r="C349" s="10"/>
      <c r="D349" s="10"/>
      <c r="E349" s="10"/>
      <c r="F349" s="10"/>
      <c r="G349" s="10"/>
      <c r="H349" s="10"/>
      <c r="I349" s="10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10"/>
      <c r="B350" s="10"/>
      <c r="C350" s="10"/>
      <c r="D350" s="10"/>
      <c r="E350" s="10"/>
      <c r="F350" s="10"/>
      <c r="G350" s="10"/>
      <c r="H350" s="10"/>
      <c r="I350" s="10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10"/>
      <c r="B351" s="10"/>
      <c r="C351" s="10"/>
      <c r="D351" s="10"/>
      <c r="E351" s="10"/>
      <c r="F351" s="10"/>
      <c r="G351" s="10"/>
      <c r="H351" s="10"/>
      <c r="I351" s="10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10"/>
      <c r="B352" s="10"/>
      <c r="C352" s="10"/>
      <c r="D352" s="10"/>
      <c r="E352" s="10"/>
      <c r="F352" s="10"/>
      <c r="G352" s="10"/>
      <c r="H352" s="10"/>
      <c r="I352" s="10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10"/>
      <c r="B353" s="10"/>
      <c r="C353" s="10"/>
      <c r="D353" s="10"/>
      <c r="E353" s="10"/>
      <c r="F353" s="10"/>
      <c r="G353" s="10"/>
      <c r="H353" s="10"/>
      <c r="I353" s="10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10"/>
      <c r="B354" s="10"/>
      <c r="C354" s="10"/>
      <c r="D354" s="10"/>
      <c r="E354" s="10"/>
      <c r="F354" s="10"/>
      <c r="G354" s="10"/>
      <c r="H354" s="10"/>
      <c r="I354" s="10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10"/>
      <c r="B355" s="10"/>
      <c r="C355" s="10"/>
      <c r="D355" s="10"/>
      <c r="E355" s="10"/>
      <c r="F355" s="10"/>
      <c r="G355" s="10"/>
      <c r="H355" s="10"/>
      <c r="I355" s="10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10"/>
      <c r="B356" s="10"/>
      <c r="C356" s="10"/>
      <c r="D356" s="10"/>
      <c r="E356" s="10"/>
      <c r="F356" s="10"/>
      <c r="G356" s="10"/>
      <c r="H356" s="10"/>
      <c r="I356" s="10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10"/>
      <c r="B357" s="10"/>
      <c r="C357" s="10"/>
      <c r="D357" s="10"/>
      <c r="E357" s="10"/>
      <c r="F357" s="10"/>
      <c r="G357" s="10"/>
      <c r="H357" s="10"/>
      <c r="I357" s="10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10"/>
      <c r="B358" s="10"/>
      <c r="C358" s="10"/>
      <c r="D358" s="10"/>
      <c r="E358" s="10"/>
      <c r="F358" s="10"/>
      <c r="G358" s="10"/>
      <c r="H358" s="10"/>
      <c r="I358" s="10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10"/>
      <c r="B359" s="10"/>
      <c r="C359" s="10"/>
      <c r="D359" s="10"/>
      <c r="E359" s="10"/>
      <c r="F359" s="10"/>
      <c r="G359" s="10"/>
      <c r="H359" s="10"/>
      <c r="I359" s="10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10"/>
      <c r="B360" s="10"/>
      <c r="C360" s="10"/>
      <c r="D360" s="10"/>
      <c r="E360" s="10"/>
      <c r="F360" s="10"/>
      <c r="G360" s="10"/>
      <c r="H360" s="10"/>
      <c r="I360" s="10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10"/>
      <c r="B361" s="10"/>
      <c r="C361" s="10"/>
      <c r="D361" s="10"/>
      <c r="E361" s="10"/>
      <c r="F361" s="10"/>
      <c r="G361" s="10"/>
      <c r="H361" s="10"/>
      <c r="I361" s="10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10"/>
      <c r="B362" s="10"/>
      <c r="C362" s="10"/>
      <c r="D362" s="10"/>
      <c r="E362" s="10"/>
      <c r="F362" s="10"/>
      <c r="G362" s="10"/>
      <c r="H362" s="10"/>
      <c r="I362" s="10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10"/>
      <c r="B363" s="10"/>
      <c r="C363" s="10"/>
      <c r="D363" s="10"/>
      <c r="E363" s="10"/>
      <c r="F363" s="10"/>
      <c r="G363" s="10"/>
      <c r="H363" s="10"/>
      <c r="I363" s="10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10"/>
      <c r="B364" s="10"/>
      <c r="C364" s="10"/>
      <c r="D364" s="10"/>
      <c r="E364" s="10"/>
      <c r="F364" s="10"/>
      <c r="G364" s="10"/>
      <c r="H364" s="10"/>
      <c r="I364" s="10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10"/>
      <c r="B365" s="10"/>
      <c r="C365" s="10"/>
      <c r="D365" s="10"/>
      <c r="E365" s="10"/>
      <c r="F365" s="10"/>
      <c r="G365" s="10"/>
      <c r="H365" s="10"/>
      <c r="I365" s="10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10"/>
      <c r="B366" s="10"/>
      <c r="C366" s="10"/>
      <c r="D366" s="10"/>
      <c r="E366" s="10"/>
      <c r="F366" s="10"/>
      <c r="G366" s="10"/>
      <c r="H366" s="10"/>
      <c r="I366" s="10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10"/>
      <c r="B367" s="10"/>
      <c r="C367" s="10"/>
      <c r="D367" s="10"/>
      <c r="E367" s="10"/>
      <c r="F367" s="10"/>
      <c r="G367" s="10"/>
      <c r="H367" s="10"/>
      <c r="I367" s="10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10"/>
      <c r="B368" s="10"/>
      <c r="C368" s="10"/>
      <c r="D368" s="10"/>
      <c r="E368" s="10"/>
      <c r="F368" s="10"/>
      <c r="G368" s="10"/>
      <c r="H368" s="10"/>
      <c r="I368" s="10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10"/>
      <c r="B369" s="10"/>
      <c r="C369" s="10"/>
      <c r="D369" s="10"/>
      <c r="E369" s="10"/>
      <c r="F369" s="10"/>
      <c r="G369" s="10"/>
      <c r="H369" s="10"/>
      <c r="I369" s="10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10"/>
      <c r="B370" s="10"/>
      <c r="C370" s="10"/>
      <c r="D370" s="10"/>
      <c r="E370" s="10"/>
      <c r="F370" s="10"/>
      <c r="G370" s="10"/>
      <c r="H370" s="10"/>
      <c r="I370" s="10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10"/>
      <c r="B371" s="10"/>
      <c r="C371" s="10"/>
      <c r="D371" s="10"/>
      <c r="E371" s="10"/>
      <c r="F371" s="10"/>
      <c r="G371" s="10"/>
      <c r="H371" s="10"/>
      <c r="I371" s="10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10"/>
      <c r="B372" s="10"/>
      <c r="C372" s="10"/>
      <c r="D372" s="10"/>
      <c r="E372" s="10"/>
      <c r="F372" s="10"/>
      <c r="G372" s="10"/>
      <c r="H372" s="10"/>
      <c r="I372" s="10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10"/>
      <c r="B373" s="10"/>
      <c r="C373" s="10"/>
      <c r="D373" s="10"/>
      <c r="E373" s="10"/>
      <c r="F373" s="10"/>
      <c r="G373" s="10"/>
      <c r="H373" s="10"/>
      <c r="I373" s="10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10"/>
      <c r="B374" s="10"/>
      <c r="C374" s="10"/>
      <c r="D374" s="10"/>
      <c r="E374" s="10"/>
      <c r="F374" s="10"/>
      <c r="G374" s="10"/>
      <c r="H374" s="10"/>
      <c r="I374" s="10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10"/>
      <c r="B375" s="10"/>
      <c r="C375" s="10"/>
      <c r="D375" s="10"/>
      <c r="E375" s="10"/>
      <c r="F375" s="10"/>
      <c r="G375" s="10"/>
      <c r="H375" s="10"/>
      <c r="I375" s="10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10"/>
      <c r="B376" s="10"/>
      <c r="C376" s="10"/>
      <c r="D376" s="10"/>
      <c r="E376" s="10"/>
      <c r="F376" s="10"/>
      <c r="G376" s="10"/>
      <c r="H376" s="10"/>
      <c r="I376" s="10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10"/>
      <c r="B377" s="10"/>
      <c r="C377" s="10"/>
      <c r="D377" s="10"/>
      <c r="E377" s="10"/>
      <c r="F377" s="10"/>
      <c r="G377" s="10"/>
      <c r="H377" s="10"/>
      <c r="I377" s="10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10"/>
      <c r="B378" s="10"/>
      <c r="C378" s="10"/>
      <c r="D378" s="10"/>
      <c r="E378" s="10"/>
      <c r="F378" s="10"/>
      <c r="G378" s="10"/>
      <c r="H378" s="10"/>
      <c r="I378" s="10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10"/>
      <c r="B379" s="10"/>
      <c r="C379" s="10"/>
      <c r="D379" s="10"/>
      <c r="E379" s="10"/>
      <c r="F379" s="10"/>
      <c r="G379" s="10"/>
      <c r="H379" s="10"/>
      <c r="I379" s="10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10"/>
      <c r="B380" s="10"/>
      <c r="C380" s="10"/>
      <c r="D380" s="10"/>
      <c r="E380" s="10"/>
      <c r="F380" s="10"/>
      <c r="G380" s="10"/>
      <c r="H380" s="10"/>
      <c r="I380" s="10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10"/>
      <c r="B381" s="10"/>
      <c r="C381" s="10"/>
      <c r="D381" s="10"/>
      <c r="E381" s="10"/>
      <c r="F381" s="10"/>
      <c r="G381" s="10"/>
      <c r="H381" s="10"/>
      <c r="I381" s="10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10"/>
      <c r="B382" s="10"/>
      <c r="C382" s="10"/>
      <c r="D382" s="10"/>
      <c r="E382" s="10"/>
      <c r="F382" s="10"/>
      <c r="G382" s="10"/>
      <c r="H382" s="10"/>
      <c r="I382" s="10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10"/>
      <c r="B383" s="10"/>
      <c r="C383" s="10"/>
      <c r="D383" s="10"/>
      <c r="E383" s="10"/>
      <c r="F383" s="10"/>
      <c r="G383" s="10"/>
      <c r="H383" s="10"/>
      <c r="I383" s="10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10"/>
      <c r="B384" s="10"/>
      <c r="C384" s="10"/>
      <c r="D384" s="10"/>
      <c r="E384" s="10"/>
      <c r="F384" s="10"/>
      <c r="G384" s="10"/>
      <c r="H384" s="10"/>
      <c r="I384" s="10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10"/>
      <c r="B385" s="10"/>
      <c r="C385" s="10"/>
      <c r="D385" s="10"/>
      <c r="E385" s="10"/>
      <c r="F385" s="10"/>
      <c r="G385" s="10"/>
      <c r="H385" s="10"/>
      <c r="I385" s="10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10"/>
      <c r="B386" s="10"/>
      <c r="C386" s="10"/>
      <c r="D386" s="10"/>
      <c r="E386" s="10"/>
      <c r="F386" s="10"/>
      <c r="G386" s="10"/>
      <c r="H386" s="10"/>
      <c r="I386" s="10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10"/>
      <c r="B387" s="10"/>
      <c r="C387" s="10"/>
      <c r="D387" s="10"/>
      <c r="E387" s="10"/>
      <c r="F387" s="10"/>
      <c r="G387" s="10"/>
      <c r="H387" s="10"/>
      <c r="I387" s="10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10"/>
      <c r="B388" s="10"/>
      <c r="C388" s="10"/>
      <c r="D388" s="10"/>
      <c r="E388" s="10"/>
      <c r="F388" s="10"/>
      <c r="G388" s="10"/>
      <c r="H388" s="10"/>
      <c r="I388" s="10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10"/>
      <c r="B389" s="10"/>
      <c r="C389" s="10"/>
      <c r="D389" s="10"/>
      <c r="E389" s="10"/>
      <c r="F389" s="10"/>
      <c r="G389" s="10"/>
      <c r="H389" s="10"/>
      <c r="I389" s="10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10"/>
      <c r="B390" s="10"/>
      <c r="C390" s="10"/>
      <c r="D390" s="10"/>
      <c r="E390" s="10"/>
      <c r="F390" s="10"/>
      <c r="G390" s="10"/>
      <c r="H390" s="10"/>
      <c r="I390" s="10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10"/>
      <c r="B391" s="10"/>
      <c r="C391" s="10"/>
      <c r="D391" s="10"/>
      <c r="E391" s="10"/>
      <c r="F391" s="10"/>
      <c r="G391" s="10"/>
      <c r="H391" s="10"/>
      <c r="I391" s="10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10"/>
      <c r="B392" s="10"/>
      <c r="C392" s="10"/>
      <c r="D392" s="10"/>
      <c r="E392" s="10"/>
      <c r="F392" s="10"/>
      <c r="G392" s="10"/>
      <c r="H392" s="10"/>
      <c r="I392" s="10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10"/>
      <c r="B393" s="10"/>
      <c r="C393" s="10"/>
      <c r="D393" s="10"/>
      <c r="E393" s="10"/>
      <c r="F393" s="10"/>
      <c r="G393" s="10"/>
      <c r="H393" s="10"/>
      <c r="I393" s="10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10"/>
      <c r="B394" s="10"/>
      <c r="C394" s="10"/>
      <c r="D394" s="10"/>
      <c r="E394" s="10"/>
      <c r="F394" s="10"/>
      <c r="G394" s="10"/>
      <c r="H394" s="10"/>
      <c r="I394" s="10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10"/>
      <c r="B395" s="10"/>
      <c r="C395" s="10"/>
      <c r="D395" s="10"/>
      <c r="E395" s="10"/>
      <c r="F395" s="10"/>
      <c r="G395" s="10"/>
      <c r="H395" s="10"/>
      <c r="I395" s="10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10"/>
      <c r="B396" s="10"/>
      <c r="C396" s="10"/>
      <c r="D396" s="10"/>
      <c r="E396" s="10"/>
      <c r="F396" s="10"/>
      <c r="G396" s="10"/>
      <c r="H396" s="10"/>
      <c r="I396" s="10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10"/>
      <c r="B397" s="10"/>
      <c r="C397" s="10"/>
      <c r="D397" s="10"/>
      <c r="E397" s="10"/>
      <c r="F397" s="10"/>
      <c r="G397" s="10"/>
      <c r="H397" s="10"/>
      <c r="I397" s="10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10"/>
      <c r="B398" s="10"/>
      <c r="C398" s="10"/>
      <c r="D398" s="10"/>
      <c r="E398" s="10"/>
      <c r="F398" s="10"/>
      <c r="G398" s="10"/>
      <c r="H398" s="10"/>
      <c r="I398" s="10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10"/>
      <c r="B399" s="10"/>
      <c r="C399" s="10"/>
      <c r="D399" s="10"/>
      <c r="E399" s="10"/>
      <c r="F399" s="10"/>
      <c r="G399" s="10"/>
      <c r="H399" s="10"/>
      <c r="I399" s="10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10"/>
      <c r="B400" s="10"/>
      <c r="C400" s="10"/>
      <c r="D400" s="10"/>
      <c r="E400" s="10"/>
      <c r="F400" s="10"/>
      <c r="G400" s="10"/>
      <c r="H400" s="10"/>
      <c r="I400" s="10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10"/>
      <c r="B401" s="10"/>
      <c r="C401" s="10"/>
      <c r="D401" s="10"/>
      <c r="E401" s="10"/>
      <c r="F401" s="10"/>
      <c r="G401" s="10"/>
      <c r="H401" s="10"/>
      <c r="I401" s="10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10"/>
      <c r="B402" s="10"/>
      <c r="C402" s="10"/>
      <c r="D402" s="10"/>
      <c r="E402" s="10"/>
      <c r="F402" s="10"/>
      <c r="G402" s="10"/>
      <c r="H402" s="10"/>
      <c r="I402" s="10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10"/>
      <c r="B403" s="10"/>
      <c r="C403" s="10"/>
      <c r="D403" s="10"/>
      <c r="E403" s="10"/>
      <c r="F403" s="10"/>
      <c r="G403" s="10"/>
      <c r="H403" s="10"/>
      <c r="I403" s="10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10"/>
      <c r="B404" s="10"/>
      <c r="C404" s="10"/>
      <c r="D404" s="10"/>
      <c r="E404" s="10"/>
      <c r="F404" s="10"/>
      <c r="G404" s="10"/>
      <c r="H404" s="10"/>
      <c r="I404" s="10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10"/>
      <c r="B405" s="10"/>
      <c r="C405" s="10"/>
      <c r="D405" s="10"/>
      <c r="E405" s="10"/>
      <c r="F405" s="10"/>
      <c r="G405" s="10"/>
      <c r="H405" s="10"/>
      <c r="I405" s="10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10"/>
      <c r="B406" s="10"/>
      <c r="C406" s="10"/>
      <c r="D406" s="10"/>
      <c r="E406" s="10"/>
      <c r="F406" s="10"/>
      <c r="G406" s="10"/>
      <c r="H406" s="10"/>
      <c r="I406" s="10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10"/>
      <c r="B407" s="10"/>
      <c r="C407" s="10"/>
      <c r="D407" s="10"/>
      <c r="E407" s="10"/>
      <c r="F407" s="10"/>
      <c r="G407" s="10"/>
      <c r="H407" s="10"/>
      <c r="I407" s="10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10"/>
      <c r="B408" s="10"/>
      <c r="C408" s="10"/>
      <c r="D408" s="10"/>
      <c r="E408" s="10"/>
      <c r="F408" s="10"/>
      <c r="G408" s="10"/>
      <c r="H408" s="10"/>
      <c r="I408" s="10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10"/>
      <c r="B409" s="10"/>
      <c r="C409" s="10"/>
      <c r="D409" s="10"/>
      <c r="E409" s="10"/>
      <c r="F409" s="10"/>
      <c r="G409" s="10"/>
      <c r="H409" s="10"/>
      <c r="I409" s="10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10"/>
      <c r="B410" s="10"/>
      <c r="C410" s="10"/>
      <c r="D410" s="10"/>
      <c r="E410" s="10"/>
      <c r="F410" s="10"/>
      <c r="G410" s="10"/>
      <c r="H410" s="10"/>
      <c r="I410" s="10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10"/>
      <c r="B411" s="10"/>
      <c r="C411" s="10"/>
      <c r="D411" s="10"/>
      <c r="E411" s="10"/>
      <c r="F411" s="10"/>
      <c r="G411" s="10"/>
      <c r="H411" s="10"/>
      <c r="I411" s="10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10"/>
      <c r="B412" s="10"/>
      <c r="C412" s="10"/>
      <c r="D412" s="10"/>
      <c r="E412" s="10"/>
      <c r="F412" s="10"/>
      <c r="G412" s="10"/>
      <c r="H412" s="10"/>
      <c r="I412" s="10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10"/>
      <c r="B413" s="10"/>
      <c r="C413" s="10"/>
      <c r="D413" s="10"/>
      <c r="E413" s="10"/>
      <c r="F413" s="10"/>
      <c r="G413" s="10"/>
      <c r="H413" s="10"/>
      <c r="I413" s="10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10"/>
      <c r="B414" s="10"/>
      <c r="C414" s="10"/>
      <c r="D414" s="10"/>
      <c r="E414" s="10"/>
      <c r="F414" s="10"/>
      <c r="G414" s="10"/>
      <c r="H414" s="10"/>
      <c r="I414" s="10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10"/>
      <c r="B415" s="10"/>
      <c r="C415" s="10"/>
      <c r="D415" s="10"/>
      <c r="E415" s="10"/>
      <c r="F415" s="10"/>
      <c r="G415" s="10"/>
      <c r="H415" s="10"/>
      <c r="I415" s="10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10"/>
      <c r="B416" s="10"/>
      <c r="C416" s="10"/>
      <c r="D416" s="10"/>
      <c r="E416" s="10"/>
      <c r="F416" s="10"/>
      <c r="G416" s="10"/>
      <c r="H416" s="10"/>
      <c r="I416" s="10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10"/>
      <c r="B417" s="10"/>
      <c r="C417" s="10"/>
      <c r="D417" s="10"/>
      <c r="E417" s="10"/>
      <c r="F417" s="10"/>
      <c r="G417" s="10"/>
      <c r="H417" s="10"/>
      <c r="I417" s="10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10"/>
      <c r="B418" s="10"/>
      <c r="C418" s="10"/>
      <c r="D418" s="10"/>
      <c r="E418" s="10"/>
      <c r="F418" s="10"/>
      <c r="G418" s="10"/>
      <c r="H418" s="10"/>
      <c r="I418" s="10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10"/>
      <c r="B419" s="10"/>
      <c r="C419" s="10"/>
      <c r="D419" s="10"/>
      <c r="E419" s="10"/>
      <c r="F419" s="10"/>
      <c r="G419" s="10"/>
      <c r="H419" s="10"/>
      <c r="I419" s="10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10"/>
      <c r="B420" s="10"/>
      <c r="C420" s="10"/>
      <c r="D420" s="10"/>
      <c r="E420" s="10"/>
      <c r="F420" s="10"/>
      <c r="G420" s="10"/>
      <c r="H420" s="10"/>
      <c r="I420" s="10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10"/>
      <c r="B421" s="10"/>
      <c r="C421" s="10"/>
      <c r="D421" s="10"/>
      <c r="E421" s="10"/>
      <c r="F421" s="10"/>
      <c r="G421" s="10"/>
      <c r="H421" s="10"/>
      <c r="I421" s="10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10"/>
      <c r="B422" s="10"/>
      <c r="C422" s="10"/>
      <c r="D422" s="10"/>
      <c r="E422" s="10"/>
      <c r="F422" s="10"/>
      <c r="G422" s="10"/>
      <c r="H422" s="10"/>
      <c r="I422" s="10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10"/>
      <c r="B423" s="10"/>
      <c r="C423" s="10"/>
      <c r="D423" s="10"/>
      <c r="E423" s="10"/>
      <c r="F423" s="10"/>
      <c r="G423" s="10"/>
      <c r="H423" s="10"/>
      <c r="I423" s="10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10"/>
      <c r="B424" s="10"/>
      <c r="C424" s="10"/>
      <c r="D424" s="10"/>
      <c r="E424" s="10"/>
      <c r="F424" s="10"/>
      <c r="G424" s="10"/>
      <c r="H424" s="10"/>
      <c r="I424" s="10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10"/>
      <c r="B425" s="10"/>
      <c r="C425" s="10"/>
      <c r="D425" s="10"/>
      <c r="E425" s="10"/>
      <c r="F425" s="10"/>
      <c r="G425" s="10"/>
      <c r="H425" s="10"/>
      <c r="I425" s="10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10"/>
      <c r="B426" s="10"/>
      <c r="C426" s="10"/>
      <c r="D426" s="10"/>
      <c r="E426" s="10"/>
      <c r="F426" s="10"/>
      <c r="G426" s="10"/>
      <c r="H426" s="10"/>
      <c r="I426" s="10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10"/>
      <c r="B427" s="10"/>
      <c r="C427" s="10"/>
      <c r="D427" s="10"/>
      <c r="E427" s="10"/>
      <c r="F427" s="10"/>
      <c r="G427" s="10"/>
      <c r="H427" s="10"/>
      <c r="I427" s="10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10"/>
      <c r="B428" s="10"/>
      <c r="C428" s="10"/>
      <c r="D428" s="10"/>
      <c r="E428" s="10"/>
      <c r="F428" s="10"/>
      <c r="G428" s="10"/>
      <c r="H428" s="10"/>
      <c r="I428" s="10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10"/>
      <c r="B429" s="10"/>
      <c r="C429" s="10"/>
      <c r="D429" s="10"/>
      <c r="E429" s="10"/>
      <c r="F429" s="10"/>
      <c r="G429" s="10"/>
      <c r="H429" s="10"/>
      <c r="I429" s="10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10"/>
      <c r="B430" s="10"/>
      <c r="C430" s="10"/>
      <c r="D430" s="10"/>
      <c r="E430" s="10"/>
      <c r="F430" s="10"/>
      <c r="G430" s="10"/>
      <c r="H430" s="10"/>
      <c r="I430" s="10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10"/>
      <c r="B431" s="10"/>
      <c r="C431" s="10"/>
      <c r="D431" s="10"/>
      <c r="E431" s="10"/>
      <c r="F431" s="10"/>
      <c r="G431" s="10"/>
      <c r="H431" s="10"/>
      <c r="I431" s="10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10"/>
      <c r="B432" s="10"/>
      <c r="C432" s="10"/>
      <c r="D432" s="10"/>
      <c r="E432" s="10"/>
      <c r="F432" s="10"/>
      <c r="G432" s="10"/>
      <c r="H432" s="10"/>
      <c r="I432" s="10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10"/>
      <c r="B433" s="10"/>
      <c r="C433" s="10"/>
      <c r="D433" s="10"/>
      <c r="E433" s="10"/>
      <c r="F433" s="10"/>
      <c r="G433" s="10"/>
      <c r="H433" s="10"/>
      <c r="I433" s="10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10"/>
      <c r="B434" s="10"/>
      <c r="C434" s="10"/>
      <c r="D434" s="10"/>
      <c r="E434" s="10"/>
      <c r="F434" s="10"/>
      <c r="G434" s="10"/>
      <c r="H434" s="10"/>
      <c r="I434" s="10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10"/>
      <c r="B435" s="10"/>
      <c r="C435" s="10"/>
      <c r="D435" s="10"/>
      <c r="E435" s="10"/>
      <c r="F435" s="10"/>
      <c r="G435" s="10"/>
      <c r="H435" s="10"/>
      <c r="I435" s="10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10"/>
      <c r="B436" s="10"/>
      <c r="C436" s="10"/>
      <c r="D436" s="10"/>
      <c r="E436" s="10"/>
      <c r="F436" s="10"/>
      <c r="G436" s="10"/>
      <c r="H436" s="10"/>
      <c r="I436" s="10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10"/>
      <c r="B437" s="10"/>
      <c r="C437" s="10"/>
      <c r="D437" s="10"/>
      <c r="E437" s="10"/>
      <c r="F437" s="10"/>
      <c r="G437" s="10"/>
      <c r="H437" s="10"/>
      <c r="I437" s="10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10"/>
      <c r="B438" s="10"/>
      <c r="C438" s="10"/>
      <c r="D438" s="10"/>
      <c r="E438" s="10"/>
      <c r="F438" s="10"/>
      <c r="G438" s="10"/>
      <c r="H438" s="10"/>
      <c r="I438" s="10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10"/>
      <c r="B439" s="10"/>
      <c r="C439" s="10"/>
      <c r="D439" s="10"/>
      <c r="E439" s="10"/>
      <c r="F439" s="10"/>
      <c r="G439" s="10"/>
      <c r="H439" s="10"/>
      <c r="I439" s="10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10"/>
      <c r="B440" s="10"/>
      <c r="C440" s="10"/>
      <c r="D440" s="10"/>
      <c r="E440" s="10"/>
      <c r="F440" s="10"/>
      <c r="G440" s="10"/>
      <c r="H440" s="10"/>
      <c r="I440" s="10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10"/>
      <c r="B441" s="10"/>
      <c r="C441" s="10"/>
      <c r="D441" s="10"/>
      <c r="E441" s="10"/>
      <c r="F441" s="10"/>
      <c r="G441" s="10"/>
      <c r="H441" s="10"/>
      <c r="I441" s="10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10"/>
      <c r="B442" s="10"/>
      <c r="C442" s="10"/>
      <c r="D442" s="10"/>
      <c r="E442" s="10"/>
      <c r="F442" s="10"/>
      <c r="G442" s="10"/>
      <c r="H442" s="10"/>
      <c r="I442" s="10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10"/>
      <c r="B443" s="10"/>
      <c r="C443" s="10"/>
      <c r="D443" s="10"/>
      <c r="E443" s="10"/>
      <c r="F443" s="10"/>
      <c r="G443" s="10"/>
      <c r="H443" s="10"/>
      <c r="I443" s="10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10"/>
      <c r="B444" s="10"/>
      <c r="C444" s="10"/>
      <c r="D444" s="10"/>
      <c r="E444" s="10"/>
      <c r="F444" s="10"/>
      <c r="G444" s="10"/>
      <c r="H444" s="10"/>
      <c r="I444" s="10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10"/>
      <c r="B445" s="10"/>
      <c r="C445" s="10"/>
      <c r="D445" s="10"/>
      <c r="E445" s="10"/>
      <c r="F445" s="10"/>
      <c r="G445" s="10"/>
      <c r="H445" s="10"/>
      <c r="I445" s="10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10"/>
      <c r="B446" s="10"/>
      <c r="C446" s="10"/>
      <c r="D446" s="10"/>
      <c r="E446" s="10"/>
      <c r="F446" s="10"/>
      <c r="G446" s="10"/>
      <c r="H446" s="10"/>
      <c r="I446" s="10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10"/>
      <c r="B447" s="10"/>
      <c r="C447" s="10"/>
      <c r="D447" s="10"/>
      <c r="E447" s="10"/>
      <c r="F447" s="10"/>
      <c r="G447" s="10"/>
      <c r="H447" s="10"/>
      <c r="I447" s="10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10"/>
      <c r="B448" s="10"/>
      <c r="C448" s="10"/>
      <c r="D448" s="10"/>
      <c r="E448" s="10"/>
      <c r="F448" s="10"/>
      <c r="G448" s="10"/>
      <c r="H448" s="10"/>
      <c r="I448" s="10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10"/>
      <c r="B449" s="10"/>
      <c r="C449" s="10"/>
      <c r="D449" s="10"/>
      <c r="E449" s="10"/>
      <c r="F449" s="10"/>
      <c r="G449" s="10"/>
      <c r="H449" s="10"/>
      <c r="I449" s="10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10"/>
      <c r="B450" s="10"/>
      <c r="C450" s="10"/>
      <c r="D450" s="10"/>
      <c r="E450" s="10"/>
      <c r="F450" s="10"/>
      <c r="G450" s="10"/>
      <c r="H450" s="10"/>
      <c r="I450" s="10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10"/>
      <c r="B451" s="10"/>
      <c r="C451" s="10"/>
      <c r="D451" s="10"/>
      <c r="E451" s="10"/>
      <c r="F451" s="10"/>
      <c r="G451" s="10"/>
      <c r="H451" s="10"/>
      <c r="I451" s="10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10"/>
      <c r="B452" s="10"/>
      <c r="C452" s="10"/>
      <c r="D452" s="10"/>
      <c r="E452" s="10"/>
      <c r="F452" s="10"/>
      <c r="G452" s="10"/>
      <c r="H452" s="10"/>
      <c r="I452" s="10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10"/>
      <c r="B453" s="10"/>
      <c r="C453" s="10"/>
      <c r="D453" s="10"/>
      <c r="E453" s="10"/>
      <c r="F453" s="10"/>
      <c r="G453" s="10"/>
      <c r="H453" s="10"/>
      <c r="I453" s="10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10"/>
      <c r="B454" s="10"/>
      <c r="C454" s="10"/>
      <c r="D454" s="10"/>
      <c r="E454" s="10"/>
      <c r="F454" s="10"/>
      <c r="G454" s="10"/>
      <c r="H454" s="10"/>
      <c r="I454" s="10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10"/>
      <c r="B455" s="10"/>
      <c r="C455" s="10"/>
      <c r="D455" s="10"/>
      <c r="E455" s="10"/>
      <c r="F455" s="10"/>
      <c r="G455" s="10"/>
      <c r="H455" s="10"/>
      <c r="I455" s="10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10"/>
      <c r="B456" s="10"/>
      <c r="C456" s="10"/>
      <c r="D456" s="10"/>
      <c r="E456" s="10"/>
      <c r="F456" s="10"/>
      <c r="G456" s="10"/>
      <c r="H456" s="10"/>
      <c r="I456" s="10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10"/>
      <c r="B457" s="10"/>
      <c r="C457" s="10"/>
      <c r="D457" s="10"/>
      <c r="E457" s="10"/>
      <c r="F457" s="10"/>
      <c r="G457" s="10"/>
      <c r="H457" s="10"/>
      <c r="I457" s="10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10"/>
      <c r="B458" s="10"/>
      <c r="C458" s="10"/>
      <c r="D458" s="10"/>
      <c r="E458" s="10"/>
      <c r="F458" s="10"/>
      <c r="G458" s="10"/>
      <c r="H458" s="10"/>
      <c r="I458" s="10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10"/>
      <c r="B459" s="10"/>
      <c r="C459" s="10"/>
      <c r="D459" s="10"/>
      <c r="E459" s="10"/>
      <c r="F459" s="10"/>
      <c r="G459" s="10"/>
      <c r="H459" s="10"/>
      <c r="I459" s="10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10"/>
      <c r="B460" s="10"/>
      <c r="C460" s="10"/>
      <c r="D460" s="10"/>
      <c r="E460" s="10"/>
      <c r="F460" s="10"/>
      <c r="G460" s="10"/>
      <c r="H460" s="10"/>
      <c r="I460" s="10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10"/>
      <c r="B461" s="10"/>
      <c r="C461" s="10"/>
      <c r="D461" s="10"/>
      <c r="E461" s="10"/>
      <c r="F461" s="10"/>
      <c r="G461" s="10"/>
      <c r="H461" s="10"/>
      <c r="I461" s="10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10"/>
      <c r="B462" s="10"/>
      <c r="C462" s="10"/>
      <c r="D462" s="10"/>
      <c r="E462" s="10"/>
      <c r="F462" s="10"/>
      <c r="G462" s="10"/>
      <c r="H462" s="10"/>
      <c r="I462" s="10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10"/>
      <c r="B463" s="10"/>
      <c r="C463" s="10"/>
      <c r="D463" s="10"/>
      <c r="E463" s="10"/>
      <c r="F463" s="10"/>
      <c r="G463" s="10"/>
      <c r="H463" s="10"/>
      <c r="I463" s="10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10"/>
      <c r="B464" s="10"/>
      <c r="C464" s="10"/>
      <c r="D464" s="10"/>
      <c r="E464" s="10"/>
      <c r="F464" s="10"/>
      <c r="G464" s="10"/>
      <c r="H464" s="10"/>
      <c r="I464" s="10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10"/>
      <c r="B465" s="10"/>
      <c r="C465" s="10"/>
      <c r="D465" s="10"/>
      <c r="E465" s="10"/>
      <c r="F465" s="10"/>
      <c r="G465" s="10"/>
      <c r="H465" s="10"/>
      <c r="I465" s="10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10"/>
      <c r="B466" s="10"/>
      <c r="C466" s="10"/>
      <c r="D466" s="10"/>
      <c r="E466" s="10"/>
      <c r="F466" s="10"/>
      <c r="G466" s="10"/>
      <c r="H466" s="10"/>
      <c r="I466" s="10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10"/>
      <c r="B467" s="10"/>
      <c r="C467" s="10"/>
      <c r="D467" s="10"/>
      <c r="E467" s="10"/>
      <c r="F467" s="10"/>
      <c r="G467" s="10"/>
      <c r="H467" s="10"/>
      <c r="I467" s="10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10"/>
      <c r="B468" s="10"/>
      <c r="C468" s="10"/>
      <c r="D468" s="10"/>
      <c r="E468" s="10"/>
      <c r="F468" s="10"/>
      <c r="G468" s="10"/>
      <c r="H468" s="10"/>
      <c r="I468" s="10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10"/>
      <c r="B469" s="10"/>
      <c r="C469" s="10"/>
      <c r="D469" s="10"/>
      <c r="E469" s="10"/>
      <c r="F469" s="10"/>
      <c r="G469" s="10"/>
      <c r="H469" s="10"/>
      <c r="I469" s="10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10"/>
      <c r="B470" s="10"/>
      <c r="C470" s="10"/>
      <c r="D470" s="10"/>
      <c r="E470" s="10"/>
      <c r="F470" s="10"/>
      <c r="G470" s="10"/>
      <c r="H470" s="10"/>
      <c r="I470" s="10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10"/>
      <c r="B471" s="10"/>
      <c r="C471" s="10"/>
      <c r="D471" s="10"/>
      <c r="E471" s="10"/>
      <c r="F471" s="10"/>
      <c r="G471" s="10"/>
      <c r="H471" s="10"/>
      <c r="I471" s="10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10"/>
      <c r="B472" s="10"/>
      <c r="C472" s="10"/>
      <c r="D472" s="10"/>
      <c r="E472" s="10"/>
      <c r="F472" s="10"/>
      <c r="G472" s="10"/>
      <c r="H472" s="10"/>
      <c r="I472" s="10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10"/>
      <c r="B473" s="10"/>
      <c r="C473" s="10"/>
      <c r="D473" s="10"/>
      <c r="E473" s="10"/>
      <c r="F473" s="10"/>
      <c r="G473" s="10"/>
      <c r="H473" s="10"/>
      <c r="I473" s="10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10"/>
      <c r="B474" s="10"/>
      <c r="C474" s="10"/>
      <c r="D474" s="10"/>
      <c r="E474" s="10"/>
      <c r="F474" s="10"/>
      <c r="G474" s="10"/>
      <c r="H474" s="10"/>
      <c r="I474" s="10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10"/>
      <c r="B475" s="10"/>
      <c r="C475" s="10"/>
      <c r="D475" s="10"/>
      <c r="E475" s="10"/>
      <c r="F475" s="10"/>
      <c r="G475" s="10"/>
      <c r="H475" s="10"/>
      <c r="I475" s="10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10"/>
      <c r="B476" s="10"/>
      <c r="C476" s="10"/>
      <c r="D476" s="10"/>
      <c r="E476" s="10"/>
      <c r="F476" s="10"/>
      <c r="G476" s="10"/>
      <c r="H476" s="10"/>
      <c r="I476" s="10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10"/>
      <c r="B477" s="10"/>
      <c r="C477" s="10"/>
      <c r="D477" s="10"/>
      <c r="E477" s="10"/>
      <c r="F477" s="10"/>
      <c r="G477" s="10"/>
      <c r="H477" s="10"/>
      <c r="I477" s="10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10"/>
      <c r="B478" s="10"/>
      <c r="C478" s="10"/>
      <c r="D478" s="10"/>
      <c r="E478" s="10"/>
      <c r="F478" s="10"/>
      <c r="G478" s="10"/>
      <c r="H478" s="10"/>
      <c r="I478" s="10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10"/>
      <c r="B479" s="10"/>
      <c r="C479" s="10"/>
      <c r="D479" s="10"/>
      <c r="E479" s="10"/>
      <c r="F479" s="10"/>
      <c r="G479" s="10"/>
      <c r="H479" s="10"/>
      <c r="I479" s="10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10"/>
      <c r="B480" s="10"/>
      <c r="C480" s="10"/>
      <c r="D480" s="10"/>
      <c r="E480" s="10"/>
      <c r="F480" s="10"/>
      <c r="G480" s="10"/>
      <c r="H480" s="10"/>
      <c r="I480" s="10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10"/>
      <c r="B481" s="10"/>
      <c r="C481" s="10"/>
      <c r="D481" s="10"/>
      <c r="E481" s="10"/>
      <c r="F481" s="10"/>
      <c r="G481" s="10"/>
      <c r="H481" s="10"/>
      <c r="I481" s="10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10"/>
      <c r="B482" s="10"/>
      <c r="C482" s="10"/>
      <c r="D482" s="10"/>
      <c r="E482" s="10"/>
      <c r="F482" s="10"/>
      <c r="G482" s="10"/>
      <c r="H482" s="10"/>
      <c r="I482" s="10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10"/>
      <c r="B483" s="10"/>
      <c r="C483" s="10"/>
      <c r="D483" s="10"/>
      <c r="E483" s="10"/>
      <c r="F483" s="10"/>
      <c r="G483" s="10"/>
      <c r="H483" s="10"/>
      <c r="I483" s="10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10"/>
      <c r="B484" s="10"/>
      <c r="C484" s="10"/>
      <c r="D484" s="10"/>
      <c r="E484" s="10"/>
      <c r="F484" s="10"/>
      <c r="G484" s="10"/>
      <c r="H484" s="10"/>
      <c r="I484" s="10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10"/>
      <c r="B485" s="10"/>
      <c r="C485" s="10"/>
      <c r="D485" s="10"/>
      <c r="E485" s="10"/>
      <c r="F485" s="10"/>
      <c r="G485" s="10"/>
      <c r="H485" s="10"/>
      <c r="I485" s="10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10"/>
      <c r="B486" s="10"/>
      <c r="C486" s="10"/>
      <c r="D486" s="10"/>
      <c r="E486" s="10"/>
      <c r="F486" s="10"/>
      <c r="G486" s="10"/>
      <c r="H486" s="10"/>
      <c r="I486" s="10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10"/>
      <c r="B487" s="10"/>
      <c r="C487" s="10"/>
      <c r="D487" s="10"/>
      <c r="E487" s="10"/>
      <c r="F487" s="10"/>
      <c r="G487" s="10"/>
      <c r="H487" s="10"/>
      <c r="I487" s="10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10"/>
      <c r="B488" s="10"/>
      <c r="C488" s="10"/>
      <c r="D488" s="10"/>
      <c r="E488" s="10"/>
      <c r="F488" s="10"/>
      <c r="G488" s="10"/>
      <c r="H488" s="10"/>
      <c r="I488" s="10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10"/>
      <c r="B489" s="10"/>
      <c r="C489" s="10"/>
      <c r="D489" s="10"/>
      <c r="E489" s="10"/>
      <c r="F489" s="10"/>
      <c r="G489" s="10"/>
      <c r="H489" s="10"/>
      <c r="I489" s="10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10"/>
      <c r="B490" s="10"/>
      <c r="C490" s="10"/>
      <c r="D490" s="10"/>
      <c r="E490" s="10"/>
      <c r="F490" s="10"/>
      <c r="G490" s="10"/>
      <c r="H490" s="10"/>
      <c r="I490" s="10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10"/>
      <c r="B491" s="10"/>
      <c r="C491" s="10"/>
      <c r="D491" s="10"/>
      <c r="E491" s="10"/>
      <c r="F491" s="10"/>
      <c r="G491" s="10"/>
      <c r="H491" s="10"/>
      <c r="I491" s="10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10"/>
      <c r="B492" s="10"/>
      <c r="C492" s="10"/>
      <c r="D492" s="10"/>
      <c r="E492" s="10"/>
      <c r="F492" s="10"/>
      <c r="G492" s="10"/>
      <c r="H492" s="10"/>
      <c r="I492" s="10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10"/>
      <c r="B493" s="10"/>
      <c r="C493" s="10"/>
      <c r="D493" s="10"/>
      <c r="E493" s="10"/>
      <c r="F493" s="10"/>
      <c r="G493" s="10"/>
      <c r="H493" s="10"/>
      <c r="I493" s="10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10"/>
      <c r="B494" s="10"/>
      <c r="C494" s="10"/>
      <c r="D494" s="10"/>
      <c r="E494" s="10"/>
      <c r="F494" s="10"/>
      <c r="G494" s="10"/>
      <c r="H494" s="10"/>
      <c r="I494" s="10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10"/>
      <c r="B495" s="10"/>
      <c r="C495" s="10"/>
      <c r="D495" s="10"/>
      <c r="E495" s="10"/>
      <c r="F495" s="10"/>
      <c r="G495" s="10"/>
      <c r="H495" s="10"/>
      <c r="I495" s="10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10"/>
      <c r="B496" s="10"/>
      <c r="C496" s="10"/>
      <c r="D496" s="10"/>
      <c r="E496" s="10"/>
      <c r="F496" s="10"/>
      <c r="G496" s="10"/>
      <c r="H496" s="10"/>
      <c r="I496" s="10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10"/>
      <c r="B497" s="10"/>
      <c r="C497" s="10"/>
      <c r="D497" s="10"/>
      <c r="E497" s="10"/>
      <c r="F497" s="10"/>
      <c r="G497" s="10"/>
      <c r="H497" s="10"/>
      <c r="I497" s="10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10"/>
      <c r="B498" s="10"/>
      <c r="C498" s="10"/>
      <c r="D498" s="10"/>
      <c r="E498" s="10"/>
      <c r="F498" s="10"/>
      <c r="G498" s="10"/>
      <c r="H498" s="10"/>
      <c r="I498" s="10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10"/>
      <c r="B499" s="10"/>
      <c r="C499" s="10"/>
      <c r="D499" s="10"/>
      <c r="E499" s="10"/>
      <c r="F499" s="10"/>
      <c r="G499" s="10"/>
      <c r="H499" s="10"/>
      <c r="I499" s="10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10"/>
      <c r="B500" s="10"/>
      <c r="C500" s="10"/>
      <c r="D500" s="10"/>
      <c r="E500" s="10"/>
      <c r="F500" s="10"/>
      <c r="G500" s="10"/>
      <c r="H500" s="10"/>
      <c r="I500" s="10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10"/>
      <c r="B501" s="10"/>
      <c r="C501" s="10"/>
      <c r="D501" s="10"/>
      <c r="E501" s="10"/>
      <c r="F501" s="10"/>
      <c r="G501" s="10"/>
      <c r="H501" s="10"/>
      <c r="I501" s="10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10"/>
      <c r="B502" s="10"/>
      <c r="C502" s="10"/>
      <c r="D502" s="10"/>
      <c r="E502" s="10"/>
      <c r="F502" s="10"/>
      <c r="G502" s="10"/>
      <c r="H502" s="10"/>
      <c r="I502" s="10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10"/>
      <c r="B503" s="10"/>
      <c r="C503" s="10"/>
      <c r="D503" s="10"/>
      <c r="E503" s="10"/>
      <c r="F503" s="10"/>
      <c r="G503" s="10"/>
      <c r="H503" s="10"/>
      <c r="I503" s="10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10"/>
      <c r="B504" s="10"/>
      <c r="C504" s="10"/>
      <c r="D504" s="10"/>
      <c r="E504" s="10"/>
      <c r="F504" s="10"/>
      <c r="G504" s="10"/>
      <c r="H504" s="10"/>
      <c r="I504" s="10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10"/>
      <c r="B505" s="10"/>
      <c r="C505" s="10"/>
      <c r="D505" s="10"/>
      <c r="E505" s="10"/>
      <c r="F505" s="10"/>
      <c r="G505" s="10"/>
      <c r="H505" s="10"/>
      <c r="I505" s="10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10"/>
      <c r="B506" s="10"/>
      <c r="C506" s="10"/>
      <c r="D506" s="10"/>
      <c r="E506" s="10"/>
      <c r="F506" s="10"/>
      <c r="G506" s="10"/>
      <c r="H506" s="10"/>
      <c r="I506" s="10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10"/>
      <c r="B507" s="10"/>
      <c r="C507" s="10"/>
      <c r="D507" s="10"/>
      <c r="E507" s="10"/>
      <c r="F507" s="10"/>
      <c r="G507" s="10"/>
      <c r="H507" s="10"/>
      <c r="I507" s="10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10"/>
      <c r="B508" s="10"/>
      <c r="C508" s="10"/>
      <c r="D508" s="10"/>
      <c r="E508" s="10"/>
      <c r="F508" s="10"/>
      <c r="G508" s="10"/>
      <c r="H508" s="10"/>
      <c r="I508" s="10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10"/>
      <c r="B509" s="10"/>
      <c r="C509" s="10"/>
      <c r="D509" s="10"/>
      <c r="E509" s="10"/>
      <c r="F509" s="10"/>
      <c r="G509" s="10"/>
      <c r="H509" s="10"/>
      <c r="I509" s="10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10"/>
      <c r="B510" s="10"/>
      <c r="C510" s="10"/>
      <c r="D510" s="10"/>
      <c r="E510" s="10"/>
      <c r="F510" s="10"/>
      <c r="G510" s="10"/>
      <c r="H510" s="10"/>
      <c r="I510" s="10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10"/>
      <c r="B511" s="10"/>
      <c r="C511" s="10"/>
      <c r="D511" s="10"/>
      <c r="E511" s="10"/>
      <c r="F511" s="10"/>
      <c r="G511" s="10"/>
      <c r="H511" s="10"/>
      <c r="I511" s="10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10"/>
      <c r="B512" s="10"/>
      <c r="C512" s="10"/>
      <c r="D512" s="10"/>
      <c r="E512" s="10"/>
      <c r="F512" s="10"/>
      <c r="G512" s="10"/>
      <c r="H512" s="10"/>
      <c r="I512" s="10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10"/>
      <c r="B513" s="10"/>
      <c r="C513" s="10"/>
      <c r="D513" s="10"/>
      <c r="E513" s="10"/>
      <c r="F513" s="10"/>
      <c r="G513" s="10"/>
      <c r="H513" s="10"/>
      <c r="I513" s="10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10"/>
      <c r="B514" s="10"/>
      <c r="C514" s="10"/>
      <c r="D514" s="10"/>
      <c r="E514" s="10"/>
      <c r="F514" s="10"/>
      <c r="G514" s="10"/>
      <c r="H514" s="10"/>
      <c r="I514" s="10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10"/>
      <c r="B515" s="10"/>
      <c r="C515" s="10"/>
      <c r="D515" s="10"/>
      <c r="E515" s="10"/>
      <c r="F515" s="10"/>
      <c r="G515" s="10"/>
      <c r="H515" s="10"/>
      <c r="I515" s="10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10"/>
      <c r="B516" s="10"/>
      <c r="C516" s="10"/>
      <c r="D516" s="10"/>
      <c r="E516" s="10"/>
      <c r="F516" s="10"/>
      <c r="G516" s="10"/>
      <c r="H516" s="10"/>
      <c r="I516" s="10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10"/>
      <c r="B517" s="10"/>
      <c r="C517" s="10"/>
      <c r="D517" s="10"/>
      <c r="E517" s="10"/>
      <c r="F517" s="10"/>
      <c r="G517" s="10"/>
      <c r="H517" s="10"/>
      <c r="I517" s="10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10"/>
      <c r="B518" s="10"/>
      <c r="C518" s="10"/>
      <c r="D518" s="10"/>
      <c r="E518" s="10"/>
      <c r="F518" s="10"/>
      <c r="G518" s="10"/>
      <c r="H518" s="10"/>
      <c r="I518" s="10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10"/>
      <c r="B519" s="10"/>
      <c r="C519" s="10"/>
      <c r="D519" s="10"/>
      <c r="E519" s="10"/>
      <c r="F519" s="10"/>
      <c r="G519" s="10"/>
      <c r="H519" s="10"/>
      <c r="I519" s="10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10"/>
      <c r="B520" s="10"/>
      <c r="C520" s="10"/>
      <c r="D520" s="10"/>
      <c r="E520" s="10"/>
      <c r="F520" s="10"/>
      <c r="G520" s="10"/>
      <c r="H520" s="10"/>
      <c r="I520" s="10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10"/>
      <c r="B521" s="10"/>
      <c r="C521" s="10"/>
      <c r="D521" s="10"/>
      <c r="E521" s="10"/>
      <c r="F521" s="10"/>
      <c r="G521" s="10"/>
      <c r="H521" s="10"/>
      <c r="I521" s="10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10"/>
      <c r="B522" s="10"/>
      <c r="C522" s="10"/>
      <c r="D522" s="10"/>
      <c r="E522" s="10"/>
      <c r="F522" s="10"/>
      <c r="G522" s="10"/>
      <c r="H522" s="10"/>
      <c r="I522" s="10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10"/>
      <c r="B523" s="10"/>
      <c r="C523" s="10"/>
      <c r="D523" s="10"/>
      <c r="E523" s="10"/>
      <c r="F523" s="10"/>
      <c r="G523" s="10"/>
      <c r="H523" s="10"/>
      <c r="I523" s="10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10"/>
      <c r="B524" s="10"/>
      <c r="C524" s="10"/>
      <c r="D524" s="10"/>
      <c r="E524" s="10"/>
      <c r="F524" s="10"/>
      <c r="G524" s="10"/>
      <c r="H524" s="10"/>
      <c r="I524" s="10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10"/>
      <c r="B525" s="10"/>
      <c r="C525" s="10"/>
      <c r="D525" s="10"/>
      <c r="E525" s="10"/>
      <c r="F525" s="10"/>
      <c r="G525" s="10"/>
      <c r="H525" s="10"/>
      <c r="I525" s="10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10"/>
      <c r="B526" s="10"/>
      <c r="C526" s="10"/>
      <c r="D526" s="10"/>
      <c r="E526" s="10"/>
      <c r="F526" s="10"/>
      <c r="G526" s="10"/>
      <c r="H526" s="10"/>
      <c r="I526" s="10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10"/>
      <c r="B527" s="10"/>
      <c r="C527" s="10"/>
      <c r="D527" s="10"/>
      <c r="E527" s="10"/>
      <c r="F527" s="10"/>
      <c r="G527" s="10"/>
      <c r="H527" s="10"/>
      <c r="I527" s="10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10"/>
      <c r="B528" s="10"/>
      <c r="C528" s="10"/>
      <c r="D528" s="10"/>
      <c r="E528" s="10"/>
      <c r="F528" s="10"/>
      <c r="G528" s="10"/>
      <c r="H528" s="10"/>
      <c r="I528" s="10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10"/>
      <c r="B529" s="10"/>
      <c r="C529" s="10"/>
      <c r="D529" s="10"/>
      <c r="E529" s="10"/>
      <c r="F529" s="10"/>
      <c r="G529" s="10"/>
      <c r="H529" s="10"/>
      <c r="I529" s="10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10"/>
      <c r="B530" s="10"/>
      <c r="C530" s="10"/>
      <c r="D530" s="10"/>
      <c r="E530" s="10"/>
      <c r="F530" s="10"/>
      <c r="G530" s="10"/>
      <c r="H530" s="10"/>
      <c r="I530" s="10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10"/>
      <c r="B531" s="10"/>
      <c r="C531" s="10"/>
      <c r="D531" s="10"/>
      <c r="E531" s="10"/>
      <c r="F531" s="10"/>
      <c r="G531" s="10"/>
      <c r="H531" s="10"/>
      <c r="I531" s="10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10"/>
      <c r="B532" s="10"/>
      <c r="C532" s="10"/>
      <c r="D532" s="10"/>
      <c r="E532" s="10"/>
      <c r="F532" s="10"/>
      <c r="G532" s="10"/>
      <c r="H532" s="10"/>
      <c r="I532" s="10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10"/>
      <c r="B533" s="10"/>
      <c r="C533" s="10"/>
      <c r="D533" s="10"/>
      <c r="E533" s="10"/>
      <c r="F533" s="10"/>
      <c r="G533" s="10"/>
      <c r="H533" s="10"/>
      <c r="I533" s="10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10"/>
      <c r="B534" s="10"/>
      <c r="C534" s="10"/>
      <c r="D534" s="10"/>
      <c r="E534" s="10"/>
      <c r="F534" s="10"/>
      <c r="G534" s="10"/>
      <c r="H534" s="10"/>
      <c r="I534" s="10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10"/>
      <c r="B535" s="10"/>
      <c r="C535" s="10"/>
      <c r="D535" s="10"/>
      <c r="E535" s="10"/>
      <c r="F535" s="10"/>
      <c r="G535" s="10"/>
      <c r="H535" s="10"/>
      <c r="I535" s="10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10"/>
      <c r="B536" s="10"/>
      <c r="C536" s="10"/>
      <c r="D536" s="10"/>
      <c r="E536" s="10"/>
      <c r="F536" s="10"/>
      <c r="G536" s="10"/>
      <c r="H536" s="10"/>
      <c r="I536" s="10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10"/>
      <c r="B537" s="10"/>
      <c r="C537" s="10"/>
      <c r="D537" s="10"/>
      <c r="E537" s="10"/>
      <c r="F537" s="10"/>
      <c r="G537" s="10"/>
      <c r="H537" s="10"/>
      <c r="I537" s="10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10"/>
      <c r="B538" s="10"/>
      <c r="C538" s="10"/>
      <c r="D538" s="10"/>
      <c r="E538" s="10"/>
      <c r="F538" s="10"/>
      <c r="G538" s="10"/>
      <c r="H538" s="10"/>
      <c r="I538" s="10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10"/>
      <c r="B539" s="10"/>
      <c r="C539" s="10"/>
      <c r="D539" s="10"/>
      <c r="E539" s="10"/>
      <c r="F539" s="10"/>
      <c r="G539" s="10"/>
      <c r="H539" s="10"/>
      <c r="I539" s="10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10"/>
      <c r="B540" s="10"/>
      <c r="C540" s="10"/>
      <c r="D540" s="10"/>
      <c r="E540" s="10"/>
      <c r="F540" s="10"/>
      <c r="G540" s="10"/>
      <c r="H540" s="10"/>
      <c r="I540" s="10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10"/>
      <c r="B541" s="10"/>
      <c r="C541" s="10"/>
      <c r="D541" s="10"/>
      <c r="E541" s="10"/>
      <c r="F541" s="10"/>
      <c r="G541" s="10"/>
      <c r="H541" s="10"/>
      <c r="I541" s="10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10"/>
      <c r="B542" s="10"/>
      <c r="C542" s="10"/>
      <c r="D542" s="10"/>
      <c r="E542" s="10"/>
      <c r="F542" s="10"/>
      <c r="G542" s="10"/>
      <c r="H542" s="10"/>
      <c r="I542" s="10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10"/>
      <c r="B543" s="10"/>
      <c r="C543" s="10"/>
      <c r="D543" s="10"/>
      <c r="E543" s="10"/>
      <c r="F543" s="10"/>
      <c r="G543" s="10"/>
      <c r="H543" s="10"/>
      <c r="I543" s="10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10"/>
      <c r="B544" s="10"/>
      <c r="C544" s="10"/>
      <c r="D544" s="10"/>
      <c r="E544" s="10"/>
      <c r="F544" s="10"/>
      <c r="G544" s="10"/>
      <c r="H544" s="10"/>
      <c r="I544" s="10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10"/>
      <c r="B545" s="10"/>
      <c r="C545" s="10"/>
      <c r="D545" s="10"/>
      <c r="E545" s="10"/>
      <c r="F545" s="10"/>
      <c r="G545" s="10"/>
      <c r="H545" s="10"/>
      <c r="I545" s="10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10"/>
      <c r="B546" s="10"/>
      <c r="C546" s="10"/>
      <c r="D546" s="10"/>
      <c r="E546" s="10"/>
      <c r="F546" s="10"/>
      <c r="G546" s="10"/>
      <c r="H546" s="10"/>
      <c r="I546" s="10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10"/>
      <c r="B547" s="10"/>
      <c r="C547" s="10"/>
      <c r="D547" s="10"/>
      <c r="E547" s="10"/>
      <c r="F547" s="10"/>
      <c r="G547" s="10"/>
      <c r="H547" s="10"/>
      <c r="I547" s="10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10"/>
      <c r="B548" s="10"/>
      <c r="C548" s="10"/>
      <c r="D548" s="10"/>
      <c r="E548" s="10"/>
      <c r="F548" s="10"/>
      <c r="G548" s="10"/>
      <c r="H548" s="10"/>
      <c r="I548" s="10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10"/>
      <c r="B549" s="10"/>
      <c r="C549" s="10"/>
      <c r="D549" s="10"/>
      <c r="E549" s="10"/>
      <c r="F549" s="10"/>
      <c r="G549" s="10"/>
      <c r="H549" s="10"/>
      <c r="I549" s="10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10"/>
      <c r="B550" s="10"/>
      <c r="C550" s="10"/>
      <c r="D550" s="10"/>
      <c r="E550" s="10"/>
      <c r="F550" s="10"/>
      <c r="G550" s="10"/>
      <c r="H550" s="10"/>
      <c r="I550" s="10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10"/>
      <c r="B551" s="10"/>
      <c r="C551" s="10"/>
      <c r="D551" s="10"/>
      <c r="E551" s="10"/>
      <c r="F551" s="10"/>
      <c r="G551" s="10"/>
      <c r="H551" s="10"/>
      <c r="I551" s="10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10"/>
      <c r="B552" s="10"/>
      <c r="C552" s="10"/>
      <c r="D552" s="10"/>
      <c r="E552" s="10"/>
      <c r="F552" s="10"/>
      <c r="G552" s="10"/>
      <c r="H552" s="10"/>
      <c r="I552" s="10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10"/>
      <c r="B553" s="10"/>
      <c r="C553" s="10"/>
      <c r="D553" s="10"/>
      <c r="E553" s="10"/>
      <c r="F553" s="10"/>
      <c r="G553" s="10"/>
      <c r="H553" s="10"/>
      <c r="I553" s="10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10"/>
      <c r="B554" s="10"/>
      <c r="C554" s="10"/>
      <c r="D554" s="10"/>
      <c r="E554" s="10"/>
      <c r="F554" s="10"/>
      <c r="G554" s="10"/>
      <c r="H554" s="10"/>
      <c r="I554" s="10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10"/>
      <c r="B555" s="10"/>
      <c r="C555" s="10"/>
      <c r="D555" s="10"/>
      <c r="E555" s="10"/>
      <c r="F555" s="10"/>
      <c r="G555" s="10"/>
      <c r="H555" s="10"/>
      <c r="I555" s="10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10"/>
      <c r="B556" s="10"/>
      <c r="C556" s="10"/>
      <c r="D556" s="10"/>
      <c r="E556" s="10"/>
      <c r="F556" s="10"/>
      <c r="G556" s="10"/>
      <c r="H556" s="10"/>
      <c r="I556" s="10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10"/>
      <c r="B557" s="10"/>
      <c r="C557" s="10"/>
      <c r="D557" s="10"/>
      <c r="E557" s="10"/>
      <c r="F557" s="10"/>
      <c r="G557" s="10"/>
      <c r="H557" s="10"/>
      <c r="I557" s="10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10"/>
      <c r="B558" s="10"/>
      <c r="C558" s="10"/>
      <c r="D558" s="10"/>
      <c r="E558" s="10"/>
      <c r="F558" s="10"/>
      <c r="G558" s="10"/>
      <c r="H558" s="10"/>
      <c r="I558" s="10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10"/>
      <c r="B559" s="10"/>
      <c r="C559" s="10"/>
      <c r="D559" s="10"/>
      <c r="E559" s="10"/>
      <c r="F559" s="10"/>
      <c r="G559" s="10"/>
      <c r="H559" s="10"/>
      <c r="I559" s="10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10"/>
      <c r="B560" s="10"/>
      <c r="C560" s="10"/>
      <c r="D560" s="10"/>
      <c r="E560" s="10"/>
      <c r="F560" s="10"/>
      <c r="G560" s="10"/>
      <c r="H560" s="10"/>
      <c r="I560" s="10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10"/>
      <c r="B561" s="10"/>
      <c r="C561" s="10"/>
      <c r="D561" s="10"/>
      <c r="E561" s="10"/>
      <c r="F561" s="10"/>
      <c r="G561" s="10"/>
      <c r="H561" s="10"/>
      <c r="I561" s="10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10"/>
      <c r="B562" s="10"/>
      <c r="C562" s="10"/>
      <c r="D562" s="10"/>
      <c r="E562" s="10"/>
      <c r="F562" s="10"/>
      <c r="G562" s="10"/>
      <c r="H562" s="10"/>
      <c r="I562" s="10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10"/>
      <c r="B563" s="10"/>
      <c r="C563" s="10"/>
      <c r="D563" s="10"/>
      <c r="E563" s="10"/>
      <c r="F563" s="10"/>
      <c r="G563" s="10"/>
      <c r="H563" s="10"/>
      <c r="I563" s="10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10"/>
      <c r="B564" s="10"/>
      <c r="C564" s="10"/>
      <c r="D564" s="10"/>
      <c r="E564" s="10"/>
      <c r="F564" s="10"/>
      <c r="G564" s="10"/>
      <c r="H564" s="10"/>
      <c r="I564" s="10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10"/>
      <c r="B565" s="10"/>
      <c r="C565" s="10"/>
      <c r="D565" s="10"/>
      <c r="E565" s="10"/>
      <c r="F565" s="10"/>
      <c r="G565" s="10"/>
      <c r="H565" s="10"/>
      <c r="I565" s="10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10"/>
      <c r="B566" s="10"/>
      <c r="C566" s="10"/>
      <c r="D566" s="10"/>
      <c r="E566" s="10"/>
      <c r="F566" s="10"/>
      <c r="G566" s="10"/>
      <c r="H566" s="10"/>
      <c r="I566" s="10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10"/>
      <c r="B567" s="10"/>
      <c r="C567" s="10"/>
      <c r="D567" s="10"/>
      <c r="E567" s="10"/>
      <c r="F567" s="10"/>
      <c r="G567" s="10"/>
      <c r="H567" s="10"/>
      <c r="I567" s="10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10"/>
      <c r="B568" s="10"/>
      <c r="C568" s="10"/>
      <c r="D568" s="10"/>
      <c r="E568" s="10"/>
      <c r="F568" s="10"/>
      <c r="G568" s="10"/>
      <c r="H568" s="10"/>
      <c r="I568" s="10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10"/>
      <c r="B569" s="10"/>
      <c r="C569" s="10"/>
      <c r="D569" s="10"/>
      <c r="E569" s="10"/>
      <c r="F569" s="10"/>
      <c r="G569" s="10"/>
      <c r="H569" s="10"/>
      <c r="I569" s="10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10"/>
      <c r="B570" s="10"/>
      <c r="C570" s="10"/>
      <c r="D570" s="10"/>
      <c r="E570" s="10"/>
      <c r="F570" s="10"/>
      <c r="G570" s="10"/>
      <c r="H570" s="10"/>
      <c r="I570" s="10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10"/>
      <c r="B571" s="10"/>
      <c r="C571" s="10"/>
      <c r="D571" s="10"/>
      <c r="E571" s="10"/>
      <c r="F571" s="10"/>
      <c r="G571" s="10"/>
      <c r="H571" s="10"/>
      <c r="I571" s="10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10"/>
      <c r="B572" s="10"/>
      <c r="C572" s="10"/>
      <c r="D572" s="10"/>
      <c r="E572" s="10"/>
      <c r="F572" s="10"/>
      <c r="G572" s="10"/>
      <c r="H572" s="10"/>
      <c r="I572" s="10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10"/>
      <c r="B573" s="10"/>
      <c r="C573" s="10"/>
      <c r="D573" s="10"/>
      <c r="E573" s="10"/>
      <c r="F573" s="10"/>
      <c r="G573" s="10"/>
      <c r="H573" s="10"/>
      <c r="I573" s="10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10"/>
      <c r="B574" s="10"/>
      <c r="C574" s="10"/>
      <c r="D574" s="10"/>
      <c r="E574" s="10"/>
      <c r="F574" s="10"/>
      <c r="G574" s="10"/>
      <c r="H574" s="10"/>
      <c r="I574" s="10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10"/>
      <c r="B575" s="10"/>
      <c r="C575" s="10"/>
      <c r="D575" s="10"/>
      <c r="E575" s="10"/>
      <c r="F575" s="10"/>
      <c r="G575" s="10"/>
      <c r="H575" s="10"/>
      <c r="I575" s="10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10"/>
      <c r="B576" s="10"/>
      <c r="C576" s="10"/>
      <c r="D576" s="10"/>
      <c r="E576" s="10"/>
      <c r="F576" s="10"/>
      <c r="G576" s="10"/>
      <c r="H576" s="10"/>
      <c r="I576" s="10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10"/>
      <c r="B577" s="10"/>
      <c r="C577" s="10"/>
      <c r="D577" s="10"/>
      <c r="E577" s="10"/>
      <c r="F577" s="10"/>
      <c r="G577" s="10"/>
      <c r="H577" s="10"/>
      <c r="I577" s="10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10"/>
      <c r="B578" s="10"/>
      <c r="C578" s="10"/>
      <c r="D578" s="10"/>
      <c r="E578" s="10"/>
      <c r="F578" s="10"/>
      <c r="G578" s="10"/>
      <c r="H578" s="10"/>
      <c r="I578" s="10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10"/>
      <c r="B579" s="10"/>
      <c r="C579" s="10"/>
      <c r="D579" s="10"/>
      <c r="E579" s="10"/>
      <c r="F579" s="10"/>
      <c r="G579" s="10"/>
      <c r="H579" s="10"/>
      <c r="I579" s="10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10"/>
      <c r="B580" s="10"/>
      <c r="C580" s="10"/>
      <c r="D580" s="10"/>
      <c r="E580" s="10"/>
      <c r="F580" s="10"/>
      <c r="G580" s="10"/>
      <c r="H580" s="10"/>
      <c r="I580" s="10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10"/>
      <c r="B581" s="10"/>
      <c r="C581" s="10"/>
      <c r="D581" s="10"/>
      <c r="E581" s="10"/>
      <c r="F581" s="10"/>
      <c r="G581" s="10"/>
      <c r="H581" s="10"/>
      <c r="I581" s="10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10"/>
      <c r="B582" s="10"/>
      <c r="C582" s="10"/>
      <c r="D582" s="10"/>
      <c r="E582" s="10"/>
      <c r="F582" s="10"/>
      <c r="G582" s="10"/>
      <c r="H582" s="10"/>
      <c r="I582" s="10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10"/>
      <c r="B583" s="10"/>
      <c r="C583" s="10"/>
      <c r="D583" s="10"/>
      <c r="E583" s="10"/>
      <c r="F583" s="10"/>
      <c r="G583" s="10"/>
      <c r="H583" s="10"/>
      <c r="I583" s="10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10"/>
      <c r="B584" s="10"/>
      <c r="C584" s="10"/>
      <c r="D584" s="10"/>
      <c r="E584" s="10"/>
      <c r="F584" s="10"/>
      <c r="G584" s="10"/>
      <c r="H584" s="10"/>
      <c r="I584" s="10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10"/>
      <c r="B585" s="10"/>
      <c r="C585" s="10"/>
      <c r="D585" s="10"/>
      <c r="E585" s="10"/>
      <c r="F585" s="10"/>
      <c r="G585" s="10"/>
      <c r="H585" s="10"/>
      <c r="I585" s="10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10"/>
      <c r="B586" s="10"/>
      <c r="C586" s="10"/>
      <c r="D586" s="10"/>
      <c r="E586" s="10"/>
      <c r="F586" s="10"/>
      <c r="G586" s="10"/>
      <c r="H586" s="10"/>
      <c r="I586" s="10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10"/>
      <c r="B587" s="10"/>
      <c r="C587" s="10"/>
      <c r="D587" s="10"/>
      <c r="E587" s="10"/>
      <c r="F587" s="10"/>
      <c r="G587" s="10"/>
      <c r="H587" s="10"/>
      <c r="I587" s="10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10"/>
      <c r="B588" s="10"/>
      <c r="C588" s="10"/>
      <c r="D588" s="10"/>
      <c r="E588" s="10"/>
      <c r="F588" s="10"/>
      <c r="G588" s="10"/>
      <c r="H588" s="10"/>
      <c r="I588" s="10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10"/>
      <c r="B589" s="10"/>
      <c r="C589" s="10"/>
      <c r="D589" s="10"/>
      <c r="E589" s="10"/>
      <c r="F589" s="10"/>
      <c r="G589" s="10"/>
      <c r="H589" s="10"/>
      <c r="I589" s="10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10"/>
      <c r="B590" s="10"/>
      <c r="C590" s="10"/>
      <c r="D590" s="10"/>
      <c r="E590" s="10"/>
      <c r="F590" s="10"/>
      <c r="G590" s="10"/>
      <c r="H590" s="10"/>
      <c r="I590" s="10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10"/>
      <c r="B591" s="10"/>
      <c r="C591" s="10"/>
      <c r="D591" s="10"/>
      <c r="E591" s="10"/>
      <c r="F591" s="10"/>
      <c r="G591" s="10"/>
      <c r="H591" s="10"/>
      <c r="I591" s="10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10"/>
      <c r="B592" s="10"/>
      <c r="C592" s="10"/>
      <c r="D592" s="10"/>
      <c r="E592" s="10"/>
      <c r="F592" s="10"/>
      <c r="G592" s="10"/>
      <c r="H592" s="10"/>
      <c r="I592" s="10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10"/>
      <c r="B593" s="10"/>
      <c r="C593" s="10"/>
      <c r="D593" s="10"/>
      <c r="E593" s="10"/>
      <c r="F593" s="10"/>
      <c r="G593" s="10"/>
      <c r="H593" s="10"/>
      <c r="I593" s="10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10"/>
      <c r="B594" s="10"/>
      <c r="C594" s="10"/>
      <c r="D594" s="10"/>
      <c r="E594" s="10"/>
      <c r="F594" s="10"/>
      <c r="G594" s="10"/>
      <c r="H594" s="10"/>
      <c r="I594" s="10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10"/>
      <c r="B595" s="10"/>
      <c r="C595" s="10"/>
      <c r="D595" s="10"/>
      <c r="E595" s="10"/>
      <c r="F595" s="10"/>
      <c r="G595" s="10"/>
      <c r="H595" s="10"/>
      <c r="I595" s="10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10"/>
      <c r="B596" s="10"/>
      <c r="C596" s="10"/>
      <c r="D596" s="10"/>
      <c r="E596" s="10"/>
      <c r="F596" s="10"/>
      <c r="G596" s="10"/>
      <c r="H596" s="10"/>
      <c r="I596" s="10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10"/>
      <c r="B597" s="10"/>
      <c r="C597" s="10"/>
      <c r="D597" s="10"/>
      <c r="E597" s="10"/>
      <c r="F597" s="10"/>
      <c r="G597" s="10"/>
      <c r="H597" s="10"/>
      <c r="I597" s="10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10"/>
      <c r="B598" s="10"/>
      <c r="C598" s="10"/>
      <c r="D598" s="10"/>
      <c r="E598" s="10"/>
      <c r="F598" s="10"/>
      <c r="G598" s="10"/>
      <c r="H598" s="10"/>
      <c r="I598" s="10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10"/>
      <c r="B599" s="10"/>
      <c r="C599" s="10"/>
      <c r="D599" s="10"/>
      <c r="E599" s="10"/>
      <c r="F599" s="10"/>
      <c r="G599" s="10"/>
      <c r="H599" s="10"/>
      <c r="I599" s="10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10"/>
      <c r="B600" s="10"/>
      <c r="C600" s="10"/>
      <c r="D600" s="10"/>
      <c r="E600" s="10"/>
      <c r="F600" s="10"/>
      <c r="G600" s="10"/>
      <c r="H600" s="10"/>
      <c r="I600" s="10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10"/>
      <c r="B601" s="10"/>
      <c r="C601" s="10"/>
      <c r="D601" s="10"/>
      <c r="E601" s="10"/>
      <c r="F601" s="10"/>
      <c r="G601" s="10"/>
      <c r="H601" s="10"/>
      <c r="I601" s="10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10"/>
      <c r="B602" s="10"/>
      <c r="C602" s="10"/>
      <c r="D602" s="10"/>
      <c r="E602" s="10"/>
      <c r="F602" s="10"/>
      <c r="G602" s="10"/>
      <c r="H602" s="10"/>
      <c r="I602" s="10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10"/>
      <c r="B603" s="10"/>
      <c r="C603" s="10"/>
      <c r="D603" s="10"/>
      <c r="E603" s="10"/>
      <c r="F603" s="10"/>
      <c r="G603" s="10"/>
      <c r="H603" s="10"/>
      <c r="I603" s="10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10"/>
      <c r="B604" s="10"/>
      <c r="C604" s="10"/>
      <c r="D604" s="10"/>
      <c r="E604" s="10"/>
      <c r="F604" s="10"/>
      <c r="G604" s="10"/>
      <c r="H604" s="10"/>
      <c r="I604" s="10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10"/>
      <c r="B605" s="10"/>
      <c r="C605" s="10"/>
      <c r="D605" s="10"/>
      <c r="E605" s="10"/>
      <c r="F605" s="10"/>
      <c r="G605" s="10"/>
      <c r="H605" s="10"/>
      <c r="I605" s="10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10"/>
      <c r="B606" s="10"/>
      <c r="C606" s="10"/>
      <c r="D606" s="10"/>
      <c r="E606" s="10"/>
      <c r="F606" s="10"/>
      <c r="G606" s="10"/>
      <c r="H606" s="10"/>
      <c r="I606" s="10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10"/>
      <c r="B607" s="10"/>
      <c r="C607" s="10"/>
      <c r="D607" s="10"/>
      <c r="E607" s="10"/>
      <c r="F607" s="10"/>
      <c r="G607" s="10"/>
      <c r="H607" s="10"/>
      <c r="I607" s="10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10"/>
      <c r="B608" s="10"/>
      <c r="C608" s="10"/>
      <c r="D608" s="10"/>
      <c r="E608" s="10"/>
      <c r="F608" s="10"/>
      <c r="G608" s="10"/>
      <c r="H608" s="10"/>
      <c r="I608" s="10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10"/>
      <c r="B609" s="10"/>
      <c r="C609" s="10"/>
      <c r="D609" s="10"/>
      <c r="E609" s="10"/>
      <c r="F609" s="10"/>
      <c r="G609" s="10"/>
      <c r="H609" s="10"/>
      <c r="I609" s="10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10"/>
      <c r="B610" s="10"/>
      <c r="C610" s="10"/>
      <c r="D610" s="10"/>
      <c r="E610" s="10"/>
      <c r="F610" s="10"/>
      <c r="G610" s="10"/>
      <c r="H610" s="10"/>
      <c r="I610" s="10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10"/>
      <c r="B611" s="10"/>
      <c r="C611" s="10"/>
      <c r="D611" s="10"/>
      <c r="E611" s="10"/>
      <c r="F611" s="10"/>
      <c r="G611" s="10"/>
      <c r="H611" s="10"/>
      <c r="I611" s="10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10"/>
      <c r="B612" s="10"/>
      <c r="C612" s="10"/>
      <c r="D612" s="10"/>
      <c r="E612" s="10"/>
      <c r="F612" s="10"/>
      <c r="G612" s="10"/>
      <c r="H612" s="10"/>
      <c r="I612" s="10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10"/>
      <c r="B613" s="10"/>
      <c r="C613" s="10"/>
      <c r="D613" s="10"/>
      <c r="E613" s="10"/>
      <c r="F613" s="10"/>
      <c r="G613" s="10"/>
      <c r="H613" s="10"/>
      <c r="I613" s="10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10"/>
      <c r="B614" s="10"/>
      <c r="C614" s="10"/>
      <c r="D614" s="10"/>
      <c r="E614" s="10"/>
      <c r="F614" s="10"/>
      <c r="G614" s="10"/>
      <c r="H614" s="10"/>
      <c r="I614" s="10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10"/>
      <c r="B615" s="10"/>
      <c r="C615" s="10"/>
      <c r="D615" s="10"/>
      <c r="E615" s="10"/>
      <c r="F615" s="10"/>
      <c r="G615" s="10"/>
      <c r="H615" s="10"/>
      <c r="I615" s="10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10"/>
      <c r="B616" s="10"/>
      <c r="C616" s="10"/>
      <c r="D616" s="10"/>
      <c r="E616" s="10"/>
      <c r="F616" s="10"/>
      <c r="G616" s="10"/>
      <c r="H616" s="10"/>
      <c r="I616" s="10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10"/>
      <c r="B617" s="10"/>
      <c r="C617" s="10"/>
      <c r="D617" s="10"/>
      <c r="E617" s="10"/>
      <c r="F617" s="10"/>
      <c r="G617" s="10"/>
      <c r="H617" s="10"/>
      <c r="I617" s="10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10"/>
      <c r="B618" s="10"/>
      <c r="C618" s="10"/>
      <c r="D618" s="10"/>
      <c r="E618" s="10"/>
      <c r="F618" s="10"/>
      <c r="G618" s="10"/>
      <c r="H618" s="10"/>
      <c r="I618" s="10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10"/>
      <c r="B619" s="10"/>
      <c r="C619" s="10"/>
      <c r="D619" s="10"/>
      <c r="E619" s="10"/>
      <c r="F619" s="10"/>
      <c r="G619" s="10"/>
      <c r="H619" s="10"/>
      <c r="I619" s="10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10"/>
      <c r="B620" s="10"/>
      <c r="C620" s="10"/>
      <c r="D620" s="10"/>
      <c r="E620" s="10"/>
      <c r="F620" s="10"/>
      <c r="G620" s="10"/>
      <c r="H620" s="10"/>
      <c r="I620" s="10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10"/>
      <c r="B621" s="10"/>
      <c r="C621" s="10"/>
      <c r="D621" s="10"/>
      <c r="E621" s="10"/>
      <c r="F621" s="10"/>
      <c r="G621" s="10"/>
      <c r="H621" s="10"/>
      <c r="I621" s="10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10"/>
      <c r="B622" s="10"/>
      <c r="C622" s="10"/>
      <c r="D622" s="10"/>
      <c r="E622" s="10"/>
      <c r="F622" s="10"/>
      <c r="G622" s="10"/>
      <c r="H622" s="10"/>
      <c r="I622" s="10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10"/>
      <c r="B623" s="10"/>
      <c r="C623" s="10"/>
      <c r="D623" s="10"/>
      <c r="E623" s="10"/>
      <c r="F623" s="10"/>
      <c r="G623" s="10"/>
      <c r="H623" s="10"/>
      <c r="I623" s="10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10"/>
      <c r="B624" s="10"/>
      <c r="C624" s="10"/>
      <c r="D624" s="10"/>
      <c r="E624" s="10"/>
      <c r="F624" s="10"/>
      <c r="G624" s="10"/>
      <c r="H624" s="10"/>
      <c r="I624" s="10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10"/>
      <c r="B625" s="10"/>
      <c r="C625" s="10"/>
      <c r="D625" s="10"/>
      <c r="E625" s="10"/>
      <c r="F625" s="10"/>
      <c r="G625" s="10"/>
      <c r="H625" s="10"/>
      <c r="I625" s="10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10"/>
      <c r="B626" s="10"/>
      <c r="C626" s="10"/>
      <c r="D626" s="10"/>
      <c r="E626" s="10"/>
      <c r="F626" s="10"/>
      <c r="G626" s="10"/>
      <c r="H626" s="10"/>
      <c r="I626" s="10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10"/>
      <c r="B627" s="10"/>
      <c r="C627" s="10"/>
      <c r="D627" s="10"/>
      <c r="E627" s="10"/>
      <c r="F627" s="10"/>
      <c r="G627" s="10"/>
      <c r="H627" s="10"/>
      <c r="I627" s="10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10"/>
      <c r="B628" s="10"/>
      <c r="C628" s="10"/>
      <c r="D628" s="10"/>
      <c r="E628" s="10"/>
      <c r="F628" s="10"/>
      <c r="G628" s="10"/>
      <c r="H628" s="10"/>
      <c r="I628" s="10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10"/>
      <c r="B629" s="10"/>
      <c r="C629" s="10"/>
      <c r="D629" s="10"/>
      <c r="E629" s="10"/>
      <c r="F629" s="10"/>
      <c r="G629" s="10"/>
      <c r="H629" s="10"/>
      <c r="I629" s="10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10"/>
      <c r="B630" s="10"/>
      <c r="C630" s="10"/>
      <c r="D630" s="10"/>
      <c r="E630" s="10"/>
      <c r="F630" s="10"/>
      <c r="G630" s="10"/>
      <c r="H630" s="10"/>
      <c r="I630" s="10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10"/>
      <c r="B631" s="10"/>
      <c r="C631" s="10"/>
      <c r="D631" s="10"/>
      <c r="E631" s="10"/>
      <c r="F631" s="10"/>
      <c r="G631" s="10"/>
      <c r="H631" s="10"/>
      <c r="I631" s="10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10"/>
      <c r="B632" s="10"/>
      <c r="C632" s="10"/>
      <c r="D632" s="10"/>
      <c r="E632" s="10"/>
      <c r="F632" s="10"/>
      <c r="G632" s="10"/>
      <c r="H632" s="10"/>
      <c r="I632" s="10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10"/>
      <c r="B633" s="10"/>
      <c r="C633" s="10"/>
      <c r="D633" s="10"/>
      <c r="E633" s="10"/>
      <c r="F633" s="10"/>
      <c r="G633" s="10"/>
      <c r="H633" s="10"/>
      <c r="I633" s="10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10"/>
      <c r="B634" s="10"/>
      <c r="C634" s="10"/>
      <c r="D634" s="10"/>
      <c r="E634" s="10"/>
      <c r="F634" s="10"/>
      <c r="G634" s="10"/>
      <c r="H634" s="10"/>
      <c r="I634" s="10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10"/>
      <c r="B635" s="10"/>
      <c r="C635" s="10"/>
      <c r="D635" s="10"/>
      <c r="E635" s="10"/>
      <c r="F635" s="10"/>
      <c r="G635" s="10"/>
      <c r="H635" s="10"/>
      <c r="I635" s="10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10"/>
      <c r="B636" s="10"/>
      <c r="C636" s="10"/>
      <c r="D636" s="10"/>
      <c r="E636" s="10"/>
      <c r="F636" s="10"/>
      <c r="G636" s="10"/>
      <c r="H636" s="10"/>
      <c r="I636" s="10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10"/>
      <c r="B637" s="10"/>
      <c r="C637" s="10"/>
      <c r="D637" s="10"/>
      <c r="E637" s="10"/>
      <c r="F637" s="10"/>
      <c r="G637" s="10"/>
      <c r="H637" s="10"/>
      <c r="I637" s="10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10"/>
      <c r="B638" s="10"/>
      <c r="C638" s="10"/>
      <c r="D638" s="10"/>
      <c r="E638" s="10"/>
      <c r="F638" s="10"/>
      <c r="G638" s="10"/>
      <c r="H638" s="10"/>
      <c r="I638" s="10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10"/>
      <c r="B639" s="10"/>
      <c r="C639" s="10"/>
      <c r="D639" s="10"/>
      <c r="E639" s="10"/>
      <c r="F639" s="10"/>
      <c r="G639" s="10"/>
      <c r="H639" s="10"/>
      <c r="I639" s="10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10"/>
      <c r="B640" s="10"/>
      <c r="C640" s="10"/>
      <c r="D640" s="10"/>
      <c r="E640" s="10"/>
      <c r="F640" s="10"/>
      <c r="G640" s="10"/>
      <c r="H640" s="10"/>
      <c r="I640" s="10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10"/>
      <c r="B641" s="10"/>
      <c r="C641" s="10"/>
      <c r="D641" s="10"/>
      <c r="E641" s="10"/>
      <c r="F641" s="10"/>
      <c r="G641" s="10"/>
      <c r="H641" s="10"/>
      <c r="I641" s="10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10"/>
      <c r="B642" s="10"/>
      <c r="C642" s="10"/>
      <c r="D642" s="10"/>
      <c r="E642" s="10"/>
      <c r="F642" s="10"/>
      <c r="G642" s="10"/>
      <c r="H642" s="10"/>
      <c r="I642" s="10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10"/>
      <c r="B643" s="10"/>
      <c r="C643" s="10"/>
      <c r="D643" s="10"/>
      <c r="E643" s="10"/>
      <c r="F643" s="10"/>
      <c r="G643" s="10"/>
      <c r="H643" s="10"/>
      <c r="I643" s="10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10"/>
      <c r="B644" s="10"/>
      <c r="C644" s="10"/>
      <c r="D644" s="10"/>
      <c r="E644" s="10"/>
      <c r="F644" s="10"/>
      <c r="G644" s="10"/>
      <c r="H644" s="10"/>
      <c r="I644" s="10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10"/>
      <c r="B645" s="10"/>
      <c r="C645" s="10"/>
      <c r="D645" s="10"/>
      <c r="E645" s="10"/>
      <c r="F645" s="10"/>
      <c r="G645" s="10"/>
      <c r="H645" s="10"/>
      <c r="I645" s="10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10"/>
      <c r="B646" s="10"/>
      <c r="C646" s="10"/>
      <c r="D646" s="10"/>
      <c r="E646" s="10"/>
      <c r="F646" s="10"/>
      <c r="G646" s="10"/>
      <c r="H646" s="10"/>
      <c r="I646" s="10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10"/>
      <c r="B647" s="10"/>
      <c r="C647" s="10"/>
      <c r="D647" s="10"/>
      <c r="E647" s="10"/>
      <c r="F647" s="10"/>
      <c r="G647" s="10"/>
      <c r="H647" s="10"/>
      <c r="I647" s="10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10"/>
      <c r="B648" s="10"/>
      <c r="C648" s="10"/>
      <c r="D648" s="10"/>
      <c r="E648" s="10"/>
      <c r="F648" s="10"/>
      <c r="G648" s="10"/>
      <c r="H648" s="10"/>
      <c r="I648" s="10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10"/>
      <c r="B649" s="10"/>
      <c r="C649" s="10"/>
      <c r="D649" s="10"/>
      <c r="E649" s="10"/>
      <c r="F649" s="10"/>
      <c r="G649" s="10"/>
      <c r="H649" s="10"/>
      <c r="I649" s="10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10"/>
      <c r="B650" s="10"/>
      <c r="C650" s="10"/>
      <c r="D650" s="10"/>
      <c r="E650" s="10"/>
      <c r="F650" s="10"/>
      <c r="G650" s="10"/>
      <c r="H650" s="10"/>
      <c r="I650" s="10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10"/>
      <c r="B651" s="10"/>
      <c r="C651" s="10"/>
      <c r="D651" s="10"/>
      <c r="E651" s="10"/>
      <c r="F651" s="10"/>
      <c r="G651" s="10"/>
      <c r="H651" s="10"/>
      <c r="I651" s="10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10"/>
      <c r="B652" s="10"/>
      <c r="C652" s="10"/>
      <c r="D652" s="10"/>
      <c r="E652" s="10"/>
      <c r="F652" s="10"/>
      <c r="G652" s="10"/>
      <c r="H652" s="10"/>
      <c r="I652" s="10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10"/>
      <c r="B653" s="10"/>
      <c r="C653" s="10"/>
      <c r="D653" s="10"/>
      <c r="E653" s="10"/>
      <c r="F653" s="10"/>
      <c r="G653" s="10"/>
      <c r="H653" s="10"/>
      <c r="I653" s="10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10"/>
      <c r="B654" s="10"/>
      <c r="C654" s="10"/>
      <c r="D654" s="10"/>
      <c r="E654" s="10"/>
      <c r="F654" s="10"/>
      <c r="G654" s="10"/>
      <c r="H654" s="10"/>
      <c r="I654" s="10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10"/>
      <c r="B655" s="10"/>
      <c r="C655" s="10"/>
      <c r="D655" s="10"/>
      <c r="E655" s="10"/>
      <c r="F655" s="10"/>
      <c r="G655" s="10"/>
      <c r="H655" s="10"/>
      <c r="I655" s="10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10"/>
      <c r="B656" s="10"/>
      <c r="C656" s="10"/>
      <c r="D656" s="10"/>
      <c r="E656" s="10"/>
      <c r="F656" s="10"/>
      <c r="G656" s="10"/>
      <c r="H656" s="10"/>
      <c r="I656" s="10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10"/>
      <c r="B657" s="10"/>
      <c r="C657" s="10"/>
      <c r="D657" s="10"/>
      <c r="E657" s="10"/>
      <c r="F657" s="10"/>
      <c r="G657" s="10"/>
      <c r="H657" s="10"/>
      <c r="I657" s="10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10"/>
      <c r="B658" s="10"/>
      <c r="C658" s="10"/>
      <c r="D658" s="10"/>
      <c r="E658" s="10"/>
      <c r="F658" s="10"/>
      <c r="G658" s="10"/>
      <c r="H658" s="10"/>
      <c r="I658" s="10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10"/>
      <c r="B659" s="10"/>
      <c r="C659" s="10"/>
      <c r="D659" s="10"/>
      <c r="E659" s="10"/>
      <c r="F659" s="10"/>
      <c r="G659" s="10"/>
      <c r="H659" s="10"/>
      <c r="I659" s="10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10"/>
      <c r="B660" s="10"/>
      <c r="C660" s="10"/>
      <c r="D660" s="10"/>
      <c r="E660" s="10"/>
      <c r="F660" s="10"/>
      <c r="G660" s="10"/>
      <c r="H660" s="10"/>
      <c r="I660" s="10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10"/>
      <c r="B661" s="10"/>
      <c r="C661" s="10"/>
      <c r="D661" s="10"/>
      <c r="E661" s="10"/>
      <c r="F661" s="10"/>
      <c r="G661" s="10"/>
      <c r="H661" s="10"/>
      <c r="I661" s="10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10"/>
      <c r="B662" s="10"/>
      <c r="C662" s="10"/>
      <c r="D662" s="10"/>
      <c r="E662" s="10"/>
      <c r="F662" s="10"/>
      <c r="G662" s="10"/>
      <c r="H662" s="10"/>
      <c r="I662" s="10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10"/>
      <c r="B663" s="10"/>
      <c r="C663" s="10"/>
      <c r="D663" s="10"/>
      <c r="E663" s="10"/>
      <c r="F663" s="10"/>
      <c r="G663" s="10"/>
      <c r="H663" s="10"/>
      <c r="I663" s="10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10"/>
      <c r="B664" s="10"/>
      <c r="C664" s="10"/>
      <c r="D664" s="10"/>
      <c r="E664" s="10"/>
      <c r="F664" s="10"/>
      <c r="G664" s="10"/>
      <c r="H664" s="10"/>
      <c r="I664" s="10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10"/>
      <c r="B665" s="10"/>
      <c r="C665" s="10"/>
      <c r="D665" s="10"/>
      <c r="E665" s="10"/>
      <c r="F665" s="10"/>
      <c r="G665" s="10"/>
      <c r="H665" s="10"/>
      <c r="I665" s="10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10"/>
      <c r="B666" s="10"/>
      <c r="C666" s="10"/>
      <c r="D666" s="10"/>
      <c r="E666" s="10"/>
      <c r="F666" s="10"/>
      <c r="G666" s="10"/>
      <c r="H666" s="10"/>
      <c r="I666" s="10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10"/>
      <c r="B667" s="10"/>
      <c r="C667" s="10"/>
      <c r="D667" s="10"/>
      <c r="E667" s="10"/>
      <c r="F667" s="10"/>
      <c r="G667" s="10"/>
      <c r="H667" s="10"/>
      <c r="I667" s="10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10"/>
      <c r="B668" s="10"/>
      <c r="C668" s="10"/>
      <c r="D668" s="10"/>
      <c r="E668" s="10"/>
      <c r="F668" s="10"/>
      <c r="G668" s="10"/>
      <c r="H668" s="10"/>
      <c r="I668" s="10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10"/>
      <c r="B669" s="10"/>
      <c r="C669" s="10"/>
      <c r="D669" s="10"/>
      <c r="E669" s="10"/>
      <c r="F669" s="10"/>
      <c r="G669" s="10"/>
      <c r="H669" s="10"/>
      <c r="I669" s="10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10"/>
      <c r="B670" s="10"/>
      <c r="C670" s="10"/>
      <c r="D670" s="10"/>
      <c r="E670" s="10"/>
      <c r="F670" s="10"/>
      <c r="G670" s="10"/>
      <c r="H670" s="10"/>
      <c r="I670" s="10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10"/>
      <c r="B671" s="10"/>
      <c r="C671" s="10"/>
      <c r="D671" s="10"/>
      <c r="E671" s="10"/>
      <c r="F671" s="10"/>
      <c r="G671" s="10"/>
      <c r="H671" s="10"/>
      <c r="I671" s="10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10"/>
      <c r="B672" s="10"/>
      <c r="C672" s="10"/>
      <c r="D672" s="10"/>
      <c r="E672" s="10"/>
      <c r="F672" s="10"/>
      <c r="G672" s="10"/>
      <c r="H672" s="10"/>
      <c r="I672" s="10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10"/>
      <c r="B673" s="10"/>
      <c r="C673" s="10"/>
      <c r="D673" s="10"/>
      <c r="E673" s="10"/>
      <c r="F673" s="10"/>
      <c r="G673" s="10"/>
      <c r="H673" s="10"/>
      <c r="I673" s="10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10"/>
      <c r="B674" s="10"/>
      <c r="C674" s="10"/>
      <c r="D674" s="10"/>
      <c r="E674" s="10"/>
      <c r="F674" s="10"/>
      <c r="G674" s="10"/>
      <c r="H674" s="10"/>
      <c r="I674" s="10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10"/>
      <c r="B675" s="10"/>
      <c r="C675" s="10"/>
      <c r="D675" s="10"/>
      <c r="E675" s="10"/>
      <c r="F675" s="10"/>
      <c r="G675" s="10"/>
      <c r="H675" s="10"/>
      <c r="I675" s="10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10"/>
      <c r="B676" s="10"/>
      <c r="C676" s="10"/>
      <c r="D676" s="10"/>
      <c r="E676" s="10"/>
      <c r="F676" s="10"/>
      <c r="G676" s="10"/>
      <c r="H676" s="10"/>
      <c r="I676" s="10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10"/>
      <c r="B677" s="10"/>
      <c r="C677" s="10"/>
      <c r="D677" s="10"/>
      <c r="E677" s="10"/>
      <c r="F677" s="10"/>
      <c r="G677" s="10"/>
      <c r="H677" s="10"/>
      <c r="I677" s="10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10"/>
      <c r="B678" s="10"/>
      <c r="C678" s="10"/>
      <c r="D678" s="10"/>
      <c r="E678" s="10"/>
      <c r="F678" s="10"/>
      <c r="G678" s="10"/>
      <c r="H678" s="10"/>
      <c r="I678" s="10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10"/>
      <c r="B679" s="10"/>
      <c r="C679" s="10"/>
      <c r="D679" s="10"/>
      <c r="E679" s="10"/>
      <c r="F679" s="10"/>
      <c r="G679" s="10"/>
      <c r="H679" s="10"/>
      <c r="I679" s="10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10"/>
      <c r="B680" s="10"/>
      <c r="C680" s="10"/>
      <c r="D680" s="10"/>
      <c r="E680" s="10"/>
      <c r="F680" s="10"/>
      <c r="G680" s="10"/>
      <c r="H680" s="10"/>
      <c r="I680" s="10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10"/>
      <c r="B681" s="10"/>
      <c r="C681" s="10"/>
      <c r="D681" s="10"/>
      <c r="E681" s="10"/>
      <c r="F681" s="10"/>
      <c r="G681" s="10"/>
      <c r="H681" s="10"/>
      <c r="I681" s="10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10"/>
      <c r="B682" s="10"/>
      <c r="C682" s="10"/>
      <c r="D682" s="10"/>
      <c r="E682" s="10"/>
      <c r="F682" s="10"/>
      <c r="G682" s="10"/>
      <c r="H682" s="10"/>
      <c r="I682" s="10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10"/>
      <c r="B683" s="10"/>
      <c r="C683" s="10"/>
      <c r="D683" s="10"/>
      <c r="E683" s="10"/>
      <c r="F683" s="10"/>
      <c r="G683" s="10"/>
      <c r="H683" s="10"/>
      <c r="I683" s="10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10"/>
      <c r="B684" s="10"/>
      <c r="C684" s="10"/>
      <c r="D684" s="10"/>
      <c r="E684" s="10"/>
      <c r="F684" s="10"/>
      <c r="G684" s="10"/>
      <c r="H684" s="10"/>
      <c r="I684" s="10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10"/>
      <c r="B685" s="10"/>
      <c r="C685" s="10"/>
      <c r="D685" s="10"/>
      <c r="E685" s="10"/>
      <c r="F685" s="10"/>
      <c r="G685" s="10"/>
      <c r="H685" s="10"/>
      <c r="I685" s="10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10"/>
      <c r="B686" s="10"/>
      <c r="C686" s="10"/>
      <c r="D686" s="10"/>
      <c r="E686" s="10"/>
      <c r="F686" s="10"/>
      <c r="G686" s="10"/>
      <c r="H686" s="10"/>
      <c r="I686" s="10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10"/>
      <c r="B687" s="10"/>
      <c r="C687" s="10"/>
      <c r="D687" s="10"/>
      <c r="E687" s="10"/>
      <c r="F687" s="10"/>
      <c r="G687" s="10"/>
      <c r="H687" s="10"/>
      <c r="I687" s="10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10"/>
      <c r="B688" s="10"/>
      <c r="C688" s="10"/>
      <c r="D688" s="10"/>
      <c r="E688" s="10"/>
      <c r="F688" s="10"/>
      <c r="G688" s="10"/>
      <c r="H688" s="10"/>
      <c r="I688" s="10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10"/>
      <c r="B689" s="10"/>
      <c r="C689" s="10"/>
      <c r="D689" s="10"/>
      <c r="E689" s="10"/>
      <c r="F689" s="10"/>
      <c r="G689" s="10"/>
      <c r="H689" s="10"/>
      <c r="I689" s="10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10"/>
      <c r="B690" s="10"/>
      <c r="C690" s="10"/>
      <c r="D690" s="10"/>
      <c r="E690" s="10"/>
      <c r="F690" s="10"/>
      <c r="G690" s="10"/>
      <c r="H690" s="10"/>
      <c r="I690" s="10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10"/>
      <c r="B691" s="10"/>
      <c r="C691" s="10"/>
      <c r="D691" s="10"/>
      <c r="E691" s="10"/>
      <c r="F691" s="10"/>
      <c r="G691" s="10"/>
      <c r="H691" s="10"/>
      <c r="I691" s="10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10"/>
      <c r="B692" s="10"/>
      <c r="C692" s="10"/>
      <c r="D692" s="10"/>
      <c r="E692" s="10"/>
      <c r="F692" s="10"/>
      <c r="G692" s="10"/>
      <c r="H692" s="10"/>
      <c r="I692" s="10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10"/>
      <c r="B693" s="10"/>
      <c r="C693" s="10"/>
      <c r="D693" s="10"/>
      <c r="E693" s="10"/>
      <c r="F693" s="10"/>
      <c r="G693" s="10"/>
      <c r="H693" s="10"/>
      <c r="I693" s="10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10"/>
      <c r="B694" s="10"/>
      <c r="C694" s="10"/>
      <c r="D694" s="10"/>
      <c r="E694" s="10"/>
      <c r="F694" s="10"/>
      <c r="G694" s="10"/>
      <c r="H694" s="10"/>
      <c r="I694" s="10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10"/>
      <c r="B695" s="10"/>
      <c r="C695" s="10"/>
      <c r="D695" s="10"/>
      <c r="E695" s="10"/>
      <c r="F695" s="10"/>
      <c r="G695" s="10"/>
      <c r="H695" s="10"/>
      <c r="I695" s="10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10"/>
      <c r="B696" s="10"/>
      <c r="C696" s="10"/>
      <c r="D696" s="10"/>
      <c r="E696" s="10"/>
      <c r="F696" s="10"/>
      <c r="G696" s="10"/>
      <c r="H696" s="10"/>
      <c r="I696" s="10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10"/>
      <c r="B697" s="10"/>
      <c r="C697" s="10"/>
      <c r="D697" s="10"/>
      <c r="E697" s="10"/>
      <c r="F697" s="10"/>
      <c r="G697" s="10"/>
      <c r="H697" s="10"/>
      <c r="I697" s="10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10"/>
      <c r="B698" s="10"/>
      <c r="C698" s="10"/>
      <c r="D698" s="10"/>
      <c r="E698" s="10"/>
      <c r="F698" s="10"/>
      <c r="G698" s="10"/>
      <c r="H698" s="10"/>
      <c r="I698" s="10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10"/>
      <c r="B699" s="10"/>
      <c r="C699" s="10"/>
      <c r="D699" s="10"/>
      <c r="E699" s="10"/>
      <c r="F699" s="10"/>
      <c r="G699" s="10"/>
      <c r="H699" s="10"/>
      <c r="I699" s="10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10"/>
      <c r="B700" s="10"/>
      <c r="C700" s="10"/>
      <c r="D700" s="10"/>
      <c r="E700" s="10"/>
      <c r="F700" s="10"/>
      <c r="G700" s="10"/>
      <c r="H700" s="10"/>
      <c r="I700" s="10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10"/>
      <c r="B701" s="10"/>
      <c r="C701" s="10"/>
      <c r="D701" s="10"/>
      <c r="E701" s="10"/>
      <c r="F701" s="10"/>
      <c r="G701" s="10"/>
      <c r="H701" s="10"/>
      <c r="I701" s="10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10"/>
      <c r="B702" s="10"/>
      <c r="C702" s="10"/>
      <c r="D702" s="10"/>
      <c r="E702" s="10"/>
      <c r="F702" s="10"/>
      <c r="G702" s="10"/>
      <c r="H702" s="10"/>
      <c r="I702" s="10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10"/>
      <c r="B703" s="10"/>
      <c r="C703" s="10"/>
      <c r="D703" s="10"/>
      <c r="E703" s="10"/>
      <c r="F703" s="10"/>
      <c r="G703" s="10"/>
      <c r="H703" s="10"/>
      <c r="I703" s="10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10"/>
      <c r="B704" s="10"/>
      <c r="C704" s="10"/>
      <c r="D704" s="10"/>
      <c r="E704" s="10"/>
      <c r="F704" s="10"/>
      <c r="G704" s="10"/>
      <c r="H704" s="10"/>
      <c r="I704" s="10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10"/>
      <c r="B705" s="10"/>
      <c r="C705" s="10"/>
      <c r="D705" s="10"/>
      <c r="E705" s="10"/>
      <c r="F705" s="10"/>
      <c r="G705" s="10"/>
      <c r="H705" s="10"/>
      <c r="I705" s="10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10"/>
      <c r="B706" s="10"/>
      <c r="C706" s="10"/>
      <c r="D706" s="10"/>
      <c r="E706" s="10"/>
      <c r="F706" s="10"/>
      <c r="G706" s="10"/>
      <c r="H706" s="10"/>
      <c r="I706" s="10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10"/>
      <c r="B707" s="10"/>
      <c r="C707" s="10"/>
      <c r="D707" s="10"/>
      <c r="E707" s="10"/>
      <c r="F707" s="10"/>
      <c r="G707" s="10"/>
      <c r="H707" s="10"/>
      <c r="I707" s="10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10"/>
      <c r="B708" s="10"/>
      <c r="C708" s="10"/>
      <c r="D708" s="10"/>
      <c r="E708" s="10"/>
      <c r="F708" s="10"/>
      <c r="G708" s="10"/>
      <c r="H708" s="10"/>
      <c r="I708" s="10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10"/>
      <c r="B709" s="10"/>
      <c r="C709" s="10"/>
      <c r="D709" s="10"/>
      <c r="E709" s="10"/>
      <c r="F709" s="10"/>
      <c r="G709" s="10"/>
      <c r="H709" s="10"/>
      <c r="I709" s="10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10"/>
      <c r="B710" s="10"/>
      <c r="C710" s="10"/>
      <c r="D710" s="10"/>
      <c r="E710" s="10"/>
      <c r="F710" s="10"/>
      <c r="G710" s="10"/>
      <c r="H710" s="10"/>
      <c r="I710" s="10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10"/>
      <c r="B711" s="10"/>
      <c r="C711" s="10"/>
      <c r="D711" s="10"/>
      <c r="E711" s="10"/>
      <c r="F711" s="10"/>
      <c r="G711" s="10"/>
      <c r="H711" s="10"/>
      <c r="I711" s="10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10"/>
      <c r="B712" s="10"/>
      <c r="C712" s="10"/>
      <c r="D712" s="10"/>
      <c r="E712" s="10"/>
      <c r="F712" s="10"/>
      <c r="G712" s="10"/>
      <c r="H712" s="10"/>
      <c r="I712" s="10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10"/>
      <c r="B713" s="10"/>
      <c r="C713" s="10"/>
      <c r="D713" s="10"/>
      <c r="E713" s="10"/>
      <c r="F713" s="10"/>
      <c r="G713" s="10"/>
      <c r="H713" s="10"/>
      <c r="I713" s="10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10"/>
      <c r="B714" s="10"/>
      <c r="C714" s="10"/>
      <c r="D714" s="10"/>
      <c r="E714" s="10"/>
      <c r="F714" s="10"/>
      <c r="G714" s="10"/>
      <c r="H714" s="10"/>
      <c r="I714" s="10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10"/>
      <c r="B715" s="10"/>
      <c r="C715" s="10"/>
      <c r="D715" s="10"/>
      <c r="E715" s="10"/>
      <c r="F715" s="10"/>
      <c r="G715" s="10"/>
      <c r="H715" s="10"/>
      <c r="I715" s="10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10"/>
      <c r="B716" s="10"/>
      <c r="C716" s="10"/>
      <c r="D716" s="10"/>
      <c r="E716" s="10"/>
      <c r="F716" s="10"/>
      <c r="G716" s="10"/>
      <c r="H716" s="10"/>
      <c r="I716" s="10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10"/>
      <c r="B717" s="10"/>
      <c r="C717" s="10"/>
      <c r="D717" s="10"/>
      <c r="E717" s="10"/>
      <c r="F717" s="10"/>
      <c r="G717" s="10"/>
      <c r="H717" s="10"/>
      <c r="I717" s="10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10"/>
      <c r="B718" s="10"/>
      <c r="C718" s="10"/>
      <c r="D718" s="10"/>
      <c r="E718" s="10"/>
      <c r="F718" s="10"/>
      <c r="G718" s="10"/>
      <c r="H718" s="10"/>
      <c r="I718" s="10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10"/>
      <c r="B719" s="10"/>
      <c r="C719" s="10"/>
      <c r="D719" s="10"/>
      <c r="E719" s="10"/>
      <c r="F719" s="10"/>
      <c r="G719" s="10"/>
      <c r="H719" s="10"/>
      <c r="I719" s="10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10"/>
      <c r="B720" s="10"/>
      <c r="C720" s="10"/>
      <c r="D720" s="10"/>
      <c r="E720" s="10"/>
      <c r="F720" s="10"/>
      <c r="G720" s="10"/>
      <c r="H720" s="10"/>
      <c r="I720" s="10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10"/>
      <c r="B721" s="10"/>
      <c r="C721" s="10"/>
      <c r="D721" s="10"/>
      <c r="E721" s="10"/>
      <c r="F721" s="10"/>
      <c r="G721" s="10"/>
      <c r="H721" s="10"/>
      <c r="I721" s="10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10"/>
      <c r="B722" s="10"/>
      <c r="C722" s="10"/>
      <c r="D722" s="10"/>
      <c r="E722" s="10"/>
      <c r="F722" s="10"/>
      <c r="G722" s="10"/>
      <c r="H722" s="10"/>
      <c r="I722" s="10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10"/>
      <c r="B723" s="10"/>
      <c r="C723" s="10"/>
      <c r="D723" s="10"/>
      <c r="E723" s="10"/>
      <c r="F723" s="10"/>
      <c r="G723" s="10"/>
      <c r="H723" s="10"/>
      <c r="I723" s="10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10"/>
      <c r="B724" s="10"/>
      <c r="C724" s="10"/>
      <c r="D724" s="10"/>
      <c r="E724" s="10"/>
      <c r="F724" s="10"/>
      <c r="G724" s="10"/>
      <c r="H724" s="10"/>
      <c r="I724" s="10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10"/>
      <c r="B725" s="10"/>
      <c r="C725" s="10"/>
      <c r="D725" s="10"/>
      <c r="E725" s="10"/>
      <c r="F725" s="10"/>
      <c r="G725" s="10"/>
      <c r="H725" s="10"/>
      <c r="I725" s="10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10"/>
      <c r="B726" s="10"/>
      <c r="C726" s="10"/>
      <c r="D726" s="10"/>
      <c r="E726" s="10"/>
      <c r="F726" s="10"/>
      <c r="G726" s="10"/>
      <c r="H726" s="10"/>
      <c r="I726" s="10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10"/>
      <c r="B727" s="10"/>
      <c r="C727" s="10"/>
      <c r="D727" s="10"/>
      <c r="E727" s="10"/>
      <c r="F727" s="10"/>
      <c r="G727" s="10"/>
      <c r="H727" s="10"/>
      <c r="I727" s="10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10"/>
      <c r="B728" s="10"/>
      <c r="C728" s="10"/>
      <c r="D728" s="10"/>
      <c r="E728" s="10"/>
      <c r="F728" s="10"/>
      <c r="G728" s="10"/>
      <c r="H728" s="10"/>
      <c r="I728" s="10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10"/>
      <c r="B729" s="10"/>
      <c r="C729" s="10"/>
      <c r="D729" s="10"/>
      <c r="E729" s="10"/>
      <c r="F729" s="10"/>
      <c r="G729" s="10"/>
      <c r="H729" s="10"/>
      <c r="I729" s="10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10"/>
      <c r="B730" s="10"/>
      <c r="C730" s="10"/>
      <c r="D730" s="10"/>
      <c r="E730" s="10"/>
      <c r="F730" s="10"/>
      <c r="G730" s="10"/>
      <c r="H730" s="10"/>
      <c r="I730" s="10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10"/>
      <c r="B731" s="10"/>
      <c r="C731" s="10"/>
      <c r="D731" s="10"/>
      <c r="E731" s="10"/>
      <c r="F731" s="10"/>
      <c r="G731" s="10"/>
      <c r="H731" s="10"/>
      <c r="I731" s="10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10"/>
      <c r="B732" s="10"/>
      <c r="C732" s="10"/>
      <c r="D732" s="10"/>
      <c r="E732" s="10"/>
      <c r="F732" s="10"/>
      <c r="G732" s="10"/>
      <c r="H732" s="10"/>
      <c r="I732" s="10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10"/>
      <c r="B733" s="10"/>
      <c r="C733" s="10"/>
      <c r="D733" s="10"/>
      <c r="E733" s="10"/>
      <c r="F733" s="10"/>
      <c r="G733" s="10"/>
      <c r="H733" s="10"/>
      <c r="I733" s="10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10"/>
      <c r="B734" s="10"/>
      <c r="C734" s="10"/>
      <c r="D734" s="10"/>
      <c r="E734" s="10"/>
      <c r="F734" s="10"/>
      <c r="G734" s="10"/>
      <c r="H734" s="10"/>
      <c r="I734" s="10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10"/>
      <c r="B735" s="10"/>
      <c r="C735" s="10"/>
      <c r="D735" s="10"/>
      <c r="E735" s="10"/>
      <c r="F735" s="10"/>
      <c r="G735" s="10"/>
      <c r="H735" s="10"/>
      <c r="I735" s="10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10"/>
      <c r="B736" s="10"/>
      <c r="C736" s="10"/>
      <c r="D736" s="10"/>
      <c r="E736" s="10"/>
      <c r="F736" s="10"/>
      <c r="G736" s="10"/>
      <c r="H736" s="10"/>
      <c r="I736" s="10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10"/>
      <c r="B737" s="10"/>
      <c r="C737" s="10"/>
      <c r="D737" s="10"/>
      <c r="E737" s="10"/>
      <c r="F737" s="10"/>
      <c r="G737" s="10"/>
      <c r="H737" s="10"/>
      <c r="I737" s="10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10"/>
      <c r="B738" s="10"/>
      <c r="C738" s="10"/>
      <c r="D738" s="10"/>
      <c r="E738" s="10"/>
      <c r="F738" s="10"/>
      <c r="G738" s="10"/>
      <c r="H738" s="10"/>
      <c r="I738" s="10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10"/>
      <c r="B739" s="10"/>
      <c r="C739" s="10"/>
      <c r="D739" s="10"/>
      <c r="E739" s="10"/>
      <c r="F739" s="10"/>
      <c r="G739" s="10"/>
      <c r="H739" s="10"/>
      <c r="I739" s="10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10"/>
      <c r="B740" s="10"/>
      <c r="C740" s="10"/>
      <c r="D740" s="10"/>
      <c r="E740" s="10"/>
      <c r="F740" s="10"/>
      <c r="G740" s="10"/>
      <c r="H740" s="10"/>
      <c r="I740" s="10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10"/>
      <c r="B741" s="10"/>
      <c r="C741" s="10"/>
      <c r="D741" s="10"/>
      <c r="E741" s="10"/>
      <c r="F741" s="10"/>
      <c r="G741" s="10"/>
      <c r="H741" s="10"/>
      <c r="I741" s="10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10"/>
      <c r="B742" s="10"/>
      <c r="C742" s="10"/>
      <c r="D742" s="10"/>
      <c r="E742" s="10"/>
      <c r="F742" s="10"/>
      <c r="G742" s="10"/>
      <c r="H742" s="10"/>
      <c r="I742" s="10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10"/>
      <c r="B743" s="10"/>
      <c r="C743" s="10"/>
      <c r="D743" s="10"/>
      <c r="E743" s="10"/>
      <c r="F743" s="10"/>
      <c r="G743" s="10"/>
      <c r="H743" s="10"/>
      <c r="I743" s="10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10"/>
      <c r="B744" s="10"/>
      <c r="C744" s="10"/>
      <c r="D744" s="10"/>
      <c r="E744" s="10"/>
      <c r="F744" s="10"/>
      <c r="G744" s="10"/>
      <c r="H744" s="10"/>
      <c r="I744" s="10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10"/>
      <c r="B745" s="10"/>
      <c r="C745" s="10"/>
      <c r="D745" s="10"/>
      <c r="E745" s="10"/>
      <c r="F745" s="10"/>
      <c r="G745" s="10"/>
      <c r="H745" s="10"/>
      <c r="I745" s="10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10"/>
      <c r="B746" s="10"/>
      <c r="C746" s="10"/>
      <c r="D746" s="10"/>
      <c r="E746" s="10"/>
      <c r="F746" s="10"/>
      <c r="G746" s="10"/>
      <c r="H746" s="10"/>
      <c r="I746" s="10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10"/>
      <c r="B747" s="10"/>
      <c r="C747" s="10"/>
      <c r="D747" s="10"/>
      <c r="E747" s="10"/>
      <c r="F747" s="10"/>
      <c r="G747" s="10"/>
      <c r="H747" s="10"/>
      <c r="I747" s="10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10"/>
      <c r="B748" s="10"/>
      <c r="C748" s="10"/>
      <c r="D748" s="10"/>
      <c r="E748" s="10"/>
      <c r="F748" s="10"/>
      <c r="G748" s="10"/>
      <c r="H748" s="10"/>
      <c r="I748" s="10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10"/>
      <c r="B749" s="10"/>
      <c r="C749" s="10"/>
      <c r="D749" s="10"/>
      <c r="E749" s="10"/>
      <c r="F749" s="10"/>
      <c r="G749" s="10"/>
      <c r="H749" s="10"/>
      <c r="I749" s="10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10"/>
      <c r="B750" s="10"/>
      <c r="C750" s="10"/>
      <c r="D750" s="10"/>
      <c r="E750" s="10"/>
      <c r="F750" s="10"/>
      <c r="G750" s="10"/>
      <c r="H750" s="10"/>
      <c r="I750" s="10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10"/>
      <c r="B751" s="10"/>
      <c r="C751" s="10"/>
      <c r="D751" s="10"/>
      <c r="E751" s="10"/>
      <c r="F751" s="10"/>
      <c r="G751" s="10"/>
      <c r="H751" s="10"/>
      <c r="I751" s="10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10"/>
      <c r="B752" s="10"/>
      <c r="C752" s="10"/>
      <c r="D752" s="10"/>
      <c r="E752" s="10"/>
      <c r="F752" s="10"/>
      <c r="G752" s="10"/>
      <c r="H752" s="10"/>
      <c r="I752" s="10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10"/>
      <c r="B753" s="10"/>
      <c r="C753" s="10"/>
      <c r="D753" s="10"/>
      <c r="E753" s="10"/>
      <c r="F753" s="10"/>
      <c r="G753" s="10"/>
      <c r="H753" s="10"/>
      <c r="I753" s="10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10"/>
      <c r="B754" s="10"/>
      <c r="C754" s="10"/>
      <c r="D754" s="10"/>
      <c r="E754" s="10"/>
      <c r="F754" s="10"/>
      <c r="G754" s="10"/>
      <c r="H754" s="10"/>
      <c r="I754" s="10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10"/>
      <c r="B755" s="10"/>
      <c r="C755" s="10"/>
      <c r="D755" s="10"/>
      <c r="E755" s="10"/>
      <c r="F755" s="10"/>
      <c r="G755" s="10"/>
      <c r="H755" s="10"/>
      <c r="I755" s="10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10"/>
      <c r="B756" s="10"/>
      <c r="C756" s="10"/>
      <c r="D756" s="10"/>
      <c r="E756" s="10"/>
      <c r="F756" s="10"/>
      <c r="G756" s="10"/>
      <c r="H756" s="10"/>
      <c r="I756" s="10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10"/>
      <c r="B757" s="10"/>
      <c r="C757" s="10"/>
      <c r="D757" s="10"/>
      <c r="E757" s="10"/>
      <c r="F757" s="10"/>
      <c r="G757" s="10"/>
      <c r="H757" s="10"/>
      <c r="I757" s="10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10"/>
      <c r="B758" s="10"/>
      <c r="C758" s="10"/>
      <c r="D758" s="10"/>
      <c r="E758" s="10"/>
      <c r="F758" s="10"/>
      <c r="G758" s="10"/>
      <c r="H758" s="10"/>
      <c r="I758" s="10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10"/>
      <c r="B759" s="10"/>
      <c r="C759" s="10"/>
      <c r="D759" s="10"/>
      <c r="E759" s="10"/>
      <c r="F759" s="10"/>
      <c r="G759" s="10"/>
      <c r="H759" s="10"/>
      <c r="I759" s="10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10"/>
      <c r="B760" s="10"/>
      <c r="C760" s="10"/>
      <c r="D760" s="10"/>
      <c r="E760" s="10"/>
      <c r="F760" s="10"/>
      <c r="G760" s="10"/>
      <c r="H760" s="10"/>
      <c r="I760" s="10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10"/>
      <c r="B761" s="10"/>
      <c r="C761" s="10"/>
      <c r="D761" s="10"/>
      <c r="E761" s="10"/>
      <c r="F761" s="10"/>
      <c r="G761" s="10"/>
      <c r="H761" s="10"/>
      <c r="I761" s="10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10"/>
      <c r="B762" s="10"/>
      <c r="C762" s="10"/>
      <c r="D762" s="10"/>
      <c r="E762" s="10"/>
      <c r="F762" s="10"/>
      <c r="G762" s="10"/>
      <c r="H762" s="10"/>
      <c r="I762" s="10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10"/>
      <c r="B763" s="10"/>
      <c r="C763" s="10"/>
      <c r="D763" s="10"/>
      <c r="E763" s="10"/>
      <c r="F763" s="10"/>
      <c r="G763" s="10"/>
      <c r="H763" s="10"/>
      <c r="I763" s="10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10"/>
      <c r="B764" s="10"/>
      <c r="C764" s="10"/>
      <c r="D764" s="10"/>
      <c r="E764" s="10"/>
      <c r="F764" s="10"/>
      <c r="G764" s="10"/>
      <c r="H764" s="10"/>
      <c r="I764" s="10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10"/>
      <c r="B765" s="10"/>
      <c r="C765" s="10"/>
      <c r="D765" s="10"/>
      <c r="E765" s="10"/>
      <c r="F765" s="10"/>
      <c r="G765" s="10"/>
      <c r="H765" s="10"/>
      <c r="I765" s="10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10"/>
      <c r="B766" s="10"/>
      <c r="C766" s="10"/>
      <c r="D766" s="10"/>
      <c r="E766" s="10"/>
      <c r="F766" s="10"/>
      <c r="G766" s="10"/>
      <c r="H766" s="10"/>
      <c r="I766" s="10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10"/>
      <c r="B767" s="10"/>
      <c r="C767" s="10"/>
      <c r="D767" s="10"/>
      <c r="E767" s="10"/>
      <c r="F767" s="10"/>
      <c r="G767" s="10"/>
      <c r="H767" s="10"/>
      <c r="I767" s="10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10"/>
      <c r="B768" s="10"/>
      <c r="C768" s="10"/>
      <c r="D768" s="10"/>
      <c r="E768" s="10"/>
      <c r="F768" s="10"/>
      <c r="G768" s="10"/>
      <c r="H768" s="10"/>
      <c r="I768" s="10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10"/>
      <c r="B769" s="10"/>
      <c r="C769" s="10"/>
      <c r="D769" s="10"/>
      <c r="E769" s="10"/>
      <c r="F769" s="10"/>
      <c r="G769" s="10"/>
      <c r="H769" s="10"/>
      <c r="I769" s="10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10"/>
      <c r="B770" s="10"/>
      <c r="C770" s="10"/>
      <c r="D770" s="10"/>
      <c r="E770" s="10"/>
      <c r="F770" s="10"/>
      <c r="G770" s="10"/>
      <c r="H770" s="10"/>
      <c r="I770" s="10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10"/>
      <c r="B771" s="10"/>
      <c r="C771" s="10"/>
      <c r="D771" s="10"/>
      <c r="E771" s="10"/>
      <c r="F771" s="10"/>
      <c r="G771" s="10"/>
      <c r="H771" s="10"/>
      <c r="I771" s="10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10"/>
      <c r="B772" s="10"/>
      <c r="C772" s="10"/>
      <c r="D772" s="10"/>
      <c r="E772" s="10"/>
      <c r="F772" s="10"/>
      <c r="G772" s="10"/>
      <c r="H772" s="10"/>
      <c r="I772" s="10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10"/>
      <c r="B773" s="10"/>
      <c r="C773" s="10"/>
      <c r="D773" s="10"/>
      <c r="E773" s="10"/>
      <c r="F773" s="10"/>
      <c r="G773" s="10"/>
      <c r="H773" s="10"/>
      <c r="I773" s="10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10"/>
      <c r="B774" s="10"/>
      <c r="C774" s="10"/>
      <c r="D774" s="10"/>
      <c r="E774" s="10"/>
      <c r="F774" s="10"/>
      <c r="G774" s="10"/>
      <c r="H774" s="10"/>
      <c r="I774" s="10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10"/>
      <c r="B775" s="10"/>
      <c r="C775" s="10"/>
      <c r="D775" s="10"/>
      <c r="E775" s="10"/>
      <c r="F775" s="10"/>
      <c r="G775" s="10"/>
      <c r="H775" s="10"/>
      <c r="I775" s="10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10"/>
      <c r="B776" s="10"/>
      <c r="C776" s="10"/>
      <c r="D776" s="10"/>
      <c r="E776" s="10"/>
      <c r="F776" s="10"/>
      <c r="G776" s="10"/>
      <c r="H776" s="10"/>
      <c r="I776" s="10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10"/>
      <c r="B777" s="10"/>
      <c r="C777" s="10"/>
      <c r="D777" s="10"/>
      <c r="E777" s="10"/>
      <c r="F777" s="10"/>
      <c r="G777" s="10"/>
      <c r="H777" s="10"/>
      <c r="I777" s="10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10"/>
      <c r="B778" s="10"/>
      <c r="C778" s="10"/>
      <c r="D778" s="10"/>
      <c r="E778" s="10"/>
      <c r="F778" s="10"/>
      <c r="G778" s="10"/>
      <c r="H778" s="10"/>
      <c r="I778" s="10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10"/>
      <c r="B779" s="10"/>
      <c r="C779" s="10"/>
      <c r="D779" s="10"/>
      <c r="E779" s="10"/>
      <c r="F779" s="10"/>
      <c r="G779" s="10"/>
      <c r="H779" s="10"/>
      <c r="I779" s="10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10"/>
      <c r="B780" s="10"/>
      <c r="C780" s="10"/>
      <c r="D780" s="10"/>
      <c r="E780" s="10"/>
      <c r="F780" s="10"/>
      <c r="G780" s="10"/>
      <c r="H780" s="10"/>
      <c r="I780" s="10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10"/>
      <c r="B781" s="10"/>
      <c r="C781" s="10"/>
      <c r="D781" s="10"/>
      <c r="E781" s="10"/>
      <c r="F781" s="10"/>
      <c r="G781" s="10"/>
      <c r="H781" s="10"/>
      <c r="I781" s="10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10"/>
      <c r="B782" s="10"/>
      <c r="C782" s="10"/>
      <c r="D782" s="10"/>
      <c r="E782" s="10"/>
      <c r="F782" s="10"/>
      <c r="G782" s="10"/>
      <c r="H782" s="10"/>
      <c r="I782" s="10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10"/>
      <c r="B783" s="10"/>
      <c r="C783" s="10"/>
      <c r="D783" s="10"/>
      <c r="E783" s="10"/>
      <c r="F783" s="10"/>
      <c r="G783" s="10"/>
      <c r="H783" s="10"/>
      <c r="I783" s="10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10"/>
      <c r="B784" s="10"/>
      <c r="C784" s="10"/>
      <c r="D784" s="10"/>
      <c r="E784" s="10"/>
      <c r="F784" s="10"/>
      <c r="G784" s="10"/>
      <c r="H784" s="10"/>
      <c r="I784" s="10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10"/>
      <c r="B785" s="10"/>
      <c r="C785" s="10"/>
      <c r="D785" s="10"/>
      <c r="E785" s="10"/>
      <c r="F785" s="10"/>
      <c r="G785" s="10"/>
      <c r="H785" s="10"/>
      <c r="I785" s="10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10"/>
      <c r="B786" s="10"/>
      <c r="C786" s="10"/>
      <c r="D786" s="10"/>
      <c r="E786" s="10"/>
      <c r="F786" s="10"/>
      <c r="G786" s="10"/>
      <c r="H786" s="10"/>
      <c r="I786" s="10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10"/>
      <c r="B787" s="10"/>
      <c r="C787" s="10"/>
      <c r="D787" s="10"/>
      <c r="E787" s="10"/>
      <c r="F787" s="10"/>
      <c r="G787" s="10"/>
      <c r="H787" s="10"/>
      <c r="I787" s="10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10"/>
      <c r="B788" s="10"/>
      <c r="C788" s="10"/>
      <c r="D788" s="10"/>
      <c r="E788" s="10"/>
      <c r="F788" s="10"/>
      <c r="G788" s="10"/>
      <c r="H788" s="10"/>
      <c r="I788" s="10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10"/>
      <c r="B789" s="10"/>
      <c r="C789" s="10"/>
      <c r="D789" s="10"/>
      <c r="E789" s="10"/>
      <c r="F789" s="10"/>
      <c r="G789" s="10"/>
      <c r="H789" s="10"/>
      <c r="I789" s="10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10"/>
      <c r="B790" s="10"/>
      <c r="C790" s="10"/>
      <c r="D790" s="10"/>
      <c r="E790" s="10"/>
      <c r="F790" s="10"/>
      <c r="G790" s="10"/>
      <c r="H790" s="10"/>
      <c r="I790" s="10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10"/>
      <c r="B791" s="10"/>
      <c r="C791" s="10"/>
      <c r="D791" s="10"/>
      <c r="E791" s="10"/>
      <c r="F791" s="10"/>
      <c r="G791" s="10"/>
      <c r="H791" s="10"/>
      <c r="I791" s="10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10"/>
      <c r="B792" s="10"/>
      <c r="C792" s="10"/>
      <c r="D792" s="10"/>
      <c r="E792" s="10"/>
      <c r="F792" s="10"/>
      <c r="G792" s="10"/>
      <c r="H792" s="10"/>
      <c r="I792" s="10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10"/>
      <c r="B793" s="10"/>
      <c r="C793" s="10"/>
      <c r="D793" s="10"/>
      <c r="E793" s="10"/>
      <c r="F793" s="10"/>
      <c r="G793" s="10"/>
      <c r="H793" s="10"/>
      <c r="I793" s="10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10"/>
      <c r="B794" s="10"/>
      <c r="C794" s="10"/>
      <c r="D794" s="10"/>
      <c r="E794" s="10"/>
      <c r="F794" s="10"/>
      <c r="G794" s="10"/>
      <c r="H794" s="10"/>
      <c r="I794" s="10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10"/>
      <c r="B795" s="10"/>
      <c r="C795" s="10"/>
      <c r="D795" s="10"/>
      <c r="E795" s="10"/>
      <c r="F795" s="10"/>
      <c r="G795" s="10"/>
      <c r="H795" s="10"/>
      <c r="I795" s="10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10"/>
      <c r="B796" s="10"/>
      <c r="C796" s="10"/>
      <c r="D796" s="10"/>
      <c r="E796" s="10"/>
      <c r="F796" s="10"/>
      <c r="G796" s="10"/>
      <c r="H796" s="10"/>
      <c r="I796" s="10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10"/>
      <c r="B797" s="10"/>
      <c r="C797" s="10"/>
      <c r="D797" s="10"/>
      <c r="E797" s="10"/>
      <c r="F797" s="10"/>
      <c r="G797" s="10"/>
      <c r="H797" s="10"/>
      <c r="I797" s="10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10"/>
      <c r="B798" s="10"/>
      <c r="C798" s="10"/>
      <c r="D798" s="10"/>
      <c r="E798" s="10"/>
      <c r="F798" s="10"/>
      <c r="G798" s="10"/>
      <c r="H798" s="10"/>
      <c r="I798" s="10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10"/>
      <c r="B799" s="10"/>
      <c r="C799" s="10"/>
      <c r="D799" s="10"/>
      <c r="E799" s="10"/>
      <c r="F799" s="10"/>
      <c r="G799" s="10"/>
      <c r="H799" s="10"/>
      <c r="I799" s="10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10"/>
      <c r="B800" s="10"/>
      <c r="C800" s="10"/>
      <c r="D800" s="10"/>
      <c r="E800" s="10"/>
      <c r="F800" s="10"/>
      <c r="G800" s="10"/>
      <c r="H800" s="10"/>
      <c r="I800" s="10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10"/>
      <c r="B801" s="10"/>
      <c r="C801" s="10"/>
      <c r="D801" s="10"/>
      <c r="E801" s="10"/>
      <c r="F801" s="10"/>
      <c r="G801" s="10"/>
      <c r="H801" s="10"/>
      <c r="I801" s="10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10"/>
      <c r="B802" s="10"/>
      <c r="C802" s="10"/>
      <c r="D802" s="10"/>
      <c r="E802" s="10"/>
      <c r="F802" s="10"/>
      <c r="G802" s="10"/>
      <c r="H802" s="10"/>
      <c r="I802" s="10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10"/>
      <c r="B803" s="10"/>
      <c r="C803" s="10"/>
      <c r="D803" s="10"/>
      <c r="E803" s="10"/>
      <c r="F803" s="10"/>
      <c r="G803" s="10"/>
      <c r="H803" s="10"/>
      <c r="I803" s="10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10"/>
      <c r="B804" s="10"/>
      <c r="C804" s="10"/>
      <c r="D804" s="10"/>
      <c r="E804" s="10"/>
      <c r="F804" s="10"/>
      <c r="G804" s="10"/>
      <c r="H804" s="10"/>
      <c r="I804" s="10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10"/>
      <c r="B805" s="10"/>
      <c r="C805" s="10"/>
      <c r="D805" s="10"/>
      <c r="E805" s="10"/>
      <c r="F805" s="10"/>
      <c r="G805" s="10"/>
      <c r="H805" s="10"/>
      <c r="I805" s="10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10"/>
      <c r="B806" s="10"/>
      <c r="C806" s="10"/>
      <c r="D806" s="10"/>
      <c r="E806" s="10"/>
      <c r="F806" s="10"/>
      <c r="G806" s="10"/>
      <c r="H806" s="10"/>
      <c r="I806" s="10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10"/>
      <c r="B807" s="10"/>
      <c r="C807" s="10"/>
      <c r="D807" s="10"/>
      <c r="E807" s="10"/>
      <c r="F807" s="10"/>
      <c r="G807" s="10"/>
      <c r="H807" s="10"/>
      <c r="I807" s="10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10"/>
      <c r="B808" s="10"/>
      <c r="C808" s="10"/>
      <c r="D808" s="10"/>
      <c r="E808" s="10"/>
      <c r="F808" s="10"/>
      <c r="G808" s="10"/>
      <c r="H808" s="10"/>
      <c r="I808" s="10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10"/>
      <c r="B809" s="10"/>
      <c r="C809" s="10"/>
      <c r="D809" s="10"/>
      <c r="E809" s="10"/>
      <c r="F809" s="10"/>
      <c r="G809" s="10"/>
      <c r="H809" s="10"/>
      <c r="I809" s="10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10"/>
      <c r="B810" s="10"/>
      <c r="C810" s="10"/>
      <c r="D810" s="10"/>
      <c r="E810" s="10"/>
      <c r="F810" s="10"/>
      <c r="G810" s="10"/>
      <c r="H810" s="10"/>
      <c r="I810" s="10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10"/>
      <c r="B811" s="10"/>
      <c r="C811" s="10"/>
      <c r="D811" s="10"/>
      <c r="E811" s="10"/>
      <c r="F811" s="10"/>
      <c r="G811" s="10"/>
      <c r="H811" s="10"/>
      <c r="I811" s="10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10"/>
      <c r="B812" s="10"/>
      <c r="C812" s="10"/>
      <c r="D812" s="10"/>
      <c r="E812" s="10"/>
      <c r="F812" s="10"/>
      <c r="G812" s="10"/>
      <c r="H812" s="10"/>
      <c r="I812" s="10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10"/>
      <c r="B813" s="10"/>
      <c r="C813" s="10"/>
      <c r="D813" s="10"/>
      <c r="E813" s="10"/>
      <c r="F813" s="10"/>
      <c r="G813" s="10"/>
      <c r="H813" s="10"/>
      <c r="I813" s="10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10"/>
      <c r="B814" s="10"/>
      <c r="C814" s="10"/>
      <c r="D814" s="10"/>
      <c r="E814" s="10"/>
      <c r="F814" s="10"/>
      <c r="G814" s="10"/>
      <c r="H814" s="10"/>
      <c r="I814" s="10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10"/>
      <c r="B815" s="10"/>
      <c r="C815" s="10"/>
      <c r="D815" s="10"/>
      <c r="E815" s="10"/>
      <c r="F815" s="10"/>
      <c r="G815" s="10"/>
      <c r="H815" s="10"/>
      <c r="I815" s="10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10"/>
      <c r="B816" s="10"/>
      <c r="C816" s="10"/>
      <c r="D816" s="10"/>
      <c r="E816" s="10"/>
      <c r="F816" s="10"/>
      <c r="G816" s="10"/>
      <c r="H816" s="10"/>
      <c r="I816" s="10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10"/>
      <c r="B817" s="10"/>
      <c r="C817" s="10"/>
      <c r="D817" s="10"/>
      <c r="E817" s="10"/>
      <c r="F817" s="10"/>
      <c r="G817" s="10"/>
      <c r="H817" s="10"/>
      <c r="I817" s="10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10"/>
      <c r="B818" s="10"/>
      <c r="C818" s="10"/>
      <c r="D818" s="10"/>
      <c r="E818" s="10"/>
      <c r="F818" s="10"/>
      <c r="G818" s="10"/>
      <c r="H818" s="10"/>
      <c r="I818" s="10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10"/>
      <c r="B819" s="10"/>
      <c r="C819" s="10"/>
      <c r="D819" s="10"/>
      <c r="E819" s="10"/>
      <c r="F819" s="10"/>
      <c r="G819" s="10"/>
      <c r="H819" s="10"/>
      <c r="I819" s="10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10"/>
      <c r="B820" s="10"/>
      <c r="C820" s="10"/>
      <c r="D820" s="10"/>
      <c r="E820" s="10"/>
      <c r="F820" s="10"/>
      <c r="G820" s="10"/>
      <c r="H820" s="10"/>
      <c r="I820" s="10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10"/>
      <c r="B821" s="10"/>
      <c r="C821" s="10"/>
      <c r="D821" s="10"/>
      <c r="E821" s="10"/>
      <c r="F821" s="10"/>
      <c r="G821" s="10"/>
      <c r="H821" s="10"/>
      <c r="I821" s="10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10"/>
      <c r="B822" s="10"/>
      <c r="C822" s="10"/>
      <c r="D822" s="10"/>
      <c r="E822" s="10"/>
      <c r="F822" s="10"/>
      <c r="G822" s="10"/>
      <c r="H822" s="10"/>
      <c r="I822" s="10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10"/>
      <c r="B823" s="10"/>
      <c r="C823" s="10"/>
      <c r="D823" s="10"/>
      <c r="E823" s="10"/>
      <c r="F823" s="10"/>
      <c r="G823" s="10"/>
      <c r="H823" s="10"/>
      <c r="I823" s="10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10"/>
      <c r="B824" s="10"/>
      <c r="C824" s="10"/>
      <c r="D824" s="10"/>
      <c r="E824" s="10"/>
      <c r="F824" s="10"/>
      <c r="G824" s="10"/>
      <c r="H824" s="10"/>
      <c r="I824" s="10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10"/>
      <c r="B825" s="10"/>
      <c r="C825" s="10"/>
      <c r="D825" s="10"/>
      <c r="E825" s="10"/>
      <c r="F825" s="10"/>
      <c r="G825" s="10"/>
      <c r="H825" s="10"/>
      <c r="I825" s="10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10"/>
      <c r="B826" s="10"/>
      <c r="C826" s="10"/>
      <c r="D826" s="10"/>
      <c r="E826" s="10"/>
      <c r="F826" s="10"/>
      <c r="G826" s="10"/>
      <c r="H826" s="10"/>
      <c r="I826" s="10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10"/>
      <c r="B827" s="10"/>
      <c r="C827" s="10"/>
      <c r="D827" s="10"/>
      <c r="E827" s="10"/>
      <c r="F827" s="10"/>
      <c r="G827" s="10"/>
      <c r="H827" s="10"/>
      <c r="I827" s="10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10"/>
      <c r="B828" s="10"/>
      <c r="C828" s="10"/>
      <c r="D828" s="10"/>
      <c r="E828" s="10"/>
      <c r="F828" s="10"/>
      <c r="G828" s="10"/>
      <c r="H828" s="10"/>
      <c r="I828" s="10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10"/>
      <c r="B829" s="10"/>
      <c r="C829" s="10"/>
      <c r="D829" s="10"/>
      <c r="E829" s="10"/>
      <c r="F829" s="10"/>
      <c r="G829" s="10"/>
      <c r="H829" s="10"/>
      <c r="I829" s="10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10"/>
      <c r="B830" s="10"/>
      <c r="C830" s="10"/>
      <c r="D830" s="10"/>
      <c r="E830" s="10"/>
      <c r="F830" s="10"/>
      <c r="G830" s="10"/>
      <c r="H830" s="10"/>
      <c r="I830" s="10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10"/>
      <c r="B831" s="10"/>
      <c r="C831" s="10"/>
      <c r="D831" s="10"/>
      <c r="E831" s="10"/>
      <c r="F831" s="10"/>
      <c r="G831" s="10"/>
      <c r="H831" s="10"/>
      <c r="I831" s="10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10"/>
      <c r="B832" s="10"/>
      <c r="C832" s="10"/>
      <c r="D832" s="10"/>
      <c r="E832" s="10"/>
      <c r="F832" s="10"/>
      <c r="G832" s="10"/>
      <c r="H832" s="10"/>
      <c r="I832" s="10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10"/>
      <c r="B833" s="10"/>
      <c r="C833" s="10"/>
      <c r="D833" s="10"/>
      <c r="E833" s="10"/>
      <c r="F833" s="10"/>
      <c r="G833" s="10"/>
      <c r="H833" s="10"/>
      <c r="I833" s="10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10"/>
      <c r="B834" s="10"/>
      <c r="C834" s="10"/>
      <c r="D834" s="10"/>
      <c r="E834" s="10"/>
      <c r="F834" s="10"/>
      <c r="G834" s="10"/>
      <c r="H834" s="10"/>
      <c r="I834" s="10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10"/>
      <c r="B835" s="10"/>
      <c r="C835" s="10"/>
      <c r="D835" s="10"/>
      <c r="E835" s="10"/>
      <c r="F835" s="10"/>
      <c r="G835" s="10"/>
      <c r="H835" s="10"/>
      <c r="I835" s="10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10"/>
      <c r="B836" s="10"/>
      <c r="C836" s="10"/>
      <c r="D836" s="10"/>
      <c r="E836" s="10"/>
      <c r="F836" s="10"/>
      <c r="G836" s="10"/>
      <c r="H836" s="10"/>
      <c r="I836" s="10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10"/>
      <c r="B837" s="10"/>
      <c r="C837" s="10"/>
      <c r="D837" s="10"/>
      <c r="E837" s="10"/>
      <c r="F837" s="10"/>
      <c r="G837" s="10"/>
      <c r="H837" s="10"/>
      <c r="I837" s="10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10"/>
      <c r="B838" s="10"/>
      <c r="C838" s="10"/>
      <c r="D838" s="10"/>
      <c r="E838" s="10"/>
      <c r="F838" s="10"/>
      <c r="G838" s="10"/>
      <c r="H838" s="10"/>
      <c r="I838" s="10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10"/>
      <c r="B839" s="10"/>
      <c r="C839" s="10"/>
      <c r="D839" s="10"/>
      <c r="E839" s="10"/>
      <c r="F839" s="10"/>
      <c r="G839" s="10"/>
      <c r="H839" s="10"/>
      <c r="I839" s="10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10"/>
      <c r="B840" s="10"/>
      <c r="C840" s="10"/>
      <c r="D840" s="10"/>
      <c r="E840" s="10"/>
      <c r="F840" s="10"/>
      <c r="G840" s="10"/>
      <c r="H840" s="10"/>
      <c r="I840" s="10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10"/>
      <c r="B841" s="10"/>
      <c r="C841" s="10"/>
      <c r="D841" s="10"/>
      <c r="E841" s="10"/>
      <c r="F841" s="10"/>
      <c r="G841" s="10"/>
      <c r="H841" s="10"/>
      <c r="I841" s="10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10"/>
      <c r="B842" s="10"/>
      <c r="C842" s="10"/>
      <c r="D842" s="10"/>
      <c r="E842" s="10"/>
      <c r="F842" s="10"/>
      <c r="G842" s="10"/>
      <c r="H842" s="10"/>
      <c r="I842" s="10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10"/>
      <c r="B843" s="10"/>
      <c r="C843" s="10"/>
      <c r="D843" s="10"/>
      <c r="E843" s="10"/>
      <c r="F843" s="10"/>
      <c r="G843" s="10"/>
      <c r="H843" s="10"/>
      <c r="I843" s="10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10"/>
      <c r="B844" s="10"/>
      <c r="C844" s="10"/>
      <c r="D844" s="10"/>
      <c r="E844" s="10"/>
      <c r="F844" s="10"/>
      <c r="G844" s="10"/>
      <c r="H844" s="10"/>
      <c r="I844" s="10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10"/>
      <c r="B845" s="10"/>
      <c r="C845" s="10"/>
      <c r="D845" s="10"/>
      <c r="E845" s="10"/>
      <c r="F845" s="10"/>
      <c r="G845" s="10"/>
      <c r="H845" s="10"/>
      <c r="I845" s="10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10"/>
      <c r="B846" s="10"/>
      <c r="C846" s="10"/>
      <c r="D846" s="10"/>
      <c r="E846" s="10"/>
      <c r="F846" s="10"/>
      <c r="G846" s="10"/>
      <c r="H846" s="10"/>
      <c r="I846" s="10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10"/>
      <c r="B847" s="10"/>
      <c r="C847" s="10"/>
      <c r="D847" s="10"/>
      <c r="E847" s="10"/>
      <c r="F847" s="10"/>
      <c r="G847" s="10"/>
      <c r="H847" s="10"/>
      <c r="I847" s="10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10"/>
      <c r="B848" s="10"/>
      <c r="C848" s="10"/>
      <c r="D848" s="10"/>
      <c r="E848" s="10"/>
      <c r="F848" s="10"/>
      <c r="G848" s="10"/>
      <c r="H848" s="10"/>
      <c r="I848" s="10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10"/>
      <c r="B849" s="10"/>
      <c r="C849" s="10"/>
      <c r="D849" s="10"/>
      <c r="E849" s="10"/>
      <c r="F849" s="10"/>
      <c r="G849" s="10"/>
      <c r="H849" s="10"/>
      <c r="I849" s="10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10"/>
      <c r="B850" s="10"/>
      <c r="C850" s="10"/>
      <c r="D850" s="10"/>
      <c r="E850" s="10"/>
      <c r="F850" s="10"/>
      <c r="G850" s="10"/>
      <c r="H850" s="10"/>
      <c r="I850" s="10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10"/>
      <c r="B851" s="10"/>
      <c r="C851" s="10"/>
      <c r="D851" s="10"/>
      <c r="E851" s="10"/>
      <c r="F851" s="10"/>
      <c r="G851" s="10"/>
      <c r="H851" s="10"/>
      <c r="I851" s="10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10"/>
      <c r="B852" s="10"/>
      <c r="C852" s="10"/>
      <c r="D852" s="10"/>
      <c r="E852" s="10"/>
      <c r="F852" s="10"/>
      <c r="G852" s="10"/>
      <c r="H852" s="10"/>
      <c r="I852" s="10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10"/>
      <c r="B853" s="10"/>
      <c r="C853" s="10"/>
      <c r="D853" s="10"/>
      <c r="E853" s="10"/>
      <c r="F853" s="10"/>
      <c r="G853" s="10"/>
      <c r="H853" s="10"/>
      <c r="I853" s="10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10"/>
      <c r="B854" s="10"/>
      <c r="C854" s="10"/>
      <c r="D854" s="10"/>
      <c r="E854" s="10"/>
      <c r="F854" s="10"/>
      <c r="G854" s="10"/>
      <c r="H854" s="10"/>
      <c r="I854" s="10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10"/>
      <c r="B855" s="10"/>
      <c r="C855" s="10"/>
      <c r="D855" s="10"/>
      <c r="E855" s="10"/>
      <c r="F855" s="10"/>
      <c r="G855" s="10"/>
      <c r="H855" s="10"/>
      <c r="I855" s="10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10"/>
      <c r="B856" s="10"/>
      <c r="C856" s="10"/>
      <c r="D856" s="10"/>
      <c r="E856" s="10"/>
      <c r="F856" s="10"/>
      <c r="G856" s="10"/>
      <c r="H856" s="10"/>
      <c r="I856" s="10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10"/>
      <c r="B857" s="10"/>
      <c r="C857" s="10"/>
      <c r="D857" s="10"/>
      <c r="E857" s="10"/>
      <c r="F857" s="10"/>
      <c r="G857" s="10"/>
      <c r="H857" s="10"/>
      <c r="I857" s="10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10"/>
      <c r="B858" s="10"/>
      <c r="C858" s="10"/>
      <c r="D858" s="10"/>
      <c r="E858" s="10"/>
      <c r="F858" s="10"/>
      <c r="G858" s="10"/>
      <c r="H858" s="10"/>
      <c r="I858" s="10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10"/>
      <c r="B859" s="10"/>
      <c r="C859" s="10"/>
      <c r="D859" s="10"/>
      <c r="E859" s="10"/>
      <c r="F859" s="10"/>
      <c r="G859" s="10"/>
      <c r="H859" s="10"/>
      <c r="I859" s="10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10"/>
      <c r="B860" s="10"/>
      <c r="C860" s="10"/>
      <c r="D860" s="10"/>
      <c r="E860" s="10"/>
      <c r="F860" s="10"/>
      <c r="G860" s="10"/>
      <c r="H860" s="10"/>
      <c r="I860" s="10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10"/>
      <c r="B861" s="10"/>
      <c r="C861" s="10"/>
      <c r="D861" s="10"/>
      <c r="E861" s="10"/>
      <c r="F861" s="10"/>
      <c r="G861" s="10"/>
      <c r="H861" s="10"/>
      <c r="I861" s="10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10"/>
      <c r="B862" s="10"/>
      <c r="C862" s="10"/>
      <c r="D862" s="10"/>
      <c r="E862" s="10"/>
      <c r="F862" s="10"/>
      <c r="G862" s="10"/>
      <c r="H862" s="10"/>
      <c r="I862" s="10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10"/>
      <c r="B863" s="10"/>
      <c r="C863" s="10"/>
      <c r="D863" s="10"/>
      <c r="E863" s="10"/>
      <c r="F863" s="10"/>
      <c r="G863" s="10"/>
      <c r="H863" s="10"/>
      <c r="I863" s="10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10"/>
      <c r="B864" s="10"/>
      <c r="C864" s="10"/>
      <c r="D864" s="10"/>
      <c r="E864" s="10"/>
      <c r="F864" s="10"/>
      <c r="G864" s="10"/>
      <c r="H864" s="10"/>
      <c r="I864" s="10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10"/>
      <c r="B865" s="10"/>
      <c r="C865" s="10"/>
      <c r="D865" s="10"/>
      <c r="E865" s="10"/>
      <c r="F865" s="10"/>
      <c r="G865" s="10"/>
      <c r="H865" s="10"/>
      <c r="I865" s="10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10"/>
      <c r="B866" s="10"/>
      <c r="C866" s="10"/>
      <c r="D866" s="10"/>
      <c r="E866" s="10"/>
      <c r="F866" s="10"/>
      <c r="G866" s="10"/>
      <c r="H866" s="10"/>
      <c r="I866" s="10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10"/>
      <c r="B867" s="10"/>
      <c r="C867" s="10"/>
      <c r="D867" s="10"/>
      <c r="E867" s="10"/>
      <c r="F867" s="10"/>
      <c r="G867" s="10"/>
      <c r="H867" s="10"/>
      <c r="I867" s="10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10"/>
      <c r="B868" s="10"/>
      <c r="C868" s="10"/>
      <c r="D868" s="10"/>
      <c r="E868" s="10"/>
      <c r="F868" s="10"/>
      <c r="G868" s="10"/>
      <c r="H868" s="10"/>
      <c r="I868" s="10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10"/>
      <c r="B869" s="10"/>
      <c r="C869" s="10"/>
      <c r="D869" s="10"/>
      <c r="E869" s="10"/>
      <c r="F869" s="10"/>
      <c r="G869" s="10"/>
      <c r="H869" s="10"/>
      <c r="I869" s="10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10"/>
      <c r="B870" s="10"/>
      <c r="C870" s="10"/>
      <c r="D870" s="10"/>
      <c r="E870" s="10"/>
      <c r="F870" s="10"/>
      <c r="G870" s="10"/>
      <c r="H870" s="10"/>
      <c r="I870" s="10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10"/>
      <c r="B871" s="10"/>
      <c r="C871" s="10"/>
      <c r="D871" s="10"/>
      <c r="E871" s="10"/>
      <c r="F871" s="10"/>
      <c r="G871" s="10"/>
      <c r="H871" s="10"/>
      <c r="I871" s="10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10"/>
      <c r="B872" s="10"/>
      <c r="C872" s="10"/>
      <c r="D872" s="10"/>
      <c r="E872" s="10"/>
      <c r="F872" s="10"/>
      <c r="G872" s="10"/>
      <c r="H872" s="10"/>
      <c r="I872" s="10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10"/>
      <c r="B873" s="10"/>
      <c r="C873" s="10"/>
      <c r="D873" s="10"/>
      <c r="E873" s="10"/>
      <c r="F873" s="10"/>
      <c r="G873" s="10"/>
      <c r="H873" s="10"/>
      <c r="I873" s="10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10"/>
      <c r="B874" s="10"/>
      <c r="C874" s="10"/>
      <c r="D874" s="10"/>
      <c r="E874" s="10"/>
      <c r="F874" s="10"/>
      <c r="G874" s="10"/>
      <c r="H874" s="10"/>
      <c r="I874" s="10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10"/>
      <c r="B875" s="10"/>
      <c r="C875" s="10"/>
      <c r="D875" s="10"/>
      <c r="E875" s="10"/>
      <c r="F875" s="10"/>
      <c r="G875" s="10"/>
      <c r="H875" s="10"/>
      <c r="I875" s="10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10"/>
      <c r="B876" s="10"/>
      <c r="C876" s="10"/>
      <c r="D876" s="10"/>
      <c r="E876" s="10"/>
      <c r="F876" s="10"/>
      <c r="G876" s="10"/>
      <c r="H876" s="10"/>
      <c r="I876" s="10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10"/>
      <c r="B877" s="10"/>
      <c r="C877" s="10"/>
      <c r="D877" s="10"/>
      <c r="E877" s="10"/>
      <c r="F877" s="10"/>
      <c r="G877" s="10"/>
      <c r="H877" s="10"/>
      <c r="I877" s="10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10"/>
      <c r="B878" s="10"/>
      <c r="C878" s="10"/>
      <c r="D878" s="10"/>
      <c r="E878" s="10"/>
      <c r="F878" s="10"/>
      <c r="G878" s="10"/>
      <c r="H878" s="10"/>
      <c r="I878" s="10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10"/>
      <c r="B879" s="10"/>
      <c r="C879" s="10"/>
      <c r="D879" s="10"/>
      <c r="E879" s="10"/>
      <c r="F879" s="10"/>
      <c r="G879" s="10"/>
      <c r="H879" s="10"/>
      <c r="I879" s="10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10"/>
      <c r="B880" s="10"/>
      <c r="C880" s="10"/>
      <c r="D880" s="10"/>
      <c r="E880" s="10"/>
      <c r="F880" s="10"/>
      <c r="G880" s="10"/>
      <c r="H880" s="10"/>
      <c r="I880" s="10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10"/>
      <c r="B881" s="10"/>
      <c r="C881" s="10"/>
      <c r="D881" s="10"/>
      <c r="E881" s="10"/>
      <c r="F881" s="10"/>
      <c r="G881" s="10"/>
      <c r="H881" s="10"/>
      <c r="I881" s="10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10"/>
      <c r="B882" s="10"/>
      <c r="C882" s="10"/>
      <c r="D882" s="10"/>
      <c r="E882" s="10"/>
      <c r="F882" s="10"/>
      <c r="G882" s="10"/>
      <c r="H882" s="10"/>
      <c r="I882" s="10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10"/>
      <c r="B883" s="10"/>
      <c r="C883" s="10"/>
      <c r="D883" s="10"/>
      <c r="E883" s="10"/>
      <c r="F883" s="10"/>
      <c r="G883" s="10"/>
      <c r="H883" s="10"/>
      <c r="I883" s="10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10"/>
      <c r="B884" s="10"/>
      <c r="C884" s="10"/>
      <c r="D884" s="10"/>
      <c r="E884" s="10"/>
      <c r="F884" s="10"/>
      <c r="G884" s="10"/>
      <c r="H884" s="10"/>
      <c r="I884" s="10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10"/>
      <c r="B885" s="10"/>
      <c r="C885" s="10"/>
      <c r="D885" s="10"/>
      <c r="E885" s="10"/>
      <c r="F885" s="10"/>
      <c r="G885" s="10"/>
      <c r="H885" s="10"/>
      <c r="I885" s="10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10"/>
      <c r="B886" s="10"/>
      <c r="C886" s="10"/>
      <c r="D886" s="10"/>
      <c r="E886" s="10"/>
      <c r="F886" s="10"/>
      <c r="G886" s="10"/>
      <c r="H886" s="10"/>
      <c r="I886" s="10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10"/>
      <c r="B887" s="10"/>
      <c r="C887" s="10"/>
      <c r="D887" s="10"/>
      <c r="E887" s="10"/>
      <c r="F887" s="10"/>
      <c r="G887" s="10"/>
      <c r="H887" s="10"/>
      <c r="I887" s="10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10"/>
      <c r="B888" s="10"/>
      <c r="C888" s="10"/>
      <c r="D888" s="10"/>
      <c r="E888" s="10"/>
      <c r="F888" s="10"/>
      <c r="G888" s="10"/>
      <c r="H888" s="10"/>
      <c r="I888" s="10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10"/>
      <c r="B889" s="10"/>
      <c r="C889" s="10"/>
      <c r="D889" s="10"/>
      <c r="E889" s="10"/>
      <c r="F889" s="10"/>
      <c r="G889" s="10"/>
      <c r="H889" s="10"/>
      <c r="I889" s="10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10"/>
      <c r="B890" s="10"/>
      <c r="C890" s="10"/>
      <c r="D890" s="10"/>
      <c r="E890" s="10"/>
      <c r="F890" s="10"/>
      <c r="G890" s="10"/>
      <c r="H890" s="10"/>
      <c r="I890" s="10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10"/>
      <c r="B891" s="10"/>
      <c r="C891" s="10"/>
      <c r="D891" s="10"/>
      <c r="E891" s="10"/>
      <c r="F891" s="10"/>
      <c r="G891" s="10"/>
      <c r="H891" s="10"/>
      <c r="I891" s="10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10"/>
      <c r="B892" s="10"/>
      <c r="C892" s="10"/>
      <c r="D892" s="10"/>
      <c r="E892" s="10"/>
      <c r="F892" s="10"/>
      <c r="G892" s="10"/>
      <c r="H892" s="10"/>
      <c r="I892" s="10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10"/>
      <c r="B893" s="10"/>
      <c r="C893" s="10"/>
      <c r="D893" s="10"/>
      <c r="E893" s="10"/>
      <c r="F893" s="10"/>
      <c r="G893" s="10"/>
      <c r="H893" s="10"/>
      <c r="I893" s="10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10"/>
      <c r="B894" s="10"/>
      <c r="C894" s="10"/>
      <c r="D894" s="10"/>
      <c r="E894" s="10"/>
      <c r="F894" s="10"/>
      <c r="G894" s="10"/>
      <c r="H894" s="10"/>
      <c r="I894" s="10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10"/>
      <c r="B895" s="10"/>
      <c r="C895" s="10"/>
      <c r="D895" s="10"/>
      <c r="E895" s="10"/>
      <c r="F895" s="10"/>
      <c r="G895" s="10"/>
      <c r="H895" s="10"/>
      <c r="I895" s="10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10"/>
      <c r="B896" s="10"/>
      <c r="C896" s="10"/>
      <c r="D896" s="10"/>
      <c r="E896" s="10"/>
      <c r="F896" s="10"/>
      <c r="G896" s="10"/>
      <c r="H896" s="10"/>
      <c r="I896" s="10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10"/>
      <c r="B897" s="10"/>
      <c r="C897" s="10"/>
      <c r="D897" s="10"/>
      <c r="E897" s="10"/>
      <c r="F897" s="10"/>
      <c r="G897" s="10"/>
      <c r="H897" s="10"/>
      <c r="I897" s="10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10"/>
      <c r="B898" s="10"/>
      <c r="C898" s="10"/>
      <c r="D898" s="10"/>
      <c r="E898" s="10"/>
      <c r="F898" s="10"/>
      <c r="G898" s="10"/>
      <c r="H898" s="10"/>
      <c r="I898" s="10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10"/>
      <c r="B899" s="10"/>
      <c r="C899" s="10"/>
      <c r="D899" s="10"/>
      <c r="E899" s="10"/>
      <c r="F899" s="10"/>
      <c r="G899" s="10"/>
      <c r="H899" s="10"/>
      <c r="I899" s="10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10"/>
      <c r="B900" s="10"/>
      <c r="C900" s="10"/>
      <c r="D900" s="10"/>
      <c r="E900" s="10"/>
      <c r="F900" s="10"/>
      <c r="G900" s="10"/>
      <c r="H900" s="10"/>
      <c r="I900" s="10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10"/>
      <c r="B901" s="10"/>
      <c r="C901" s="10"/>
      <c r="D901" s="10"/>
      <c r="E901" s="10"/>
      <c r="F901" s="10"/>
      <c r="G901" s="10"/>
      <c r="H901" s="10"/>
      <c r="I901" s="10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10"/>
      <c r="B902" s="10"/>
      <c r="C902" s="10"/>
      <c r="D902" s="10"/>
      <c r="E902" s="10"/>
      <c r="F902" s="10"/>
      <c r="G902" s="10"/>
      <c r="H902" s="10"/>
      <c r="I902" s="10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10"/>
      <c r="B903" s="10"/>
      <c r="C903" s="10"/>
      <c r="D903" s="10"/>
      <c r="E903" s="10"/>
      <c r="F903" s="10"/>
      <c r="G903" s="10"/>
      <c r="H903" s="10"/>
      <c r="I903" s="10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10"/>
      <c r="B904" s="10"/>
      <c r="C904" s="10"/>
      <c r="D904" s="10"/>
      <c r="E904" s="10"/>
      <c r="F904" s="10"/>
      <c r="G904" s="10"/>
      <c r="H904" s="10"/>
      <c r="I904" s="10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10"/>
      <c r="B905" s="10"/>
      <c r="C905" s="10"/>
      <c r="D905" s="10"/>
      <c r="E905" s="10"/>
      <c r="F905" s="10"/>
      <c r="G905" s="10"/>
      <c r="H905" s="10"/>
      <c r="I905" s="10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10"/>
      <c r="B906" s="10"/>
      <c r="C906" s="10"/>
      <c r="D906" s="10"/>
      <c r="E906" s="10"/>
      <c r="F906" s="10"/>
      <c r="G906" s="10"/>
      <c r="H906" s="10"/>
      <c r="I906" s="10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10"/>
      <c r="B907" s="10"/>
      <c r="C907" s="10"/>
      <c r="D907" s="10"/>
      <c r="E907" s="10"/>
      <c r="F907" s="10"/>
      <c r="G907" s="10"/>
      <c r="H907" s="10"/>
      <c r="I907" s="10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10"/>
      <c r="B908" s="10"/>
      <c r="C908" s="10"/>
      <c r="D908" s="10"/>
      <c r="E908" s="10"/>
      <c r="F908" s="10"/>
      <c r="G908" s="10"/>
      <c r="H908" s="10"/>
      <c r="I908" s="10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10"/>
      <c r="B909" s="10"/>
      <c r="C909" s="10"/>
      <c r="D909" s="10"/>
      <c r="E909" s="10"/>
      <c r="F909" s="10"/>
      <c r="G909" s="10"/>
      <c r="H909" s="10"/>
      <c r="I909" s="10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10"/>
      <c r="B910" s="10"/>
      <c r="C910" s="10"/>
      <c r="D910" s="10"/>
      <c r="E910" s="10"/>
      <c r="F910" s="10"/>
      <c r="G910" s="10"/>
      <c r="H910" s="10"/>
      <c r="I910" s="10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10"/>
      <c r="B911" s="10"/>
      <c r="C911" s="10"/>
      <c r="D911" s="10"/>
      <c r="E911" s="10"/>
      <c r="F911" s="10"/>
      <c r="G911" s="10"/>
      <c r="H911" s="10"/>
      <c r="I911" s="10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10"/>
      <c r="B912" s="10"/>
      <c r="C912" s="10"/>
      <c r="D912" s="10"/>
      <c r="E912" s="10"/>
      <c r="F912" s="10"/>
      <c r="G912" s="10"/>
      <c r="H912" s="10"/>
      <c r="I912" s="10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10"/>
      <c r="B913" s="10"/>
      <c r="C913" s="10"/>
      <c r="D913" s="10"/>
      <c r="E913" s="10"/>
      <c r="F913" s="10"/>
      <c r="G913" s="10"/>
      <c r="H913" s="10"/>
      <c r="I913" s="10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10"/>
      <c r="B914" s="10"/>
      <c r="C914" s="10"/>
      <c r="D914" s="10"/>
      <c r="E914" s="10"/>
      <c r="F914" s="10"/>
      <c r="G914" s="10"/>
      <c r="H914" s="10"/>
      <c r="I914" s="10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10"/>
      <c r="B915" s="10"/>
      <c r="C915" s="10"/>
      <c r="D915" s="10"/>
      <c r="E915" s="10"/>
      <c r="F915" s="10"/>
      <c r="G915" s="10"/>
      <c r="H915" s="10"/>
      <c r="I915" s="10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10"/>
      <c r="B916" s="10"/>
      <c r="C916" s="10"/>
      <c r="D916" s="10"/>
      <c r="E916" s="10"/>
      <c r="F916" s="10"/>
      <c r="G916" s="10"/>
      <c r="H916" s="10"/>
      <c r="I916" s="10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10"/>
      <c r="B917" s="10"/>
      <c r="C917" s="10"/>
      <c r="D917" s="10"/>
      <c r="E917" s="10"/>
      <c r="F917" s="10"/>
      <c r="G917" s="10"/>
      <c r="H917" s="10"/>
      <c r="I917" s="10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10"/>
      <c r="B918" s="10"/>
      <c r="C918" s="10"/>
      <c r="D918" s="10"/>
      <c r="E918" s="10"/>
      <c r="F918" s="10"/>
      <c r="G918" s="10"/>
      <c r="H918" s="10"/>
      <c r="I918" s="10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10"/>
      <c r="B919" s="10"/>
      <c r="C919" s="10"/>
      <c r="D919" s="10"/>
      <c r="E919" s="10"/>
      <c r="F919" s="10"/>
      <c r="G919" s="10"/>
      <c r="H919" s="10"/>
      <c r="I919" s="10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10"/>
      <c r="B920" s="10"/>
      <c r="C920" s="10"/>
      <c r="D920" s="10"/>
      <c r="E920" s="10"/>
      <c r="F920" s="10"/>
      <c r="G920" s="10"/>
      <c r="H920" s="10"/>
      <c r="I920" s="10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10"/>
      <c r="B921" s="10"/>
      <c r="C921" s="10"/>
      <c r="D921" s="10"/>
      <c r="E921" s="10"/>
      <c r="F921" s="10"/>
      <c r="G921" s="10"/>
      <c r="H921" s="10"/>
      <c r="I921" s="10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10"/>
      <c r="B922" s="10"/>
      <c r="C922" s="10"/>
      <c r="D922" s="10"/>
      <c r="E922" s="10"/>
      <c r="F922" s="10"/>
      <c r="G922" s="10"/>
      <c r="H922" s="10"/>
      <c r="I922" s="10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10"/>
      <c r="B923" s="10"/>
      <c r="C923" s="10"/>
      <c r="D923" s="10"/>
      <c r="E923" s="10"/>
      <c r="F923" s="10"/>
      <c r="G923" s="10"/>
      <c r="H923" s="10"/>
      <c r="I923" s="10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10"/>
      <c r="B924" s="10"/>
      <c r="C924" s="10"/>
      <c r="D924" s="10"/>
      <c r="E924" s="10"/>
      <c r="F924" s="10"/>
      <c r="G924" s="10"/>
      <c r="H924" s="10"/>
      <c r="I924" s="10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10"/>
      <c r="B925" s="10"/>
      <c r="C925" s="10"/>
      <c r="D925" s="10"/>
      <c r="E925" s="10"/>
      <c r="F925" s="10"/>
      <c r="G925" s="10"/>
      <c r="H925" s="10"/>
      <c r="I925" s="10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10"/>
      <c r="B926" s="10"/>
      <c r="C926" s="10"/>
      <c r="D926" s="10"/>
      <c r="E926" s="10"/>
      <c r="F926" s="10"/>
      <c r="G926" s="10"/>
      <c r="H926" s="10"/>
      <c r="I926" s="10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10"/>
      <c r="B927" s="10"/>
      <c r="C927" s="10"/>
      <c r="D927" s="10"/>
      <c r="E927" s="10"/>
      <c r="F927" s="10"/>
      <c r="G927" s="10"/>
      <c r="H927" s="10"/>
      <c r="I927" s="10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10"/>
      <c r="B928" s="10"/>
      <c r="C928" s="10"/>
      <c r="D928" s="10"/>
      <c r="E928" s="10"/>
      <c r="F928" s="10"/>
      <c r="G928" s="10"/>
      <c r="H928" s="10"/>
      <c r="I928" s="10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10"/>
      <c r="B929" s="10"/>
      <c r="C929" s="10"/>
      <c r="D929" s="10"/>
      <c r="E929" s="10"/>
      <c r="F929" s="10"/>
      <c r="G929" s="10"/>
      <c r="H929" s="10"/>
      <c r="I929" s="10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10"/>
      <c r="B930" s="10"/>
      <c r="C930" s="10"/>
      <c r="D930" s="10"/>
      <c r="E930" s="10"/>
      <c r="F930" s="10"/>
      <c r="G930" s="10"/>
      <c r="H930" s="10"/>
      <c r="I930" s="10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10"/>
      <c r="B931" s="10"/>
      <c r="C931" s="10"/>
      <c r="D931" s="10"/>
      <c r="E931" s="10"/>
      <c r="F931" s="10"/>
      <c r="G931" s="10"/>
      <c r="H931" s="10"/>
      <c r="I931" s="10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10"/>
      <c r="B932" s="10"/>
      <c r="C932" s="10"/>
      <c r="D932" s="10"/>
      <c r="E932" s="10"/>
      <c r="F932" s="10"/>
      <c r="G932" s="10"/>
      <c r="H932" s="10"/>
      <c r="I932" s="10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10"/>
      <c r="B933" s="10"/>
      <c r="C933" s="10"/>
      <c r="D933" s="10"/>
      <c r="E933" s="10"/>
      <c r="F933" s="10"/>
      <c r="G933" s="10"/>
      <c r="H933" s="10"/>
      <c r="I933" s="10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10"/>
      <c r="B934" s="10"/>
      <c r="C934" s="10"/>
      <c r="D934" s="10"/>
      <c r="E934" s="10"/>
      <c r="F934" s="10"/>
      <c r="G934" s="10"/>
      <c r="H934" s="10"/>
      <c r="I934" s="10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10"/>
      <c r="B935" s="10"/>
      <c r="C935" s="10"/>
      <c r="D935" s="10"/>
      <c r="E935" s="10"/>
      <c r="F935" s="10"/>
      <c r="G935" s="10"/>
      <c r="H935" s="10"/>
      <c r="I935" s="10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10"/>
      <c r="B936" s="10"/>
      <c r="C936" s="10"/>
      <c r="D936" s="10"/>
      <c r="E936" s="10"/>
      <c r="F936" s="10"/>
      <c r="G936" s="10"/>
      <c r="H936" s="10"/>
      <c r="I936" s="10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10"/>
      <c r="B937" s="10"/>
      <c r="C937" s="10"/>
      <c r="D937" s="10"/>
      <c r="E937" s="10"/>
      <c r="F937" s="10"/>
      <c r="G937" s="10"/>
      <c r="H937" s="10"/>
      <c r="I937" s="10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10"/>
      <c r="B938" s="10"/>
      <c r="C938" s="10"/>
      <c r="D938" s="10"/>
      <c r="E938" s="10"/>
      <c r="F938" s="10"/>
      <c r="G938" s="10"/>
      <c r="H938" s="10"/>
      <c r="I938" s="10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10"/>
      <c r="B939" s="10"/>
      <c r="C939" s="10"/>
      <c r="D939" s="10"/>
      <c r="E939" s="10"/>
      <c r="F939" s="10"/>
      <c r="G939" s="10"/>
      <c r="H939" s="10"/>
      <c r="I939" s="10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10"/>
      <c r="B940" s="10"/>
      <c r="C940" s="10"/>
      <c r="D940" s="10"/>
      <c r="E940" s="10"/>
      <c r="F940" s="10"/>
      <c r="G940" s="10"/>
      <c r="H940" s="10"/>
      <c r="I940" s="10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10"/>
      <c r="B941" s="10"/>
      <c r="C941" s="10"/>
      <c r="D941" s="10"/>
      <c r="E941" s="10"/>
      <c r="F941" s="10"/>
      <c r="G941" s="10"/>
      <c r="H941" s="10"/>
      <c r="I941" s="10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10"/>
      <c r="B942" s="10"/>
      <c r="C942" s="10"/>
      <c r="D942" s="10"/>
      <c r="E942" s="10"/>
      <c r="F942" s="10"/>
      <c r="G942" s="10"/>
      <c r="H942" s="10"/>
      <c r="I942" s="10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10"/>
      <c r="B943" s="10"/>
      <c r="C943" s="10"/>
      <c r="D943" s="10"/>
      <c r="E943" s="10"/>
      <c r="F943" s="10"/>
      <c r="G943" s="10"/>
      <c r="H943" s="10"/>
      <c r="I943" s="10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10"/>
      <c r="B944" s="10"/>
      <c r="C944" s="10"/>
      <c r="D944" s="10"/>
      <c r="E944" s="10"/>
      <c r="F944" s="10"/>
      <c r="G944" s="10"/>
      <c r="H944" s="10"/>
      <c r="I944" s="10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10"/>
      <c r="B945" s="10"/>
      <c r="C945" s="10"/>
      <c r="D945" s="10"/>
      <c r="E945" s="10"/>
      <c r="F945" s="10"/>
      <c r="G945" s="10"/>
      <c r="H945" s="10"/>
      <c r="I945" s="10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10"/>
      <c r="B946" s="10"/>
      <c r="C946" s="10"/>
      <c r="D946" s="10"/>
      <c r="E946" s="10"/>
      <c r="F946" s="10"/>
      <c r="G946" s="10"/>
      <c r="H946" s="10"/>
      <c r="I946" s="10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10"/>
      <c r="B947" s="10"/>
      <c r="C947" s="10"/>
      <c r="D947" s="10"/>
      <c r="E947" s="10"/>
      <c r="F947" s="10"/>
      <c r="G947" s="10"/>
      <c r="H947" s="10"/>
      <c r="I947" s="10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10"/>
      <c r="B948" s="10"/>
      <c r="C948" s="10"/>
      <c r="D948" s="10"/>
      <c r="E948" s="10"/>
      <c r="F948" s="10"/>
      <c r="G948" s="10"/>
      <c r="H948" s="10"/>
      <c r="I948" s="10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10"/>
      <c r="B949" s="10"/>
      <c r="C949" s="10"/>
      <c r="D949" s="10"/>
      <c r="E949" s="10"/>
      <c r="F949" s="10"/>
      <c r="G949" s="10"/>
      <c r="H949" s="10"/>
      <c r="I949" s="10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10"/>
      <c r="B950" s="10"/>
      <c r="C950" s="10"/>
      <c r="D950" s="10"/>
      <c r="E950" s="10"/>
      <c r="F950" s="10"/>
      <c r="G950" s="10"/>
      <c r="H950" s="10"/>
      <c r="I950" s="10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10"/>
      <c r="B951" s="10"/>
      <c r="C951" s="10"/>
      <c r="D951" s="10"/>
      <c r="E951" s="10"/>
      <c r="F951" s="10"/>
      <c r="G951" s="10"/>
      <c r="H951" s="10"/>
      <c r="I951" s="10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10"/>
      <c r="B952" s="10"/>
      <c r="C952" s="10"/>
      <c r="D952" s="10"/>
      <c r="E952" s="10"/>
      <c r="F952" s="10"/>
      <c r="G952" s="10"/>
      <c r="H952" s="10"/>
      <c r="I952" s="10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10"/>
      <c r="B953" s="10"/>
      <c r="C953" s="10"/>
      <c r="D953" s="10"/>
      <c r="E953" s="10"/>
      <c r="F953" s="10"/>
      <c r="G953" s="10"/>
      <c r="H953" s="10"/>
      <c r="I953" s="10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10"/>
      <c r="B954" s="10"/>
      <c r="C954" s="10"/>
      <c r="D954" s="10"/>
      <c r="E954" s="10"/>
      <c r="F954" s="10"/>
      <c r="G954" s="10"/>
      <c r="H954" s="10"/>
      <c r="I954" s="10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10"/>
      <c r="B955" s="10"/>
      <c r="C955" s="10"/>
      <c r="D955" s="10"/>
      <c r="E955" s="10"/>
      <c r="F955" s="10"/>
      <c r="G955" s="10"/>
      <c r="H955" s="10"/>
      <c r="I955" s="10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10"/>
      <c r="B956" s="10"/>
      <c r="C956" s="10"/>
      <c r="D956" s="10"/>
      <c r="E956" s="10"/>
      <c r="F956" s="10"/>
      <c r="G956" s="10"/>
      <c r="H956" s="10"/>
      <c r="I956" s="10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10"/>
      <c r="B957" s="10"/>
      <c r="C957" s="10"/>
      <c r="D957" s="10"/>
      <c r="E957" s="10"/>
      <c r="F957" s="10"/>
      <c r="G957" s="10"/>
      <c r="H957" s="10"/>
      <c r="I957" s="10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10"/>
      <c r="B958" s="10"/>
      <c r="C958" s="10"/>
      <c r="D958" s="10"/>
      <c r="E958" s="10"/>
      <c r="F958" s="10"/>
      <c r="G958" s="10"/>
      <c r="H958" s="10"/>
      <c r="I958" s="10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10"/>
      <c r="B959" s="10"/>
      <c r="C959" s="10"/>
      <c r="D959" s="10"/>
      <c r="E959" s="10"/>
      <c r="F959" s="10"/>
      <c r="G959" s="10"/>
      <c r="H959" s="10"/>
      <c r="I959" s="10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10"/>
      <c r="B960" s="10"/>
      <c r="C960" s="10"/>
      <c r="D960" s="10"/>
      <c r="E960" s="10"/>
      <c r="F960" s="10"/>
      <c r="G960" s="10"/>
      <c r="H960" s="10"/>
      <c r="I960" s="10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10"/>
      <c r="B961" s="10"/>
      <c r="C961" s="10"/>
      <c r="D961" s="10"/>
      <c r="E961" s="10"/>
      <c r="F961" s="10"/>
      <c r="G961" s="10"/>
      <c r="H961" s="10"/>
      <c r="I961" s="10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10"/>
      <c r="B962" s="10"/>
      <c r="C962" s="10"/>
      <c r="D962" s="10"/>
      <c r="E962" s="10"/>
      <c r="F962" s="10"/>
      <c r="G962" s="10"/>
      <c r="H962" s="10"/>
      <c r="I962" s="10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10"/>
      <c r="B963" s="10"/>
      <c r="C963" s="10"/>
      <c r="D963" s="10"/>
      <c r="E963" s="10"/>
      <c r="F963" s="10"/>
      <c r="G963" s="10"/>
      <c r="H963" s="10"/>
      <c r="I963" s="10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10"/>
      <c r="B964" s="10"/>
      <c r="C964" s="10"/>
      <c r="D964" s="10"/>
      <c r="E964" s="10"/>
      <c r="F964" s="10"/>
      <c r="G964" s="10"/>
      <c r="H964" s="10"/>
      <c r="I964" s="10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10"/>
      <c r="B965" s="10"/>
      <c r="C965" s="10"/>
      <c r="D965" s="10"/>
      <c r="E965" s="10"/>
      <c r="F965" s="10"/>
      <c r="G965" s="10"/>
      <c r="H965" s="10"/>
      <c r="I965" s="10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10"/>
      <c r="B966" s="10"/>
      <c r="C966" s="10"/>
      <c r="D966" s="10"/>
      <c r="E966" s="10"/>
      <c r="F966" s="10"/>
      <c r="G966" s="10"/>
      <c r="H966" s="10"/>
      <c r="I966" s="10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10"/>
      <c r="B967" s="10"/>
      <c r="C967" s="10"/>
      <c r="D967" s="10"/>
      <c r="E967" s="10"/>
      <c r="F967" s="10"/>
      <c r="G967" s="10"/>
      <c r="H967" s="10"/>
      <c r="I967" s="10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10"/>
      <c r="B968" s="10"/>
      <c r="C968" s="10"/>
      <c r="D968" s="10"/>
      <c r="E968" s="10"/>
      <c r="F968" s="10"/>
      <c r="G968" s="10"/>
      <c r="H968" s="10"/>
      <c r="I968" s="10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10"/>
      <c r="B969" s="10"/>
      <c r="C969" s="10"/>
      <c r="D969" s="10"/>
      <c r="E969" s="10"/>
      <c r="F969" s="10"/>
      <c r="G969" s="10"/>
      <c r="H969" s="10"/>
      <c r="I969" s="10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10"/>
      <c r="B970" s="10"/>
      <c r="C970" s="10"/>
      <c r="D970" s="10"/>
      <c r="E970" s="10"/>
      <c r="F970" s="10"/>
      <c r="G970" s="10"/>
      <c r="H970" s="10"/>
      <c r="I970" s="10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10"/>
      <c r="B971" s="10"/>
      <c r="C971" s="10"/>
      <c r="D971" s="10"/>
      <c r="E971" s="10"/>
      <c r="F971" s="10"/>
      <c r="G971" s="10"/>
      <c r="H971" s="10"/>
      <c r="I971" s="10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10"/>
      <c r="B972" s="10"/>
      <c r="C972" s="10"/>
      <c r="D972" s="10"/>
      <c r="E972" s="10"/>
      <c r="F972" s="10"/>
      <c r="G972" s="10"/>
      <c r="H972" s="10"/>
      <c r="I972" s="10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10"/>
      <c r="B973" s="10"/>
      <c r="C973" s="10"/>
      <c r="D973" s="10"/>
      <c r="E973" s="10"/>
      <c r="F973" s="10"/>
      <c r="G973" s="10"/>
      <c r="H973" s="10"/>
      <c r="I973" s="10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10"/>
      <c r="B974" s="10"/>
      <c r="C974" s="10"/>
      <c r="D974" s="10"/>
      <c r="E974" s="10"/>
      <c r="F974" s="10"/>
      <c r="G974" s="10"/>
      <c r="H974" s="10"/>
      <c r="I974" s="10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10"/>
      <c r="B975" s="10"/>
      <c r="C975" s="10"/>
      <c r="D975" s="10"/>
      <c r="E975" s="10"/>
      <c r="F975" s="10"/>
      <c r="G975" s="10"/>
      <c r="H975" s="10"/>
      <c r="I975" s="10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10"/>
      <c r="B976" s="10"/>
      <c r="C976" s="10"/>
      <c r="D976" s="10"/>
      <c r="E976" s="10"/>
      <c r="F976" s="10"/>
      <c r="G976" s="10"/>
      <c r="H976" s="10"/>
      <c r="I976" s="10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10"/>
      <c r="B977" s="10"/>
      <c r="C977" s="10"/>
      <c r="D977" s="10"/>
      <c r="E977" s="10"/>
      <c r="F977" s="10"/>
      <c r="G977" s="10"/>
      <c r="H977" s="10"/>
      <c r="I977" s="10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10"/>
      <c r="B978" s="10"/>
      <c r="C978" s="10"/>
      <c r="D978" s="10"/>
      <c r="E978" s="10"/>
      <c r="F978" s="10"/>
      <c r="G978" s="10"/>
      <c r="H978" s="10"/>
      <c r="I978" s="10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10"/>
      <c r="B979" s="10"/>
      <c r="C979" s="10"/>
      <c r="D979" s="10"/>
      <c r="E979" s="10"/>
      <c r="F979" s="10"/>
      <c r="G979" s="10"/>
      <c r="H979" s="10"/>
      <c r="I979" s="10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10"/>
      <c r="B980" s="10"/>
      <c r="C980" s="10"/>
      <c r="D980" s="10"/>
      <c r="E980" s="10"/>
      <c r="F980" s="10"/>
      <c r="G980" s="10"/>
      <c r="H980" s="10"/>
      <c r="I980" s="10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10"/>
      <c r="B981" s="10"/>
      <c r="C981" s="10"/>
      <c r="D981" s="10"/>
      <c r="E981" s="10"/>
      <c r="F981" s="10"/>
      <c r="G981" s="10"/>
      <c r="H981" s="10"/>
      <c r="I981" s="10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10"/>
      <c r="B982" s="10"/>
      <c r="C982" s="10"/>
      <c r="D982" s="10"/>
      <c r="E982" s="10"/>
      <c r="F982" s="10"/>
      <c r="G982" s="10"/>
      <c r="H982" s="10"/>
      <c r="I982" s="10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10"/>
      <c r="B983" s="10"/>
      <c r="C983" s="10"/>
      <c r="D983" s="10"/>
      <c r="E983" s="10"/>
      <c r="F983" s="10"/>
      <c r="G983" s="10"/>
      <c r="H983" s="10"/>
      <c r="I983" s="10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10"/>
      <c r="B984" s="10"/>
      <c r="C984" s="10"/>
      <c r="D984" s="10"/>
      <c r="E984" s="10"/>
      <c r="F984" s="10"/>
      <c r="G984" s="10"/>
      <c r="H984" s="10"/>
      <c r="I984" s="10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10"/>
      <c r="B985" s="10"/>
      <c r="C985" s="10"/>
      <c r="D985" s="10"/>
      <c r="E985" s="10"/>
      <c r="F985" s="10"/>
      <c r="G985" s="10"/>
      <c r="H985" s="10"/>
      <c r="I985" s="10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10"/>
      <c r="B986" s="10"/>
      <c r="C986" s="10"/>
      <c r="D986" s="10"/>
      <c r="E986" s="10"/>
      <c r="F986" s="10"/>
      <c r="G986" s="10"/>
      <c r="H986" s="10"/>
      <c r="I986" s="10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10"/>
      <c r="B987" s="10"/>
      <c r="C987" s="10"/>
      <c r="D987" s="10"/>
      <c r="E987" s="10"/>
      <c r="F987" s="10"/>
      <c r="G987" s="10"/>
      <c r="H987" s="10"/>
      <c r="I987" s="10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10"/>
      <c r="B988" s="10"/>
      <c r="C988" s="10"/>
      <c r="D988" s="10"/>
      <c r="E988" s="10"/>
      <c r="F988" s="10"/>
      <c r="G988" s="10"/>
      <c r="H988" s="10"/>
      <c r="I988" s="10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10"/>
      <c r="B989" s="10"/>
      <c r="C989" s="10"/>
      <c r="D989" s="10"/>
      <c r="E989" s="10"/>
      <c r="F989" s="10"/>
      <c r="G989" s="10"/>
      <c r="H989" s="10"/>
      <c r="I989" s="10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10"/>
      <c r="B990" s="10"/>
      <c r="C990" s="10"/>
      <c r="D990" s="10"/>
      <c r="E990" s="10"/>
      <c r="F990" s="10"/>
      <c r="G990" s="10"/>
      <c r="H990" s="10"/>
      <c r="I990" s="10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10"/>
      <c r="B991" s="10"/>
      <c r="C991" s="10"/>
      <c r="D991" s="10"/>
      <c r="E991" s="10"/>
      <c r="F991" s="10"/>
      <c r="G991" s="10"/>
      <c r="H991" s="10"/>
      <c r="I991" s="10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10"/>
      <c r="B992" s="10"/>
      <c r="C992" s="10"/>
      <c r="D992" s="10"/>
      <c r="E992" s="10"/>
      <c r="F992" s="10"/>
      <c r="G992" s="10"/>
      <c r="H992" s="10"/>
      <c r="I992" s="10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10"/>
      <c r="B993" s="10"/>
      <c r="C993" s="10"/>
      <c r="D993" s="10"/>
      <c r="E993" s="10"/>
      <c r="F993" s="10"/>
      <c r="G993" s="10"/>
      <c r="H993" s="10"/>
      <c r="I993" s="10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10"/>
      <c r="B994" s="10"/>
      <c r="C994" s="10"/>
      <c r="D994" s="10"/>
      <c r="E994" s="10"/>
      <c r="F994" s="10"/>
      <c r="G994" s="10"/>
      <c r="H994" s="10"/>
      <c r="I994" s="10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10"/>
      <c r="B995" s="10"/>
      <c r="C995" s="10"/>
      <c r="D995" s="10"/>
      <c r="E995" s="10"/>
      <c r="F995" s="10"/>
      <c r="G995" s="10"/>
      <c r="H995" s="10"/>
      <c r="I995" s="10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10"/>
      <c r="B996" s="10"/>
      <c r="C996" s="10"/>
      <c r="D996" s="10"/>
      <c r="E996" s="10"/>
      <c r="F996" s="10"/>
      <c r="G996" s="10"/>
      <c r="H996" s="10"/>
      <c r="I996" s="10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10"/>
      <c r="B997" s="10"/>
      <c r="C997" s="10"/>
      <c r="D997" s="10"/>
      <c r="E997" s="10"/>
      <c r="F997" s="10"/>
      <c r="G997" s="10"/>
      <c r="H997" s="10"/>
      <c r="I997" s="10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10"/>
      <c r="B998" s="10"/>
      <c r="C998" s="10"/>
      <c r="D998" s="10"/>
      <c r="E998" s="10"/>
      <c r="F998" s="10"/>
      <c r="G998" s="10"/>
      <c r="H998" s="10"/>
      <c r="I998" s="10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10"/>
      <c r="B999" s="10"/>
      <c r="C999" s="10"/>
      <c r="D999" s="10"/>
      <c r="E999" s="10"/>
      <c r="F999" s="10"/>
      <c r="G999" s="10"/>
      <c r="H999" s="10"/>
      <c r="I999" s="10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10"/>
      <c r="B1000" s="10"/>
      <c r="C1000" s="10"/>
      <c r="D1000" s="10"/>
      <c r="E1000" s="10"/>
      <c r="F1000" s="10"/>
      <c r="G1000" s="10"/>
      <c r="H1000" s="10"/>
      <c r="I1000" s="10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1:Z248" xr:uid="{00000000-0001-0000-0000-000000000000}">
    <filterColumn colId="1">
      <filters>
        <filter val="ClubeDaSort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Z1000"/>
  <sheetViews>
    <sheetView workbookViewId="0"/>
  </sheetViews>
  <sheetFormatPr defaultColWidth="12.6640625" defaultRowHeight="15.75" customHeight="1" x14ac:dyDescent="0.25"/>
  <cols>
    <col min="1" max="5" width="15.77734375" customWidth="1"/>
    <col min="7" max="14" width="12.6640625" customWidth="1"/>
    <col min="15" max="15" width="43.88671875" customWidth="1"/>
    <col min="16" max="26" width="12.6640625" customWidth="1"/>
  </cols>
  <sheetData>
    <row r="1" spans="1:26" ht="15.75" customHeight="1" x14ac:dyDescent="0.3">
      <c r="A1" s="12" t="s">
        <v>0</v>
      </c>
      <c r="B1" s="12" t="s">
        <v>283</v>
      </c>
      <c r="C1" s="12" t="s">
        <v>284</v>
      </c>
      <c r="D1" s="12" t="s">
        <v>285</v>
      </c>
      <c r="E1" s="13" t="s">
        <v>286</v>
      </c>
      <c r="F1" s="2"/>
      <c r="G1" s="105" t="s">
        <v>287</v>
      </c>
      <c r="H1" s="106"/>
      <c r="I1" s="105" t="s">
        <v>288</v>
      </c>
      <c r="J1" s="106"/>
      <c r="K1" s="14"/>
      <c r="L1" s="107" t="s">
        <v>289</v>
      </c>
      <c r="M1" s="106"/>
      <c r="N1" s="106"/>
      <c r="O1" s="106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15" t="s">
        <v>9</v>
      </c>
      <c r="B2" s="16">
        <f>AAwezz!P2</f>
        <v>5659.402446783557</v>
      </c>
      <c r="C2" s="16">
        <f>AAwezz!Q2</f>
        <v>7420.1300000000019</v>
      </c>
      <c r="D2" s="16">
        <f>AAwezz!R2</f>
        <v>13079.53244678356</v>
      </c>
      <c r="E2" s="17">
        <f>AAwezz!L2</f>
        <v>1644.3854189742303</v>
      </c>
      <c r="F2" s="2"/>
      <c r="G2" s="18" t="s">
        <v>9</v>
      </c>
      <c r="H2" s="19" t="s">
        <v>77</v>
      </c>
      <c r="I2" s="18" t="s">
        <v>290</v>
      </c>
      <c r="J2" s="19">
        <v>1492.83</v>
      </c>
      <c r="K2" s="2"/>
      <c r="L2" s="20" t="s">
        <v>291</v>
      </c>
      <c r="M2" s="20" t="s">
        <v>292</v>
      </c>
      <c r="N2" s="20" t="s">
        <v>293</v>
      </c>
      <c r="O2" s="20" t="s">
        <v>294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15" t="s">
        <v>47</v>
      </c>
      <c r="B3" s="16">
        <f>Alex!Q2</f>
        <v>7777.8898888132017</v>
      </c>
      <c r="C3" s="16">
        <f>Alex!R2</f>
        <v>-19203.82</v>
      </c>
      <c r="D3" s="16">
        <f>Alex!S2</f>
        <v>-11425.930111186797</v>
      </c>
      <c r="E3" s="17">
        <f>Alex!M2</f>
        <v>7675.1553589493042</v>
      </c>
      <c r="F3" s="2"/>
      <c r="G3" s="18" t="s">
        <v>47</v>
      </c>
      <c r="H3" s="19">
        <f>Alex!J202</f>
        <v>405.75055345000004</v>
      </c>
      <c r="I3" s="18" t="s">
        <v>295</v>
      </c>
      <c r="J3" s="19">
        <v>1079.5899999999999</v>
      </c>
      <c r="K3" s="2"/>
      <c r="L3" s="21" t="s">
        <v>296</v>
      </c>
      <c r="M3" s="21" t="s">
        <v>290</v>
      </c>
      <c r="N3" s="21">
        <v>-32.090000000000003</v>
      </c>
      <c r="O3" s="21" t="s">
        <v>297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15" t="s">
        <v>68</v>
      </c>
      <c r="B4" s="16">
        <f>Andraz!P2</f>
        <v>0</v>
      </c>
      <c r="C4" s="16">
        <f>Andraz!Q2</f>
        <v>0</v>
      </c>
      <c r="D4" s="16">
        <f>Andraz!R2</f>
        <v>0</v>
      </c>
      <c r="E4" s="17">
        <f>Andraz!L2</f>
        <v>0</v>
      </c>
      <c r="F4" s="22" t="s">
        <v>298</v>
      </c>
      <c r="G4" s="18" t="s">
        <v>68</v>
      </c>
      <c r="H4" s="19" t="s">
        <v>77</v>
      </c>
      <c r="I4" s="18" t="s">
        <v>299</v>
      </c>
      <c r="J4" s="19">
        <v>597.9</v>
      </c>
      <c r="K4" s="2"/>
      <c r="L4" s="21" t="s">
        <v>296</v>
      </c>
      <c r="M4" s="21" t="s">
        <v>290</v>
      </c>
      <c r="N4" s="21">
        <v>31.54</v>
      </c>
      <c r="O4" s="21" t="s">
        <v>300</v>
      </c>
      <c r="P4" s="2"/>
      <c r="Q4" s="2"/>
      <c r="R4" s="2"/>
      <c r="S4" s="2"/>
      <c r="T4" s="2"/>
      <c r="U4" s="2"/>
      <c r="V4" s="2"/>
      <c r="W4" s="2"/>
      <c r="X4" s="23"/>
      <c r="Y4" s="23"/>
      <c r="Z4" s="23"/>
    </row>
    <row r="5" spans="1:26" ht="15.75" customHeight="1" x14ac:dyDescent="0.3">
      <c r="A5" s="15" t="s">
        <v>85</v>
      </c>
      <c r="B5" s="16">
        <f>Andreas!P2</f>
        <v>0</v>
      </c>
      <c r="C5" s="16">
        <f>Andreas!Q2</f>
        <v>-135373.40000000002</v>
      </c>
      <c r="D5" s="16">
        <f>Andreas!R2</f>
        <v>-135373.40000000002</v>
      </c>
      <c r="E5" s="17">
        <f>Andreas!L2</f>
        <v>0</v>
      </c>
      <c r="F5" s="22" t="s">
        <v>298</v>
      </c>
      <c r="G5" s="18" t="s">
        <v>85</v>
      </c>
      <c r="H5" s="19" t="s">
        <v>77</v>
      </c>
      <c r="I5" s="18" t="s">
        <v>301</v>
      </c>
      <c r="J5" s="19">
        <v>2903.09</v>
      </c>
      <c r="K5" s="2"/>
      <c r="L5" s="21" t="s">
        <v>296</v>
      </c>
      <c r="M5" s="21" t="s">
        <v>290</v>
      </c>
      <c r="N5" s="21">
        <v>-40.29</v>
      </c>
      <c r="O5" s="21" t="s">
        <v>302</v>
      </c>
      <c r="P5" s="2"/>
      <c r="Q5" s="2"/>
      <c r="R5" s="2"/>
      <c r="S5" s="2"/>
      <c r="T5" s="2"/>
      <c r="U5" s="2"/>
      <c r="V5" s="2"/>
      <c r="W5" s="2"/>
      <c r="X5" s="23"/>
      <c r="Y5" s="23"/>
      <c r="Z5" s="23"/>
    </row>
    <row r="6" spans="1:26" ht="15.75" customHeight="1" x14ac:dyDescent="0.3">
      <c r="A6" s="15" t="s">
        <v>100</v>
      </c>
      <c r="B6" s="16">
        <f>Ankush!P2</f>
        <v>0</v>
      </c>
      <c r="C6" s="16">
        <f>Ankush!Q2</f>
        <v>-0.63</v>
      </c>
      <c r="D6" s="16">
        <f>Ankush!R2</f>
        <v>-0.63</v>
      </c>
      <c r="E6" s="17">
        <f>Ankush!L2</f>
        <v>0</v>
      </c>
      <c r="F6" s="22" t="s">
        <v>298</v>
      </c>
      <c r="G6" s="18" t="s">
        <v>100</v>
      </c>
      <c r="H6" s="19" t="s">
        <v>77</v>
      </c>
      <c r="I6" s="18" t="s">
        <v>303</v>
      </c>
      <c r="J6" s="19">
        <v>1096.93</v>
      </c>
      <c r="K6" s="2"/>
      <c r="L6" s="21" t="s">
        <v>296</v>
      </c>
      <c r="M6" s="21" t="s">
        <v>304</v>
      </c>
      <c r="N6" s="21">
        <v>395.78381999999988</v>
      </c>
      <c r="O6" s="24" t="s">
        <v>305</v>
      </c>
      <c r="P6" s="2"/>
      <c r="Q6" s="2"/>
      <c r="R6" s="2"/>
      <c r="S6" s="2"/>
      <c r="T6" s="2"/>
      <c r="U6" s="2"/>
      <c r="V6" s="2"/>
      <c r="W6" s="2"/>
      <c r="X6" s="23"/>
      <c r="Y6" s="23"/>
      <c r="Z6" s="23"/>
    </row>
    <row r="7" spans="1:26" ht="15.75" customHeight="1" x14ac:dyDescent="0.3">
      <c r="A7" s="15" t="s">
        <v>106</v>
      </c>
      <c r="B7" s="16">
        <f>Ash!P2</f>
        <v>7203.2847999999994</v>
      </c>
      <c r="C7" s="16">
        <f>Ash!Q2</f>
        <v>-7203.28</v>
      </c>
      <c r="D7" s="16">
        <f>Ash!R2</f>
        <v>4.7999999997045961E-3</v>
      </c>
      <c r="E7" s="17">
        <f>Ash!L2</f>
        <v>555.3674679999998</v>
      </c>
      <c r="F7" s="2"/>
      <c r="G7" s="18" t="s">
        <v>106</v>
      </c>
      <c r="H7" s="19" t="s">
        <v>77</v>
      </c>
      <c r="I7" s="18" t="s">
        <v>306</v>
      </c>
      <c r="J7" s="19">
        <v>1172.83</v>
      </c>
      <c r="K7" s="2"/>
      <c r="L7" s="21" t="s">
        <v>296</v>
      </c>
      <c r="M7" s="21" t="s">
        <v>304</v>
      </c>
      <c r="N7" s="21">
        <v>-45.82</v>
      </c>
      <c r="O7" s="24" t="s">
        <v>307</v>
      </c>
      <c r="P7" s="2"/>
      <c r="Q7" s="2"/>
      <c r="R7" s="2"/>
      <c r="S7" s="2"/>
      <c r="T7" s="2"/>
      <c r="U7" s="2"/>
      <c r="V7" s="2"/>
      <c r="W7" s="2"/>
      <c r="X7" s="23"/>
      <c r="Y7" s="23"/>
      <c r="Z7" s="23"/>
    </row>
    <row r="8" spans="1:26" ht="15.75" customHeight="1" x14ac:dyDescent="0.3">
      <c r="A8" s="15" t="s">
        <v>308</v>
      </c>
      <c r="B8" s="16">
        <f>Bazz!Q2</f>
        <v>80621.326928675859</v>
      </c>
      <c r="C8" s="16">
        <f>Bazz!R2</f>
        <v>-157142.60999999999</v>
      </c>
      <c r="D8" s="16">
        <f>Bazz!S2</f>
        <v>-76521.283071324127</v>
      </c>
      <c r="E8" s="17">
        <f>Bazz!M2</f>
        <v>16149.583235174883</v>
      </c>
      <c r="F8" s="2"/>
      <c r="G8" s="18" t="s">
        <v>308</v>
      </c>
      <c r="H8" s="19">
        <f>Bazz!J102</f>
        <v>2807.104531255</v>
      </c>
      <c r="I8" s="18" t="s">
        <v>309</v>
      </c>
      <c r="J8" s="19">
        <v>407.19</v>
      </c>
      <c r="K8" s="2"/>
      <c r="L8" s="21" t="s">
        <v>296</v>
      </c>
      <c r="M8" s="21" t="s">
        <v>304</v>
      </c>
      <c r="N8" s="21">
        <v>-312.5</v>
      </c>
      <c r="O8" s="24" t="s">
        <v>310</v>
      </c>
      <c r="P8" s="2"/>
      <c r="Q8" s="2"/>
      <c r="R8" s="2"/>
      <c r="S8" s="2"/>
      <c r="T8" s="2"/>
      <c r="U8" s="2"/>
      <c r="V8" s="2"/>
      <c r="W8" s="2"/>
      <c r="X8" s="23"/>
      <c r="Y8" s="23"/>
      <c r="Z8" s="23"/>
    </row>
    <row r="9" spans="1:26" ht="15.75" customHeight="1" x14ac:dyDescent="0.3">
      <c r="A9" s="15" t="s">
        <v>159</v>
      </c>
      <c r="B9" s="16">
        <f>Ben!R2</f>
        <v>386.79300000000006</v>
      </c>
      <c r="C9" s="16">
        <f>Ben!S2</f>
        <v>0</v>
      </c>
      <c r="D9" s="16">
        <f>Ben!T2</f>
        <v>386.79300000000006</v>
      </c>
      <c r="E9" s="17">
        <f>Ben!N2</f>
        <v>0</v>
      </c>
      <c r="F9" s="2"/>
      <c r="G9" s="18" t="s">
        <v>159</v>
      </c>
      <c r="H9" s="19" t="s">
        <v>77</v>
      </c>
      <c r="I9" s="18" t="s">
        <v>311</v>
      </c>
      <c r="J9" s="19">
        <v>741.49</v>
      </c>
      <c r="K9" s="2"/>
      <c r="L9" s="21" t="s">
        <v>296</v>
      </c>
      <c r="M9" s="21" t="s">
        <v>312</v>
      </c>
      <c r="N9" s="21">
        <v>243.2</v>
      </c>
      <c r="O9" s="24" t="s">
        <v>313</v>
      </c>
      <c r="P9" s="2"/>
      <c r="Q9" s="2"/>
      <c r="R9" s="2"/>
      <c r="S9" s="2"/>
      <c r="T9" s="2"/>
      <c r="U9" s="2"/>
      <c r="V9" s="2"/>
      <c r="W9" s="2"/>
      <c r="X9" s="23"/>
      <c r="Y9" s="23"/>
      <c r="Z9" s="23"/>
    </row>
    <row r="10" spans="1:26" ht="15.75" customHeight="1" x14ac:dyDescent="0.3">
      <c r="A10" s="15" t="s">
        <v>163</v>
      </c>
      <c r="B10" s="16">
        <f>Carl!P2</f>
        <v>0</v>
      </c>
      <c r="C10" s="16">
        <f>Carl!Q2</f>
        <v>-0.81</v>
      </c>
      <c r="D10" s="16">
        <f>Carl!R2</f>
        <v>-0.81</v>
      </c>
      <c r="E10" s="17">
        <f>Carl!L2</f>
        <v>0</v>
      </c>
      <c r="F10" s="22" t="s">
        <v>298</v>
      </c>
      <c r="G10" s="18" t="s">
        <v>163</v>
      </c>
      <c r="H10" s="19" t="s">
        <v>77</v>
      </c>
      <c r="I10" s="18" t="s">
        <v>314</v>
      </c>
      <c r="J10" s="19">
        <v>880.99</v>
      </c>
      <c r="K10" s="2"/>
      <c r="L10" s="21" t="s">
        <v>296</v>
      </c>
      <c r="M10" s="21" t="s">
        <v>312</v>
      </c>
      <c r="N10" s="21">
        <v>-107.72</v>
      </c>
      <c r="O10" s="24" t="s">
        <v>315</v>
      </c>
      <c r="P10" s="2"/>
      <c r="Q10" s="2"/>
      <c r="R10" s="2"/>
      <c r="S10" s="2"/>
      <c r="T10" s="2"/>
      <c r="U10" s="2"/>
      <c r="V10" s="2"/>
      <c r="W10" s="2"/>
      <c r="X10" s="23"/>
      <c r="Y10" s="23"/>
      <c r="Z10" s="23"/>
    </row>
    <row r="11" spans="1:26" ht="15.75" customHeight="1" x14ac:dyDescent="0.3">
      <c r="A11" s="25" t="s">
        <v>169</v>
      </c>
      <c r="B11" s="26">
        <f>Carter!S2</f>
        <v>-940.76923323428002</v>
      </c>
      <c r="C11" s="26">
        <f>Carter!T2</f>
        <v>978.43999999999994</v>
      </c>
      <c r="D11" s="26">
        <f>Carter!U2</f>
        <v>37.670766765719918</v>
      </c>
      <c r="E11" s="17">
        <f>Carter!O2</f>
        <v>113.20058694216</v>
      </c>
      <c r="F11" s="2"/>
      <c r="G11" s="18" t="s">
        <v>169</v>
      </c>
      <c r="H11" s="19">
        <f>Carter!L102</f>
        <v>94.333822451800003</v>
      </c>
      <c r="I11" s="18" t="s">
        <v>316</v>
      </c>
      <c r="J11" s="19">
        <v>890.85</v>
      </c>
      <c r="K11" s="2"/>
      <c r="L11" s="21" t="s">
        <v>317</v>
      </c>
      <c r="M11" s="21" t="s">
        <v>295</v>
      </c>
      <c r="N11" s="21">
        <v>9.9700000000000006</v>
      </c>
      <c r="O11" s="21" t="s">
        <v>300</v>
      </c>
      <c r="P11" s="2"/>
      <c r="Q11" s="2"/>
      <c r="R11" s="2"/>
      <c r="S11" s="2"/>
      <c r="T11" s="2"/>
      <c r="U11" s="2"/>
      <c r="V11" s="2"/>
      <c r="W11" s="2"/>
      <c r="X11" s="27"/>
      <c r="Y11" s="27"/>
      <c r="Z11" s="23"/>
    </row>
    <row r="12" spans="1:26" ht="15.75" customHeight="1" x14ac:dyDescent="0.3">
      <c r="A12" s="15" t="s">
        <v>185</v>
      </c>
      <c r="B12" s="16">
        <f>Damir!Q2</f>
        <v>-22265.530738167279</v>
      </c>
      <c r="C12" s="16">
        <f>Damir!R2</f>
        <v>-28812.079999999998</v>
      </c>
      <c r="D12" s="16">
        <f>Damir!S2</f>
        <v>-50778.80043816728</v>
      </c>
      <c r="E12" s="17">
        <f>Damir!M2</f>
        <v>2654.2779343296888</v>
      </c>
      <c r="F12" s="2"/>
      <c r="G12" s="18" t="s">
        <v>185</v>
      </c>
      <c r="H12" s="19">
        <f>Damir!J167</f>
        <v>3014.2182586275003</v>
      </c>
      <c r="I12" s="18" t="s">
        <v>318</v>
      </c>
      <c r="J12" s="19">
        <v>1257.4000000000001</v>
      </c>
      <c r="K12" s="2"/>
      <c r="L12" s="21" t="s">
        <v>317</v>
      </c>
      <c r="M12" s="21" t="s">
        <v>295</v>
      </c>
      <c r="N12" s="21">
        <v>-14.78</v>
      </c>
      <c r="O12" s="21" t="s">
        <v>302</v>
      </c>
      <c r="P12" s="2"/>
      <c r="Q12" s="28"/>
      <c r="R12" s="2"/>
      <c r="S12" s="2"/>
      <c r="T12" s="2"/>
      <c r="U12" s="29"/>
      <c r="V12" s="29"/>
      <c r="W12" s="29"/>
      <c r="X12" s="27"/>
      <c r="Y12" s="27"/>
      <c r="Z12" s="23"/>
    </row>
    <row r="13" spans="1:26" ht="15.75" customHeight="1" x14ac:dyDescent="0.3">
      <c r="A13" s="15" t="s">
        <v>208</v>
      </c>
      <c r="B13" s="16">
        <f>Dejan!P2</f>
        <v>10543.435179159411</v>
      </c>
      <c r="C13" s="16">
        <f>Dejan!Q2</f>
        <v>-8456.33</v>
      </c>
      <c r="D13" s="16">
        <f>Dejan!R2</f>
        <v>2087.1051791594109</v>
      </c>
      <c r="E13" s="17">
        <f>Dejan!L2</f>
        <v>1086.1241763629469</v>
      </c>
      <c r="F13" s="2"/>
      <c r="G13" s="18" t="s">
        <v>208</v>
      </c>
      <c r="H13" s="19" t="s">
        <v>77</v>
      </c>
      <c r="I13" s="18" t="s">
        <v>319</v>
      </c>
      <c r="J13" s="19">
        <v>3116.6606003585002</v>
      </c>
      <c r="K13" s="2"/>
      <c r="L13" s="21" t="s">
        <v>317</v>
      </c>
      <c r="M13" s="21" t="s">
        <v>295</v>
      </c>
      <c r="N13" s="21">
        <v>-592.04</v>
      </c>
      <c r="O13" s="24" t="s">
        <v>305</v>
      </c>
      <c r="P13" s="2"/>
      <c r="Q13" s="28"/>
      <c r="R13" s="2"/>
      <c r="S13" s="2"/>
      <c r="T13" s="2"/>
      <c r="U13" s="29"/>
      <c r="V13" s="29"/>
      <c r="W13" s="29"/>
      <c r="X13" s="27"/>
      <c r="Y13" s="27"/>
      <c r="Z13" s="23"/>
    </row>
    <row r="14" spans="1:26" ht="15.75" customHeight="1" x14ac:dyDescent="0.3">
      <c r="A14" s="15" t="s">
        <v>277</v>
      </c>
      <c r="B14" s="16">
        <f>Duarte!Q2</f>
        <v>-57962.201800000003</v>
      </c>
      <c r="C14" s="16">
        <f>Duarte!R2</f>
        <v>57962</v>
      </c>
      <c r="D14" s="16">
        <f>Duarte!S2</f>
        <v>-0.2018000000025495</v>
      </c>
      <c r="E14" s="17">
        <f>Duarte!M2</f>
        <v>1812.5345739999993</v>
      </c>
      <c r="F14" s="22" t="s">
        <v>298</v>
      </c>
      <c r="G14" s="18" t="s">
        <v>277</v>
      </c>
      <c r="H14" s="19">
        <f>Duarte!J102</f>
        <v>1073.396</v>
      </c>
      <c r="I14" s="18" t="s">
        <v>320</v>
      </c>
      <c r="J14" s="19">
        <v>954.81</v>
      </c>
      <c r="K14" s="2"/>
      <c r="L14" s="21" t="s">
        <v>317</v>
      </c>
      <c r="M14" s="21" t="s">
        <v>295</v>
      </c>
      <c r="N14" s="21">
        <v>42.76</v>
      </c>
      <c r="O14" s="24" t="s">
        <v>307</v>
      </c>
      <c r="P14" s="2"/>
      <c r="Q14" s="28"/>
      <c r="R14" s="2"/>
      <c r="S14" s="2"/>
      <c r="T14" s="2"/>
      <c r="U14" s="29"/>
      <c r="V14" s="29"/>
      <c r="W14" s="29"/>
      <c r="X14" s="27"/>
      <c r="Y14" s="27"/>
      <c r="Z14" s="23"/>
    </row>
    <row r="15" spans="1:26" ht="15.75" customHeight="1" x14ac:dyDescent="0.3">
      <c r="A15" s="15" t="s">
        <v>210</v>
      </c>
      <c r="B15" s="16">
        <f>Emil!Q2</f>
        <v>-3155.773354474833</v>
      </c>
      <c r="C15" s="16">
        <f>Emil!R2</f>
        <v>-17362.290000000005</v>
      </c>
      <c r="D15" s="16">
        <f>Emil!S2</f>
        <v>-20518.063354474838</v>
      </c>
      <c r="E15" s="17">
        <f>Emil!M2</f>
        <v>2637.3415655258896</v>
      </c>
      <c r="F15" s="30" t="s">
        <v>321</v>
      </c>
      <c r="G15" s="18" t="s">
        <v>210</v>
      </c>
      <c r="H15" s="19">
        <f>Emil!J102</f>
        <v>53.788287025000002</v>
      </c>
      <c r="I15" s="18" t="s">
        <v>322</v>
      </c>
      <c r="J15" s="19">
        <v>1108.53</v>
      </c>
      <c r="K15" s="2"/>
      <c r="L15" s="21" t="s">
        <v>317</v>
      </c>
      <c r="M15" s="21" t="s">
        <v>295</v>
      </c>
      <c r="N15" s="21">
        <v>157.85</v>
      </c>
      <c r="O15" s="24" t="s">
        <v>310</v>
      </c>
      <c r="P15" s="2"/>
      <c r="Q15" s="28"/>
      <c r="R15" s="2"/>
      <c r="S15" s="2"/>
      <c r="T15" s="2"/>
      <c r="U15" s="29"/>
      <c r="V15" s="29"/>
      <c r="W15" s="29"/>
      <c r="X15" s="27"/>
      <c r="Y15" s="27"/>
      <c r="Z15" s="23"/>
    </row>
    <row r="16" spans="1:26" ht="15.75" customHeight="1" x14ac:dyDescent="0.3">
      <c r="A16" s="15" t="s">
        <v>212</v>
      </c>
      <c r="B16" s="16">
        <f>Fede!P2</f>
        <v>0</v>
      </c>
      <c r="C16" s="16">
        <f>Fede!Q2</f>
        <v>4875.0000000000018</v>
      </c>
      <c r="D16" s="16">
        <f>Fede!R2</f>
        <v>4875.0000000000018</v>
      </c>
      <c r="E16" s="17">
        <f>Fede!L2</f>
        <v>0</v>
      </c>
      <c r="F16" s="22" t="s">
        <v>298</v>
      </c>
      <c r="G16" s="18" t="s">
        <v>212</v>
      </c>
      <c r="H16" s="19" t="s">
        <v>77</v>
      </c>
      <c r="I16" s="18" t="s">
        <v>323</v>
      </c>
      <c r="J16" s="19">
        <v>360.02</v>
      </c>
      <c r="K16" s="2"/>
      <c r="L16" s="21" t="s">
        <v>317</v>
      </c>
      <c r="M16" s="21" t="s">
        <v>295</v>
      </c>
      <c r="N16" s="21">
        <v>140.35840000000002</v>
      </c>
      <c r="O16" s="24" t="s">
        <v>313</v>
      </c>
      <c r="P16" s="2"/>
      <c r="Q16" s="28"/>
      <c r="R16" s="2"/>
      <c r="S16" s="2"/>
      <c r="T16" s="2"/>
      <c r="U16" s="29"/>
      <c r="V16" s="29"/>
      <c r="W16" s="29"/>
      <c r="X16" s="27"/>
      <c r="Y16" s="27"/>
      <c r="Z16" s="23"/>
    </row>
    <row r="17" spans="1:26" ht="15.75" customHeight="1" x14ac:dyDescent="0.3">
      <c r="A17" s="15" t="s">
        <v>324</v>
      </c>
      <c r="B17" s="16">
        <f>Gubic!P2</f>
        <v>-2353.786022283</v>
      </c>
      <c r="C17" s="16">
        <f>Gubic!Q2</f>
        <v>0</v>
      </c>
      <c r="D17" s="16">
        <f>Gubic!R2</f>
        <v>-2353.786022283</v>
      </c>
      <c r="E17" s="17">
        <f>Gubic!L2</f>
        <v>1052.794140533</v>
      </c>
      <c r="F17" s="2"/>
      <c r="G17" s="18" t="s">
        <v>324</v>
      </c>
      <c r="H17" s="19" t="s">
        <v>77</v>
      </c>
      <c r="I17" s="18"/>
      <c r="J17" s="19"/>
      <c r="K17" s="2"/>
      <c r="L17" s="21" t="s">
        <v>317</v>
      </c>
      <c r="M17" s="21" t="s">
        <v>295</v>
      </c>
      <c r="N17" s="21">
        <v>-60.25</v>
      </c>
      <c r="O17" s="24" t="s">
        <v>315</v>
      </c>
      <c r="P17" s="2"/>
      <c r="Q17" s="28"/>
      <c r="R17" s="2"/>
      <c r="S17" s="2"/>
      <c r="T17" s="2"/>
      <c r="U17" s="29"/>
      <c r="V17" s="29"/>
      <c r="W17" s="29"/>
      <c r="X17" s="27"/>
      <c r="Y17" s="27"/>
      <c r="Z17" s="23"/>
    </row>
    <row r="18" spans="1:26" ht="15.75" customHeight="1" x14ac:dyDescent="0.3">
      <c r="A18" s="15" t="s">
        <v>213</v>
      </c>
      <c r="B18" s="16">
        <f>HS!R2</f>
        <v>-31554.404449999998</v>
      </c>
      <c r="C18" s="16">
        <f>HS!S2</f>
        <v>32976.01</v>
      </c>
      <c r="D18" s="16">
        <f>HS!T2</f>
        <v>1421.6055500000039</v>
      </c>
      <c r="E18" s="17">
        <f>HS!N2</f>
        <v>2246.3944499999998</v>
      </c>
      <c r="F18" s="22" t="s">
        <v>298</v>
      </c>
      <c r="G18" s="18" t="s">
        <v>213</v>
      </c>
      <c r="H18" s="19" t="s">
        <v>77</v>
      </c>
      <c r="I18" s="18"/>
      <c r="J18" s="19"/>
      <c r="K18" s="2"/>
      <c r="L18" s="21" t="s">
        <v>325</v>
      </c>
      <c r="M18" s="21" t="s">
        <v>299</v>
      </c>
      <c r="N18" s="21">
        <v>-33.32</v>
      </c>
      <c r="O18" s="21" t="s">
        <v>300</v>
      </c>
      <c r="P18" s="2"/>
      <c r="Q18" s="28"/>
      <c r="R18" s="2"/>
      <c r="S18" s="2"/>
      <c r="T18" s="2"/>
      <c r="U18" s="29"/>
      <c r="V18" s="29"/>
      <c r="W18" s="29"/>
      <c r="X18" s="27"/>
      <c r="Y18" s="27"/>
      <c r="Z18" s="23"/>
    </row>
    <row r="19" spans="1:26" ht="15.75" customHeight="1" x14ac:dyDescent="0.3">
      <c r="A19" s="15" t="s">
        <v>216</v>
      </c>
      <c r="B19" s="16">
        <f>Jake!Q2</f>
        <v>-25902.473901839498</v>
      </c>
      <c r="C19" s="16">
        <f>Jake!R2</f>
        <v>-166.07</v>
      </c>
      <c r="D19" s="16">
        <f>Jake!S2</f>
        <v>-26068.543901839497</v>
      </c>
      <c r="E19" s="17">
        <f>Jake!M2</f>
        <v>2104.8937315387502</v>
      </c>
      <c r="F19" s="22" t="s">
        <v>298</v>
      </c>
      <c r="G19" s="18" t="s">
        <v>216</v>
      </c>
      <c r="H19" s="19">
        <f>Jake!J102</f>
        <v>820.01344353000002</v>
      </c>
      <c r="I19" s="18"/>
      <c r="J19" s="19"/>
      <c r="K19" s="2"/>
      <c r="L19" s="21" t="s">
        <v>325</v>
      </c>
      <c r="M19" s="21" t="s">
        <v>299</v>
      </c>
      <c r="N19" s="21">
        <v>50.07</v>
      </c>
      <c r="O19" s="21" t="s">
        <v>302</v>
      </c>
      <c r="P19" s="2"/>
      <c r="Q19" s="28"/>
      <c r="R19" s="2"/>
      <c r="S19" s="2"/>
      <c r="T19" s="2"/>
      <c r="U19" s="29"/>
      <c r="V19" s="29"/>
      <c r="W19" s="29"/>
      <c r="X19" s="27"/>
      <c r="Y19" s="27"/>
      <c r="Z19" s="23"/>
    </row>
    <row r="20" spans="1:26" ht="15.75" customHeight="1" x14ac:dyDescent="0.3">
      <c r="A20" s="25" t="s">
        <v>279</v>
      </c>
      <c r="B20" s="26">
        <f>Jeanchris!Q2</f>
        <v>2491.3119207914997</v>
      </c>
      <c r="C20" s="26">
        <f>Jeanchris!R2</f>
        <v>-2491.31</v>
      </c>
      <c r="D20" s="26">
        <f>Jeanchris!S2</f>
        <v>1.9207914997423359E-3</v>
      </c>
      <c r="E20" s="17">
        <f>Jeanchris!M2</f>
        <v>241.31171165400002</v>
      </c>
      <c r="F20" s="22" t="s">
        <v>298</v>
      </c>
      <c r="G20" s="18" t="s">
        <v>279</v>
      </c>
      <c r="H20" s="19">
        <f>Jeanchris!J102</f>
        <v>60.327927913500005</v>
      </c>
      <c r="I20" s="18"/>
      <c r="J20" s="19"/>
      <c r="K20" s="2"/>
      <c r="L20" s="21" t="s">
        <v>325</v>
      </c>
      <c r="M20" s="21" t="s">
        <v>299</v>
      </c>
      <c r="N20" s="21">
        <v>-22.97</v>
      </c>
      <c r="O20" s="21" t="s">
        <v>326</v>
      </c>
      <c r="P20" s="2"/>
      <c r="Q20" s="28"/>
      <c r="R20" s="2"/>
      <c r="S20" s="2"/>
      <c r="T20" s="2"/>
      <c r="U20" s="29"/>
      <c r="V20" s="29"/>
      <c r="W20" s="29"/>
      <c r="X20" s="27"/>
      <c r="Y20" s="27"/>
      <c r="Z20" s="23"/>
    </row>
    <row r="21" spans="1:26" ht="15.75" customHeight="1" x14ac:dyDescent="0.3">
      <c r="A21" s="25" t="s">
        <v>219</v>
      </c>
      <c r="B21" s="26">
        <f>Kaleb!Q2</f>
        <v>10849.276128460377</v>
      </c>
      <c r="C21" s="26">
        <f>Kaleb!R2</f>
        <v>-19674.810000000005</v>
      </c>
      <c r="D21" s="26">
        <f>Kaleb!S2</f>
        <v>-8825.5338715396283</v>
      </c>
      <c r="E21" s="17">
        <f>Kaleb!M2</f>
        <v>4117.569303227202</v>
      </c>
      <c r="F21" s="2"/>
      <c r="G21" s="18" t="s">
        <v>219</v>
      </c>
      <c r="H21" s="19">
        <f>Kaleb!J702</f>
        <v>1862.3466100245994</v>
      </c>
      <c r="I21" s="18"/>
      <c r="J21" s="19"/>
      <c r="K21" s="2"/>
      <c r="L21" s="21" t="s">
        <v>325</v>
      </c>
      <c r="M21" s="21" t="s">
        <v>299</v>
      </c>
      <c r="N21" s="21">
        <v>126.54</v>
      </c>
      <c r="O21" s="24" t="s">
        <v>305</v>
      </c>
      <c r="P21" s="2"/>
      <c r="Q21" s="28"/>
      <c r="R21" s="2"/>
      <c r="S21" s="2"/>
      <c r="T21" s="2"/>
      <c r="U21" s="29"/>
      <c r="V21" s="29"/>
      <c r="W21" s="29"/>
      <c r="X21" s="27"/>
      <c r="Y21" s="27"/>
      <c r="Z21" s="23"/>
    </row>
    <row r="22" spans="1:26" ht="15.75" customHeight="1" x14ac:dyDescent="0.3">
      <c r="A22" s="15" t="s">
        <v>227</v>
      </c>
      <c r="B22" s="16">
        <f>Kingo!P2</f>
        <v>-35960.482099999994</v>
      </c>
      <c r="C22" s="16">
        <f>Kingo!Q2</f>
        <v>35960.479999999996</v>
      </c>
      <c r="D22" s="16">
        <f>Kingo!R2</f>
        <v>-2.0999999978812411E-3</v>
      </c>
      <c r="E22" s="17">
        <f>Kingo!L2</f>
        <v>1542.6621000000002</v>
      </c>
      <c r="F22" s="22" t="s">
        <v>298</v>
      </c>
      <c r="G22" s="18" t="s">
        <v>227</v>
      </c>
      <c r="H22" s="19" t="s">
        <v>77</v>
      </c>
      <c r="I22" s="18"/>
      <c r="J22" s="19"/>
      <c r="K22" s="2"/>
      <c r="L22" s="21" t="s">
        <v>325</v>
      </c>
      <c r="M22" s="21" t="s">
        <v>299</v>
      </c>
      <c r="N22" s="21">
        <v>-40.700000000000003</v>
      </c>
      <c r="O22" s="24" t="s">
        <v>307</v>
      </c>
      <c r="P22" s="2"/>
      <c r="Q22" s="28"/>
      <c r="R22" s="2"/>
      <c r="S22" s="2"/>
      <c r="T22" s="2"/>
      <c r="U22" s="29"/>
      <c r="V22" s="29"/>
      <c r="W22" s="29"/>
      <c r="X22" s="27"/>
      <c r="Y22" s="27"/>
      <c r="Z22" s="23"/>
    </row>
    <row r="23" spans="1:26" ht="15.75" customHeight="1" x14ac:dyDescent="0.3">
      <c r="A23" s="15" t="s">
        <v>327</v>
      </c>
      <c r="B23" s="16">
        <f>Luka!Q2</f>
        <v>336746.85723099182</v>
      </c>
      <c r="C23" s="16">
        <f>Luka!R2</f>
        <v>-278738.80000000005</v>
      </c>
      <c r="D23" s="16">
        <f>Luka!S2</f>
        <v>58008.057230991777</v>
      </c>
      <c r="E23" s="17">
        <f>Luka!M2</f>
        <v>42417.206816355989</v>
      </c>
      <c r="F23" s="2"/>
      <c r="G23" s="18" t="s">
        <v>327</v>
      </c>
      <c r="H23" s="19">
        <f>Luka!J302</f>
        <v>3728.1791887758495</v>
      </c>
      <c r="I23" s="18"/>
      <c r="J23" s="19"/>
      <c r="K23" s="2"/>
      <c r="L23" s="21" t="s">
        <v>325</v>
      </c>
      <c r="M23" s="21" t="s">
        <v>299</v>
      </c>
      <c r="N23" s="21">
        <v>71.94</v>
      </c>
      <c r="O23" s="24" t="s">
        <v>310</v>
      </c>
      <c r="P23" s="2"/>
      <c r="Q23" s="28"/>
      <c r="R23" s="2"/>
      <c r="S23" s="2"/>
      <c r="T23" s="2"/>
      <c r="U23" s="29"/>
      <c r="V23" s="29"/>
      <c r="W23" s="29"/>
      <c r="X23" s="27"/>
      <c r="Y23" s="27"/>
      <c r="Z23" s="23"/>
    </row>
    <row r="24" spans="1:26" ht="15.75" customHeight="1" x14ac:dyDescent="0.3">
      <c r="A24" s="15" t="s">
        <v>231</v>
      </c>
      <c r="B24" s="16">
        <f>Medi!P2</f>
        <v>0</v>
      </c>
      <c r="C24" s="16">
        <f>Medi!Q2</f>
        <v>0</v>
      </c>
      <c r="D24" s="16">
        <f>Medi!R2</f>
        <v>0</v>
      </c>
      <c r="E24" s="17">
        <f>Medi!L2</f>
        <v>0</v>
      </c>
      <c r="F24" s="22" t="s">
        <v>298</v>
      </c>
      <c r="G24" s="18" t="s">
        <v>231</v>
      </c>
      <c r="H24" s="19" t="s">
        <v>77</v>
      </c>
      <c r="I24" s="18"/>
      <c r="J24" s="19"/>
      <c r="K24" s="2"/>
      <c r="L24" s="21" t="s">
        <v>325</v>
      </c>
      <c r="M24" s="21" t="s">
        <v>299</v>
      </c>
      <c r="N24" s="21">
        <v>-562.4</v>
      </c>
      <c r="O24" s="24" t="s">
        <v>313</v>
      </c>
      <c r="P24" s="2"/>
      <c r="Q24" s="28"/>
      <c r="R24" s="2"/>
      <c r="S24" s="2"/>
      <c r="T24" s="2"/>
      <c r="U24" s="29"/>
      <c r="V24" s="29"/>
      <c r="W24" s="29"/>
      <c r="X24" s="27"/>
      <c r="Y24" s="27"/>
      <c r="Z24" s="23"/>
    </row>
    <row r="25" spans="1:26" ht="15.75" customHeight="1" x14ac:dyDescent="0.3">
      <c r="A25" s="15" t="s">
        <v>232</v>
      </c>
      <c r="B25" s="16">
        <f>MPLO!R2</f>
        <v>-6484.846499999996</v>
      </c>
      <c r="C25" s="16">
        <f>MPLO!S2</f>
        <v>24130.47</v>
      </c>
      <c r="D25" s="16">
        <f>MPLO!T2</f>
        <v>17645.623500000005</v>
      </c>
      <c r="E25" s="17">
        <f>MPLO!N2</f>
        <v>792.86775</v>
      </c>
      <c r="F25" s="2"/>
      <c r="G25" s="18" t="s">
        <v>232</v>
      </c>
      <c r="H25" s="19" t="s">
        <v>77</v>
      </c>
      <c r="I25" s="18"/>
      <c r="J25" s="19"/>
      <c r="K25" s="2"/>
      <c r="L25" s="21" t="s">
        <v>325</v>
      </c>
      <c r="M25" s="21" t="s">
        <v>299</v>
      </c>
      <c r="N25" s="21">
        <v>255.02</v>
      </c>
      <c r="O25" s="24" t="s">
        <v>315</v>
      </c>
      <c r="P25" s="2"/>
      <c r="Q25" s="28"/>
      <c r="R25" s="2"/>
      <c r="S25" s="2"/>
      <c r="T25" s="2"/>
      <c r="U25" s="29"/>
      <c r="V25" s="29"/>
      <c r="W25" s="29"/>
      <c r="X25" s="27"/>
      <c r="Y25" s="27"/>
      <c r="Z25" s="23"/>
    </row>
    <row r="26" spans="1:26" ht="15.75" customHeight="1" x14ac:dyDescent="0.3">
      <c r="A26" s="15" t="s">
        <v>328</v>
      </c>
      <c r="B26" s="16">
        <f>Niki!Q2</f>
        <v>135322.64458145454</v>
      </c>
      <c r="C26" s="16">
        <f>Niki!R2</f>
        <v>-89993.404999999999</v>
      </c>
      <c r="D26" s="16">
        <f>Niki!S2</f>
        <v>45329.239581454545</v>
      </c>
      <c r="E26" s="17">
        <f>Niki!M2</f>
        <v>14104.770619492112</v>
      </c>
      <c r="F26" s="2"/>
      <c r="G26" s="18" t="s">
        <v>328</v>
      </c>
      <c r="H26" s="19">
        <f>Niki!J202</f>
        <v>236.37278101499999</v>
      </c>
      <c r="I26" s="18"/>
      <c r="J26" s="19"/>
      <c r="K26" s="2"/>
      <c r="L26" s="21" t="s">
        <v>325</v>
      </c>
      <c r="M26" s="21" t="s">
        <v>329</v>
      </c>
      <c r="N26" s="21">
        <v>2.27</v>
      </c>
      <c r="O26" s="21" t="s">
        <v>330</v>
      </c>
      <c r="P26" s="2"/>
      <c r="Q26" s="28"/>
      <c r="R26" s="2"/>
      <c r="S26" s="2"/>
      <c r="T26" s="2"/>
      <c r="U26" s="29"/>
      <c r="V26" s="29"/>
      <c r="W26" s="29"/>
      <c r="X26" s="27"/>
      <c r="Y26" s="27"/>
      <c r="Z26" s="23"/>
    </row>
    <row r="27" spans="1:26" ht="15.75" customHeight="1" x14ac:dyDescent="0.3">
      <c r="A27" s="15" t="s">
        <v>233</v>
      </c>
      <c r="B27" s="16">
        <f>Patrick!S2</f>
        <v>31235.393193398755</v>
      </c>
      <c r="C27" s="16">
        <f>Patrick!T2</f>
        <v>0</v>
      </c>
      <c r="D27" s="16">
        <f>Patrick!U2</f>
        <v>0</v>
      </c>
      <c r="E27" s="31">
        <f>Patrick!O2</f>
        <v>28365.8518</v>
      </c>
      <c r="F27" s="2"/>
      <c r="G27" s="18" t="s">
        <v>233</v>
      </c>
      <c r="H27" s="19">
        <f>Patrick!L202</f>
        <v>1318.5080879610996</v>
      </c>
      <c r="I27" s="18"/>
      <c r="J27" s="19"/>
      <c r="K27" s="2"/>
      <c r="L27" s="21" t="s">
        <v>325</v>
      </c>
      <c r="M27" s="21" t="s">
        <v>329</v>
      </c>
      <c r="N27" s="21">
        <v>-2.2200000000000002</v>
      </c>
      <c r="O27" s="21" t="s">
        <v>331</v>
      </c>
      <c r="P27" s="2"/>
      <c r="Q27" s="28"/>
      <c r="R27" s="2"/>
      <c r="S27" s="2"/>
      <c r="T27" s="2"/>
      <c r="U27" s="29"/>
      <c r="V27" s="29"/>
      <c r="W27" s="29"/>
      <c r="X27" s="27"/>
      <c r="Y27" s="27"/>
      <c r="Z27" s="23"/>
    </row>
    <row r="28" spans="1:26" ht="15.75" customHeight="1" x14ac:dyDescent="0.3">
      <c r="A28" s="15" t="s">
        <v>234</v>
      </c>
      <c r="B28" s="16">
        <f>Phillip!P2</f>
        <v>-9515.2400000000016</v>
      </c>
      <c r="C28" s="16">
        <f>Phillip!Q2</f>
        <v>9355.9599999999991</v>
      </c>
      <c r="D28" s="16">
        <f>Phillip!R2</f>
        <v>-159.28000000000247</v>
      </c>
      <c r="E28" s="17">
        <f>Phillip!L2</f>
        <v>0</v>
      </c>
      <c r="F28" s="2"/>
      <c r="G28" s="18" t="s">
        <v>234</v>
      </c>
      <c r="H28" s="19" t="s">
        <v>77</v>
      </c>
      <c r="I28" s="18"/>
      <c r="J28" s="19"/>
      <c r="K28" s="2"/>
      <c r="L28" s="21" t="s">
        <v>332</v>
      </c>
      <c r="M28" s="21" t="s">
        <v>301</v>
      </c>
      <c r="N28" s="21">
        <v>127.42</v>
      </c>
      <c r="O28" s="21" t="s">
        <v>300</v>
      </c>
      <c r="P28" s="2"/>
      <c r="Q28" s="28"/>
      <c r="R28" s="2"/>
      <c r="S28" s="2"/>
      <c r="T28" s="2"/>
      <c r="U28" s="29"/>
      <c r="V28" s="29"/>
      <c r="W28" s="29"/>
      <c r="X28" s="27"/>
      <c r="Y28" s="27"/>
      <c r="Z28" s="23"/>
    </row>
    <row r="29" spans="1:26" ht="15.75" customHeight="1" x14ac:dyDescent="0.3">
      <c r="A29" s="15" t="s">
        <v>333</v>
      </c>
      <c r="B29" s="16">
        <f>Primaz!Q2</f>
        <v>103855.09285364309</v>
      </c>
      <c r="C29" s="16">
        <f>Primaz!R2</f>
        <v>-109220.96000000002</v>
      </c>
      <c r="D29" s="16">
        <f>Primaz!S2</f>
        <v>-5365.8671463569335</v>
      </c>
      <c r="E29" s="17">
        <f>Primaz!M2</f>
        <v>9040.8516890660521</v>
      </c>
      <c r="F29" s="2"/>
      <c r="G29" s="18" t="s">
        <v>333</v>
      </c>
      <c r="H29" s="19">
        <f>Primaz!J202</f>
        <v>1119.5436895309999</v>
      </c>
      <c r="I29" s="18"/>
      <c r="J29" s="19"/>
      <c r="K29" s="2"/>
      <c r="L29" s="21" t="s">
        <v>332</v>
      </c>
      <c r="M29" s="21" t="s">
        <v>301</v>
      </c>
      <c r="N29" s="21">
        <v>-190.27</v>
      </c>
      <c r="O29" s="21" t="s">
        <v>302</v>
      </c>
      <c r="P29" s="2"/>
      <c r="Q29" s="2"/>
      <c r="R29" s="32"/>
      <c r="S29" s="32"/>
      <c r="T29" s="32"/>
      <c r="U29" s="29"/>
      <c r="V29" s="29"/>
      <c r="W29" s="29"/>
      <c r="X29" s="29"/>
      <c r="Y29" s="29"/>
      <c r="Z29" s="2"/>
    </row>
    <row r="30" spans="1:26" ht="15.75" customHeight="1" x14ac:dyDescent="0.3">
      <c r="A30" s="25" t="s">
        <v>238</v>
      </c>
      <c r="B30" s="26">
        <f>Shane!S2</f>
        <v>-23014.41657027031</v>
      </c>
      <c r="C30" s="26">
        <f>Shane!T2</f>
        <v>29197.770000000004</v>
      </c>
      <c r="D30" s="26">
        <f>Shane!U2</f>
        <v>6183.3534297296937</v>
      </c>
      <c r="E30" s="17">
        <f>Shane!O2</f>
        <v>6752.9823770641906</v>
      </c>
      <c r="F30" s="29"/>
      <c r="G30" s="18" t="s">
        <v>238</v>
      </c>
      <c r="H30" s="19">
        <f>Shane!L1502</f>
        <v>2473.8660268215021</v>
      </c>
      <c r="I30" s="18"/>
      <c r="J30" s="19"/>
      <c r="K30" s="2"/>
      <c r="L30" s="21" t="s">
        <v>332</v>
      </c>
      <c r="M30" s="21" t="s">
        <v>301</v>
      </c>
      <c r="N30" s="21">
        <v>-20.36</v>
      </c>
      <c r="O30" s="21" t="s">
        <v>326</v>
      </c>
      <c r="P30" s="2"/>
      <c r="Q30" s="2"/>
      <c r="R30" s="2"/>
      <c r="S30" s="2"/>
      <c r="T30" s="2"/>
      <c r="U30" s="29"/>
      <c r="V30" s="29"/>
      <c r="W30" s="29"/>
      <c r="X30" s="29"/>
      <c r="Y30" s="29"/>
      <c r="Z30" s="2"/>
    </row>
    <row r="31" spans="1:26" ht="15.75" customHeight="1" x14ac:dyDescent="0.3">
      <c r="A31" s="15" t="s">
        <v>262</v>
      </c>
      <c r="B31" s="16">
        <f>Sheldon!P2</f>
        <v>2982.3795048311204</v>
      </c>
      <c r="C31" s="16">
        <f>Sheldon!Q2</f>
        <v>-3260.5000000000014</v>
      </c>
      <c r="D31" s="16">
        <f>Sheldon!R2</f>
        <v>-278.12049516888101</v>
      </c>
      <c r="E31" s="17">
        <f>Sheldon!L2</f>
        <v>815.22820312163981</v>
      </c>
      <c r="F31" s="29"/>
      <c r="G31" s="18" t="s">
        <v>262</v>
      </c>
      <c r="H31" s="19" t="s">
        <v>77</v>
      </c>
      <c r="I31" s="18"/>
      <c r="J31" s="19"/>
      <c r="K31" s="2"/>
      <c r="L31" s="21" t="s">
        <v>332</v>
      </c>
      <c r="M31" s="21" t="s">
        <v>334</v>
      </c>
      <c r="N31" s="21">
        <v>-140.90531999999999</v>
      </c>
      <c r="O31" s="24" t="s">
        <v>305</v>
      </c>
      <c r="P31" s="2"/>
      <c r="Q31" s="2"/>
      <c r="R31" s="2"/>
      <c r="S31" s="2"/>
      <c r="T31" s="2"/>
      <c r="U31" s="29"/>
      <c r="V31" s="29"/>
      <c r="W31" s="29"/>
      <c r="X31" s="29"/>
      <c r="Y31" s="29"/>
      <c r="Z31" s="2"/>
    </row>
    <row r="32" spans="1:26" ht="15.75" customHeight="1" x14ac:dyDescent="0.3">
      <c r="A32" s="15" t="s">
        <v>335</v>
      </c>
      <c r="B32" s="16">
        <f>'Sheldon - Avatar'!R2</f>
        <v>0</v>
      </c>
      <c r="C32" s="16">
        <f>'Sheldon - Avatar'!S2</f>
        <v>0</v>
      </c>
      <c r="D32" s="16">
        <f>'Sheldon - Avatar'!T2</f>
        <v>0</v>
      </c>
      <c r="E32" s="17">
        <f>'Sheldon - Avatar'!N2</f>
        <v>26079.369999999995</v>
      </c>
      <c r="F32" s="29"/>
      <c r="G32" s="18" t="s">
        <v>335</v>
      </c>
      <c r="H32" s="19" t="s">
        <v>77</v>
      </c>
      <c r="I32" s="18"/>
      <c r="J32" s="19"/>
      <c r="K32" s="2"/>
      <c r="L32" s="21" t="s">
        <v>332</v>
      </c>
      <c r="M32" s="21" t="s">
        <v>301</v>
      </c>
      <c r="N32" s="21">
        <v>-3.56</v>
      </c>
      <c r="O32" s="24" t="s">
        <v>307</v>
      </c>
      <c r="P32" s="2"/>
      <c r="Q32" s="2"/>
      <c r="R32" s="2"/>
      <c r="S32" s="2"/>
      <c r="T32" s="2"/>
      <c r="U32" s="29"/>
      <c r="V32" s="29"/>
      <c r="W32" s="29"/>
      <c r="X32" s="29"/>
      <c r="Y32" s="29"/>
      <c r="Z32" s="2"/>
    </row>
    <row r="33" spans="1:26" ht="15.75" customHeight="1" x14ac:dyDescent="0.3">
      <c r="A33" s="15" t="s">
        <v>276</v>
      </c>
      <c r="B33" s="16">
        <f>Tomaz!P2</f>
        <v>-2960.3879999999995</v>
      </c>
      <c r="C33" s="16">
        <f>Tomaz!Q2</f>
        <v>2604.77</v>
      </c>
      <c r="D33" s="16">
        <f>Tomaz!R2</f>
        <v>-355.61799999999948</v>
      </c>
      <c r="E33" s="17">
        <f>Tomaz!L2</f>
        <v>0</v>
      </c>
      <c r="F33" s="22" t="s">
        <v>298</v>
      </c>
      <c r="G33" s="18" t="s">
        <v>276</v>
      </c>
      <c r="H33" s="19" t="s">
        <v>77</v>
      </c>
      <c r="I33" s="18"/>
      <c r="J33" s="19"/>
      <c r="K33" s="2"/>
      <c r="L33" s="21" t="s">
        <v>332</v>
      </c>
      <c r="M33" s="21" t="s">
        <v>334</v>
      </c>
      <c r="N33" s="21">
        <v>70.83</v>
      </c>
      <c r="O33" s="24" t="s">
        <v>310</v>
      </c>
      <c r="P33" s="2"/>
      <c r="Q33" s="2"/>
      <c r="R33" s="32"/>
      <c r="S33" s="32"/>
      <c r="T33" s="32"/>
      <c r="U33" s="29"/>
      <c r="V33" s="29"/>
      <c r="W33" s="29"/>
      <c r="X33" s="29"/>
      <c r="Y33" s="29"/>
      <c r="Z33" s="2"/>
    </row>
    <row r="34" spans="1:26" ht="15.75" customHeight="1" x14ac:dyDescent="0.3">
      <c r="A34" s="33" t="s">
        <v>336</v>
      </c>
      <c r="B34" s="34">
        <f t="shared" ref="B34:D34" si="0">SUM(B2:B33)</f>
        <v>513604.77498673403</v>
      </c>
      <c r="C34" s="34">
        <f t="shared" si="0"/>
        <v>-671640.07500000019</v>
      </c>
      <c r="D34" s="34">
        <f t="shared" si="0"/>
        <v>-188971.88290666477</v>
      </c>
      <c r="E34" s="35">
        <f>SUM(E2:E33)-SUM(N:N)-SUM(C87:C141)</f>
        <v>138794.98406513059</v>
      </c>
      <c r="F34" s="29"/>
      <c r="G34" s="36" t="s">
        <v>336</v>
      </c>
      <c r="H34" s="37">
        <f>SUM(H2:H33)-J34</f>
        <v>1006.6386080233497</v>
      </c>
      <c r="I34" s="18"/>
      <c r="J34" s="37">
        <f>SUM(J2:J33)</f>
        <v>18061.110600358501</v>
      </c>
      <c r="K34" s="2"/>
      <c r="L34" s="21" t="s">
        <v>332</v>
      </c>
      <c r="M34" s="21" t="s">
        <v>334</v>
      </c>
      <c r="N34" s="21">
        <v>35.56</v>
      </c>
      <c r="O34" s="24" t="s">
        <v>313</v>
      </c>
      <c r="P34" s="2"/>
      <c r="Q34" s="2"/>
      <c r="R34" s="32"/>
      <c r="S34" s="32"/>
      <c r="T34" s="32"/>
      <c r="U34" s="29"/>
      <c r="V34" s="29"/>
      <c r="W34" s="29"/>
      <c r="X34" s="29"/>
      <c r="Y34" s="29"/>
      <c r="Z34" s="2"/>
    </row>
    <row r="35" spans="1:26" ht="15.75" customHeight="1" x14ac:dyDescent="0.3">
      <c r="A35" s="2"/>
      <c r="B35" s="2"/>
      <c r="C35" s="2"/>
      <c r="D35" s="38" t="s">
        <v>337</v>
      </c>
      <c r="E35" s="39">
        <v>135827.18647951237</v>
      </c>
      <c r="F35" s="29"/>
      <c r="G35" s="2"/>
      <c r="H35" s="2"/>
      <c r="I35" s="2"/>
      <c r="J35" s="2"/>
      <c r="K35" s="2"/>
      <c r="L35" s="21" t="s">
        <v>332</v>
      </c>
      <c r="M35" s="21" t="s">
        <v>334</v>
      </c>
      <c r="N35" s="21">
        <v>-17.12</v>
      </c>
      <c r="O35" s="24" t="s">
        <v>315</v>
      </c>
      <c r="P35" s="2"/>
      <c r="Q35" s="2"/>
      <c r="R35" s="2"/>
      <c r="S35" s="2"/>
      <c r="T35" s="32"/>
      <c r="U35" s="29"/>
      <c r="V35" s="29"/>
      <c r="W35" s="29"/>
      <c r="X35" s="29"/>
      <c r="Y35" s="29"/>
      <c r="Z35" s="2"/>
    </row>
    <row r="36" spans="1:26" ht="15.75" customHeight="1" x14ac:dyDescent="0.3">
      <c r="A36" s="2"/>
      <c r="B36" s="2"/>
      <c r="C36" s="2"/>
      <c r="D36" s="38" t="s">
        <v>338</v>
      </c>
      <c r="E36" s="39">
        <f>E34-E35</f>
        <v>2967.7975856182165</v>
      </c>
      <c r="F36" s="2" t="s">
        <v>339</v>
      </c>
      <c r="G36" s="2"/>
      <c r="H36" s="2"/>
      <c r="I36" s="2"/>
      <c r="J36" s="2"/>
      <c r="K36" s="2"/>
      <c r="L36" s="21" t="s">
        <v>332</v>
      </c>
      <c r="M36" s="21" t="s">
        <v>334</v>
      </c>
      <c r="N36" s="21">
        <v>-11.63</v>
      </c>
      <c r="O36" s="21" t="s">
        <v>330</v>
      </c>
      <c r="P36" s="2"/>
      <c r="Q36" s="2"/>
      <c r="R36" s="32"/>
      <c r="S36" s="32"/>
      <c r="T36" s="32"/>
      <c r="U36" s="29"/>
      <c r="V36" s="29"/>
      <c r="W36" s="29"/>
      <c r="X36" s="29"/>
      <c r="Y36" s="29"/>
      <c r="Z36" s="2"/>
    </row>
    <row r="37" spans="1:26" ht="15.75" customHeight="1" x14ac:dyDescent="0.3">
      <c r="A37" s="2"/>
      <c r="B37" s="32"/>
      <c r="C37" s="32"/>
      <c r="D37" s="2"/>
      <c r="E37" s="32"/>
      <c r="F37" s="2"/>
      <c r="G37" s="2"/>
      <c r="H37" s="2"/>
      <c r="I37" s="2"/>
      <c r="J37" s="2"/>
      <c r="K37" s="2"/>
      <c r="L37" s="21" t="s">
        <v>332</v>
      </c>
      <c r="M37" s="21" t="s">
        <v>334</v>
      </c>
      <c r="N37" s="21">
        <v>11.86</v>
      </c>
      <c r="O37" s="21" t="s">
        <v>331</v>
      </c>
      <c r="P37" s="2"/>
      <c r="Q37" s="2"/>
      <c r="R37" s="32"/>
      <c r="S37" s="32"/>
      <c r="T37" s="32"/>
      <c r="U37" s="29"/>
      <c r="V37" s="29"/>
      <c r="W37" s="29"/>
      <c r="X37" s="29"/>
      <c r="Y37" s="29"/>
      <c r="Z37" s="2"/>
    </row>
    <row r="38" spans="1:26" ht="15.75" customHeight="1" x14ac:dyDescent="0.3">
      <c r="A38" s="2"/>
      <c r="B38" s="2"/>
      <c r="C38" s="2"/>
      <c r="D38" s="32"/>
      <c r="E38" s="2"/>
      <c r="F38" s="32"/>
      <c r="G38" s="32"/>
      <c r="H38" s="2"/>
      <c r="I38" s="2"/>
      <c r="J38" s="2"/>
      <c r="K38" s="32"/>
      <c r="L38" s="21" t="s">
        <v>340</v>
      </c>
      <c r="M38" s="21" t="s">
        <v>303</v>
      </c>
      <c r="N38" s="21">
        <v>3.96</v>
      </c>
      <c r="O38" s="21" t="s">
        <v>300</v>
      </c>
      <c r="P38" s="2"/>
      <c r="Q38" s="2"/>
      <c r="R38" s="2"/>
      <c r="S38" s="2"/>
      <c r="T38" s="32"/>
      <c r="U38" s="29"/>
      <c r="V38" s="29"/>
      <c r="W38" s="29"/>
      <c r="X38" s="29"/>
      <c r="Y38" s="29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32"/>
      <c r="K39" s="2"/>
      <c r="L39" s="21" t="s">
        <v>340</v>
      </c>
      <c r="M39" s="21" t="s">
        <v>303</v>
      </c>
      <c r="N39" s="21">
        <v>-5.72</v>
      </c>
      <c r="O39" s="21" t="s">
        <v>302</v>
      </c>
      <c r="P39" s="2"/>
      <c r="Q39" s="2"/>
      <c r="R39" s="2"/>
      <c r="S39" s="2"/>
      <c r="T39" s="32"/>
      <c r="U39" s="29"/>
      <c r="V39" s="29"/>
      <c r="W39" s="29"/>
      <c r="X39" s="29"/>
      <c r="Y39" s="29"/>
      <c r="Z39" s="2"/>
    </row>
    <row r="40" spans="1:26" ht="15.75" customHeight="1" x14ac:dyDescent="0.3">
      <c r="A40" s="108" t="s">
        <v>341</v>
      </c>
      <c r="B40" s="106"/>
      <c r="C40" s="106"/>
      <c r="D40" s="106"/>
      <c r="E40" s="106"/>
      <c r="F40" s="106"/>
      <c r="G40" s="106"/>
      <c r="H40" s="106"/>
      <c r="I40" s="106"/>
      <c r="J40" s="2"/>
      <c r="K40" s="2"/>
      <c r="L40" s="21" t="s">
        <v>340</v>
      </c>
      <c r="M40" s="21" t="s">
        <v>303</v>
      </c>
      <c r="N40" s="21">
        <v>9.4499999999999993</v>
      </c>
      <c r="O40" s="21" t="s">
        <v>342</v>
      </c>
      <c r="P40" s="2"/>
      <c r="Q40" s="2"/>
      <c r="R40" s="32"/>
      <c r="S40" s="32"/>
      <c r="T40" s="32"/>
      <c r="U40" s="29"/>
      <c r="V40" s="29"/>
      <c r="W40" s="29"/>
      <c r="X40" s="29"/>
      <c r="Y40" s="29"/>
      <c r="Z40" s="2"/>
    </row>
    <row r="41" spans="1:26" ht="15.75" customHeight="1" x14ac:dyDescent="0.3">
      <c r="A41" s="40" t="s">
        <v>343</v>
      </c>
      <c r="B41" s="40" t="s">
        <v>344</v>
      </c>
      <c r="C41" s="40" t="s">
        <v>345</v>
      </c>
      <c r="D41" s="109" t="s">
        <v>346</v>
      </c>
      <c r="E41" s="106"/>
      <c r="F41" s="106"/>
      <c r="G41" s="106"/>
      <c r="H41" s="106"/>
      <c r="I41" s="106"/>
      <c r="J41" s="32"/>
      <c r="K41" s="2"/>
      <c r="L41" s="21" t="s">
        <v>340</v>
      </c>
      <c r="M41" s="21" t="s">
        <v>303</v>
      </c>
      <c r="N41" s="21">
        <v>-0.33</v>
      </c>
      <c r="O41" s="21" t="s">
        <v>326</v>
      </c>
      <c r="P41" s="2"/>
      <c r="Q41" s="2"/>
      <c r="R41" s="2"/>
      <c r="S41" s="2"/>
      <c r="T41" s="32"/>
      <c r="U41" s="29"/>
      <c r="V41" s="29"/>
      <c r="W41" s="29"/>
      <c r="X41" s="29"/>
      <c r="Y41" s="29"/>
      <c r="Z41" s="2"/>
    </row>
    <row r="42" spans="1:26" ht="15.75" customHeight="1" x14ac:dyDescent="0.3">
      <c r="A42" s="41" t="s">
        <v>347</v>
      </c>
      <c r="B42" s="42">
        <v>0</v>
      </c>
      <c r="C42" s="41" t="s">
        <v>348</v>
      </c>
      <c r="D42" s="110" t="s">
        <v>349</v>
      </c>
      <c r="E42" s="106"/>
      <c r="F42" s="106"/>
      <c r="G42" s="106"/>
      <c r="H42" s="106"/>
      <c r="I42" s="106"/>
      <c r="J42" s="2"/>
      <c r="K42" s="2"/>
      <c r="L42" s="21" t="s">
        <v>340</v>
      </c>
      <c r="M42" s="21" t="s">
        <v>350</v>
      </c>
      <c r="N42" s="21">
        <v>95.291144999999986</v>
      </c>
      <c r="O42" s="24" t="s">
        <v>305</v>
      </c>
      <c r="P42" s="2"/>
      <c r="Q42" s="2"/>
      <c r="R42" s="2"/>
      <c r="S42" s="2"/>
      <c r="T42" s="2"/>
      <c r="U42" s="29"/>
      <c r="V42" s="29"/>
      <c r="W42" s="29"/>
      <c r="X42" s="29"/>
      <c r="Y42" s="29"/>
      <c r="Z42" s="2"/>
    </row>
    <row r="43" spans="1:26" ht="15.75" customHeight="1" x14ac:dyDescent="0.3">
      <c r="A43" s="41" t="s">
        <v>159</v>
      </c>
      <c r="B43" s="41">
        <v>-4682.03</v>
      </c>
      <c r="C43" s="41" t="s">
        <v>348</v>
      </c>
      <c r="D43" s="110" t="s">
        <v>351</v>
      </c>
      <c r="E43" s="106"/>
      <c r="F43" s="106"/>
      <c r="G43" s="106"/>
      <c r="H43" s="106"/>
      <c r="I43" s="106"/>
      <c r="J43" s="2"/>
      <c r="K43" s="2"/>
      <c r="L43" s="21" t="s">
        <v>340</v>
      </c>
      <c r="M43" s="21" t="s">
        <v>303</v>
      </c>
      <c r="N43" s="21">
        <v>-19.809999999999999</v>
      </c>
      <c r="O43" s="24" t="s">
        <v>307</v>
      </c>
      <c r="P43" s="2"/>
      <c r="Q43" s="2"/>
      <c r="R43" s="2"/>
      <c r="S43" s="2"/>
      <c r="T43" s="2"/>
      <c r="U43" s="29"/>
      <c r="V43" s="29"/>
      <c r="W43" s="29"/>
      <c r="X43" s="29"/>
      <c r="Y43" s="29"/>
      <c r="Z43" s="2"/>
    </row>
    <row r="44" spans="1:26" ht="15.75" customHeight="1" x14ac:dyDescent="0.3">
      <c r="A44" s="41" t="s">
        <v>213</v>
      </c>
      <c r="B44" s="42" t="s">
        <v>352</v>
      </c>
      <c r="C44" s="41" t="s">
        <v>348</v>
      </c>
      <c r="D44" s="110" t="s">
        <v>353</v>
      </c>
      <c r="E44" s="106"/>
      <c r="F44" s="106"/>
      <c r="G44" s="106"/>
      <c r="H44" s="106"/>
      <c r="I44" s="106"/>
      <c r="J44" s="2"/>
      <c r="K44" s="2"/>
      <c r="L44" s="21" t="s">
        <v>340</v>
      </c>
      <c r="M44" s="21" t="s">
        <v>350</v>
      </c>
      <c r="N44" s="21">
        <v>-85.11</v>
      </c>
      <c r="O44" s="24" t="s">
        <v>310</v>
      </c>
      <c r="P44" s="2"/>
      <c r="Q44" s="2"/>
      <c r="R44" s="2"/>
      <c r="S44" s="2"/>
      <c r="T44" s="2"/>
      <c r="U44" s="29"/>
      <c r="V44" s="29"/>
      <c r="W44" s="29"/>
      <c r="X44" s="29"/>
      <c r="Y44" s="29"/>
      <c r="Z44" s="2"/>
    </row>
    <row r="45" spans="1:26" ht="15.75" customHeight="1" x14ac:dyDescent="0.3">
      <c r="A45" s="41" t="s">
        <v>232</v>
      </c>
      <c r="B45" s="42" t="s">
        <v>352</v>
      </c>
      <c r="C45" s="41" t="s">
        <v>354</v>
      </c>
      <c r="D45" s="110" t="s">
        <v>271</v>
      </c>
      <c r="E45" s="106"/>
      <c r="F45" s="106"/>
      <c r="G45" s="106"/>
      <c r="H45" s="106"/>
      <c r="I45" s="106"/>
      <c r="J45" s="2"/>
      <c r="K45" s="32"/>
      <c r="L45" s="21" t="s">
        <v>340</v>
      </c>
      <c r="M45" s="21" t="s">
        <v>303</v>
      </c>
      <c r="N45" s="21">
        <v>509.9</v>
      </c>
      <c r="O45" s="24" t="s">
        <v>313</v>
      </c>
      <c r="P45" s="2"/>
      <c r="Q45" s="2"/>
      <c r="R45" s="2"/>
      <c r="S45" s="2"/>
      <c r="T45" s="2"/>
      <c r="U45" s="29"/>
      <c r="V45" s="29"/>
      <c r="W45" s="29"/>
      <c r="X45" s="29"/>
      <c r="Y45" s="29"/>
      <c r="Z45" s="2"/>
    </row>
    <row r="46" spans="1:26" ht="15.75" customHeight="1" x14ac:dyDescent="0.3">
      <c r="A46" s="41" t="s">
        <v>355</v>
      </c>
      <c r="B46" s="42">
        <v>0</v>
      </c>
      <c r="C46" s="41" t="s">
        <v>354</v>
      </c>
      <c r="D46" s="110" t="s">
        <v>356</v>
      </c>
      <c r="E46" s="106"/>
      <c r="F46" s="106"/>
      <c r="G46" s="106"/>
      <c r="H46" s="106"/>
      <c r="I46" s="106"/>
      <c r="J46" s="2"/>
      <c r="K46" s="2"/>
      <c r="L46" s="21" t="s">
        <v>340</v>
      </c>
      <c r="M46" s="21" t="s">
        <v>303</v>
      </c>
      <c r="N46" s="21">
        <v>-226.38</v>
      </c>
      <c r="O46" s="24" t="s">
        <v>315</v>
      </c>
      <c r="P46" s="2"/>
      <c r="Q46" s="2"/>
      <c r="R46" s="2"/>
      <c r="S46" s="2"/>
      <c r="T46" s="2"/>
      <c r="U46" s="29"/>
      <c r="V46" s="29"/>
      <c r="W46" s="29"/>
      <c r="X46" s="29"/>
      <c r="Y46" s="29"/>
      <c r="Z46" s="2"/>
    </row>
    <row r="47" spans="1:26" ht="15.75" customHeight="1" x14ac:dyDescent="0.3">
      <c r="A47" s="41" t="s">
        <v>238</v>
      </c>
      <c r="B47" s="41">
        <v>2720.0071876239899</v>
      </c>
      <c r="C47" s="41" t="s">
        <v>354</v>
      </c>
      <c r="D47" s="110" t="s">
        <v>357</v>
      </c>
      <c r="E47" s="106"/>
      <c r="F47" s="106"/>
      <c r="G47" s="106"/>
      <c r="H47" s="106"/>
      <c r="I47" s="106"/>
      <c r="J47" s="2"/>
      <c r="K47" s="2"/>
      <c r="L47" s="21" t="s">
        <v>340</v>
      </c>
      <c r="M47" s="21" t="s">
        <v>350</v>
      </c>
      <c r="N47" s="21">
        <v>-10.76</v>
      </c>
      <c r="O47" s="21" t="s">
        <v>330</v>
      </c>
      <c r="P47" s="2"/>
      <c r="Q47" s="2"/>
      <c r="R47" s="2"/>
      <c r="S47" s="2"/>
      <c r="T47" s="2"/>
      <c r="U47" s="29"/>
      <c r="V47" s="29"/>
      <c r="W47" s="29"/>
      <c r="X47" s="29"/>
      <c r="Y47" s="29"/>
      <c r="Z47" s="2"/>
    </row>
    <row r="48" spans="1:26" ht="15.75" customHeight="1" x14ac:dyDescent="0.3">
      <c r="A48" s="41"/>
      <c r="B48" s="41"/>
      <c r="C48" s="41"/>
      <c r="D48" s="110"/>
      <c r="E48" s="106"/>
      <c r="F48" s="106"/>
      <c r="G48" s="106"/>
      <c r="H48" s="106"/>
      <c r="I48" s="106"/>
      <c r="J48" s="2"/>
      <c r="K48" s="2"/>
      <c r="L48" s="21" t="s">
        <v>340</v>
      </c>
      <c r="M48" s="21" t="s">
        <v>350</v>
      </c>
      <c r="N48" s="21">
        <v>10.97</v>
      </c>
      <c r="O48" s="21" t="s">
        <v>331</v>
      </c>
      <c r="P48" s="2"/>
      <c r="Q48" s="2"/>
      <c r="R48" s="2"/>
      <c r="S48" s="2"/>
      <c r="T48" s="2"/>
      <c r="U48" s="29"/>
      <c r="V48" s="29"/>
      <c r="W48" s="29"/>
      <c r="X48" s="29"/>
      <c r="Y48" s="29"/>
      <c r="Z48" s="2"/>
    </row>
    <row r="49" spans="1:26" ht="15.75" customHeight="1" x14ac:dyDescent="0.3">
      <c r="A49" s="40" t="s">
        <v>358</v>
      </c>
      <c r="B49" s="43">
        <f>SUM(B42:B47)</f>
        <v>-1962.0228123760098</v>
      </c>
      <c r="C49" s="41"/>
      <c r="D49" s="110"/>
      <c r="E49" s="106"/>
      <c r="F49" s="106"/>
      <c r="G49" s="106"/>
      <c r="H49" s="106"/>
      <c r="I49" s="106"/>
      <c r="J49" s="2"/>
      <c r="K49" s="32"/>
      <c r="L49" s="21" t="s">
        <v>359</v>
      </c>
      <c r="M49" s="21" t="s">
        <v>306</v>
      </c>
      <c r="N49" s="21">
        <v>0</v>
      </c>
      <c r="O49" s="21" t="s">
        <v>300</v>
      </c>
      <c r="P49" s="2"/>
      <c r="Q49" s="2"/>
      <c r="R49" s="2"/>
      <c r="S49" s="2"/>
      <c r="T49" s="2"/>
      <c r="U49" s="29"/>
      <c r="V49" s="29"/>
      <c r="W49" s="29"/>
      <c r="X49" s="29"/>
      <c r="Y49" s="29"/>
      <c r="Z49" s="2"/>
    </row>
    <row r="50" spans="1:26" ht="15.75" customHeight="1" x14ac:dyDescent="0.3">
      <c r="A50" s="2"/>
      <c r="B50" s="2"/>
      <c r="C50" s="2"/>
      <c r="D50" s="29"/>
      <c r="E50" s="29"/>
      <c r="F50" s="2"/>
      <c r="G50" s="2"/>
      <c r="H50" s="2"/>
      <c r="I50" s="2"/>
      <c r="J50" s="2"/>
      <c r="K50" s="32"/>
      <c r="L50" s="21" t="s">
        <v>359</v>
      </c>
      <c r="M50" s="21" t="s">
        <v>306</v>
      </c>
      <c r="N50" s="21">
        <v>0</v>
      </c>
      <c r="O50" s="21" t="s">
        <v>302</v>
      </c>
      <c r="P50" s="2"/>
      <c r="Q50" s="2"/>
      <c r="R50" s="2"/>
      <c r="S50" s="2"/>
      <c r="T50" s="2"/>
      <c r="U50" s="29"/>
      <c r="V50" s="29"/>
      <c r="W50" s="29"/>
      <c r="X50" s="29"/>
      <c r="Y50" s="29"/>
      <c r="Z50" s="2"/>
    </row>
    <row r="51" spans="1:26" ht="15.75" customHeight="1" x14ac:dyDescent="0.3">
      <c r="A51" s="2"/>
      <c r="B51" s="2"/>
      <c r="C51" s="2"/>
      <c r="D51" s="29"/>
      <c r="E51" s="29"/>
      <c r="F51" s="32"/>
      <c r="G51" s="32"/>
      <c r="H51" s="32"/>
      <c r="I51" s="32"/>
      <c r="J51" s="32"/>
      <c r="K51" s="32"/>
      <c r="L51" s="21" t="s">
        <v>359</v>
      </c>
      <c r="M51" s="21" t="s">
        <v>306</v>
      </c>
      <c r="N51" s="21">
        <v>0</v>
      </c>
      <c r="O51" s="21" t="s">
        <v>342</v>
      </c>
      <c r="P51" s="2"/>
      <c r="Q51" s="2"/>
      <c r="R51" s="2"/>
      <c r="S51" s="2"/>
      <c r="T51" s="2"/>
      <c r="U51" s="29"/>
      <c r="V51" s="29"/>
      <c r="W51" s="29"/>
      <c r="X51" s="29"/>
      <c r="Y51" s="29"/>
      <c r="Z51" s="2"/>
    </row>
    <row r="52" spans="1:26" ht="15.75" customHeight="1" x14ac:dyDescent="0.3">
      <c r="A52" s="2"/>
      <c r="B52" s="2"/>
      <c r="C52" s="2"/>
      <c r="D52" s="29"/>
      <c r="E52" s="29"/>
      <c r="F52" s="32"/>
      <c r="G52" s="32"/>
      <c r="H52" s="32"/>
      <c r="I52" s="32"/>
      <c r="J52" s="32"/>
      <c r="K52" s="32"/>
      <c r="L52" s="21" t="s">
        <v>359</v>
      </c>
      <c r="M52" s="21" t="s">
        <v>306</v>
      </c>
      <c r="N52" s="21">
        <v>-1.1000000000000001</v>
      </c>
      <c r="O52" s="21" t="s">
        <v>326</v>
      </c>
      <c r="P52" s="2"/>
      <c r="Q52" s="2"/>
      <c r="R52" s="2"/>
      <c r="S52" s="2"/>
      <c r="T52" s="2"/>
      <c r="U52" s="29"/>
      <c r="V52" s="29"/>
      <c r="W52" s="29"/>
      <c r="X52" s="29"/>
      <c r="Y52" s="29"/>
      <c r="Z52" s="2"/>
    </row>
    <row r="53" spans="1:26" ht="15.75" customHeight="1" x14ac:dyDescent="0.3">
      <c r="A53" s="115" t="s">
        <v>360</v>
      </c>
      <c r="B53" s="106"/>
      <c r="C53" s="106"/>
      <c r="D53" s="106"/>
      <c r="E53" s="2"/>
      <c r="F53" s="32"/>
      <c r="G53" s="32"/>
      <c r="H53" s="32"/>
      <c r="I53" s="32"/>
      <c r="J53" s="32"/>
      <c r="K53" s="32"/>
      <c r="L53" s="21" t="s">
        <v>359</v>
      </c>
      <c r="M53" s="21" t="s">
        <v>361</v>
      </c>
      <c r="N53" s="21">
        <v>-60.04</v>
      </c>
      <c r="O53" s="24" t="s">
        <v>305</v>
      </c>
      <c r="P53" s="2"/>
      <c r="Q53" s="2"/>
      <c r="R53" s="2"/>
      <c r="S53" s="2"/>
      <c r="T53" s="32"/>
      <c r="U53" s="29"/>
      <c r="V53" s="29"/>
      <c r="W53" s="29"/>
      <c r="X53" s="29"/>
      <c r="Y53" s="29"/>
      <c r="Z53" s="2"/>
    </row>
    <row r="54" spans="1:26" ht="15.75" customHeight="1" x14ac:dyDescent="0.3">
      <c r="A54" s="44" t="s">
        <v>1</v>
      </c>
      <c r="B54" s="44" t="s">
        <v>362</v>
      </c>
      <c r="C54" s="44" t="s">
        <v>363</v>
      </c>
      <c r="D54" s="44" t="s">
        <v>364</v>
      </c>
      <c r="E54" s="2"/>
      <c r="F54" s="32"/>
      <c r="G54" s="32"/>
      <c r="H54" s="32"/>
      <c r="I54" s="32"/>
      <c r="J54" s="32"/>
      <c r="K54" s="32"/>
      <c r="L54" s="21" t="s">
        <v>359</v>
      </c>
      <c r="M54" s="21" t="s">
        <v>306</v>
      </c>
      <c r="N54" s="21">
        <v>-9.84</v>
      </c>
      <c r="O54" s="24" t="s">
        <v>307</v>
      </c>
      <c r="P54" s="2"/>
      <c r="Q54" s="2"/>
      <c r="R54" s="2"/>
      <c r="S54" s="2"/>
      <c r="T54" s="32"/>
      <c r="U54" s="29"/>
      <c r="V54" s="29"/>
      <c r="W54" s="29"/>
      <c r="X54" s="29"/>
      <c r="Y54" s="29"/>
      <c r="Z54" s="2"/>
    </row>
    <row r="55" spans="1:26" ht="15.75" customHeight="1" x14ac:dyDescent="0.3">
      <c r="A55" s="22" t="s">
        <v>263</v>
      </c>
      <c r="B55" s="45">
        <v>55.309798944000001</v>
      </c>
      <c r="C55" s="45">
        <f t="shared" ref="C55:C57" si="1">B55*1</f>
        <v>55.309798944000001</v>
      </c>
      <c r="D55" s="45">
        <v>0</v>
      </c>
      <c r="E55" s="2"/>
      <c r="F55" s="32"/>
      <c r="G55" s="32"/>
      <c r="H55" s="32"/>
      <c r="I55" s="32"/>
      <c r="J55" s="32"/>
      <c r="K55" s="32"/>
      <c r="L55" s="21" t="s">
        <v>359</v>
      </c>
      <c r="M55" s="21" t="s">
        <v>361</v>
      </c>
      <c r="N55" s="21">
        <v>70.948349999999962</v>
      </c>
      <c r="O55" s="24" t="s">
        <v>310</v>
      </c>
      <c r="P55" s="32"/>
      <c r="Q55" s="2"/>
      <c r="R55" s="2"/>
      <c r="S55" s="2"/>
      <c r="T55" s="32"/>
      <c r="U55" s="29"/>
      <c r="V55" s="29"/>
      <c r="W55" s="29"/>
      <c r="X55" s="29"/>
      <c r="Y55" s="29"/>
      <c r="Z55" s="2"/>
    </row>
    <row r="56" spans="1:26" ht="15.75" customHeight="1" x14ac:dyDescent="0.3">
      <c r="A56" s="22" t="s">
        <v>365</v>
      </c>
      <c r="B56" s="45">
        <v>-17689.022286320007</v>
      </c>
      <c r="C56" s="45">
        <f t="shared" si="1"/>
        <v>-17689.022286320007</v>
      </c>
      <c r="D56" s="45">
        <v>0</v>
      </c>
      <c r="E56" s="2"/>
      <c r="F56" s="32"/>
      <c r="G56" s="32"/>
      <c r="H56" s="32"/>
      <c r="I56" s="32"/>
      <c r="J56" s="32"/>
      <c r="K56" s="32"/>
      <c r="L56" s="21" t="s">
        <v>359</v>
      </c>
      <c r="M56" s="21" t="s">
        <v>306</v>
      </c>
      <c r="N56" s="21">
        <v>-379.4</v>
      </c>
      <c r="O56" s="24" t="s">
        <v>313</v>
      </c>
      <c r="P56" s="32"/>
      <c r="Q56" s="2"/>
      <c r="R56" s="2"/>
      <c r="S56" s="2"/>
      <c r="T56" s="32"/>
      <c r="U56" s="29"/>
      <c r="V56" s="29"/>
      <c r="W56" s="29"/>
      <c r="X56" s="29"/>
      <c r="Y56" s="29"/>
      <c r="Z56" s="2"/>
    </row>
    <row r="57" spans="1:26" ht="15.75" customHeight="1" x14ac:dyDescent="0.3">
      <c r="A57" s="22" t="s">
        <v>140</v>
      </c>
      <c r="B57" s="45">
        <v>-6383.02</v>
      </c>
      <c r="C57" s="45">
        <f t="shared" si="1"/>
        <v>-6383.02</v>
      </c>
      <c r="D57" s="45">
        <v>0</v>
      </c>
      <c r="E57" s="2"/>
      <c r="F57" s="32"/>
      <c r="G57" s="32"/>
      <c r="H57" s="32"/>
      <c r="I57" s="32"/>
      <c r="J57" s="32"/>
      <c r="K57" s="32"/>
      <c r="L57" s="21" t="s">
        <v>359</v>
      </c>
      <c r="M57" s="21" t="s">
        <v>306</v>
      </c>
      <c r="N57" s="21">
        <v>173.68</v>
      </c>
      <c r="O57" s="24" t="s">
        <v>315</v>
      </c>
      <c r="P57" s="32"/>
      <c r="Q57" s="2"/>
      <c r="R57" s="2"/>
      <c r="S57" s="2"/>
      <c r="T57" s="32"/>
      <c r="U57" s="29"/>
      <c r="V57" s="29"/>
      <c r="W57" s="29"/>
      <c r="X57" s="29"/>
      <c r="Y57" s="29"/>
      <c r="Z57" s="2"/>
    </row>
    <row r="58" spans="1:26" ht="15.75" customHeight="1" x14ac:dyDescent="0.3">
      <c r="A58" s="22" t="s">
        <v>164</v>
      </c>
      <c r="B58" s="45">
        <v>18766.12875</v>
      </c>
      <c r="C58" s="45">
        <f>B58*0.98</f>
        <v>18390.806174999998</v>
      </c>
      <c r="D58" s="45">
        <f>B58*0.02</f>
        <v>375.32257500000003</v>
      </c>
      <c r="E58" s="2"/>
      <c r="F58" s="32"/>
      <c r="G58" s="32"/>
      <c r="H58" s="32"/>
      <c r="I58" s="32"/>
      <c r="J58" s="32"/>
      <c r="K58" s="32"/>
      <c r="L58" s="21" t="s">
        <v>359</v>
      </c>
      <c r="M58" s="21" t="s">
        <v>306</v>
      </c>
      <c r="N58" s="21">
        <v>-2.96</v>
      </c>
      <c r="O58" s="21" t="s">
        <v>330</v>
      </c>
      <c r="P58" s="32"/>
      <c r="Q58" s="2"/>
      <c r="R58" s="2"/>
      <c r="S58" s="2"/>
      <c r="T58" s="32"/>
      <c r="U58" s="29"/>
      <c r="V58" s="29"/>
      <c r="W58" s="29"/>
      <c r="X58" s="29"/>
      <c r="Y58" s="29"/>
      <c r="Z58" s="2"/>
    </row>
    <row r="59" spans="1:26" ht="15.75" customHeight="1" x14ac:dyDescent="0.3">
      <c r="A59" s="22" t="s">
        <v>148</v>
      </c>
      <c r="B59" s="45">
        <v>8938</v>
      </c>
      <c r="C59" s="45">
        <f>B59*1</f>
        <v>8938</v>
      </c>
      <c r="D59" s="45">
        <v>0</v>
      </c>
      <c r="E59" s="2"/>
      <c r="F59" s="32"/>
      <c r="G59" s="32"/>
      <c r="H59" s="32"/>
      <c r="I59" s="32"/>
      <c r="J59" s="32"/>
      <c r="K59" s="32"/>
      <c r="L59" s="21" t="s">
        <v>359</v>
      </c>
      <c r="M59" s="21" t="s">
        <v>306</v>
      </c>
      <c r="N59" s="21">
        <v>3.04</v>
      </c>
      <c r="O59" s="21" t="s">
        <v>331</v>
      </c>
      <c r="P59" s="32"/>
      <c r="Q59" s="2"/>
      <c r="R59" s="2"/>
      <c r="S59" s="2"/>
      <c r="T59" s="2"/>
      <c r="U59" s="29"/>
      <c r="V59" s="29"/>
      <c r="W59" s="29"/>
      <c r="X59" s="29"/>
      <c r="Y59" s="29"/>
      <c r="Z59" s="2"/>
    </row>
    <row r="60" spans="1:26" ht="15.75" customHeight="1" x14ac:dyDescent="0.3">
      <c r="A60" s="22" t="s">
        <v>224</v>
      </c>
      <c r="B60" s="45">
        <v>-610.45000000000005</v>
      </c>
      <c r="C60" s="45">
        <f>B60*0.97</f>
        <v>-592.13650000000007</v>
      </c>
      <c r="D60" s="45">
        <f>B60*0.03</f>
        <v>-18.313500000000001</v>
      </c>
      <c r="E60" s="2"/>
      <c r="F60" s="32"/>
      <c r="G60" s="32"/>
      <c r="H60" s="32"/>
      <c r="I60" s="32"/>
      <c r="J60" s="32"/>
      <c r="K60" s="32"/>
      <c r="L60" s="21" t="s">
        <v>366</v>
      </c>
      <c r="M60" s="21" t="s">
        <v>309</v>
      </c>
      <c r="N60" s="21">
        <v>-90.3</v>
      </c>
      <c r="O60" s="21" t="s">
        <v>300</v>
      </c>
      <c r="P60" s="32"/>
      <c r="Q60" s="2"/>
      <c r="R60" s="46"/>
      <c r="S60" s="46"/>
      <c r="T60" s="46"/>
      <c r="U60" s="46"/>
      <c r="V60" s="46"/>
      <c r="W60" s="32"/>
      <c r="X60" s="32"/>
      <c r="Y60" s="32"/>
      <c r="Z60" s="46"/>
    </row>
    <row r="61" spans="1:26" ht="15.75" customHeight="1" x14ac:dyDescent="0.3">
      <c r="A61" s="22"/>
      <c r="B61" s="22"/>
      <c r="C61" s="22"/>
      <c r="D61" s="22"/>
      <c r="E61" s="2"/>
      <c r="F61" s="32"/>
      <c r="G61" s="32"/>
      <c r="H61" s="32"/>
      <c r="I61" s="32"/>
      <c r="J61" s="32"/>
      <c r="K61" s="32"/>
      <c r="L61" s="21" t="s">
        <v>366</v>
      </c>
      <c r="M61" s="21" t="s">
        <v>309</v>
      </c>
      <c r="N61" s="21">
        <v>136.25</v>
      </c>
      <c r="O61" s="21" t="s">
        <v>302</v>
      </c>
      <c r="P61" s="32"/>
      <c r="Q61" s="32"/>
      <c r="R61" s="46"/>
      <c r="S61" s="46"/>
      <c r="T61" s="46"/>
      <c r="U61" s="46"/>
      <c r="V61" s="46"/>
      <c r="W61" s="32"/>
      <c r="X61" s="32"/>
      <c r="Y61" s="32"/>
      <c r="Z61" s="46"/>
    </row>
    <row r="62" spans="1:26" ht="15.75" customHeight="1" x14ac:dyDescent="0.3">
      <c r="A62" s="22"/>
      <c r="B62" s="44" t="s">
        <v>358</v>
      </c>
      <c r="C62" s="47">
        <f t="shared" ref="C62:D62" si="2">SUM(C55:C60)</f>
        <v>2719.9371876239898</v>
      </c>
      <c r="D62" s="47">
        <f t="shared" si="2"/>
        <v>357.00907500000005</v>
      </c>
      <c r="E62" s="2"/>
      <c r="F62" s="32"/>
      <c r="G62" s="32"/>
      <c r="H62" s="32"/>
      <c r="I62" s="32"/>
      <c r="J62" s="32"/>
      <c r="K62" s="32"/>
      <c r="L62" s="21" t="s">
        <v>366</v>
      </c>
      <c r="M62" s="21" t="s">
        <v>309</v>
      </c>
      <c r="N62" s="21">
        <v>0</v>
      </c>
      <c r="O62" s="21" t="s">
        <v>342</v>
      </c>
      <c r="P62" s="32"/>
      <c r="Q62" s="32"/>
      <c r="R62" s="46"/>
      <c r="S62" s="46"/>
      <c r="T62" s="46"/>
      <c r="U62" s="46"/>
      <c r="V62" s="46"/>
      <c r="W62" s="32"/>
      <c r="X62" s="32"/>
      <c r="Y62" s="32"/>
      <c r="Z62" s="46"/>
    </row>
    <row r="63" spans="1:26" ht="15.75" customHeight="1" x14ac:dyDescent="0.3">
      <c r="A63" s="32"/>
      <c r="B63" s="32"/>
      <c r="C63" s="32"/>
      <c r="D63" s="32"/>
      <c r="E63" s="2"/>
      <c r="F63" s="32"/>
      <c r="G63" s="32"/>
      <c r="H63" s="32"/>
      <c r="I63" s="32"/>
      <c r="J63" s="32"/>
      <c r="K63" s="32"/>
      <c r="L63" s="21" t="s">
        <v>366</v>
      </c>
      <c r="M63" s="21" t="s">
        <v>367</v>
      </c>
      <c r="N63" s="21">
        <v>0</v>
      </c>
      <c r="O63" s="21" t="s">
        <v>326</v>
      </c>
      <c r="P63" s="32"/>
      <c r="Q63" s="32"/>
      <c r="R63" s="46"/>
      <c r="S63" s="46"/>
      <c r="T63" s="46"/>
      <c r="U63" s="46"/>
      <c r="V63" s="46"/>
      <c r="W63" s="32"/>
      <c r="X63" s="32"/>
      <c r="Y63" s="32"/>
      <c r="Z63" s="46"/>
    </row>
    <row r="64" spans="1:26" ht="15.75" customHeight="1" x14ac:dyDescent="0.3">
      <c r="A64" s="32"/>
      <c r="B64" s="32"/>
      <c r="C64" s="32"/>
      <c r="D64" s="32"/>
      <c r="E64" s="2"/>
      <c r="F64" s="32"/>
      <c r="G64" s="32"/>
      <c r="H64" s="32"/>
      <c r="I64" s="32"/>
      <c r="J64" s="32"/>
      <c r="K64" s="32"/>
      <c r="L64" s="21" t="s">
        <v>366</v>
      </c>
      <c r="M64" s="21" t="s">
        <v>367</v>
      </c>
      <c r="N64" s="21">
        <v>-142.87762499999999</v>
      </c>
      <c r="O64" s="24" t="s">
        <v>305</v>
      </c>
      <c r="P64" s="32"/>
      <c r="Q64" s="32"/>
      <c r="R64" s="46"/>
      <c r="S64" s="46"/>
      <c r="T64" s="46"/>
      <c r="U64" s="46"/>
      <c r="V64" s="46"/>
      <c r="W64" s="32"/>
      <c r="X64" s="32"/>
      <c r="Y64" s="32"/>
      <c r="Z64" s="46"/>
    </row>
    <row r="65" spans="1:26" ht="15.75" customHeight="1" x14ac:dyDescent="0.3">
      <c r="A65" s="32"/>
      <c r="B65" s="32"/>
      <c r="C65" s="32"/>
      <c r="D65" s="32"/>
      <c r="E65" s="2"/>
      <c r="F65" s="32"/>
      <c r="G65" s="32"/>
      <c r="H65" s="32"/>
      <c r="I65" s="32"/>
      <c r="J65" s="32"/>
      <c r="K65" s="32"/>
      <c r="L65" s="21" t="s">
        <v>366</v>
      </c>
      <c r="M65" s="21" t="s">
        <v>367</v>
      </c>
      <c r="N65" s="21">
        <v>-18.47</v>
      </c>
      <c r="O65" s="24" t="s">
        <v>307</v>
      </c>
      <c r="P65" s="32"/>
      <c r="Q65" s="32"/>
      <c r="R65" s="46"/>
      <c r="S65" s="46"/>
      <c r="T65" s="46"/>
      <c r="U65" s="46"/>
      <c r="V65" s="46"/>
      <c r="W65" s="32"/>
      <c r="X65" s="32"/>
      <c r="Y65" s="32"/>
      <c r="Z65" s="46"/>
    </row>
    <row r="66" spans="1:26" ht="15.75" customHeight="1" x14ac:dyDescent="0.3">
      <c r="A66" s="111" t="s">
        <v>368</v>
      </c>
      <c r="B66" s="106"/>
      <c r="C66" s="106"/>
      <c r="D66" s="106"/>
      <c r="E66" s="2"/>
      <c r="F66" s="32"/>
      <c r="G66" s="32"/>
      <c r="H66" s="32"/>
      <c r="I66" s="32"/>
      <c r="J66" s="32"/>
      <c r="K66" s="32"/>
      <c r="L66" s="21" t="s">
        <v>366</v>
      </c>
      <c r="M66" s="21" t="s">
        <v>367</v>
      </c>
      <c r="N66" s="21">
        <v>99.24</v>
      </c>
      <c r="O66" s="24" t="s">
        <v>310</v>
      </c>
      <c r="P66" s="32"/>
      <c r="Q66" s="32"/>
      <c r="R66" s="46"/>
      <c r="S66" s="46"/>
      <c r="T66" s="46"/>
      <c r="U66" s="46"/>
      <c r="V66" s="46"/>
      <c r="W66" s="32"/>
      <c r="X66" s="32"/>
      <c r="Y66" s="32"/>
      <c r="Z66" s="46"/>
    </row>
    <row r="67" spans="1:26" ht="15.75" customHeight="1" x14ac:dyDescent="0.3">
      <c r="A67" s="48" t="s">
        <v>1</v>
      </c>
      <c r="B67" s="48" t="s">
        <v>362</v>
      </c>
      <c r="C67" s="48" t="s">
        <v>363</v>
      </c>
      <c r="D67" s="48" t="s">
        <v>364</v>
      </c>
      <c r="E67" s="2"/>
      <c r="F67" s="32"/>
      <c r="G67" s="32"/>
      <c r="H67" s="32"/>
      <c r="I67" s="32"/>
      <c r="J67" s="32"/>
      <c r="K67" s="32"/>
      <c r="L67" s="21" t="s">
        <v>366</v>
      </c>
      <c r="M67" s="21" t="s">
        <v>367</v>
      </c>
      <c r="N67" s="21">
        <v>140.90341999999998</v>
      </c>
      <c r="O67" s="24" t="s">
        <v>313</v>
      </c>
      <c r="P67" s="32"/>
      <c r="Q67" s="32"/>
      <c r="R67" s="46"/>
      <c r="S67" s="46"/>
      <c r="T67" s="46"/>
      <c r="U67" s="46"/>
      <c r="V67" s="46"/>
      <c r="W67" s="32"/>
      <c r="X67" s="32"/>
      <c r="Y67" s="32"/>
      <c r="Z67" s="46"/>
    </row>
    <row r="68" spans="1:26" ht="15.75" customHeight="1" x14ac:dyDescent="0.3">
      <c r="A68" s="49" t="s">
        <v>186</v>
      </c>
      <c r="B68" s="50">
        <v>718.17899999999941</v>
      </c>
      <c r="C68" s="50">
        <f t="shared" ref="C68:C69" si="3">B68*0.97</f>
        <v>696.63362999999936</v>
      </c>
      <c r="D68" s="50">
        <f t="shared" ref="D68:D69" si="4">B68*0.03</f>
        <v>21.545369999999981</v>
      </c>
      <c r="E68" s="2"/>
      <c r="F68" s="32"/>
      <c r="G68" s="32"/>
      <c r="H68" s="32"/>
      <c r="I68" s="32"/>
      <c r="J68" s="32"/>
      <c r="K68" s="32"/>
      <c r="L68" s="21" t="s">
        <v>366</v>
      </c>
      <c r="M68" s="21" t="s">
        <v>367</v>
      </c>
      <c r="N68" s="21">
        <v>-63.9709492</v>
      </c>
      <c r="O68" s="24" t="s">
        <v>315</v>
      </c>
      <c r="P68" s="32"/>
      <c r="Q68" s="32"/>
      <c r="R68" s="46"/>
      <c r="S68" s="46"/>
      <c r="T68" s="46"/>
      <c r="U68" s="46"/>
      <c r="V68" s="46"/>
      <c r="W68" s="32"/>
      <c r="X68" s="32"/>
      <c r="Y68" s="32"/>
      <c r="Z68" s="46"/>
    </row>
    <row r="69" spans="1:26" ht="15.75" customHeight="1" x14ac:dyDescent="0.3">
      <c r="A69" s="49" t="s">
        <v>369</v>
      </c>
      <c r="B69" s="50">
        <v>-201.58699999999993</v>
      </c>
      <c r="C69" s="50">
        <f t="shared" si="3"/>
        <v>-195.53938999999994</v>
      </c>
      <c r="D69" s="50">
        <f t="shared" si="4"/>
        <v>-6.0476099999999979</v>
      </c>
      <c r="E69" s="2"/>
      <c r="F69" s="32"/>
      <c r="G69" s="32"/>
      <c r="H69" s="32"/>
      <c r="I69" s="32"/>
      <c r="J69" s="32"/>
      <c r="K69" s="32"/>
      <c r="L69" s="21" t="s">
        <v>366</v>
      </c>
      <c r="M69" s="21" t="s">
        <v>367</v>
      </c>
      <c r="N69" s="21">
        <v>-7.38</v>
      </c>
      <c r="O69" s="21" t="s">
        <v>330</v>
      </c>
      <c r="P69" s="32"/>
      <c r="Q69" s="32"/>
      <c r="R69" s="46"/>
      <c r="S69" s="46"/>
      <c r="T69" s="46"/>
      <c r="U69" s="46"/>
      <c r="V69" s="46"/>
      <c r="W69" s="32"/>
      <c r="X69" s="32"/>
      <c r="Y69" s="32"/>
      <c r="Z69" s="46"/>
    </row>
    <row r="70" spans="1:26" ht="15.75" customHeight="1" x14ac:dyDescent="0.3">
      <c r="A70" s="49" t="s">
        <v>107</v>
      </c>
      <c r="B70" s="50">
        <v>-395.57800000000026</v>
      </c>
      <c r="C70" s="50">
        <f>B70*1</f>
        <v>-395.57800000000026</v>
      </c>
      <c r="D70" s="50">
        <v>0</v>
      </c>
      <c r="E70" s="2"/>
      <c r="F70" s="32"/>
      <c r="G70" s="32"/>
      <c r="H70" s="32"/>
      <c r="I70" s="32"/>
      <c r="J70" s="32"/>
      <c r="K70" s="32"/>
      <c r="L70" s="21" t="s">
        <v>366</v>
      </c>
      <c r="M70" s="21" t="s">
        <v>367</v>
      </c>
      <c r="N70" s="21">
        <v>7.43</v>
      </c>
      <c r="O70" s="21" t="s">
        <v>331</v>
      </c>
      <c r="P70" s="32"/>
      <c r="Q70" s="32"/>
      <c r="R70" s="46"/>
      <c r="S70" s="46"/>
      <c r="T70" s="46"/>
      <c r="U70" s="46"/>
      <c r="V70" s="46"/>
      <c r="W70" s="32"/>
      <c r="X70" s="32"/>
      <c r="Y70" s="32"/>
      <c r="Z70" s="46"/>
    </row>
    <row r="71" spans="1:26" ht="15.75" customHeight="1" x14ac:dyDescent="0.3">
      <c r="A71" s="49"/>
      <c r="B71" s="50"/>
      <c r="C71" s="50"/>
      <c r="D71" s="50"/>
      <c r="E71" s="32"/>
      <c r="F71" s="32"/>
      <c r="G71" s="32"/>
      <c r="H71" s="32"/>
      <c r="I71" s="32"/>
      <c r="J71" s="32"/>
      <c r="K71" s="32"/>
      <c r="L71" s="21" t="s">
        <v>370</v>
      </c>
      <c r="M71" s="21" t="s">
        <v>311</v>
      </c>
      <c r="N71" s="21">
        <v>0</v>
      </c>
      <c r="O71" s="21" t="s">
        <v>300</v>
      </c>
      <c r="P71" s="32"/>
      <c r="Q71" s="32"/>
      <c r="R71" s="46"/>
      <c r="S71" s="46"/>
      <c r="T71" s="46"/>
      <c r="U71" s="46"/>
      <c r="V71" s="46"/>
      <c r="W71" s="32"/>
      <c r="X71" s="32"/>
      <c r="Y71" s="32"/>
      <c r="Z71" s="46"/>
    </row>
    <row r="72" spans="1:26" ht="15.75" customHeight="1" x14ac:dyDescent="0.3">
      <c r="A72" s="49"/>
      <c r="B72" s="48" t="s">
        <v>358</v>
      </c>
      <c r="C72" s="51">
        <f t="shared" ref="C72:D72" si="5">SUM(C68:C70)</f>
        <v>105.51623999999919</v>
      </c>
      <c r="D72" s="51">
        <f t="shared" si="5"/>
        <v>15.497759999999982</v>
      </c>
      <c r="E72" s="32"/>
      <c r="F72" s="32"/>
      <c r="G72" s="32"/>
      <c r="H72" s="32"/>
      <c r="I72" s="32"/>
      <c r="J72" s="32"/>
      <c r="K72" s="32"/>
      <c r="L72" s="21" t="s">
        <v>370</v>
      </c>
      <c r="M72" s="21" t="s">
        <v>311</v>
      </c>
      <c r="N72" s="21">
        <v>0</v>
      </c>
      <c r="O72" s="21" t="s">
        <v>302</v>
      </c>
      <c r="P72" s="32"/>
      <c r="Q72" s="32"/>
      <c r="R72" s="46"/>
      <c r="S72" s="46"/>
      <c r="T72" s="46"/>
      <c r="U72" s="46"/>
      <c r="V72" s="46"/>
      <c r="W72" s="32"/>
      <c r="X72" s="32"/>
      <c r="Y72" s="32"/>
      <c r="Z72" s="46"/>
    </row>
    <row r="73" spans="1:26" ht="15.75" customHeight="1" x14ac:dyDescent="0.3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21" t="s">
        <v>370</v>
      </c>
      <c r="M73" s="21" t="s">
        <v>311</v>
      </c>
      <c r="N73" s="21">
        <v>4.68</v>
      </c>
      <c r="O73" s="21" t="s">
        <v>342</v>
      </c>
      <c r="P73" s="32"/>
      <c r="Q73" s="32"/>
      <c r="R73" s="46"/>
      <c r="S73" s="46"/>
      <c r="T73" s="46"/>
      <c r="U73" s="46"/>
      <c r="V73" s="46"/>
      <c r="W73" s="32"/>
      <c r="X73" s="32"/>
      <c r="Y73" s="32"/>
      <c r="Z73" s="46"/>
    </row>
    <row r="74" spans="1:26" ht="15.75" customHeight="1" x14ac:dyDescent="0.3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21" t="s">
        <v>370</v>
      </c>
      <c r="M74" s="21" t="s">
        <v>311</v>
      </c>
      <c r="N74" s="21">
        <v>0</v>
      </c>
      <c r="O74" s="21" t="s">
        <v>326</v>
      </c>
      <c r="P74" s="32"/>
      <c r="Q74" s="32"/>
      <c r="R74" s="46"/>
      <c r="S74" s="46"/>
      <c r="T74" s="46"/>
      <c r="U74" s="46"/>
      <c r="V74" s="46"/>
      <c r="W74" s="32"/>
      <c r="X74" s="32"/>
      <c r="Y74" s="32"/>
      <c r="Z74" s="46"/>
    </row>
    <row r="75" spans="1:26" ht="15.75" customHeight="1" x14ac:dyDescent="0.3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21" t="s">
        <v>370</v>
      </c>
      <c r="M75" s="21" t="s">
        <v>311</v>
      </c>
      <c r="N75" s="21">
        <v>-19.818825000000018</v>
      </c>
      <c r="O75" s="24" t="s">
        <v>305</v>
      </c>
      <c r="P75" s="32"/>
      <c r="Q75" s="32"/>
      <c r="R75" s="46"/>
      <c r="S75" s="46"/>
      <c r="T75" s="46"/>
      <c r="U75" s="46"/>
      <c r="V75" s="46"/>
      <c r="W75" s="32"/>
      <c r="X75" s="32"/>
      <c r="Y75" s="32"/>
      <c r="Z75" s="46"/>
    </row>
    <row r="76" spans="1:26" ht="15.75" customHeight="1" x14ac:dyDescent="0.3">
      <c r="A76" s="112" t="s">
        <v>371</v>
      </c>
      <c r="B76" s="106"/>
      <c r="C76" s="106"/>
      <c r="D76" s="106"/>
      <c r="E76" s="32"/>
      <c r="F76" s="32"/>
      <c r="G76" s="32"/>
      <c r="H76" s="32"/>
      <c r="I76" s="32"/>
      <c r="J76" s="32"/>
      <c r="K76" s="32"/>
      <c r="L76" s="21" t="s">
        <v>370</v>
      </c>
      <c r="M76" s="21" t="s">
        <v>311</v>
      </c>
      <c r="N76" s="21">
        <v>4.5599999999999996</v>
      </c>
      <c r="O76" s="24" t="s">
        <v>307</v>
      </c>
      <c r="P76" s="32"/>
      <c r="Q76" s="32"/>
      <c r="R76" s="46"/>
      <c r="S76" s="46"/>
      <c r="T76" s="46"/>
      <c r="U76" s="46"/>
      <c r="V76" s="46"/>
      <c r="W76" s="32"/>
      <c r="X76" s="32"/>
      <c r="Y76" s="32"/>
      <c r="Z76" s="46"/>
    </row>
    <row r="77" spans="1:26" ht="15.75" customHeight="1" x14ac:dyDescent="0.3">
      <c r="A77" s="52" t="s">
        <v>1</v>
      </c>
      <c r="B77" s="52" t="s">
        <v>362</v>
      </c>
      <c r="C77" s="52" t="s">
        <v>363</v>
      </c>
      <c r="D77" s="52" t="s">
        <v>364</v>
      </c>
      <c r="E77" s="32"/>
      <c r="F77" s="32"/>
      <c r="G77" s="32"/>
      <c r="H77" s="32"/>
      <c r="I77" s="32"/>
      <c r="J77" s="32"/>
      <c r="K77" s="32"/>
      <c r="L77" s="21" t="s">
        <v>370</v>
      </c>
      <c r="M77" s="21" t="s">
        <v>311</v>
      </c>
      <c r="N77" s="21">
        <v>17.45</v>
      </c>
      <c r="O77" s="24" t="s">
        <v>310</v>
      </c>
      <c r="P77" s="32"/>
      <c r="Q77" s="32"/>
      <c r="R77" s="46"/>
      <c r="S77" s="46"/>
      <c r="T77" s="46"/>
      <c r="U77" s="46"/>
      <c r="V77" s="46"/>
      <c r="W77" s="32"/>
      <c r="X77" s="32"/>
      <c r="Y77" s="32"/>
      <c r="Z77" s="46"/>
    </row>
    <row r="78" spans="1:26" ht="15.75" customHeight="1" x14ac:dyDescent="0.3">
      <c r="A78" s="53" t="s">
        <v>152</v>
      </c>
      <c r="B78" s="54">
        <v>0</v>
      </c>
      <c r="C78" s="54">
        <f t="shared" ref="C78:C79" si="6">B78*1</f>
        <v>0</v>
      </c>
      <c r="D78" s="54">
        <v>0</v>
      </c>
      <c r="E78" s="32"/>
      <c r="F78" s="32"/>
      <c r="G78" s="32"/>
      <c r="H78" s="32"/>
      <c r="I78" s="32"/>
      <c r="J78" s="32"/>
      <c r="K78" s="32"/>
      <c r="L78" s="21" t="s">
        <v>370</v>
      </c>
      <c r="M78" s="21" t="s">
        <v>311</v>
      </c>
      <c r="N78" s="21">
        <v>134.81</v>
      </c>
      <c r="O78" s="24" t="s">
        <v>313</v>
      </c>
      <c r="P78" s="32"/>
      <c r="Q78" s="32"/>
      <c r="R78" s="46"/>
      <c r="S78" s="46"/>
      <c r="T78" s="46"/>
      <c r="U78" s="46"/>
      <c r="V78" s="46"/>
      <c r="W78" s="32"/>
      <c r="X78" s="32"/>
      <c r="Y78" s="32"/>
      <c r="Z78" s="46"/>
    </row>
    <row r="79" spans="1:26" ht="15.75" customHeight="1" x14ac:dyDescent="0.3">
      <c r="A79" s="53" t="s">
        <v>43</v>
      </c>
      <c r="B79" s="54">
        <v>2860.5315705200001</v>
      </c>
      <c r="C79" s="54">
        <f t="shared" si="6"/>
        <v>2860.5315705200001</v>
      </c>
      <c r="D79" s="54">
        <v>0</v>
      </c>
      <c r="E79" s="32"/>
      <c r="F79" s="32"/>
      <c r="G79" s="32"/>
      <c r="H79" s="32"/>
      <c r="I79" s="32"/>
      <c r="J79" s="32"/>
      <c r="K79" s="32"/>
      <c r="L79" s="21" t="s">
        <v>370</v>
      </c>
      <c r="M79" s="21" t="s">
        <v>311</v>
      </c>
      <c r="N79" s="21">
        <v>-59</v>
      </c>
      <c r="O79" s="24" t="s">
        <v>315</v>
      </c>
      <c r="P79" s="32"/>
      <c r="Q79" s="32"/>
      <c r="R79" s="46"/>
      <c r="S79" s="46"/>
      <c r="T79" s="46"/>
      <c r="U79" s="46"/>
      <c r="V79" s="46"/>
      <c r="W79" s="32"/>
      <c r="X79" s="32"/>
      <c r="Y79" s="32"/>
      <c r="Z79" s="46"/>
    </row>
    <row r="80" spans="1:26" ht="15.75" customHeight="1" x14ac:dyDescent="0.3">
      <c r="A80" s="53"/>
      <c r="B80" s="54"/>
      <c r="C80" s="54"/>
      <c r="D80" s="54"/>
      <c r="E80" s="32"/>
      <c r="F80" s="32"/>
      <c r="G80" s="32"/>
      <c r="H80" s="32"/>
      <c r="I80" s="32"/>
      <c r="J80" s="32"/>
      <c r="K80" s="32"/>
      <c r="L80" s="21" t="s">
        <v>370</v>
      </c>
      <c r="M80" s="21" t="s">
        <v>311</v>
      </c>
      <c r="N80" s="21">
        <v>-4.0199999999999996</v>
      </c>
      <c r="O80" s="21" t="s">
        <v>330</v>
      </c>
      <c r="P80" s="32"/>
      <c r="Q80" s="32"/>
      <c r="R80" s="46"/>
      <c r="S80" s="46"/>
      <c r="T80" s="46"/>
      <c r="U80" s="46"/>
      <c r="V80" s="46"/>
      <c r="W80" s="32"/>
      <c r="X80" s="32"/>
      <c r="Y80" s="32"/>
      <c r="Z80" s="46"/>
    </row>
    <row r="81" spans="1:26" ht="15.75" customHeight="1" x14ac:dyDescent="0.3">
      <c r="A81" s="53"/>
      <c r="B81" s="52" t="s">
        <v>358</v>
      </c>
      <c r="C81" s="55">
        <f t="shared" ref="C81:D81" si="7">SUM(C78:C79)</f>
        <v>2860.5315705200001</v>
      </c>
      <c r="D81" s="55">
        <f t="shared" si="7"/>
        <v>0</v>
      </c>
      <c r="E81" s="32"/>
      <c r="F81" s="32"/>
      <c r="G81" s="32"/>
      <c r="H81" s="32"/>
      <c r="I81" s="32"/>
      <c r="J81" s="32"/>
      <c r="K81" s="32"/>
      <c r="L81" s="21" t="s">
        <v>370</v>
      </c>
      <c r="M81" s="21" t="s">
        <v>311</v>
      </c>
      <c r="N81" s="21">
        <v>4.1399999999999997</v>
      </c>
      <c r="O81" s="21" t="s">
        <v>331</v>
      </c>
      <c r="P81" s="32"/>
      <c r="Q81" s="32"/>
      <c r="R81" s="46"/>
      <c r="S81" s="46"/>
      <c r="T81" s="46"/>
      <c r="U81" s="46"/>
      <c r="V81" s="46"/>
      <c r="W81" s="32"/>
      <c r="X81" s="32"/>
      <c r="Y81" s="32"/>
      <c r="Z81" s="46"/>
    </row>
    <row r="82" spans="1:26" ht="15.75" customHeight="1" x14ac:dyDescent="0.3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21" t="s">
        <v>372</v>
      </c>
      <c r="M82" s="21" t="s">
        <v>314</v>
      </c>
      <c r="N82" s="21">
        <v>0</v>
      </c>
      <c r="O82" s="21" t="s">
        <v>300</v>
      </c>
      <c r="P82" s="32"/>
      <c r="Q82" s="32"/>
      <c r="R82" s="46"/>
      <c r="S82" s="46"/>
      <c r="T82" s="46"/>
      <c r="U82" s="46"/>
      <c r="V82" s="46"/>
      <c r="W82" s="32"/>
      <c r="X82" s="32"/>
      <c r="Y82" s="32"/>
      <c r="Z82" s="46"/>
    </row>
    <row r="83" spans="1:26" ht="15.75" customHeight="1" x14ac:dyDescent="0.3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21" t="s">
        <v>372</v>
      </c>
      <c r="M83" s="21" t="s">
        <v>314</v>
      </c>
      <c r="N83" s="21">
        <v>0</v>
      </c>
      <c r="O83" s="21" t="s">
        <v>302</v>
      </c>
      <c r="P83" s="32"/>
      <c r="Q83" s="32"/>
      <c r="R83" s="46"/>
      <c r="S83" s="46"/>
      <c r="T83" s="46"/>
      <c r="U83" s="46"/>
      <c r="V83" s="46"/>
      <c r="W83" s="32"/>
      <c r="X83" s="32"/>
      <c r="Y83" s="32"/>
      <c r="Z83" s="46"/>
    </row>
    <row r="84" spans="1:26" ht="15.75" customHeight="1" x14ac:dyDescent="0.3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21" t="s">
        <v>372</v>
      </c>
      <c r="M84" s="21" t="s">
        <v>314</v>
      </c>
      <c r="N84" s="21">
        <v>0</v>
      </c>
      <c r="O84" s="21" t="s">
        <v>342</v>
      </c>
      <c r="P84" s="32"/>
      <c r="Q84" s="32"/>
      <c r="R84" s="46"/>
      <c r="S84" s="46"/>
      <c r="T84" s="46"/>
      <c r="U84" s="46"/>
      <c r="V84" s="46"/>
      <c r="W84" s="32"/>
      <c r="X84" s="32"/>
      <c r="Y84" s="32"/>
      <c r="Z84" s="46"/>
    </row>
    <row r="85" spans="1:26" ht="15.75" customHeight="1" x14ac:dyDescent="0.3">
      <c r="A85" s="113" t="s">
        <v>373</v>
      </c>
      <c r="B85" s="106"/>
      <c r="C85" s="106"/>
      <c r="D85" s="32"/>
      <c r="E85" s="32"/>
      <c r="F85" s="32"/>
      <c r="G85" s="32"/>
      <c r="H85" s="32"/>
      <c r="I85" s="32"/>
      <c r="J85" s="32"/>
      <c r="K85" s="32"/>
      <c r="L85" s="21" t="s">
        <v>372</v>
      </c>
      <c r="M85" s="21" t="s">
        <v>314</v>
      </c>
      <c r="N85" s="21">
        <v>-19</v>
      </c>
      <c r="O85" s="21" t="s">
        <v>326</v>
      </c>
      <c r="P85" s="32"/>
      <c r="Q85" s="32"/>
      <c r="R85" s="46"/>
      <c r="S85" s="46"/>
      <c r="T85" s="46"/>
      <c r="U85" s="46"/>
      <c r="V85" s="46"/>
      <c r="W85" s="32"/>
      <c r="X85" s="32"/>
      <c r="Y85" s="32"/>
      <c r="Z85" s="46"/>
    </row>
    <row r="86" spans="1:26" ht="15.75" customHeight="1" x14ac:dyDescent="0.3">
      <c r="A86" s="56" t="s">
        <v>291</v>
      </c>
      <c r="B86" s="56" t="s">
        <v>374</v>
      </c>
      <c r="C86" s="56" t="s">
        <v>375</v>
      </c>
      <c r="D86" s="32"/>
      <c r="E86" s="32"/>
      <c r="F86" s="32"/>
      <c r="G86" s="32"/>
      <c r="H86" s="32"/>
      <c r="I86" s="32"/>
      <c r="J86" s="32"/>
      <c r="K86" s="32"/>
      <c r="L86" s="21" t="s">
        <v>372</v>
      </c>
      <c r="M86" s="21" t="s">
        <v>314</v>
      </c>
      <c r="N86" s="21">
        <v>90.2</v>
      </c>
      <c r="O86" s="24" t="s">
        <v>305</v>
      </c>
      <c r="P86" s="32"/>
      <c r="Q86" s="32"/>
      <c r="R86" s="46"/>
      <c r="S86" s="46"/>
      <c r="T86" s="46"/>
      <c r="U86" s="46"/>
      <c r="V86" s="46"/>
      <c r="W86" s="32"/>
      <c r="X86" s="32"/>
      <c r="Y86" s="32"/>
      <c r="Z86" s="46"/>
    </row>
    <row r="87" spans="1:26" ht="15.75" customHeight="1" x14ac:dyDescent="0.3">
      <c r="A87" s="57" t="s">
        <v>296</v>
      </c>
      <c r="B87" s="57">
        <v>0</v>
      </c>
      <c r="C87" s="114">
        <f>SUM(B87:B90)</f>
        <v>35529.137100000007</v>
      </c>
      <c r="D87" s="32"/>
      <c r="E87" s="32"/>
      <c r="F87" s="32"/>
      <c r="G87" s="32"/>
      <c r="H87" s="32"/>
      <c r="I87" s="32"/>
      <c r="J87" s="32"/>
      <c r="K87" s="32"/>
      <c r="L87" s="21" t="s">
        <v>372</v>
      </c>
      <c r="M87" s="21" t="s">
        <v>314</v>
      </c>
      <c r="N87" s="21">
        <v>-42.44</v>
      </c>
      <c r="O87" s="24" t="s">
        <v>307</v>
      </c>
      <c r="P87" s="32"/>
      <c r="Q87" s="32"/>
      <c r="R87" s="46"/>
      <c r="S87" s="46"/>
      <c r="T87" s="46"/>
      <c r="U87" s="46"/>
      <c r="V87" s="46"/>
      <c r="W87" s="32"/>
      <c r="X87" s="32"/>
      <c r="Y87" s="32"/>
      <c r="Z87" s="46"/>
    </row>
    <row r="88" spans="1:26" ht="15.75" customHeight="1" x14ac:dyDescent="0.3">
      <c r="A88" s="57" t="s">
        <v>317</v>
      </c>
      <c r="B88" s="57">
        <v>-1038.03</v>
      </c>
      <c r="C88" s="106"/>
      <c r="D88" s="32"/>
      <c r="E88" s="32"/>
      <c r="F88" s="32"/>
      <c r="G88" s="32"/>
      <c r="H88" s="32"/>
      <c r="I88" s="32"/>
      <c r="J88" s="32"/>
      <c r="K88" s="32"/>
      <c r="L88" s="21" t="s">
        <v>372</v>
      </c>
      <c r="M88" s="21" t="s">
        <v>314</v>
      </c>
      <c r="N88" s="21">
        <v>-28.55</v>
      </c>
      <c r="O88" s="24" t="s">
        <v>310</v>
      </c>
      <c r="P88" s="32"/>
      <c r="Q88" s="32"/>
      <c r="R88" s="46"/>
      <c r="S88" s="46"/>
      <c r="T88" s="46"/>
      <c r="U88" s="46"/>
      <c r="V88" s="46"/>
      <c r="W88" s="32"/>
      <c r="X88" s="32"/>
      <c r="Y88" s="32"/>
      <c r="Z88" s="46"/>
    </row>
    <row r="89" spans="1:26" ht="15.75" customHeight="1" x14ac:dyDescent="0.3">
      <c r="A89" s="57" t="s">
        <v>325</v>
      </c>
      <c r="B89" s="57">
        <v>2742.7837999999988</v>
      </c>
      <c r="C89" s="106"/>
      <c r="D89" s="32"/>
      <c r="E89" s="32"/>
      <c r="F89" s="32"/>
      <c r="G89" s="32"/>
      <c r="H89" s="32"/>
      <c r="I89" s="32"/>
      <c r="J89" s="32"/>
      <c r="K89" s="32"/>
      <c r="L89" s="21" t="s">
        <v>372</v>
      </c>
      <c r="M89" s="21" t="s">
        <v>314</v>
      </c>
      <c r="N89" s="21">
        <v>-433.52</v>
      </c>
      <c r="O89" s="24" t="s">
        <v>313</v>
      </c>
      <c r="P89" s="32"/>
      <c r="Q89" s="32"/>
      <c r="R89" s="46"/>
      <c r="S89" s="46"/>
      <c r="T89" s="46"/>
      <c r="U89" s="46"/>
      <c r="V89" s="46"/>
      <c r="W89" s="32"/>
      <c r="X89" s="32"/>
      <c r="Y89" s="32"/>
      <c r="Z89" s="46"/>
    </row>
    <row r="90" spans="1:26" ht="15.75" customHeight="1" x14ac:dyDescent="0.3">
      <c r="A90" s="57" t="s">
        <v>332</v>
      </c>
      <c r="B90" s="57">
        <v>33824.383300000009</v>
      </c>
      <c r="C90" s="106"/>
      <c r="D90" s="32"/>
      <c r="E90" s="32"/>
      <c r="F90" s="32"/>
      <c r="G90" s="32"/>
      <c r="H90" s="32"/>
      <c r="I90" s="32"/>
      <c r="J90" s="32"/>
      <c r="K90" s="32"/>
      <c r="L90" s="21" t="s">
        <v>372</v>
      </c>
      <c r="M90" s="21" t="s">
        <v>314</v>
      </c>
      <c r="N90" s="21">
        <v>193.17</v>
      </c>
      <c r="O90" s="24" t="s">
        <v>315</v>
      </c>
      <c r="P90" s="32"/>
      <c r="Q90" s="32"/>
      <c r="R90" s="46"/>
      <c r="S90" s="46"/>
      <c r="T90" s="46"/>
      <c r="U90" s="46"/>
      <c r="V90" s="46"/>
      <c r="W90" s="32"/>
      <c r="X90" s="32"/>
      <c r="Y90" s="32"/>
      <c r="Z90" s="46"/>
    </row>
    <row r="91" spans="1:26" ht="15.75" customHeight="1" x14ac:dyDescent="0.3">
      <c r="A91" s="57" t="s">
        <v>340</v>
      </c>
      <c r="B91" s="57">
        <v>0</v>
      </c>
      <c r="C91" s="114">
        <f>SUM(B91:B95)</f>
        <v>0</v>
      </c>
      <c r="D91" s="32"/>
      <c r="E91" s="32"/>
      <c r="F91" s="32"/>
      <c r="G91" s="32"/>
      <c r="H91" s="32"/>
      <c r="I91" s="32"/>
      <c r="J91" s="32"/>
      <c r="K91" s="32"/>
      <c r="L91" s="21" t="s">
        <v>372</v>
      </c>
      <c r="M91" s="21" t="s">
        <v>376</v>
      </c>
      <c r="N91" s="21">
        <v>-3.88</v>
      </c>
      <c r="O91" s="21" t="s">
        <v>330</v>
      </c>
      <c r="P91" s="32"/>
      <c r="Q91" s="32"/>
      <c r="R91" s="46"/>
      <c r="S91" s="46"/>
      <c r="T91" s="46"/>
      <c r="U91" s="46"/>
      <c r="V91" s="46"/>
      <c r="W91" s="32"/>
      <c r="X91" s="32"/>
      <c r="Y91" s="32"/>
      <c r="Z91" s="46"/>
    </row>
    <row r="92" spans="1:26" ht="15.75" customHeight="1" x14ac:dyDescent="0.3">
      <c r="A92" s="57" t="s">
        <v>359</v>
      </c>
      <c r="B92" s="57">
        <v>0</v>
      </c>
      <c r="C92" s="106"/>
      <c r="D92" s="32"/>
      <c r="E92" s="32"/>
      <c r="F92" s="32"/>
      <c r="G92" s="32"/>
      <c r="H92" s="32"/>
      <c r="I92" s="32"/>
      <c r="J92" s="32"/>
      <c r="K92" s="32"/>
      <c r="L92" s="21" t="s">
        <v>372</v>
      </c>
      <c r="M92" s="21" t="s">
        <v>376</v>
      </c>
      <c r="N92" s="21">
        <v>4.4800000000000004</v>
      </c>
      <c r="O92" s="21" t="s">
        <v>331</v>
      </c>
      <c r="P92" s="32"/>
      <c r="Q92" s="32"/>
      <c r="R92" s="46"/>
      <c r="S92" s="46"/>
      <c r="T92" s="46"/>
      <c r="U92" s="46"/>
      <c r="V92" s="46"/>
      <c r="W92" s="32"/>
      <c r="X92" s="32"/>
      <c r="Y92" s="32"/>
      <c r="Z92" s="46"/>
    </row>
    <row r="93" spans="1:26" ht="15.75" customHeight="1" x14ac:dyDescent="0.3">
      <c r="A93" s="57" t="s">
        <v>366</v>
      </c>
      <c r="B93" s="57">
        <v>0</v>
      </c>
      <c r="C93" s="106"/>
      <c r="D93" s="32"/>
      <c r="E93" s="32"/>
      <c r="F93" s="32"/>
      <c r="G93" s="32"/>
      <c r="H93" s="32"/>
      <c r="I93" s="32"/>
      <c r="J93" s="32"/>
      <c r="K93" s="32"/>
      <c r="L93" s="21" t="s">
        <v>377</v>
      </c>
      <c r="M93" s="21" t="s">
        <v>316</v>
      </c>
      <c r="N93" s="21">
        <v>-36.880000000000003</v>
      </c>
      <c r="O93" s="21" t="s">
        <v>300</v>
      </c>
      <c r="P93" s="32"/>
      <c r="Q93" s="32"/>
      <c r="R93" s="46"/>
      <c r="S93" s="46"/>
      <c r="T93" s="46"/>
      <c r="U93" s="46"/>
      <c r="V93" s="46"/>
      <c r="W93" s="32"/>
      <c r="X93" s="32"/>
      <c r="Y93" s="32"/>
      <c r="Z93" s="46"/>
    </row>
    <row r="94" spans="1:26" ht="15.75" customHeight="1" x14ac:dyDescent="0.3">
      <c r="A94" s="57" t="s">
        <v>370</v>
      </c>
      <c r="B94" s="57">
        <v>0</v>
      </c>
      <c r="C94" s="106"/>
      <c r="D94" s="32"/>
      <c r="E94" s="32"/>
      <c r="F94" s="32"/>
      <c r="G94" s="32"/>
      <c r="H94" s="32"/>
      <c r="I94" s="32"/>
      <c r="J94" s="32"/>
      <c r="K94" s="32"/>
      <c r="L94" s="21" t="s">
        <v>377</v>
      </c>
      <c r="M94" s="21" t="s">
        <v>316</v>
      </c>
      <c r="N94" s="21">
        <v>57.15</v>
      </c>
      <c r="O94" s="21" t="s">
        <v>302</v>
      </c>
      <c r="P94" s="32"/>
      <c r="Q94" s="32"/>
      <c r="R94" s="46"/>
      <c r="S94" s="46"/>
      <c r="T94" s="46"/>
      <c r="U94" s="46"/>
      <c r="V94" s="46"/>
      <c r="W94" s="32"/>
      <c r="X94" s="32"/>
      <c r="Y94" s="32"/>
      <c r="Z94" s="46"/>
    </row>
    <row r="95" spans="1:26" ht="15.75" customHeight="1" x14ac:dyDescent="0.3">
      <c r="A95" s="57" t="s">
        <v>372</v>
      </c>
      <c r="B95" s="57">
        <v>0</v>
      </c>
      <c r="C95" s="106"/>
      <c r="D95" s="32"/>
      <c r="E95" s="32"/>
      <c r="F95" s="32"/>
      <c r="G95" s="32"/>
      <c r="H95" s="32"/>
      <c r="I95" s="32"/>
      <c r="J95" s="32"/>
      <c r="K95" s="32"/>
      <c r="L95" s="21" t="s">
        <v>377</v>
      </c>
      <c r="M95" s="21" t="s">
        <v>316</v>
      </c>
      <c r="N95" s="21">
        <v>-7.93</v>
      </c>
      <c r="O95" s="21" t="s">
        <v>326</v>
      </c>
      <c r="P95" s="32"/>
      <c r="Q95" s="32"/>
      <c r="R95" s="46"/>
      <c r="S95" s="46"/>
      <c r="T95" s="46"/>
      <c r="U95" s="46"/>
      <c r="V95" s="46"/>
      <c r="W95" s="32"/>
      <c r="X95" s="32"/>
      <c r="Y95" s="32"/>
      <c r="Z95" s="46"/>
    </row>
    <row r="96" spans="1:26" ht="15.75" customHeight="1" x14ac:dyDescent="0.3">
      <c r="A96" s="57" t="s">
        <v>377</v>
      </c>
      <c r="B96" s="57">
        <v>0</v>
      </c>
      <c r="C96" s="114">
        <f>SUM(B96:B99)</f>
        <v>0</v>
      </c>
      <c r="D96" s="32"/>
      <c r="E96" s="32"/>
      <c r="F96" s="32"/>
      <c r="G96" s="32"/>
      <c r="H96" s="32"/>
      <c r="I96" s="32"/>
      <c r="J96" s="32"/>
      <c r="K96" s="32"/>
      <c r="L96" s="21" t="s">
        <v>377</v>
      </c>
      <c r="M96" s="21" t="s">
        <v>378</v>
      </c>
      <c r="N96" s="21">
        <v>-169.57591500000001</v>
      </c>
      <c r="O96" s="24" t="s">
        <v>305</v>
      </c>
      <c r="P96" s="32"/>
      <c r="Q96" s="32"/>
      <c r="R96" s="46"/>
      <c r="S96" s="46"/>
      <c r="T96" s="46"/>
      <c r="U96" s="46"/>
      <c r="V96" s="46"/>
      <c r="W96" s="32"/>
      <c r="X96" s="32"/>
      <c r="Y96" s="32"/>
      <c r="Z96" s="46"/>
    </row>
    <row r="97" spans="1:26" ht="15.75" customHeight="1" x14ac:dyDescent="0.3">
      <c r="A97" s="57" t="s">
        <v>379</v>
      </c>
      <c r="B97" s="57">
        <v>0</v>
      </c>
      <c r="C97" s="106"/>
      <c r="D97" s="32"/>
      <c r="E97" s="32"/>
      <c r="F97" s="32"/>
      <c r="G97" s="32"/>
      <c r="H97" s="32"/>
      <c r="I97" s="32"/>
      <c r="J97" s="32"/>
      <c r="K97" s="32"/>
      <c r="L97" s="21" t="s">
        <v>377</v>
      </c>
      <c r="M97" s="21" t="s">
        <v>378</v>
      </c>
      <c r="N97" s="21">
        <v>60.03</v>
      </c>
      <c r="O97" s="24" t="s">
        <v>307</v>
      </c>
      <c r="P97" s="32"/>
      <c r="Q97" s="32"/>
      <c r="R97" s="46"/>
      <c r="S97" s="46"/>
      <c r="T97" s="46"/>
      <c r="U97" s="46"/>
      <c r="V97" s="46"/>
      <c r="W97" s="32"/>
      <c r="X97" s="32"/>
      <c r="Y97" s="32"/>
      <c r="Z97" s="46"/>
    </row>
    <row r="98" spans="1:26" ht="15.75" customHeight="1" x14ac:dyDescent="0.3">
      <c r="A98" s="57" t="s">
        <v>380</v>
      </c>
      <c r="B98" s="57">
        <v>0</v>
      </c>
      <c r="C98" s="106"/>
      <c r="D98" s="32"/>
      <c r="E98" s="32"/>
      <c r="F98" s="32"/>
      <c r="G98" s="32"/>
      <c r="H98" s="32"/>
      <c r="I98" s="32"/>
      <c r="J98" s="32"/>
      <c r="K98" s="32"/>
      <c r="L98" s="21" t="s">
        <v>377</v>
      </c>
      <c r="M98" s="21" t="s">
        <v>378</v>
      </c>
      <c r="N98" s="21">
        <v>112.46</v>
      </c>
      <c r="O98" s="24" t="s">
        <v>310</v>
      </c>
      <c r="P98" s="32"/>
      <c r="Q98" s="32"/>
      <c r="R98" s="46"/>
      <c r="S98" s="46"/>
      <c r="T98" s="46"/>
      <c r="U98" s="46"/>
      <c r="V98" s="46"/>
      <c r="W98" s="32"/>
      <c r="X98" s="32"/>
      <c r="Y98" s="32"/>
      <c r="Z98" s="46"/>
    </row>
    <row r="99" spans="1:26" ht="15.75" customHeight="1" x14ac:dyDescent="0.3">
      <c r="A99" s="57" t="s">
        <v>381</v>
      </c>
      <c r="B99" s="57">
        <v>0</v>
      </c>
      <c r="C99" s="106"/>
      <c r="D99" s="32"/>
      <c r="E99" s="32"/>
      <c r="F99" s="32"/>
      <c r="G99" s="32"/>
      <c r="H99" s="32"/>
      <c r="I99" s="32"/>
      <c r="J99" s="32"/>
      <c r="K99" s="32"/>
      <c r="L99" s="21" t="s">
        <v>377</v>
      </c>
      <c r="M99" s="21" t="s">
        <v>316</v>
      </c>
      <c r="N99" s="21">
        <v>-135.49</v>
      </c>
      <c r="O99" s="24" t="s">
        <v>313</v>
      </c>
      <c r="P99" s="32"/>
      <c r="Q99" s="32"/>
      <c r="R99" s="46"/>
      <c r="S99" s="46"/>
      <c r="T99" s="46"/>
      <c r="U99" s="46"/>
      <c r="V99" s="46"/>
      <c r="W99" s="32"/>
      <c r="X99" s="32"/>
      <c r="Y99" s="32"/>
      <c r="Z99" s="46"/>
    </row>
    <row r="100" spans="1:26" ht="15.75" customHeight="1" x14ac:dyDescent="0.3">
      <c r="A100" s="57" t="s">
        <v>382</v>
      </c>
      <c r="B100" s="57">
        <v>0</v>
      </c>
      <c r="C100" s="114">
        <f>SUM(B100:B103)</f>
        <v>0</v>
      </c>
      <c r="D100" s="2"/>
      <c r="E100" s="2"/>
      <c r="F100" s="2"/>
      <c r="G100" s="2"/>
      <c r="H100" s="2"/>
      <c r="I100" s="2"/>
      <c r="J100" s="32"/>
      <c r="K100" s="32"/>
      <c r="L100" s="21" t="s">
        <v>377</v>
      </c>
      <c r="M100" s="21" t="s">
        <v>316</v>
      </c>
      <c r="N100" s="21">
        <v>66.84</v>
      </c>
      <c r="O100" s="24" t="s">
        <v>315</v>
      </c>
      <c r="P100" s="32"/>
      <c r="Q100" s="32"/>
      <c r="R100" s="46"/>
      <c r="S100" s="46"/>
      <c r="T100" s="46"/>
      <c r="U100" s="46"/>
      <c r="V100" s="46"/>
      <c r="W100" s="32"/>
      <c r="X100" s="32"/>
      <c r="Y100" s="32"/>
      <c r="Z100" s="46"/>
    </row>
    <row r="101" spans="1:26" ht="15.75" customHeight="1" x14ac:dyDescent="0.3">
      <c r="A101" s="57" t="s">
        <v>383</v>
      </c>
      <c r="B101" s="57">
        <v>0</v>
      </c>
      <c r="C101" s="106"/>
      <c r="D101" s="32"/>
      <c r="E101" s="32"/>
      <c r="F101" s="32"/>
      <c r="G101" s="32"/>
      <c r="H101" s="32"/>
      <c r="I101" s="32"/>
      <c r="J101" s="32"/>
      <c r="K101" s="32"/>
      <c r="L101" s="21" t="s">
        <v>377</v>
      </c>
      <c r="M101" s="21" t="s">
        <v>378</v>
      </c>
      <c r="N101" s="21">
        <v>39.9315</v>
      </c>
      <c r="O101" s="21" t="s">
        <v>330</v>
      </c>
      <c r="P101" s="32"/>
      <c r="Q101" s="32"/>
      <c r="R101" s="46"/>
      <c r="S101" s="46"/>
      <c r="T101" s="46"/>
      <c r="U101" s="46"/>
      <c r="V101" s="46"/>
      <c r="W101" s="32"/>
      <c r="X101" s="32"/>
      <c r="Y101" s="32"/>
      <c r="Z101" s="46"/>
    </row>
    <row r="102" spans="1:26" ht="15.75" customHeight="1" x14ac:dyDescent="0.3">
      <c r="A102" s="57" t="s">
        <v>384</v>
      </c>
      <c r="B102" s="57">
        <v>0</v>
      </c>
      <c r="C102" s="106"/>
      <c r="D102" s="32"/>
      <c r="E102" s="32"/>
      <c r="F102" s="32"/>
      <c r="G102" s="32"/>
      <c r="H102" s="32"/>
      <c r="I102" s="32"/>
      <c r="J102" s="32"/>
      <c r="K102" s="32"/>
      <c r="L102" s="21" t="s">
        <v>377</v>
      </c>
      <c r="M102" s="21" t="s">
        <v>378</v>
      </c>
      <c r="N102" s="21">
        <v>0</v>
      </c>
      <c r="O102" s="21" t="s">
        <v>331</v>
      </c>
      <c r="P102" s="32"/>
      <c r="Q102" s="32"/>
      <c r="R102" s="46"/>
      <c r="S102" s="46"/>
      <c r="T102" s="46"/>
      <c r="U102" s="46"/>
      <c r="V102" s="46"/>
      <c r="W102" s="32"/>
      <c r="X102" s="32"/>
      <c r="Y102" s="32"/>
      <c r="Z102" s="46"/>
    </row>
    <row r="103" spans="1:26" ht="15.75" customHeight="1" x14ac:dyDescent="0.3">
      <c r="A103" s="57" t="s">
        <v>385</v>
      </c>
      <c r="B103" s="58"/>
      <c r="C103" s="106"/>
      <c r="D103" s="32"/>
      <c r="E103" s="32"/>
      <c r="F103" s="32"/>
      <c r="G103" s="32"/>
      <c r="H103" s="32"/>
      <c r="I103" s="32"/>
      <c r="J103" s="32"/>
      <c r="K103" s="32"/>
      <c r="L103" s="21" t="s">
        <v>379</v>
      </c>
      <c r="M103" s="21" t="s">
        <v>318</v>
      </c>
      <c r="N103" s="21">
        <v>72.12</v>
      </c>
      <c r="O103" s="21" t="s">
        <v>300</v>
      </c>
      <c r="P103" s="32"/>
      <c r="Q103" s="32"/>
      <c r="R103" s="46"/>
      <c r="S103" s="46"/>
      <c r="T103" s="46"/>
      <c r="U103" s="46"/>
      <c r="V103" s="46"/>
      <c r="W103" s="32"/>
      <c r="X103" s="32"/>
      <c r="Y103" s="32"/>
      <c r="Z103" s="46"/>
    </row>
    <row r="104" spans="1:26" ht="15.75" customHeight="1" x14ac:dyDescent="0.3">
      <c r="A104" s="57" t="s">
        <v>386</v>
      </c>
      <c r="B104" s="58"/>
      <c r="C104" s="114">
        <f>SUM(B104:B108)</f>
        <v>0</v>
      </c>
      <c r="D104" s="32"/>
      <c r="E104" s="32"/>
      <c r="F104" s="32"/>
      <c r="G104" s="32"/>
      <c r="H104" s="32"/>
      <c r="I104" s="32"/>
      <c r="J104" s="32"/>
      <c r="K104" s="32"/>
      <c r="L104" s="21" t="s">
        <v>379</v>
      </c>
      <c r="M104" s="21" t="s">
        <v>318</v>
      </c>
      <c r="N104" s="21">
        <v>-105.09</v>
      </c>
      <c r="O104" s="21" t="s">
        <v>302</v>
      </c>
      <c r="P104" s="32"/>
      <c r="Q104" s="32"/>
      <c r="R104" s="46"/>
      <c r="S104" s="46"/>
      <c r="T104" s="46"/>
      <c r="U104" s="46"/>
      <c r="V104" s="46"/>
      <c r="W104" s="32"/>
      <c r="X104" s="32"/>
      <c r="Y104" s="32"/>
      <c r="Z104" s="46"/>
    </row>
    <row r="105" spans="1:26" ht="15.75" customHeight="1" x14ac:dyDescent="0.3">
      <c r="A105" s="57" t="s">
        <v>387</v>
      </c>
      <c r="B105" s="58"/>
      <c r="C105" s="106"/>
      <c r="D105" s="32"/>
      <c r="E105" s="32"/>
      <c r="F105" s="32"/>
      <c r="G105" s="32"/>
      <c r="H105" s="32"/>
      <c r="I105" s="32"/>
      <c r="J105" s="32"/>
      <c r="K105" s="32"/>
      <c r="L105" s="21" t="s">
        <v>379</v>
      </c>
      <c r="M105" s="21" t="s">
        <v>318</v>
      </c>
      <c r="N105" s="21">
        <v>0</v>
      </c>
      <c r="O105" s="21" t="s">
        <v>326</v>
      </c>
      <c r="P105" s="32"/>
      <c r="Q105" s="32"/>
      <c r="R105" s="46"/>
      <c r="S105" s="46"/>
      <c r="T105" s="46"/>
      <c r="U105" s="46"/>
      <c r="V105" s="46"/>
      <c r="W105" s="32"/>
      <c r="X105" s="32"/>
      <c r="Y105" s="32"/>
      <c r="Z105" s="46"/>
    </row>
    <row r="106" spans="1:26" ht="15.75" customHeight="1" x14ac:dyDescent="0.3">
      <c r="A106" s="57" t="s">
        <v>388</v>
      </c>
      <c r="B106" s="58"/>
      <c r="C106" s="106"/>
      <c r="D106" s="32"/>
      <c r="E106" s="32"/>
      <c r="F106" s="32"/>
      <c r="G106" s="32"/>
      <c r="H106" s="32"/>
      <c r="I106" s="32"/>
      <c r="J106" s="32"/>
      <c r="K106" s="32"/>
      <c r="L106" s="21" t="s">
        <v>379</v>
      </c>
      <c r="M106" s="21" t="s">
        <v>389</v>
      </c>
      <c r="N106" s="21">
        <v>-70.42</v>
      </c>
      <c r="O106" s="24" t="s">
        <v>305</v>
      </c>
      <c r="P106" s="32"/>
      <c r="Q106" s="32"/>
      <c r="R106" s="46"/>
      <c r="S106" s="46"/>
      <c r="T106" s="46"/>
      <c r="U106" s="46"/>
      <c r="V106" s="46"/>
      <c r="W106" s="32"/>
      <c r="X106" s="32"/>
      <c r="Y106" s="32"/>
      <c r="Z106" s="46"/>
    </row>
    <row r="107" spans="1:26" ht="15.75" customHeight="1" x14ac:dyDescent="0.3">
      <c r="A107" s="57" t="s">
        <v>390</v>
      </c>
      <c r="B107" s="58"/>
      <c r="C107" s="106"/>
      <c r="D107" s="32"/>
      <c r="E107" s="32"/>
      <c r="F107" s="32"/>
      <c r="G107" s="32"/>
      <c r="H107" s="32"/>
      <c r="I107" s="32"/>
      <c r="J107" s="32"/>
      <c r="K107" s="32"/>
      <c r="L107" s="21" t="s">
        <v>379</v>
      </c>
      <c r="M107" s="21" t="s">
        <v>389</v>
      </c>
      <c r="N107" s="21">
        <v>-34.78</v>
      </c>
      <c r="O107" s="24" t="s">
        <v>307</v>
      </c>
      <c r="P107" s="32"/>
      <c r="Q107" s="32"/>
      <c r="R107" s="46"/>
      <c r="S107" s="46"/>
      <c r="T107" s="46"/>
      <c r="U107" s="46"/>
      <c r="V107" s="46"/>
      <c r="W107" s="32"/>
      <c r="X107" s="32"/>
      <c r="Y107" s="32"/>
      <c r="Z107" s="46"/>
    </row>
    <row r="108" spans="1:26" ht="15.75" customHeight="1" x14ac:dyDescent="0.3">
      <c r="A108" s="57" t="s">
        <v>391</v>
      </c>
      <c r="B108" s="58"/>
      <c r="C108" s="106"/>
      <c r="D108" s="32"/>
      <c r="E108" s="32"/>
      <c r="F108" s="32"/>
      <c r="G108" s="32"/>
      <c r="H108" s="32"/>
      <c r="I108" s="32"/>
      <c r="J108" s="32"/>
      <c r="K108" s="32"/>
      <c r="L108" s="21" t="s">
        <v>379</v>
      </c>
      <c r="M108" s="21" t="s">
        <v>389</v>
      </c>
      <c r="N108" s="21">
        <v>107.34</v>
      </c>
      <c r="O108" s="24" t="s">
        <v>310</v>
      </c>
      <c r="P108" s="32"/>
      <c r="Q108" s="32"/>
      <c r="R108" s="46"/>
      <c r="S108" s="46"/>
      <c r="T108" s="46"/>
      <c r="U108" s="46"/>
      <c r="V108" s="46"/>
      <c r="W108" s="32"/>
      <c r="X108" s="32"/>
      <c r="Y108" s="32"/>
      <c r="Z108" s="46"/>
    </row>
    <row r="109" spans="1:26" ht="15.75" customHeight="1" x14ac:dyDescent="0.3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21" t="s">
        <v>379</v>
      </c>
      <c r="M109" s="21" t="s">
        <v>389</v>
      </c>
      <c r="N109" s="21">
        <v>11.14</v>
      </c>
      <c r="O109" s="24" t="s">
        <v>313</v>
      </c>
      <c r="P109" s="32"/>
      <c r="Q109" s="32"/>
      <c r="R109" s="46"/>
      <c r="S109" s="46"/>
      <c r="T109" s="46"/>
      <c r="U109" s="46"/>
      <c r="V109" s="46"/>
      <c r="W109" s="32"/>
      <c r="X109" s="32"/>
      <c r="Y109" s="32"/>
      <c r="Z109" s="46"/>
    </row>
    <row r="110" spans="1:26" ht="15.75" customHeight="1" x14ac:dyDescent="0.3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21" t="s">
        <v>379</v>
      </c>
      <c r="M110" s="21" t="s">
        <v>389</v>
      </c>
      <c r="N110" s="21">
        <v>-5.24</v>
      </c>
      <c r="O110" s="24" t="s">
        <v>315</v>
      </c>
      <c r="P110" s="32"/>
      <c r="Q110" s="32"/>
      <c r="R110" s="46"/>
      <c r="S110" s="46"/>
      <c r="T110" s="46"/>
      <c r="U110" s="46"/>
      <c r="V110" s="46"/>
      <c r="W110" s="32"/>
      <c r="X110" s="32"/>
      <c r="Y110" s="32"/>
      <c r="Z110" s="46"/>
    </row>
    <row r="111" spans="1:26" ht="15.75" customHeight="1" x14ac:dyDescent="0.3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21" t="s">
        <v>379</v>
      </c>
      <c r="M111" s="21" t="s">
        <v>389</v>
      </c>
      <c r="N111" s="21">
        <v>133.13189999999997</v>
      </c>
      <c r="O111" s="21" t="s">
        <v>330</v>
      </c>
      <c r="P111" s="32"/>
      <c r="Q111" s="32"/>
      <c r="R111" s="46"/>
      <c r="S111" s="46"/>
      <c r="T111" s="46"/>
      <c r="U111" s="46"/>
      <c r="V111" s="46"/>
      <c r="W111" s="32"/>
      <c r="X111" s="32"/>
      <c r="Y111" s="32"/>
      <c r="Z111" s="46"/>
    </row>
    <row r="112" spans="1:26" ht="15.75" customHeight="1" x14ac:dyDescent="0.3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21" t="s">
        <v>379</v>
      </c>
      <c r="M112" s="21" t="s">
        <v>389</v>
      </c>
      <c r="N112" s="21">
        <v>0</v>
      </c>
      <c r="O112" s="21" t="s">
        <v>331</v>
      </c>
      <c r="P112" s="32"/>
      <c r="Q112" s="32"/>
      <c r="R112" s="46"/>
      <c r="S112" s="46"/>
      <c r="T112" s="46"/>
      <c r="U112" s="46"/>
      <c r="V112" s="46"/>
      <c r="W112" s="32"/>
      <c r="X112" s="32"/>
      <c r="Y112" s="32"/>
      <c r="Z112" s="46"/>
    </row>
    <row r="113" spans="1:26" ht="15.75" customHeight="1" x14ac:dyDescent="0.3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21" t="s">
        <v>380</v>
      </c>
      <c r="M113" s="21" t="s">
        <v>392</v>
      </c>
      <c r="N113" s="21">
        <v>-476.48</v>
      </c>
      <c r="O113" s="21" t="s">
        <v>300</v>
      </c>
      <c r="P113" s="32"/>
      <c r="Q113" s="32"/>
      <c r="R113" s="46"/>
      <c r="S113" s="46"/>
      <c r="T113" s="46"/>
      <c r="U113" s="46"/>
      <c r="V113" s="46"/>
      <c r="W113" s="32"/>
      <c r="X113" s="32"/>
      <c r="Y113" s="32"/>
      <c r="Z113" s="46"/>
    </row>
    <row r="114" spans="1:26" ht="15.75" customHeight="1" x14ac:dyDescent="0.3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21" t="s">
        <v>380</v>
      </c>
      <c r="M114" s="21" t="s">
        <v>392</v>
      </c>
      <c r="N114" s="21">
        <v>719.2</v>
      </c>
      <c r="O114" s="21" t="s">
        <v>302</v>
      </c>
      <c r="P114" s="32"/>
      <c r="Q114" s="32"/>
      <c r="R114" s="46"/>
      <c r="S114" s="46"/>
      <c r="T114" s="46"/>
      <c r="U114" s="46"/>
      <c r="V114" s="46"/>
      <c r="W114" s="32"/>
      <c r="X114" s="32"/>
      <c r="Y114" s="32"/>
      <c r="Z114" s="46"/>
    </row>
    <row r="115" spans="1:26" ht="15.75" customHeight="1" x14ac:dyDescent="0.3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21" t="s">
        <v>380</v>
      </c>
      <c r="M115" s="21" t="s">
        <v>319</v>
      </c>
      <c r="N115" s="21">
        <v>0</v>
      </c>
      <c r="O115" s="21" t="s">
        <v>326</v>
      </c>
      <c r="P115" s="32"/>
      <c r="Q115" s="32"/>
      <c r="R115" s="46"/>
      <c r="S115" s="46"/>
      <c r="T115" s="46"/>
      <c r="U115" s="46"/>
      <c r="V115" s="46"/>
      <c r="W115" s="32"/>
      <c r="X115" s="32"/>
      <c r="Y115" s="32"/>
      <c r="Z115" s="46"/>
    </row>
    <row r="116" spans="1:26" ht="15.75" customHeight="1" x14ac:dyDescent="0.3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21" t="s">
        <v>380</v>
      </c>
      <c r="M116" s="21" t="s">
        <v>319</v>
      </c>
      <c r="N116" s="21">
        <v>-5.2077299999999838</v>
      </c>
      <c r="O116" s="24" t="s">
        <v>305</v>
      </c>
      <c r="P116" s="32"/>
      <c r="Q116" s="32"/>
      <c r="R116" s="46"/>
      <c r="S116" s="46"/>
      <c r="T116" s="46"/>
      <c r="U116" s="46"/>
      <c r="V116" s="46"/>
      <c r="W116" s="32"/>
      <c r="X116" s="32"/>
      <c r="Y116" s="32"/>
      <c r="Z116" s="46"/>
    </row>
    <row r="117" spans="1:26" ht="15.75" customHeight="1" x14ac:dyDescent="0.3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21" t="s">
        <v>380</v>
      </c>
      <c r="M117" s="21" t="s">
        <v>319</v>
      </c>
      <c r="N117" s="21">
        <v>-18.29</v>
      </c>
      <c r="O117" s="24" t="s">
        <v>307</v>
      </c>
      <c r="P117" s="32"/>
      <c r="Q117" s="32"/>
      <c r="R117" s="46"/>
      <c r="S117" s="46"/>
      <c r="T117" s="46"/>
      <c r="U117" s="46"/>
      <c r="V117" s="46"/>
      <c r="W117" s="32"/>
      <c r="X117" s="32"/>
      <c r="Y117" s="32"/>
      <c r="Z117" s="46"/>
    </row>
    <row r="118" spans="1:26" ht="15.75" customHeight="1" x14ac:dyDescent="0.3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21" t="s">
        <v>380</v>
      </c>
      <c r="M118" s="21" t="s">
        <v>319</v>
      </c>
      <c r="N118" s="21">
        <v>-33.72</v>
      </c>
      <c r="O118" s="24" t="s">
        <v>310</v>
      </c>
      <c r="P118" s="32"/>
      <c r="Q118" s="32"/>
      <c r="R118" s="46"/>
      <c r="S118" s="46"/>
      <c r="T118" s="46"/>
      <c r="U118" s="46"/>
      <c r="V118" s="46"/>
      <c r="W118" s="32"/>
      <c r="X118" s="32"/>
      <c r="Y118" s="32"/>
      <c r="Z118" s="46"/>
    </row>
    <row r="119" spans="1:26" ht="15.75" customHeight="1" x14ac:dyDescent="0.3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21" t="s">
        <v>380</v>
      </c>
      <c r="M119" s="21" t="s">
        <v>319</v>
      </c>
      <c r="N119" s="21">
        <v>-10.88</v>
      </c>
      <c r="O119" s="24" t="s">
        <v>313</v>
      </c>
      <c r="P119" s="32"/>
      <c r="Q119" s="32"/>
      <c r="R119" s="46"/>
      <c r="S119" s="46"/>
      <c r="T119" s="46"/>
      <c r="U119" s="46"/>
      <c r="V119" s="46"/>
      <c r="W119" s="32"/>
      <c r="X119" s="32"/>
      <c r="Y119" s="32"/>
      <c r="Z119" s="46"/>
    </row>
    <row r="120" spans="1:26" ht="15.75" customHeight="1" x14ac:dyDescent="0.3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21" t="s">
        <v>380</v>
      </c>
      <c r="M120" s="21" t="s">
        <v>319</v>
      </c>
      <c r="N120" s="21">
        <v>6.24</v>
      </c>
      <c r="O120" s="24" t="s">
        <v>315</v>
      </c>
      <c r="P120" s="32"/>
      <c r="Q120" s="32"/>
      <c r="R120" s="46"/>
      <c r="S120" s="46"/>
      <c r="T120" s="46"/>
      <c r="U120" s="46"/>
      <c r="V120" s="46"/>
      <c r="W120" s="32"/>
      <c r="X120" s="32"/>
      <c r="Y120" s="32"/>
      <c r="Z120" s="46"/>
    </row>
    <row r="121" spans="1:26" ht="15.75" customHeight="1" x14ac:dyDescent="0.3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21" t="s">
        <v>380</v>
      </c>
      <c r="M121" s="21" t="s">
        <v>319</v>
      </c>
      <c r="N121" s="21">
        <v>150.10676938144329</v>
      </c>
      <c r="O121" s="21" t="s">
        <v>330</v>
      </c>
      <c r="P121" s="32"/>
      <c r="Q121" s="32"/>
      <c r="R121" s="46"/>
      <c r="S121" s="46"/>
      <c r="T121" s="46"/>
      <c r="U121" s="46"/>
      <c r="V121" s="46"/>
      <c r="W121" s="32"/>
      <c r="X121" s="32"/>
      <c r="Y121" s="32"/>
      <c r="Z121" s="46"/>
    </row>
    <row r="122" spans="1:26" ht="15.75" customHeight="1" x14ac:dyDescent="0.3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21" t="s">
        <v>380</v>
      </c>
      <c r="M122" s="21" t="s">
        <v>319</v>
      </c>
      <c r="N122" s="21">
        <v>12.01</v>
      </c>
      <c r="O122" s="21" t="s">
        <v>331</v>
      </c>
      <c r="P122" s="32"/>
      <c r="Q122" s="32"/>
      <c r="R122" s="46"/>
      <c r="S122" s="46"/>
      <c r="T122" s="46"/>
      <c r="U122" s="46"/>
      <c r="V122" s="46"/>
      <c r="W122" s="32"/>
      <c r="X122" s="32"/>
      <c r="Y122" s="32"/>
      <c r="Z122" s="46"/>
    </row>
    <row r="123" spans="1:26" ht="15.75" customHeight="1" x14ac:dyDescent="0.3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21" t="s">
        <v>380</v>
      </c>
      <c r="M123" s="21" t="s">
        <v>319</v>
      </c>
      <c r="N123" s="21">
        <v>-7.84</v>
      </c>
      <c r="O123" s="24" t="s">
        <v>393</v>
      </c>
      <c r="P123" s="32"/>
      <c r="Q123" s="32"/>
      <c r="R123" s="46"/>
      <c r="S123" s="46"/>
      <c r="T123" s="46"/>
      <c r="U123" s="46"/>
      <c r="V123" s="46"/>
      <c r="W123" s="32"/>
      <c r="X123" s="32"/>
      <c r="Y123" s="32"/>
      <c r="Z123" s="46"/>
    </row>
    <row r="124" spans="1:26" ht="15.75" customHeight="1" x14ac:dyDescent="0.3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21" t="s">
        <v>381</v>
      </c>
      <c r="M124" s="21" t="s">
        <v>320</v>
      </c>
      <c r="N124" s="21">
        <v>0</v>
      </c>
      <c r="O124" s="21" t="s">
        <v>300</v>
      </c>
      <c r="P124" s="32"/>
      <c r="Q124" s="32"/>
      <c r="R124" s="46"/>
      <c r="S124" s="46"/>
      <c r="T124" s="46"/>
      <c r="U124" s="46"/>
      <c r="V124" s="46"/>
      <c r="W124" s="32"/>
      <c r="X124" s="32"/>
      <c r="Y124" s="32"/>
      <c r="Z124" s="46"/>
    </row>
    <row r="125" spans="1:26" ht="15.75" customHeight="1" x14ac:dyDescent="0.3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21" t="s">
        <v>381</v>
      </c>
      <c r="M125" s="21" t="s">
        <v>320</v>
      </c>
      <c r="N125" s="21">
        <v>0</v>
      </c>
      <c r="O125" s="21" t="s">
        <v>302</v>
      </c>
      <c r="P125" s="32"/>
      <c r="Q125" s="32"/>
      <c r="R125" s="46"/>
      <c r="S125" s="46"/>
      <c r="T125" s="46"/>
      <c r="U125" s="46"/>
      <c r="V125" s="46"/>
      <c r="W125" s="32"/>
      <c r="X125" s="32"/>
      <c r="Y125" s="32"/>
      <c r="Z125" s="46"/>
    </row>
    <row r="126" spans="1:26" ht="15.75" customHeight="1" x14ac:dyDescent="0.3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21" t="s">
        <v>381</v>
      </c>
      <c r="M126" s="21" t="s">
        <v>320</v>
      </c>
      <c r="N126" s="21">
        <v>-51.84</v>
      </c>
      <c r="O126" s="21" t="s">
        <v>326</v>
      </c>
      <c r="P126" s="32"/>
      <c r="Q126" s="32"/>
      <c r="R126" s="46"/>
      <c r="S126" s="46"/>
      <c r="T126" s="46"/>
      <c r="U126" s="46"/>
      <c r="V126" s="46"/>
      <c r="W126" s="32"/>
      <c r="X126" s="32"/>
      <c r="Y126" s="32"/>
      <c r="Z126" s="46"/>
    </row>
    <row r="127" spans="1:26" ht="15.75" customHeight="1" x14ac:dyDescent="0.3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21" t="s">
        <v>381</v>
      </c>
      <c r="M127" s="21" t="s">
        <v>394</v>
      </c>
      <c r="N127" s="21">
        <v>-136.46</v>
      </c>
      <c r="O127" s="24" t="s">
        <v>305</v>
      </c>
      <c r="P127" s="32"/>
      <c r="Q127" s="32"/>
      <c r="R127" s="46"/>
      <c r="S127" s="46"/>
      <c r="T127" s="46"/>
      <c r="U127" s="46"/>
      <c r="V127" s="46"/>
      <c r="W127" s="32"/>
      <c r="X127" s="32"/>
      <c r="Y127" s="32"/>
      <c r="Z127" s="46"/>
    </row>
    <row r="128" spans="1:26" ht="15.75" customHeight="1" x14ac:dyDescent="0.3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21" t="s">
        <v>381</v>
      </c>
      <c r="M128" s="21" t="s">
        <v>394</v>
      </c>
      <c r="N128" s="21">
        <v>70.900000000000006</v>
      </c>
      <c r="O128" s="24" t="s">
        <v>307</v>
      </c>
      <c r="P128" s="32"/>
      <c r="Q128" s="32"/>
      <c r="R128" s="46"/>
      <c r="S128" s="46"/>
      <c r="T128" s="46"/>
      <c r="U128" s="46"/>
      <c r="V128" s="46"/>
      <c r="W128" s="32"/>
      <c r="X128" s="32"/>
      <c r="Y128" s="32"/>
      <c r="Z128" s="46"/>
    </row>
    <row r="129" spans="1:26" ht="15.75" customHeight="1" x14ac:dyDescent="0.3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21" t="s">
        <v>381</v>
      </c>
      <c r="M129" s="21" t="s">
        <v>394</v>
      </c>
      <c r="N129" s="21">
        <v>-45.45</v>
      </c>
      <c r="O129" s="24" t="s">
        <v>310</v>
      </c>
      <c r="P129" s="32"/>
      <c r="Q129" s="32"/>
      <c r="R129" s="46"/>
      <c r="S129" s="46"/>
      <c r="T129" s="46"/>
      <c r="U129" s="46"/>
      <c r="V129" s="46"/>
      <c r="W129" s="32"/>
      <c r="X129" s="32"/>
      <c r="Y129" s="32"/>
      <c r="Z129" s="46"/>
    </row>
    <row r="130" spans="1:26" ht="15.75" customHeight="1" x14ac:dyDescent="0.3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21" t="s">
        <v>381</v>
      </c>
      <c r="M130" s="21" t="s">
        <v>320</v>
      </c>
      <c r="N130" s="21">
        <v>3.74</v>
      </c>
      <c r="O130" s="24" t="s">
        <v>313</v>
      </c>
      <c r="P130" s="32"/>
      <c r="Q130" s="32"/>
      <c r="R130" s="46"/>
      <c r="S130" s="46"/>
      <c r="T130" s="46"/>
      <c r="U130" s="46"/>
      <c r="V130" s="46"/>
      <c r="W130" s="32"/>
      <c r="X130" s="32"/>
      <c r="Y130" s="32"/>
      <c r="Z130" s="46"/>
    </row>
    <row r="131" spans="1:26" ht="15.75" customHeight="1" x14ac:dyDescent="0.3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21" t="s">
        <v>381</v>
      </c>
      <c r="M131" s="21" t="s">
        <v>320</v>
      </c>
      <c r="N131" s="21">
        <v>-1.44</v>
      </c>
      <c r="O131" s="24" t="s">
        <v>315</v>
      </c>
      <c r="P131" s="32"/>
      <c r="Q131" s="32"/>
      <c r="R131" s="46"/>
      <c r="S131" s="46"/>
      <c r="T131" s="46"/>
      <c r="U131" s="46"/>
      <c r="V131" s="46"/>
      <c r="W131" s="32"/>
      <c r="X131" s="32"/>
      <c r="Y131" s="32"/>
      <c r="Z131" s="46"/>
    </row>
    <row r="132" spans="1:26" ht="15.75" customHeight="1" x14ac:dyDescent="0.3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21" t="s">
        <v>381</v>
      </c>
      <c r="M132" s="21" t="s">
        <v>394</v>
      </c>
      <c r="N132" s="21">
        <v>20.76</v>
      </c>
      <c r="O132" s="21" t="s">
        <v>330</v>
      </c>
      <c r="P132" s="32"/>
      <c r="Q132" s="32"/>
      <c r="R132" s="46"/>
      <c r="S132" s="46"/>
      <c r="T132" s="46"/>
      <c r="U132" s="46"/>
      <c r="V132" s="46"/>
      <c r="W132" s="32"/>
      <c r="X132" s="32"/>
      <c r="Y132" s="32"/>
      <c r="Z132" s="46"/>
    </row>
    <row r="133" spans="1:26" ht="15.75" customHeight="1" x14ac:dyDescent="0.3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21" t="s">
        <v>381</v>
      </c>
      <c r="M133" s="21" t="s">
        <v>394</v>
      </c>
      <c r="N133" s="21">
        <v>0</v>
      </c>
      <c r="O133" s="21" t="s">
        <v>331</v>
      </c>
      <c r="P133" s="32"/>
      <c r="Q133" s="32"/>
      <c r="R133" s="46"/>
      <c r="S133" s="46"/>
      <c r="T133" s="46"/>
      <c r="U133" s="46"/>
      <c r="V133" s="46"/>
      <c r="W133" s="32"/>
      <c r="X133" s="32"/>
      <c r="Y133" s="32"/>
      <c r="Z133" s="46"/>
    </row>
    <row r="134" spans="1:26" ht="15.75" customHeight="1" x14ac:dyDescent="0.3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21" t="s">
        <v>381</v>
      </c>
      <c r="M134" s="21" t="s">
        <v>394</v>
      </c>
      <c r="N134" s="21">
        <v>25.52</v>
      </c>
      <c r="O134" s="24" t="s">
        <v>395</v>
      </c>
      <c r="P134" s="32"/>
      <c r="Q134" s="32"/>
      <c r="R134" s="46"/>
      <c r="S134" s="46"/>
      <c r="T134" s="46"/>
      <c r="U134" s="46"/>
      <c r="V134" s="46"/>
      <c r="W134" s="32"/>
      <c r="X134" s="32"/>
      <c r="Y134" s="32"/>
      <c r="Z134" s="46"/>
    </row>
    <row r="135" spans="1:26" ht="15.75" customHeight="1" x14ac:dyDescent="0.3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21" t="s">
        <v>381</v>
      </c>
      <c r="M135" s="21" t="s">
        <v>394</v>
      </c>
      <c r="N135" s="21">
        <v>0.77</v>
      </c>
      <c r="O135" s="24" t="s">
        <v>396</v>
      </c>
      <c r="P135" s="32"/>
      <c r="Q135" s="32"/>
      <c r="R135" s="46"/>
      <c r="S135" s="46"/>
      <c r="T135" s="46"/>
      <c r="U135" s="46"/>
      <c r="V135" s="46"/>
      <c r="W135" s="32"/>
      <c r="X135" s="32"/>
      <c r="Y135" s="32"/>
      <c r="Z135" s="46"/>
    </row>
    <row r="136" spans="1:26" ht="15.75" customHeight="1" x14ac:dyDescent="0.3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21" t="s">
        <v>382</v>
      </c>
      <c r="M136" s="21" t="s">
        <v>322</v>
      </c>
      <c r="N136" s="21">
        <v>-175.82</v>
      </c>
      <c r="O136" s="21" t="s">
        <v>300</v>
      </c>
      <c r="P136" s="32"/>
      <c r="Q136" s="32"/>
      <c r="R136" s="46"/>
      <c r="S136" s="46"/>
      <c r="T136" s="46"/>
      <c r="U136" s="46"/>
      <c r="V136" s="46"/>
      <c r="W136" s="32"/>
      <c r="X136" s="32"/>
      <c r="Y136" s="32"/>
      <c r="Z136" s="46"/>
    </row>
    <row r="137" spans="1:26" ht="15.75" customHeight="1" x14ac:dyDescent="0.3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21" t="s">
        <v>382</v>
      </c>
      <c r="M137" s="21" t="s">
        <v>322</v>
      </c>
      <c r="N137" s="21">
        <v>264.62</v>
      </c>
      <c r="O137" s="21" t="s">
        <v>302</v>
      </c>
      <c r="P137" s="32"/>
      <c r="Q137" s="32"/>
      <c r="R137" s="46"/>
      <c r="S137" s="46"/>
      <c r="T137" s="46"/>
      <c r="U137" s="46"/>
      <c r="V137" s="46"/>
      <c r="W137" s="32"/>
      <c r="X137" s="32"/>
      <c r="Y137" s="32"/>
      <c r="Z137" s="46"/>
    </row>
    <row r="138" spans="1:26" ht="15.75" customHeight="1" x14ac:dyDescent="0.3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21" t="s">
        <v>382</v>
      </c>
      <c r="M138" s="21" t="s">
        <v>322</v>
      </c>
      <c r="N138" s="21">
        <v>-5.35</v>
      </c>
      <c r="O138" s="21" t="s">
        <v>326</v>
      </c>
      <c r="P138" s="32"/>
      <c r="Q138" s="32"/>
      <c r="R138" s="46"/>
      <c r="S138" s="46"/>
      <c r="T138" s="46"/>
      <c r="U138" s="46"/>
      <c r="V138" s="46"/>
      <c r="W138" s="32"/>
      <c r="X138" s="32"/>
      <c r="Y138" s="32"/>
      <c r="Z138" s="46"/>
    </row>
    <row r="139" spans="1:26" ht="15.75" customHeight="1" x14ac:dyDescent="0.3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21" t="s">
        <v>382</v>
      </c>
      <c r="M139" s="21" t="s">
        <v>397</v>
      </c>
      <c r="N139" s="21">
        <v>88.731134999999966</v>
      </c>
      <c r="O139" s="24" t="s">
        <v>305</v>
      </c>
      <c r="P139" s="32"/>
      <c r="Q139" s="32"/>
      <c r="R139" s="46"/>
      <c r="S139" s="46"/>
      <c r="T139" s="46"/>
      <c r="U139" s="46"/>
      <c r="V139" s="46"/>
      <c r="W139" s="32"/>
      <c r="X139" s="32"/>
      <c r="Y139" s="32"/>
      <c r="Z139" s="46"/>
    </row>
    <row r="140" spans="1:26" ht="15.75" customHeight="1" x14ac:dyDescent="0.3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21" t="s">
        <v>382</v>
      </c>
      <c r="M140" s="21" t="s">
        <v>397</v>
      </c>
      <c r="N140" s="21">
        <v>-13.36</v>
      </c>
      <c r="O140" s="24" t="s">
        <v>307</v>
      </c>
      <c r="P140" s="32"/>
      <c r="Q140" s="32"/>
      <c r="R140" s="46"/>
      <c r="S140" s="46"/>
      <c r="T140" s="46"/>
      <c r="U140" s="46"/>
      <c r="V140" s="46"/>
      <c r="W140" s="32"/>
      <c r="X140" s="32"/>
      <c r="Y140" s="32"/>
      <c r="Z140" s="46"/>
    </row>
    <row r="141" spans="1:26" ht="15.75" customHeight="1" x14ac:dyDescent="0.3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21" t="s">
        <v>382</v>
      </c>
      <c r="M141" s="21" t="s">
        <v>397</v>
      </c>
      <c r="N141" s="21">
        <v>-101.48</v>
      </c>
      <c r="O141" s="24" t="s">
        <v>310</v>
      </c>
      <c r="P141" s="32"/>
      <c r="Q141" s="32"/>
      <c r="R141" s="46"/>
      <c r="S141" s="46"/>
      <c r="T141" s="46"/>
      <c r="U141" s="46"/>
      <c r="V141" s="46"/>
      <c r="W141" s="32"/>
      <c r="X141" s="32"/>
      <c r="Y141" s="32"/>
      <c r="Z141" s="46"/>
    </row>
    <row r="142" spans="1:26" ht="15.75" customHeight="1" x14ac:dyDescent="0.3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21" t="s">
        <v>382</v>
      </c>
      <c r="M142" s="21" t="s">
        <v>322</v>
      </c>
      <c r="N142" s="21">
        <v>4.54</v>
      </c>
      <c r="O142" s="24" t="s">
        <v>313</v>
      </c>
      <c r="P142" s="32"/>
      <c r="Q142" s="32"/>
      <c r="R142" s="46"/>
      <c r="S142" s="46"/>
      <c r="T142" s="46"/>
      <c r="U142" s="46"/>
      <c r="V142" s="46"/>
      <c r="W142" s="32"/>
      <c r="X142" s="32"/>
      <c r="Y142" s="32"/>
      <c r="Z142" s="46"/>
    </row>
    <row r="143" spans="1:26" ht="15.75" customHeight="1" x14ac:dyDescent="0.3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21" t="s">
        <v>382</v>
      </c>
      <c r="M143" s="21" t="s">
        <v>322</v>
      </c>
      <c r="N143" s="21">
        <v>-1.96</v>
      </c>
      <c r="O143" s="24" t="s">
        <v>315</v>
      </c>
      <c r="P143" s="32"/>
      <c r="Q143" s="32"/>
      <c r="R143" s="46"/>
      <c r="S143" s="46"/>
      <c r="T143" s="46"/>
      <c r="U143" s="46"/>
      <c r="V143" s="46"/>
      <c r="W143" s="32"/>
      <c r="X143" s="32"/>
      <c r="Y143" s="32"/>
      <c r="Z143" s="46"/>
    </row>
    <row r="144" spans="1:26" ht="15.75" customHeight="1" x14ac:dyDescent="0.3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21" t="s">
        <v>382</v>
      </c>
      <c r="M144" s="21" t="s">
        <v>397</v>
      </c>
      <c r="N144" s="21">
        <v>-43.6</v>
      </c>
      <c r="O144" s="21" t="s">
        <v>330</v>
      </c>
      <c r="P144" s="32"/>
      <c r="Q144" s="32"/>
      <c r="R144" s="46"/>
      <c r="S144" s="46"/>
      <c r="T144" s="46"/>
      <c r="U144" s="46"/>
      <c r="V144" s="46"/>
      <c r="W144" s="32"/>
      <c r="X144" s="32"/>
      <c r="Y144" s="32"/>
      <c r="Z144" s="46"/>
    </row>
    <row r="145" spans="1:26" ht="15.75" customHeight="1" x14ac:dyDescent="0.3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21" t="s">
        <v>382</v>
      </c>
      <c r="M145" s="21" t="s">
        <v>397</v>
      </c>
      <c r="N145" s="21">
        <v>2.98</v>
      </c>
      <c r="O145" s="21" t="s">
        <v>331</v>
      </c>
      <c r="P145" s="32"/>
      <c r="Q145" s="32"/>
      <c r="R145" s="46"/>
      <c r="S145" s="46"/>
      <c r="T145" s="46"/>
      <c r="U145" s="46"/>
      <c r="V145" s="46"/>
      <c r="W145" s="32"/>
      <c r="X145" s="32"/>
      <c r="Y145" s="32"/>
      <c r="Z145" s="46"/>
    </row>
    <row r="146" spans="1:26" ht="15.75" customHeight="1" x14ac:dyDescent="0.3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59" t="s">
        <v>383</v>
      </c>
      <c r="M146" s="59" t="s">
        <v>323</v>
      </c>
      <c r="N146" s="60">
        <v>78.63</v>
      </c>
      <c r="O146" s="59" t="s">
        <v>300</v>
      </c>
      <c r="P146" s="32"/>
      <c r="Q146" s="32"/>
      <c r="R146" s="46"/>
      <c r="S146" s="46"/>
      <c r="T146" s="46"/>
      <c r="U146" s="46"/>
      <c r="V146" s="46"/>
      <c r="W146" s="32"/>
      <c r="X146" s="32"/>
      <c r="Y146" s="32"/>
      <c r="Z146" s="46"/>
    </row>
    <row r="147" spans="1:26" ht="15.75" customHeight="1" x14ac:dyDescent="0.3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59" t="s">
        <v>383</v>
      </c>
      <c r="M147" s="59" t="s">
        <v>323</v>
      </c>
      <c r="N147" s="60">
        <v>-116.54</v>
      </c>
      <c r="O147" s="59" t="s">
        <v>302</v>
      </c>
      <c r="P147" s="32"/>
      <c r="Q147" s="32"/>
      <c r="R147" s="46"/>
      <c r="S147" s="46"/>
      <c r="T147" s="46"/>
      <c r="U147" s="46"/>
      <c r="V147" s="46"/>
      <c r="W147" s="32"/>
      <c r="X147" s="32"/>
      <c r="Y147" s="32"/>
      <c r="Z147" s="46"/>
    </row>
    <row r="148" spans="1:26" ht="15.75" customHeight="1" x14ac:dyDescent="0.3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59" t="s">
        <v>383</v>
      </c>
      <c r="M148" s="59" t="s">
        <v>398</v>
      </c>
      <c r="N148" s="60">
        <v>114.27469500000002</v>
      </c>
      <c r="O148" s="59" t="s">
        <v>305</v>
      </c>
      <c r="P148" s="32"/>
      <c r="Q148" s="32"/>
      <c r="R148" s="46"/>
      <c r="S148" s="46"/>
      <c r="T148" s="46"/>
      <c r="U148" s="46"/>
      <c r="V148" s="46"/>
      <c r="W148" s="32"/>
      <c r="X148" s="32"/>
      <c r="Y148" s="32"/>
      <c r="Z148" s="46"/>
    </row>
    <row r="149" spans="1:26" ht="15.75" customHeight="1" x14ac:dyDescent="0.3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59" t="s">
        <v>383</v>
      </c>
      <c r="M149" s="59" t="s">
        <v>398</v>
      </c>
      <c r="N149" s="60">
        <v>-4.4400000000000004</v>
      </c>
      <c r="O149" s="59" t="s">
        <v>307</v>
      </c>
      <c r="P149" s="32"/>
      <c r="Q149" s="32"/>
      <c r="R149" s="46"/>
      <c r="S149" s="46"/>
      <c r="T149" s="46"/>
      <c r="U149" s="46"/>
      <c r="V149" s="46"/>
      <c r="W149" s="32"/>
      <c r="X149" s="32"/>
      <c r="Y149" s="32"/>
      <c r="Z149" s="46"/>
    </row>
    <row r="150" spans="1:26" ht="15.75" customHeight="1" x14ac:dyDescent="0.3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59" t="s">
        <v>383</v>
      </c>
      <c r="M150" s="59" t="s">
        <v>398</v>
      </c>
      <c r="N150" s="60">
        <v>-92.93</v>
      </c>
      <c r="O150" s="59" t="s">
        <v>310</v>
      </c>
      <c r="P150" s="32"/>
      <c r="Q150" s="32"/>
      <c r="R150" s="46"/>
      <c r="S150" s="46"/>
      <c r="T150" s="46"/>
      <c r="U150" s="46"/>
      <c r="V150" s="46"/>
      <c r="W150" s="32"/>
      <c r="X150" s="32"/>
      <c r="Y150" s="32"/>
      <c r="Z150" s="46"/>
    </row>
    <row r="151" spans="1:26" ht="15.75" customHeight="1" x14ac:dyDescent="0.3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59" t="s">
        <v>383</v>
      </c>
      <c r="M151" s="59" t="s">
        <v>323</v>
      </c>
      <c r="N151" s="60">
        <v>-28.06</v>
      </c>
      <c r="O151" s="59" t="s">
        <v>313</v>
      </c>
      <c r="P151" s="32"/>
      <c r="Q151" s="32"/>
      <c r="R151" s="46"/>
      <c r="S151" s="46"/>
      <c r="T151" s="46"/>
      <c r="U151" s="46"/>
      <c r="V151" s="46"/>
      <c r="W151" s="32"/>
      <c r="X151" s="32"/>
      <c r="Y151" s="32"/>
      <c r="Z151" s="46"/>
    </row>
    <row r="152" spans="1:26" ht="15.75" customHeight="1" x14ac:dyDescent="0.3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59" t="s">
        <v>383</v>
      </c>
      <c r="M152" s="59" t="s">
        <v>323</v>
      </c>
      <c r="N152" s="60">
        <v>13.34</v>
      </c>
      <c r="O152" s="59" t="s">
        <v>315</v>
      </c>
      <c r="P152" s="32"/>
      <c r="Q152" s="32"/>
      <c r="R152" s="46"/>
      <c r="S152" s="46"/>
      <c r="T152" s="46"/>
      <c r="U152" s="46"/>
      <c r="V152" s="46"/>
      <c r="W152" s="32"/>
      <c r="X152" s="32"/>
      <c r="Y152" s="32"/>
      <c r="Z152" s="46"/>
    </row>
    <row r="153" spans="1:26" ht="15.75" customHeight="1" x14ac:dyDescent="0.3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59" t="s">
        <v>383</v>
      </c>
      <c r="M153" s="59" t="s">
        <v>398</v>
      </c>
      <c r="N153" s="60">
        <v>3.05</v>
      </c>
      <c r="O153" s="59" t="s">
        <v>330</v>
      </c>
      <c r="P153" s="32"/>
      <c r="Q153" s="32"/>
      <c r="R153" s="46"/>
      <c r="S153" s="46"/>
      <c r="T153" s="46"/>
      <c r="U153" s="46"/>
      <c r="V153" s="46"/>
      <c r="W153" s="32"/>
      <c r="X153" s="32"/>
      <c r="Y153" s="32"/>
      <c r="Z153" s="46"/>
    </row>
    <row r="154" spans="1:26" ht="15.75" customHeight="1" x14ac:dyDescent="0.3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59" t="s">
        <v>383</v>
      </c>
      <c r="M154" s="59" t="s">
        <v>398</v>
      </c>
      <c r="N154" s="59">
        <v>-3.02</v>
      </c>
      <c r="O154" s="59" t="s">
        <v>331</v>
      </c>
      <c r="P154" s="32"/>
      <c r="Q154" s="32"/>
      <c r="R154" s="46"/>
      <c r="S154" s="46"/>
      <c r="T154" s="46"/>
      <c r="U154" s="46"/>
      <c r="V154" s="46"/>
      <c r="W154" s="32"/>
      <c r="X154" s="32"/>
      <c r="Y154" s="32"/>
      <c r="Z154" s="46"/>
    </row>
    <row r="155" spans="1:26" ht="15.75" customHeight="1" x14ac:dyDescent="0.3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59" t="s">
        <v>384</v>
      </c>
      <c r="M155" s="59" t="s">
        <v>348</v>
      </c>
      <c r="N155" s="60">
        <v>375.32257500000003</v>
      </c>
      <c r="O155" s="59" t="s">
        <v>300</v>
      </c>
      <c r="P155" s="32"/>
      <c r="Q155" s="32"/>
      <c r="R155" s="46"/>
      <c r="S155" s="46"/>
      <c r="T155" s="46"/>
      <c r="U155" s="46"/>
      <c r="V155" s="46"/>
      <c r="W155" s="32"/>
      <c r="X155" s="32"/>
      <c r="Y155" s="32"/>
      <c r="Z155" s="46"/>
    </row>
    <row r="156" spans="1:26" ht="15.75" customHeight="1" x14ac:dyDescent="0.3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59" t="s">
        <v>384</v>
      </c>
      <c r="M156" s="59" t="s">
        <v>348</v>
      </c>
      <c r="N156" s="60">
        <v>-560.04999999999995</v>
      </c>
      <c r="O156" s="59" t="s">
        <v>302</v>
      </c>
      <c r="P156" s="32"/>
      <c r="Q156" s="32"/>
      <c r="R156" s="46"/>
      <c r="S156" s="46"/>
      <c r="T156" s="46"/>
      <c r="U156" s="46"/>
      <c r="V156" s="46"/>
      <c r="W156" s="32"/>
      <c r="X156" s="32"/>
      <c r="Y156" s="32"/>
      <c r="Z156" s="46"/>
    </row>
    <row r="157" spans="1:26" ht="15.75" customHeight="1" x14ac:dyDescent="0.3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59" t="s">
        <v>384</v>
      </c>
      <c r="M157" s="59" t="s">
        <v>348</v>
      </c>
      <c r="N157" s="60">
        <v>15.5</v>
      </c>
      <c r="O157" s="59" t="s">
        <v>305</v>
      </c>
      <c r="P157" s="32"/>
      <c r="Q157" s="32"/>
      <c r="R157" s="46"/>
      <c r="S157" s="46"/>
      <c r="T157" s="46"/>
      <c r="U157" s="46"/>
      <c r="V157" s="46"/>
      <c r="W157" s="32"/>
      <c r="X157" s="32"/>
      <c r="Y157" s="32"/>
      <c r="Z157" s="46"/>
    </row>
    <row r="158" spans="1:26" ht="15.75" customHeight="1" x14ac:dyDescent="0.3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59" t="s">
        <v>384</v>
      </c>
      <c r="M158" s="59" t="s">
        <v>348</v>
      </c>
      <c r="N158" s="60">
        <v>-20.25</v>
      </c>
      <c r="O158" s="59" t="s">
        <v>307</v>
      </c>
      <c r="P158" s="32"/>
      <c r="Q158" s="32"/>
      <c r="R158" s="46"/>
      <c r="S158" s="46"/>
      <c r="T158" s="46"/>
      <c r="U158" s="46"/>
      <c r="V158" s="46"/>
      <c r="W158" s="32"/>
      <c r="X158" s="32"/>
      <c r="Y158" s="32"/>
      <c r="Z158" s="46"/>
    </row>
    <row r="159" spans="1:26" ht="15.75" customHeight="1" x14ac:dyDescent="0.3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59" t="s">
        <v>384</v>
      </c>
      <c r="M159" s="59" t="s">
        <v>348</v>
      </c>
      <c r="N159" s="60">
        <v>6.9</v>
      </c>
      <c r="O159" s="59" t="s">
        <v>310</v>
      </c>
      <c r="P159" s="32"/>
      <c r="Q159" s="32"/>
      <c r="R159" s="46"/>
      <c r="S159" s="46"/>
      <c r="T159" s="46"/>
      <c r="U159" s="46"/>
      <c r="V159" s="46"/>
      <c r="W159" s="32"/>
      <c r="X159" s="32"/>
      <c r="Y159" s="32"/>
      <c r="Z159" s="46"/>
    </row>
    <row r="160" spans="1:26" ht="15.75" customHeight="1" x14ac:dyDescent="0.3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59" t="s">
        <v>384</v>
      </c>
      <c r="M160" s="59" t="s">
        <v>348</v>
      </c>
      <c r="N160" s="60">
        <v>113.7</v>
      </c>
      <c r="O160" s="59" t="s">
        <v>313</v>
      </c>
      <c r="P160" s="32"/>
      <c r="Q160" s="32"/>
      <c r="R160" s="46"/>
      <c r="S160" s="46"/>
      <c r="T160" s="46"/>
      <c r="U160" s="46"/>
      <c r="V160" s="46"/>
      <c r="W160" s="32"/>
      <c r="X160" s="32"/>
      <c r="Y160" s="32"/>
      <c r="Z160" s="46"/>
    </row>
    <row r="161" spans="1:26" ht="15.75" customHeight="1" x14ac:dyDescent="0.3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59" t="s">
        <v>384</v>
      </c>
      <c r="M161" s="59" t="s">
        <v>348</v>
      </c>
      <c r="N161" s="60">
        <v>-54.5</v>
      </c>
      <c r="O161" s="59" t="s">
        <v>315</v>
      </c>
      <c r="P161" s="32"/>
      <c r="Q161" s="32"/>
      <c r="R161" s="46"/>
      <c r="S161" s="46"/>
      <c r="T161" s="46"/>
      <c r="U161" s="46"/>
      <c r="V161" s="46"/>
      <c r="W161" s="32"/>
      <c r="X161" s="32"/>
      <c r="Y161" s="32"/>
      <c r="Z161" s="46"/>
    </row>
    <row r="162" spans="1:26" ht="15.75" customHeight="1" x14ac:dyDescent="0.3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59" t="s">
        <v>384</v>
      </c>
      <c r="M162" s="59" t="s">
        <v>354</v>
      </c>
      <c r="N162" s="60">
        <v>-18.313500000000001</v>
      </c>
      <c r="O162" s="59" t="s">
        <v>330</v>
      </c>
      <c r="P162" s="32"/>
      <c r="Q162" s="32"/>
      <c r="R162" s="46"/>
      <c r="S162" s="46"/>
      <c r="T162" s="46"/>
      <c r="U162" s="46"/>
      <c r="V162" s="46"/>
      <c r="W162" s="32"/>
      <c r="X162" s="32"/>
      <c r="Y162" s="32"/>
      <c r="Z162" s="46"/>
    </row>
    <row r="163" spans="1:26" ht="15.75" customHeight="1" x14ac:dyDescent="0.3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59" t="s">
        <v>384</v>
      </c>
      <c r="M163" s="59" t="s">
        <v>354</v>
      </c>
      <c r="N163" s="59">
        <v>18.41</v>
      </c>
      <c r="O163" s="59" t="s">
        <v>331</v>
      </c>
      <c r="P163" s="32"/>
      <c r="Q163" s="32"/>
      <c r="R163" s="46"/>
      <c r="S163" s="46"/>
      <c r="T163" s="46"/>
      <c r="U163" s="46"/>
      <c r="V163" s="46"/>
      <c r="W163" s="32"/>
      <c r="X163" s="32"/>
      <c r="Y163" s="32"/>
      <c r="Z163" s="46"/>
    </row>
    <row r="164" spans="1:26" ht="15.75" customHeight="1" x14ac:dyDescent="0.3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59" t="s">
        <v>385</v>
      </c>
      <c r="M164" s="58"/>
      <c r="N164" s="61"/>
      <c r="O164" s="59" t="s">
        <v>300</v>
      </c>
      <c r="P164" s="32"/>
      <c r="Q164" s="32"/>
      <c r="R164" s="46"/>
      <c r="S164" s="46"/>
      <c r="T164" s="46"/>
      <c r="U164" s="46"/>
      <c r="V164" s="46"/>
      <c r="W164" s="32"/>
      <c r="X164" s="32"/>
      <c r="Y164" s="32"/>
      <c r="Z164" s="46"/>
    </row>
    <row r="165" spans="1:26" ht="15.75" customHeight="1" x14ac:dyDescent="0.3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59" t="s">
        <v>385</v>
      </c>
      <c r="M165" s="58"/>
      <c r="N165" s="61"/>
      <c r="O165" s="59" t="s">
        <v>302</v>
      </c>
      <c r="P165" s="32"/>
      <c r="Q165" s="32"/>
      <c r="R165" s="46"/>
      <c r="S165" s="46"/>
      <c r="T165" s="46"/>
      <c r="U165" s="46"/>
      <c r="V165" s="46"/>
      <c r="W165" s="32"/>
      <c r="X165" s="32"/>
      <c r="Y165" s="32"/>
      <c r="Z165" s="46"/>
    </row>
    <row r="166" spans="1:26" ht="15.75" customHeight="1" x14ac:dyDescent="0.3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59" t="s">
        <v>385</v>
      </c>
      <c r="M166" s="58"/>
      <c r="N166" s="61"/>
      <c r="O166" s="59" t="s">
        <v>305</v>
      </c>
      <c r="P166" s="32"/>
      <c r="Q166" s="32"/>
      <c r="R166" s="46"/>
      <c r="S166" s="46"/>
      <c r="T166" s="46"/>
      <c r="U166" s="46"/>
      <c r="V166" s="46"/>
      <c r="W166" s="32"/>
      <c r="X166" s="32"/>
      <c r="Y166" s="32"/>
      <c r="Z166" s="46"/>
    </row>
    <row r="167" spans="1:26" ht="15.75" customHeight="1" x14ac:dyDescent="0.3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59" t="s">
        <v>385</v>
      </c>
      <c r="M167" s="58"/>
      <c r="N167" s="61"/>
      <c r="O167" s="59" t="s">
        <v>307</v>
      </c>
      <c r="P167" s="32"/>
      <c r="Q167" s="32"/>
      <c r="R167" s="46"/>
      <c r="S167" s="46"/>
      <c r="T167" s="46"/>
      <c r="U167" s="46"/>
      <c r="V167" s="46"/>
      <c r="W167" s="32"/>
      <c r="X167" s="32"/>
      <c r="Y167" s="32"/>
      <c r="Z167" s="46"/>
    </row>
    <row r="168" spans="1:26" ht="15.75" customHeight="1" x14ac:dyDescent="0.3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59" t="s">
        <v>385</v>
      </c>
      <c r="M168" s="58"/>
      <c r="N168" s="61"/>
      <c r="O168" s="59" t="s">
        <v>310</v>
      </c>
      <c r="P168" s="32"/>
      <c r="Q168" s="32"/>
      <c r="R168" s="46"/>
      <c r="S168" s="46"/>
      <c r="T168" s="46"/>
      <c r="U168" s="46"/>
      <c r="V168" s="46"/>
      <c r="W168" s="32"/>
      <c r="X168" s="32"/>
      <c r="Y168" s="32"/>
      <c r="Z168" s="46"/>
    </row>
    <row r="169" spans="1:26" ht="15.75" customHeight="1" x14ac:dyDescent="0.3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59" t="s">
        <v>385</v>
      </c>
      <c r="M169" s="58"/>
      <c r="N169" s="61"/>
      <c r="O169" s="59" t="s">
        <v>313</v>
      </c>
      <c r="P169" s="32"/>
      <c r="Q169" s="32"/>
      <c r="R169" s="46"/>
      <c r="S169" s="46"/>
      <c r="T169" s="46"/>
      <c r="U169" s="46"/>
      <c r="V169" s="46"/>
      <c r="W169" s="32"/>
      <c r="X169" s="32"/>
      <c r="Y169" s="32"/>
      <c r="Z169" s="46"/>
    </row>
    <row r="170" spans="1:26" ht="15.75" customHeight="1" x14ac:dyDescent="0.3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59" t="s">
        <v>385</v>
      </c>
      <c r="M170" s="58"/>
      <c r="N170" s="61"/>
      <c r="O170" s="59" t="s">
        <v>315</v>
      </c>
      <c r="P170" s="32"/>
      <c r="Q170" s="32"/>
      <c r="R170" s="46"/>
      <c r="S170" s="46"/>
      <c r="T170" s="46"/>
      <c r="U170" s="46"/>
      <c r="V170" s="46"/>
      <c r="W170" s="32"/>
      <c r="X170" s="32"/>
      <c r="Y170" s="32"/>
      <c r="Z170" s="46"/>
    </row>
    <row r="171" spans="1:26" ht="15.75" customHeight="1" x14ac:dyDescent="0.3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59" t="s">
        <v>385</v>
      </c>
      <c r="M171" s="58"/>
      <c r="N171" s="61"/>
      <c r="O171" s="59" t="s">
        <v>330</v>
      </c>
      <c r="P171" s="32"/>
      <c r="Q171" s="32"/>
      <c r="R171" s="46"/>
      <c r="S171" s="46"/>
      <c r="T171" s="46"/>
      <c r="U171" s="46"/>
      <c r="V171" s="46"/>
      <c r="W171" s="32"/>
      <c r="X171" s="32"/>
      <c r="Y171" s="32"/>
      <c r="Z171" s="46"/>
    </row>
    <row r="172" spans="1:26" ht="15.75" customHeight="1" x14ac:dyDescent="0.3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59" t="s">
        <v>385</v>
      </c>
      <c r="M172" s="58"/>
      <c r="N172" s="58"/>
      <c r="O172" s="59" t="s">
        <v>331</v>
      </c>
      <c r="P172" s="32"/>
      <c r="Q172" s="32"/>
      <c r="R172" s="46"/>
      <c r="S172" s="46"/>
      <c r="T172" s="46"/>
      <c r="U172" s="46"/>
      <c r="V172" s="46"/>
      <c r="W172" s="32"/>
      <c r="X172" s="32"/>
      <c r="Y172" s="32"/>
      <c r="Z172" s="46"/>
    </row>
    <row r="173" spans="1:26" ht="15.75" customHeight="1" x14ac:dyDescent="0.3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46"/>
      <c r="S173" s="46"/>
      <c r="T173" s="46"/>
      <c r="U173" s="46"/>
      <c r="V173" s="46"/>
      <c r="W173" s="32"/>
      <c r="X173" s="32"/>
      <c r="Y173" s="32"/>
      <c r="Z173" s="46"/>
    </row>
    <row r="174" spans="1:26" ht="15.75" customHeight="1" x14ac:dyDescent="0.3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46"/>
      <c r="S174" s="46"/>
      <c r="T174" s="46"/>
      <c r="U174" s="46"/>
      <c r="V174" s="46"/>
      <c r="W174" s="32"/>
      <c r="X174" s="32"/>
      <c r="Y174" s="32"/>
      <c r="Z174" s="46"/>
    </row>
    <row r="175" spans="1:26" ht="15.75" customHeight="1" x14ac:dyDescent="0.3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46"/>
      <c r="S175" s="46"/>
      <c r="T175" s="46"/>
      <c r="U175" s="46"/>
      <c r="V175" s="46"/>
      <c r="W175" s="32"/>
      <c r="X175" s="32"/>
      <c r="Y175" s="32"/>
      <c r="Z175" s="46"/>
    </row>
    <row r="176" spans="1:26" ht="15.75" customHeight="1" x14ac:dyDescent="0.3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46"/>
      <c r="S176" s="46"/>
      <c r="T176" s="46"/>
      <c r="U176" s="46"/>
      <c r="V176" s="46"/>
      <c r="W176" s="32"/>
      <c r="X176" s="32"/>
      <c r="Y176" s="32"/>
      <c r="Z176" s="46"/>
    </row>
    <row r="177" spans="1:26" ht="15.75" customHeight="1" x14ac:dyDescent="0.3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46"/>
      <c r="S177" s="46"/>
      <c r="T177" s="46"/>
      <c r="U177" s="46"/>
      <c r="V177" s="46"/>
      <c r="W177" s="32"/>
      <c r="X177" s="32"/>
      <c r="Y177" s="32"/>
      <c r="Z177" s="46"/>
    </row>
    <row r="178" spans="1:26" ht="15.75" customHeight="1" x14ac:dyDescent="0.3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46"/>
      <c r="S178" s="46"/>
      <c r="T178" s="46"/>
      <c r="U178" s="46"/>
      <c r="V178" s="46"/>
      <c r="W178" s="32"/>
      <c r="X178" s="32"/>
      <c r="Y178" s="32"/>
      <c r="Z178" s="46"/>
    </row>
    <row r="179" spans="1:26" ht="15.75" customHeight="1" x14ac:dyDescent="0.3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46"/>
      <c r="S179" s="46"/>
      <c r="T179" s="46"/>
      <c r="U179" s="46"/>
      <c r="V179" s="46"/>
      <c r="W179" s="32"/>
      <c r="X179" s="32"/>
      <c r="Y179" s="32"/>
      <c r="Z179" s="46"/>
    </row>
    <row r="180" spans="1:26" ht="15.75" customHeight="1" x14ac:dyDescent="0.3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46"/>
      <c r="S180" s="46"/>
      <c r="T180" s="46"/>
      <c r="U180" s="46"/>
      <c r="V180" s="46"/>
      <c r="W180" s="32"/>
      <c r="X180" s="32"/>
      <c r="Y180" s="32"/>
      <c r="Z180" s="46"/>
    </row>
    <row r="181" spans="1:26" ht="15.75" customHeight="1" x14ac:dyDescent="0.3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46"/>
      <c r="S181" s="46"/>
      <c r="T181" s="46"/>
      <c r="U181" s="46"/>
      <c r="V181" s="46"/>
      <c r="W181" s="32"/>
      <c r="X181" s="32"/>
      <c r="Y181" s="32"/>
      <c r="Z181" s="46"/>
    </row>
    <row r="182" spans="1:26" ht="15.75" customHeight="1" x14ac:dyDescent="0.3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46"/>
      <c r="S182" s="46"/>
      <c r="T182" s="46"/>
      <c r="U182" s="46"/>
      <c r="V182" s="46"/>
      <c r="W182" s="32"/>
      <c r="X182" s="32"/>
      <c r="Y182" s="32"/>
      <c r="Z182" s="46"/>
    </row>
    <row r="183" spans="1:26" ht="15.75" customHeight="1" x14ac:dyDescent="0.3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46"/>
      <c r="S183" s="46"/>
      <c r="T183" s="46"/>
      <c r="U183" s="46"/>
      <c r="V183" s="46"/>
      <c r="W183" s="32"/>
      <c r="X183" s="32"/>
      <c r="Y183" s="32"/>
      <c r="Z183" s="46"/>
    </row>
    <row r="184" spans="1:26" ht="15.75" customHeight="1" x14ac:dyDescent="0.3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46"/>
      <c r="S184" s="46"/>
      <c r="T184" s="46"/>
      <c r="U184" s="46"/>
      <c r="V184" s="46"/>
      <c r="W184" s="32"/>
      <c r="X184" s="32"/>
      <c r="Y184" s="32"/>
      <c r="Z184" s="46"/>
    </row>
    <row r="185" spans="1:26" ht="15.75" customHeight="1" x14ac:dyDescent="0.3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46"/>
      <c r="S185" s="46"/>
      <c r="T185" s="46"/>
      <c r="U185" s="46"/>
      <c r="V185" s="46"/>
      <c r="W185" s="32"/>
      <c r="X185" s="32"/>
      <c r="Y185" s="32"/>
      <c r="Z185" s="46"/>
    </row>
    <row r="186" spans="1:26" ht="15.75" customHeight="1" x14ac:dyDescent="0.3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46"/>
      <c r="S186" s="46"/>
      <c r="T186" s="46"/>
      <c r="U186" s="46"/>
      <c r="V186" s="46"/>
      <c r="W186" s="32"/>
      <c r="X186" s="32"/>
      <c r="Y186" s="32"/>
      <c r="Z186" s="46"/>
    </row>
    <row r="187" spans="1:26" ht="15.75" customHeight="1" x14ac:dyDescent="0.3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46"/>
      <c r="S187" s="46"/>
      <c r="T187" s="46"/>
      <c r="U187" s="46"/>
      <c r="V187" s="46"/>
      <c r="W187" s="32"/>
      <c r="X187" s="32"/>
      <c r="Y187" s="32"/>
      <c r="Z187" s="46"/>
    </row>
    <row r="188" spans="1:26" ht="15.75" customHeight="1" x14ac:dyDescent="0.3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46"/>
      <c r="S188" s="46"/>
      <c r="T188" s="46"/>
      <c r="U188" s="46"/>
      <c r="V188" s="46"/>
      <c r="W188" s="32"/>
      <c r="X188" s="32"/>
      <c r="Y188" s="32"/>
      <c r="Z188" s="46"/>
    </row>
    <row r="189" spans="1:26" ht="15.75" customHeight="1" x14ac:dyDescent="0.3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46"/>
      <c r="S189" s="46"/>
      <c r="T189" s="46"/>
      <c r="U189" s="46"/>
      <c r="V189" s="46"/>
      <c r="W189" s="32"/>
      <c r="X189" s="32"/>
      <c r="Y189" s="32"/>
      <c r="Z189" s="46"/>
    </row>
    <row r="190" spans="1:26" ht="15.75" customHeight="1" x14ac:dyDescent="0.3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46"/>
      <c r="S190" s="46"/>
      <c r="T190" s="46"/>
      <c r="U190" s="46"/>
      <c r="V190" s="46"/>
      <c r="W190" s="32"/>
      <c r="X190" s="32"/>
      <c r="Y190" s="32"/>
      <c r="Z190" s="46"/>
    </row>
    <row r="191" spans="1:26" ht="15.75" customHeight="1" x14ac:dyDescent="0.3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46"/>
      <c r="S191" s="46"/>
      <c r="T191" s="46"/>
      <c r="U191" s="46"/>
      <c r="V191" s="46"/>
      <c r="W191" s="32"/>
      <c r="X191" s="32"/>
      <c r="Y191" s="32"/>
      <c r="Z191" s="46"/>
    </row>
    <row r="192" spans="1:26" ht="15.75" customHeight="1" x14ac:dyDescent="0.3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46"/>
      <c r="S192" s="46"/>
      <c r="T192" s="46"/>
      <c r="U192" s="46"/>
      <c r="V192" s="46"/>
      <c r="W192" s="32"/>
      <c r="X192" s="32"/>
      <c r="Y192" s="32"/>
      <c r="Z192" s="46"/>
    </row>
    <row r="193" spans="1:26" ht="15.75" customHeight="1" x14ac:dyDescent="0.3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46"/>
      <c r="S193" s="46"/>
      <c r="T193" s="46"/>
      <c r="U193" s="46"/>
      <c r="V193" s="46"/>
      <c r="W193" s="32"/>
      <c r="X193" s="32"/>
      <c r="Y193" s="32"/>
      <c r="Z193" s="46"/>
    </row>
    <row r="194" spans="1:26" ht="15.75" customHeight="1" x14ac:dyDescent="0.3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46"/>
      <c r="S194" s="46"/>
      <c r="T194" s="46"/>
      <c r="U194" s="46"/>
      <c r="V194" s="46"/>
      <c r="W194" s="32"/>
      <c r="X194" s="32"/>
      <c r="Y194" s="32"/>
      <c r="Z194" s="46"/>
    </row>
    <row r="195" spans="1:26" ht="15.75" customHeight="1" x14ac:dyDescent="0.3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46"/>
      <c r="S195" s="46"/>
      <c r="T195" s="46"/>
      <c r="U195" s="46"/>
      <c r="V195" s="46"/>
      <c r="W195" s="32"/>
      <c r="X195" s="32"/>
      <c r="Y195" s="32"/>
      <c r="Z195" s="46"/>
    </row>
    <row r="196" spans="1:26" ht="15.75" customHeight="1" x14ac:dyDescent="0.3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46"/>
      <c r="S196" s="46"/>
      <c r="T196" s="46"/>
      <c r="U196" s="46"/>
      <c r="V196" s="46"/>
      <c r="W196" s="32"/>
      <c r="X196" s="32"/>
      <c r="Y196" s="32"/>
      <c r="Z196" s="46"/>
    </row>
    <row r="197" spans="1:26" ht="15.75" customHeight="1" x14ac:dyDescent="0.3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46"/>
      <c r="S197" s="46"/>
      <c r="T197" s="46"/>
      <c r="U197" s="46"/>
      <c r="V197" s="46"/>
      <c r="W197" s="32"/>
      <c r="X197" s="32"/>
      <c r="Y197" s="32"/>
      <c r="Z197" s="46"/>
    </row>
    <row r="198" spans="1:26" ht="15.75" customHeight="1" x14ac:dyDescent="0.3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46"/>
      <c r="S198" s="46"/>
      <c r="T198" s="46"/>
      <c r="U198" s="46"/>
      <c r="V198" s="46"/>
      <c r="W198" s="32"/>
      <c r="X198" s="32"/>
      <c r="Y198" s="32"/>
      <c r="Z198" s="46"/>
    </row>
    <row r="199" spans="1:26" ht="15.75" customHeight="1" x14ac:dyDescent="0.3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46"/>
      <c r="S199" s="46"/>
      <c r="T199" s="46"/>
      <c r="U199" s="46"/>
      <c r="V199" s="46"/>
      <c r="W199" s="32"/>
      <c r="X199" s="32"/>
      <c r="Y199" s="32"/>
      <c r="Z199" s="46"/>
    </row>
    <row r="200" spans="1:26" ht="15.75" customHeight="1" x14ac:dyDescent="0.3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46"/>
      <c r="S200" s="46"/>
      <c r="T200" s="46"/>
      <c r="U200" s="46"/>
      <c r="V200" s="46"/>
      <c r="W200" s="32"/>
      <c r="X200" s="32"/>
      <c r="Y200" s="32"/>
      <c r="Z200" s="46"/>
    </row>
    <row r="201" spans="1:26" ht="15.75" customHeight="1" x14ac:dyDescent="0.3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46"/>
      <c r="S201" s="46"/>
      <c r="T201" s="46"/>
      <c r="U201" s="46"/>
      <c r="V201" s="46"/>
      <c r="W201" s="32"/>
      <c r="X201" s="32"/>
      <c r="Y201" s="32"/>
      <c r="Z201" s="46"/>
    </row>
    <row r="202" spans="1:26" ht="15.75" customHeight="1" x14ac:dyDescent="0.3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46"/>
      <c r="S202" s="46"/>
      <c r="T202" s="46"/>
      <c r="U202" s="46"/>
      <c r="V202" s="46"/>
      <c r="W202" s="32"/>
      <c r="X202" s="32"/>
      <c r="Y202" s="32"/>
      <c r="Z202" s="46"/>
    </row>
    <row r="203" spans="1:26" ht="15.75" customHeight="1" x14ac:dyDescent="0.3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46"/>
      <c r="S203" s="46"/>
      <c r="T203" s="46"/>
      <c r="U203" s="46"/>
      <c r="V203" s="46"/>
      <c r="W203" s="32"/>
      <c r="X203" s="32"/>
      <c r="Y203" s="32"/>
      <c r="Z203" s="46"/>
    </row>
    <row r="204" spans="1:26" ht="15.75" customHeight="1" x14ac:dyDescent="0.3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46"/>
      <c r="S204" s="46"/>
      <c r="T204" s="46"/>
      <c r="U204" s="46"/>
      <c r="V204" s="46"/>
      <c r="W204" s="32"/>
      <c r="X204" s="32"/>
      <c r="Y204" s="32"/>
      <c r="Z204" s="46"/>
    </row>
    <row r="205" spans="1:26" ht="15.75" customHeight="1" x14ac:dyDescent="0.3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46"/>
      <c r="S205" s="46"/>
      <c r="T205" s="46"/>
      <c r="U205" s="46"/>
      <c r="V205" s="46"/>
      <c r="W205" s="32"/>
      <c r="X205" s="32"/>
      <c r="Y205" s="32"/>
      <c r="Z205" s="46"/>
    </row>
    <row r="206" spans="1:26" ht="15.75" customHeight="1" x14ac:dyDescent="0.3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46"/>
      <c r="S206" s="46"/>
      <c r="T206" s="46"/>
      <c r="U206" s="46"/>
      <c r="V206" s="46"/>
      <c r="W206" s="32"/>
      <c r="X206" s="32"/>
      <c r="Y206" s="32"/>
      <c r="Z206" s="46"/>
    </row>
    <row r="207" spans="1:26" ht="15.75" customHeight="1" x14ac:dyDescent="0.3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46"/>
      <c r="S207" s="46"/>
      <c r="T207" s="46"/>
      <c r="U207" s="46"/>
      <c r="V207" s="46"/>
      <c r="W207" s="32"/>
      <c r="X207" s="32"/>
      <c r="Y207" s="32"/>
      <c r="Z207" s="46"/>
    </row>
    <row r="208" spans="1:26" ht="15.75" customHeight="1" x14ac:dyDescent="0.3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46"/>
      <c r="S208" s="46"/>
      <c r="T208" s="46"/>
      <c r="U208" s="46"/>
      <c r="V208" s="46"/>
      <c r="W208" s="32"/>
      <c r="X208" s="32"/>
      <c r="Y208" s="32"/>
      <c r="Z208" s="46"/>
    </row>
    <row r="209" spans="1:26" ht="15.75" customHeight="1" x14ac:dyDescent="0.3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46"/>
      <c r="S209" s="46"/>
      <c r="T209" s="46"/>
      <c r="U209" s="46"/>
      <c r="V209" s="46"/>
      <c r="W209" s="32"/>
      <c r="X209" s="32"/>
      <c r="Y209" s="32"/>
      <c r="Z209" s="46"/>
    </row>
    <row r="210" spans="1:26" ht="15.75" customHeight="1" x14ac:dyDescent="0.3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46"/>
      <c r="S210" s="46"/>
      <c r="T210" s="46"/>
      <c r="U210" s="46"/>
      <c r="V210" s="46"/>
      <c r="W210" s="32"/>
      <c r="X210" s="32"/>
      <c r="Y210" s="32"/>
      <c r="Z210" s="46"/>
    </row>
    <row r="211" spans="1:26" ht="15.75" customHeight="1" x14ac:dyDescent="0.3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46"/>
      <c r="S211" s="46"/>
      <c r="T211" s="46"/>
      <c r="U211" s="46"/>
      <c r="V211" s="46"/>
      <c r="W211" s="32"/>
      <c r="X211" s="32"/>
      <c r="Y211" s="32"/>
      <c r="Z211" s="46"/>
    </row>
    <row r="212" spans="1:26" ht="15.75" customHeight="1" x14ac:dyDescent="0.3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46"/>
      <c r="S212" s="46"/>
      <c r="T212" s="46"/>
      <c r="U212" s="46"/>
      <c r="V212" s="46"/>
      <c r="W212" s="32"/>
      <c r="X212" s="32"/>
      <c r="Y212" s="32"/>
      <c r="Z212" s="46"/>
    </row>
    <row r="213" spans="1:26" ht="15.75" customHeight="1" x14ac:dyDescent="0.3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46"/>
      <c r="S213" s="46"/>
      <c r="T213" s="46"/>
      <c r="U213" s="46"/>
      <c r="V213" s="46"/>
      <c r="W213" s="32"/>
      <c r="X213" s="32"/>
      <c r="Y213" s="32"/>
      <c r="Z213" s="46"/>
    </row>
    <row r="214" spans="1:26" ht="15.75" customHeight="1" x14ac:dyDescent="0.3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46"/>
      <c r="S214" s="46"/>
      <c r="T214" s="46"/>
      <c r="U214" s="46"/>
      <c r="V214" s="46"/>
      <c r="W214" s="32"/>
      <c r="X214" s="32"/>
      <c r="Y214" s="32"/>
      <c r="Z214" s="46"/>
    </row>
    <row r="215" spans="1:26" ht="15.75" customHeight="1" x14ac:dyDescent="0.3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46"/>
      <c r="S215" s="46"/>
      <c r="T215" s="46"/>
      <c r="U215" s="46"/>
      <c r="V215" s="46"/>
      <c r="W215" s="32"/>
      <c r="X215" s="32"/>
      <c r="Y215" s="32"/>
      <c r="Z215" s="46"/>
    </row>
    <row r="216" spans="1:26" ht="15.75" customHeight="1" x14ac:dyDescent="0.3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46"/>
      <c r="S216" s="46"/>
      <c r="T216" s="46"/>
      <c r="U216" s="46"/>
      <c r="V216" s="46"/>
      <c r="W216" s="32"/>
      <c r="X216" s="32"/>
      <c r="Y216" s="32"/>
      <c r="Z216" s="46"/>
    </row>
    <row r="217" spans="1:26" ht="15.75" customHeight="1" x14ac:dyDescent="0.3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46"/>
      <c r="S217" s="46"/>
      <c r="T217" s="46"/>
      <c r="U217" s="46"/>
      <c r="V217" s="46"/>
      <c r="W217" s="32"/>
      <c r="X217" s="32"/>
      <c r="Y217" s="32"/>
      <c r="Z217" s="46"/>
    </row>
    <row r="218" spans="1:26" ht="15.75" customHeight="1" x14ac:dyDescent="0.3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46"/>
      <c r="S218" s="46"/>
      <c r="T218" s="46"/>
      <c r="U218" s="46"/>
      <c r="V218" s="46"/>
      <c r="W218" s="32"/>
      <c r="X218" s="32"/>
      <c r="Y218" s="32"/>
      <c r="Z218" s="46"/>
    </row>
    <row r="219" spans="1:26" ht="15.75" customHeight="1" x14ac:dyDescent="0.3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46"/>
      <c r="S219" s="46"/>
      <c r="T219" s="46"/>
      <c r="U219" s="46"/>
      <c r="V219" s="46"/>
      <c r="W219" s="32"/>
      <c r="X219" s="32"/>
      <c r="Y219" s="32"/>
      <c r="Z219" s="46"/>
    </row>
    <row r="220" spans="1:26" ht="15.75" customHeight="1" x14ac:dyDescent="0.3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46"/>
      <c r="S220" s="46"/>
      <c r="T220" s="46"/>
      <c r="U220" s="46"/>
      <c r="V220" s="46"/>
      <c r="W220" s="32"/>
      <c r="X220" s="32"/>
      <c r="Y220" s="32"/>
      <c r="Z220" s="46"/>
    </row>
    <row r="221" spans="1:26" ht="15.75" customHeight="1" x14ac:dyDescent="0.3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46"/>
      <c r="S221" s="46"/>
      <c r="T221" s="46"/>
      <c r="U221" s="46"/>
      <c r="V221" s="46"/>
      <c r="W221" s="32"/>
      <c r="X221" s="32"/>
      <c r="Y221" s="32"/>
      <c r="Z221" s="46"/>
    </row>
    <row r="222" spans="1:26" ht="15.75" customHeight="1" x14ac:dyDescent="0.3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46"/>
      <c r="S222" s="46"/>
      <c r="T222" s="46"/>
      <c r="U222" s="46"/>
      <c r="V222" s="46"/>
      <c r="W222" s="32"/>
      <c r="X222" s="32"/>
      <c r="Y222" s="32"/>
      <c r="Z222" s="46"/>
    </row>
    <row r="223" spans="1:26" ht="15.75" customHeight="1" x14ac:dyDescent="0.3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46"/>
      <c r="S223" s="46"/>
      <c r="T223" s="46"/>
      <c r="U223" s="46"/>
      <c r="V223" s="46"/>
      <c r="W223" s="32"/>
      <c r="X223" s="32"/>
      <c r="Y223" s="32"/>
      <c r="Z223" s="46"/>
    </row>
    <row r="224" spans="1:26" ht="15.75" customHeight="1" x14ac:dyDescent="0.3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46"/>
      <c r="S224" s="46"/>
      <c r="T224" s="46"/>
      <c r="U224" s="46"/>
      <c r="V224" s="46"/>
      <c r="W224" s="32"/>
      <c r="X224" s="32"/>
      <c r="Y224" s="32"/>
      <c r="Z224" s="46"/>
    </row>
    <row r="225" spans="1:26" ht="15.75" customHeight="1" x14ac:dyDescent="0.3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46"/>
      <c r="S225" s="46"/>
      <c r="T225" s="46"/>
      <c r="U225" s="46"/>
      <c r="V225" s="46"/>
      <c r="W225" s="32"/>
      <c r="X225" s="32"/>
      <c r="Y225" s="32"/>
      <c r="Z225" s="46"/>
    </row>
    <row r="226" spans="1:26" ht="15.75" customHeight="1" x14ac:dyDescent="0.3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46"/>
      <c r="S226" s="46"/>
      <c r="T226" s="46"/>
      <c r="U226" s="46"/>
      <c r="V226" s="46"/>
      <c r="W226" s="32"/>
      <c r="X226" s="32"/>
      <c r="Y226" s="32"/>
      <c r="Z226" s="46"/>
    </row>
    <row r="227" spans="1:26" ht="15.75" customHeight="1" x14ac:dyDescent="0.3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46"/>
      <c r="S227" s="46"/>
      <c r="T227" s="46"/>
      <c r="U227" s="46"/>
      <c r="V227" s="46"/>
      <c r="W227" s="32"/>
      <c r="X227" s="32"/>
      <c r="Y227" s="32"/>
      <c r="Z227" s="46"/>
    </row>
    <row r="228" spans="1:26" ht="15.75" customHeight="1" x14ac:dyDescent="0.3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46"/>
      <c r="S228" s="46"/>
      <c r="T228" s="46"/>
      <c r="U228" s="46"/>
      <c r="V228" s="46"/>
      <c r="W228" s="32"/>
      <c r="X228" s="32"/>
      <c r="Y228" s="32"/>
      <c r="Z228" s="46"/>
    </row>
    <row r="229" spans="1:26" ht="15.75" customHeight="1" x14ac:dyDescent="0.3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46"/>
      <c r="S229" s="46"/>
      <c r="T229" s="46"/>
      <c r="U229" s="46"/>
      <c r="V229" s="46"/>
      <c r="W229" s="32"/>
      <c r="X229" s="32"/>
      <c r="Y229" s="32"/>
      <c r="Z229" s="46"/>
    </row>
    <row r="230" spans="1:26" ht="15.75" customHeight="1" x14ac:dyDescent="0.3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46"/>
      <c r="S230" s="46"/>
      <c r="T230" s="46"/>
      <c r="U230" s="46"/>
      <c r="V230" s="46"/>
      <c r="W230" s="32"/>
      <c r="X230" s="32"/>
      <c r="Y230" s="32"/>
      <c r="Z230" s="46"/>
    </row>
    <row r="231" spans="1:26" ht="15.75" customHeight="1" x14ac:dyDescent="0.3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46"/>
      <c r="S231" s="46"/>
      <c r="T231" s="46"/>
      <c r="U231" s="46"/>
      <c r="V231" s="46"/>
      <c r="W231" s="32"/>
      <c r="X231" s="32"/>
      <c r="Y231" s="32"/>
      <c r="Z231" s="46"/>
    </row>
    <row r="232" spans="1:26" ht="15.75" customHeight="1" x14ac:dyDescent="0.3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46"/>
      <c r="S232" s="46"/>
      <c r="T232" s="46"/>
      <c r="U232" s="46"/>
      <c r="V232" s="46"/>
      <c r="W232" s="32"/>
      <c r="X232" s="32"/>
      <c r="Y232" s="32"/>
      <c r="Z232" s="46"/>
    </row>
    <row r="233" spans="1:26" ht="15.75" customHeight="1" x14ac:dyDescent="0.3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46"/>
      <c r="S233" s="46"/>
      <c r="T233" s="46"/>
      <c r="U233" s="46"/>
      <c r="V233" s="46"/>
      <c r="W233" s="32"/>
      <c r="X233" s="32"/>
      <c r="Y233" s="32"/>
      <c r="Z233" s="46"/>
    </row>
    <row r="234" spans="1:26" ht="15.75" customHeight="1" x14ac:dyDescent="0.3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46"/>
      <c r="S234" s="46"/>
      <c r="T234" s="46"/>
      <c r="U234" s="46"/>
      <c r="V234" s="46"/>
      <c r="W234" s="32"/>
      <c r="X234" s="32"/>
      <c r="Y234" s="32"/>
      <c r="Z234" s="46"/>
    </row>
    <row r="235" spans="1:26" ht="15.75" customHeight="1" x14ac:dyDescent="0.3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46"/>
      <c r="S235" s="46"/>
      <c r="T235" s="46"/>
      <c r="U235" s="46"/>
      <c r="V235" s="46"/>
      <c r="W235" s="32"/>
      <c r="X235" s="32"/>
      <c r="Y235" s="32"/>
      <c r="Z235" s="46"/>
    </row>
    <row r="236" spans="1:26" ht="15.75" customHeight="1" x14ac:dyDescent="0.3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46"/>
      <c r="S236" s="46"/>
      <c r="T236" s="46"/>
      <c r="U236" s="46"/>
      <c r="V236" s="46"/>
      <c r="W236" s="32"/>
      <c r="X236" s="32"/>
      <c r="Y236" s="32"/>
      <c r="Z236" s="46"/>
    </row>
    <row r="237" spans="1:26" ht="15.75" customHeight="1" x14ac:dyDescent="0.3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46"/>
      <c r="S237" s="46"/>
      <c r="T237" s="46"/>
      <c r="U237" s="46"/>
      <c r="V237" s="46"/>
      <c r="W237" s="32"/>
      <c r="X237" s="32"/>
      <c r="Y237" s="32"/>
      <c r="Z237" s="46"/>
    </row>
    <row r="238" spans="1:26" ht="15.75" customHeight="1" x14ac:dyDescent="0.3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46"/>
      <c r="S238" s="46"/>
      <c r="T238" s="46"/>
      <c r="U238" s="46"/>
      <c r="V238" s="46"/>
      <c r="W238" s="32"/>
      <c r="X238" s="32"/>
      <c r="Y238" s="32"/>
      <c r="Z238" s="46"/>
    </row>
    <row r="239" spans="1:26" ht="15.75" customHeight="1" x14ac:dyDescent="0.3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46"/>
      <c r="S239" s="46"/>
      <c r="T239" s="46"/>
      <c r="U239" s="46"/>
      <c r="V239" s="46"/>
      <c r="W239" s="32"/>
      <c r="X239" s="32"/>
      <c r="Y239" s="32"/>
      <c r="Z239" s="46"/>
    </row>
    <row r="240" spans="1:26" ht="15.75" customHeight="1" x14ac:dyDescent="0.3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46"/>
      <c r="S240" s="46"/>
      <c r="T240" s="46"/>
      <c r="U240" s="46"/>
      <c r="V240" s="46"/>
      <c r="W240" s="32"/>
      <c r="X240" s="32"/>
      <c r="Y240" s="32"/>
      <c r="Z240" s="46"/>
    </row>
    <row r="241" spans="1:26" ht="15.75" customHeight="1" x14ac:dyDescent="0.3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46"/>
      <c r="S241" s="46"/>
      <c r="T241" s="46"/>
      <c r="U241" s="46"/>
      <c r="V241" s="46"/>
      <c r="W241" s="32"/>
      <c r="X241" s="32"/>
      <c r="Y241" s="32"/>
      <c r="Z241" s="46"/>
    </row>
    <row r="242" spans="1:26" ht="15.75" customHeight="1" x14ac:dyDescent="0.3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46"/>
      <c r="S242" s="46"/>
      <c r="T242" s="46"/>
      <c r="U242" s="46"/>
      <c r="V242" s="46"/>
      <c r="W242" s="32"/>
      <c r="X242" s="32"/>
      <c r="Y242" s="32"/>
      <c r="Z242" s="46"/>
    </row>
    <row r="243" spans="1:26" ht="15.75" customHeight="1" x14ac:dyDescent="0.3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46"/>
      <c r="S243" s="46"/>
      <c r="T243" s="46"/>
      <c r="U243" s="46"/>
      <c r="V243" s="46"/>
      <c r="W243" s="32"/>
      <c r="X243" s="32"/>
      <c r="Y243" s="32"/>
      <c r="Z243" s="46"/>
    </row>
    <row r="244" spans="1:26" ht="15.75" customHeight="1" x14ac:dyDescent="0.3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46"/>
      <c r="S244" s="46"/>
      <c r="T244" s="46"/>
      <c r="U244" s="46"/>
      <c r="V244" s="46"/>
      <c r="W244" s="32"/>
      <c r="X244" s="32"/>
      <c r="Y244" s="32"/>
      <c r="Z244" s="46"/>
    </row>
    <row r="245" spans="1:26" ht="15.75" customHeight="1" x14ac:dyDescent="0.3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46"/>
      <c r="S245" s="46"/>
      <c r="T245" s="46"/>
      <c r="U245" s="46"/>
      <c r="V245" s="46"/>
      <c r="W245" s="32"/>
      <c r="X245" s="32"/>
      <c r="Y245" s="32"/>
      <c r="Z245" s="46"/>
    </row>
    <row r="246" spans="1:26" ht="15.75" customHeight="1" x14ac:dyDescent="0.3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46"/>
      <c r="S246" s="46"/>
      <c r="T246" s="46"/>
      <c r="U246" s="46"/>
      <c r="V246" s="46"/>
      <c r="W246" s="32"/>
      <c r="X246" s="32"/>
      <c r="Y246" s="32"/>
      <c r="Z246" s="46"/>
    </row>
    <row r="247" spans="1:26" ht="15.75" customHeight="1" x14ac:dyDescent="0.3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46"/>
      <c r="S247" s="46"/>
      <c r="T247" s="46"/>
      <c r="U247" s="46"/>
      <c r="V247" s="46"/>
      <c r="W247" s="32"/>
      <c r="X247" s="32"/>
      <c r="Y247" s="32"/>
      <c r="Z247" s="46"/>
    </row>
    <row r="248" spans="1:26" ht="15.75" customHeight="1" x14ac:dyDescent="0.3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46"/>
      <c r="S248" s="46"/>
      <c r="T248" s="46"/>
      <c r="U248" s="46"/>
      <c r="V248" s="46"/>
      <c r="W248" s="32"/>
      <c r="X248" s="32"/>
      <c r="Y248" s="32"/>
      <c r="Z248" s="46"/>
    </row>
    <row r="249" spans="1:26" ht="15.75" customHeight="1" x14ac:dyDescent="0.3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46"/>
      <c r="S249" s="46"/>
      <c r="T249" s="46"/>
      <c r="U249" s="46"/>
      <c r="V249" s="46"/>
      <c r="W249" s="32"/>
      <c r="X249" s="32"/>
      <c r="Y249" s="32"/>
      <c r="Z249" s="46"/>
    </row>
    <row r="250" spans="1:26" ht="15.75" customHeight="1" x14ac:dyDescent="0.3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46"/>
      <c r="S250" s="46"/>
      <c r="T250" s="46"/>
      <c r="U250" s="46"/>
      <c r="V250" s="46"/>
      <c r="W250" s="32"/>
      <c r="X250" s="32"/>
      <c r="Y250" s="32"/>
      <c r="Z250" s="46"/>
    </row>
    <row r="251" spans="1:26" ht="15.75" customHeight="1" x14ac:dyDescent="0.3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46"/>
      <c r="S251" s="46"/>
      <c r="T251" s="46"/>
      <c r="U251" s="46"/>
      <c r="V251" s="46"/>
      <c r="W251" s="32"/>
      <c r="X251" s="32"/>
      <c r="Y251" s="32"/>
      <c r="Z251" s="46"/>
    </row>
    <row r="252" spans="1:26" ht="15.75" customHeight="1" x14ac:dyDescent="0.3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46"/>
      <c r="S252" s="46"/>
      <c r="T252" s="46"/>
      <c r="U252" s="46"/>
      <c r="V252" s="46"/>
      <c r="W252" s="32"/>
      <c r="X252" s="32"/>
      <c r="Y252" s="32"/>
      <c r="Z252" s="46"/>
    </row>
    <row r="253" spans="1:26" ht="15.75" customHeight="1" x14ac:dyDescent="0.3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46"/>
      <c r="S253" s="46"/>
      <c r="T253" s="46"/>
      <c r="U253" s="46"/>
      <c r="V253" s="46"/>
      <c r="W253" s="32"/>
      <c r="X253" s="32"/>
      <c r="Y253" s="32"/>
      <c r="Z253" s="46"/>
    </row>
    <row r="254" spans="1:26" ht="15.75" customHeight="1" x14ac:dyDescent="0.3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46"/>
      <c r="S254" s="46"/>
      <c r="T254" s="46"/>
      <c r="U254" s="46"/>
      <c r="V254" s="46"/>
      <c r="W254" s="32"/>
      <c r="X254" s="32"/>
      <c r="Y254" s="32"/>
      <c r="Z254" s="46"/>
    </row>
    <row r="255" spans="1:26" ht="15.75" customHeight="1" x14ac:dyDescent="0.3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46"/>
      <c r="S255" s="46"/>
      <c r="T255" s="46"/>
      <c r="U255" s="46"/>
      <c r="V255" s="46"/>
      <c r="W255" s="32"/>
      <c r="X255" s="32"/>
      <c r="Y255" s="32"/>
      <c r="Z255" s="46"/>
    </row>
    <row r="256" spans="1:26" ht="15.75" customHeight="1" x14ac:dyDescent="0.3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46"/>
      <c r="S256" s="46"/>
      <c r="T256" s="46"/>
      <c r="U256" s="46"/>
      <c r="V256" s="46"/>
      <c r="W256" s="32"/>
      <c r="X256" s="32"/>
      <c r="Y256" s="32"/>
      <c r="Z256" s="46"/>
    </row>
    <row r="257" spans="1:26" ht="15.75" customHeight="1" x14ac:dyDescent="0.3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46"/>
      <c r="S257" s="46"/>
      <c r="T257" s="46"/>
      <c r="U257" s="46"/>
      <c r="V257" s="46"/>
      <c r="W257" s="32"/>
      <c r="X257" s="32"/>
      <c r="Y257" s="32"/>
      <c r="Z257" s="46"/>
    </row>
    <row r="258" spans="1:26" ht="15.75" customHeight="1" x14ac:dyDescent="0.3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46"/>
      <c r="S258" s="46"/>
      <c r="T258" s="46"/>
      <c r="U258" s="46"/>
      <c r="V258" s="46"/>
      <c r="W258" s="32"/>
      <c r="X258" s="32"/>
      <c r="Y258" s="32"/>
      <c r="Z258" s="46"/>
    </row>
    <row r="259" spans="1:26" ht="15.75" customHeight="1" x14ac:dyDescent="0.3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46"/>
      <c r="S259" s="46"/>
      <c r="T259" s="46"/>
      <c r="U259" s="46"/>
      <c r="V259" s="46"/>
      <c r="W259" s="32"/>
      <c r="X259" s="32"/>
      <c r="Y259" s="32"/>
      <c r="Z259" s="46"/>
    </row>
    <row r="260" spans="1:26" ht="15.75" customHeight="1" x14ac:dyDescent="0.3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46"/>
      <c r="S260" s="46"/>
      <c r="T260" s="46"/>
      <c r="U260" s="46"/>
      <c r="V260" s="46"/>
      <c r="W260" s="32"/>
      <c r="X260" s="32"/>
      <c r="Y260" s="32"/>
      <c r="Z260" s="46"/>
    </row>
    <row r="261" spans="1:26" ht="15.75" customHeight="1" x14ac:dyDescent="0.3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46"/>
      <c r="S261" s="46"/>
      <c r="T261" s="46"/>
      <c r="U261" s="46"/>
      <c r="V261" s="46"/>
      <c r="W261" s="32"/>
      <c r="X261" s="32"/>
      <c r="Y261" s="32"/>
      <c r="Z261" s="46"/>
    </row>
    <row r="262" spans="1:26" ht="15.75" customHeight="1" x14ac:dyDescent="0.3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46"/>
      <c r="S262" s="46"/>
      <c r="T262" s="46"/>
      <c r="U262" s="46"/>
      <c r="V262" s="46"/>
      <c r="W262" s="32"/>
      <c r="X262" s="32"/>
      <c r="Y262" s="32"/>
      <c r="Z262" s="46"/>
    </row>
    <row r="263" spans="1:26" ht="15.75" customHeight="1" x14ac:dyDescent="0.3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46"/>
      <c r="S263" s="46"/>
      <c r="T263" s="46"/>
      <c r="U263" s="46"/>
      <c r="V263" s="46"/>
      <c r="W263" s="32"/>
      <c r="X263" s="32"/>
      <c r="Y263" s="32"/>
      <c r="Z263" s="46"/>
    </row>
    <row r="264" spans="1:26" ht="15.75" customHeight="1" x14ac:dyDescent="0.3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46"/>
      <c r="S264" s="46"/>
      <c r="T264" s="46"/>
      <c r="U264" s="46"/>
      <c r="V264" s="46"/>
      <c r="W264" s="32"/>
      <c r="X264" s="32"/>
      <c r="Y264" s="32"/>
      <c r="Z264" s="46"/>
    </row>
    <row r="265" spans="1:26" ht="15.75" customHeight="1" x14ac:dyDescent="0.3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46"/>
      <c r="S265" s="46"/>
      <c r="T265" s="46"/>
      <c r="U265" s="46"/>
      <c r="V265" s="46"/>
      <c r="W265" s="32"/>
      <c r="X265" s="32"/>
      <c r="Y265" s="32"/>
      <c r="Z265" s="46"/>
    </row>
    <row r="266" spans="1:26" ht="15.75" customHeight="1" x14ac:dyDescent="0.3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46"/>
      <c r="S266" s="46"/>
      <c r="T266" s="46"/>
      <c r="U266" s="46"/>
      <c r="V266" s="46"/>
      <c r="W266" s="32"/>
      <c r="X266" s="32"/>
      <c r="Y266" s="32"/>
      <c r="Z266" s="46"/>
    </row>
    <row r="267" spans="1:26" ht="15.75" customHeight="1" x14ac:dyDescent="0.3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46"/>
      <c r="S267" s="46"/>
      <c r="T267" s="46"/>
      <c r="U267" s="46"/>
      <c r="V267" s="46"/>
      <c r="W267" s="32"/>
      <c r="X267" s="32"/>
      <c r="Y267" s="32"/>
      <c r="Z267" s="46"/>
    </row>
    <row r="268" spans="1:26" ht="15.75" customHeight="1" x14ac:dyDescent="0.3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46"/>
      <c r="S268" s="46"/>
      <c r="T268" s="46"/>
      <c r="U268" s="46"/>
      <c r="V268" s="46"/>
      <c r="W268" s="32"/>
      <c r="X268" s="32"/>
      <c r="Y268" s="32"/>
      <c r="Z268" s="46"/>
    </row>
    <row r="269" spans="1:26" ht="15.75" customHeight="1" x14ac:dyDescent="0.3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46"/>
      <c r="S269" s="46"/>
      <c r="T269" s="46"/>
      <c r="U269" s="46"/>
      <c r="V269" s="46"/>
      <c r="W269" s="32"/>
      <c r="X269" s="32"/>
      <c r="Y269" s="32"/>
      <c r="Z269" s="46"/>
    </row>
    <row r="270" spans="1:26" ht="15.75" customHeight="1" x14ac:dyDescent="0.3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46"/>
      <c r="S270" s="46"/>
      <c r="T270" s="46"/>
      <c r="U270" s="46"/>
      <c r="V270" s="46"/>
      <c r="W270" s="32"/>
      <c r="X270" s="32"/>
      <c r="Y270" s="32"/>
      <c r="Z270" s="46"/>
    </row>
    <row r="271" spans="1:26" ht="15.75" customHeight="1" x14ac:dyDescent="0.3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46"/>
      <c r="S271" s="46"/>
      <c r="T271" s="46"/>
      <c r="U271" s="46"/>
      <c r="V271" s="46"/>
      <c r="W271" s="32"/>
      <c r="X271" s="32"/>
      <c r="Y271" s="32"/>
      <c r="Z271" s="46"/>
    </row>
    <row r="272" spans="1:26" ht="15.75" customHeight="1" x14ac:dyDescent="0.3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46"/>
      <c r="S272" s="46"/>
      <c r="T272" s="46"/>
      <c r="U272" s="46"/>
      <c r="V272" s="46"/>
      <c r="W272" s="32"/>
      <c r="X272" s="32"/>
      <c r="Y272" s="32"/>
      <c r="Z272" s="46"/>
    </row>
    <row r="273" spans="1:26" ht="15.75" customHeight="1" x14ac:dyDescent="0.3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46"/>
      <c r="S273" s="46"/>
      <c r="T273" s="46"/>
      <c r="U273" s="46"/>
      <c r="V273" s="46"/>
      <c r="W273" s="32"/>
      <c r="X273" s="32"/>
      <c r="Y273" s="32"/>
      <c r="Z273" s="46"/>
    </row>
    <row r="274" spans="1:26" ht="15.75" customHeight="1" x14ac:dyDescent="0.3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46"/>
      <c r="S274" s="46"/>
      <c r="T274" s="46"/>
      <c r="U274" s="46"/>
      <c r="V274" s="46"/>
      <c r="W274" s="32"/>
      <c r="X274" s="32"/>
      <c r="Y274" s="32"/>
      <c r="Z274" s="46"/>
    </row>
    <row r="275" spans="1:26" ht="15.75" customHeight="1" x14ac:dyDescent="0.3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46"/>
      <c r="S275" s="46"/>
      <c r="T275" s="46"/>
      <c r="U275" s="46"/>
      <c r="V275" s="46"/>
      <c r="W275" s="32"/>
      <c r="X275" s="32"/>
      <c r="Y275" s="32"/>
      <c r="Z275" s="46"/>
    </row>
    <row r="276" spans="1:26" ht="15.75" customHeight="1" x14ac:dyDescent="0.3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46"/>
      <c r="S276" s="46"/>
      <c r="T276" s="46"/>
      <c r="U276" s="46"/>
      <c r="V276" s="46"/>
      <c r="W276" s="32"/>
      <c r="X276" s="32"/>
      <c r="Y276" s="32"/>
      <c r="Z276" s="46"/>
    </row>
    <row r="277" spans="1:26" ht="15.75" customHeight="1" x14ac:dyDescent="0.3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46"/>
      <c r="S277" s="46"/>
      <c r="T277" s="46"/>
      <c r="U277" s="46"/>
      <c r="V277" s="46"/>
      <c r="W277" s="32"/>
      <c r="X277" s="32"/>
      <c r="Y277" s="32"/>
      <c r="Z277" s="46"/>
    </row>
    <row r="278" spans="1:26" ht="15.75" customHeight="1" x14ac:dyDescent="0.3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46"/>
      <c r="S278" s="46"/>
      <c r="T278" s="46"/>
      <c r="U278" s="46"/>
      <c r="V278" s="46"/>
      <c r="W278" s="32"/>
      <c r="X278" s="32"/>
      <c r="Y278" s="32"/>
      <c r="Z278" s="46"/>
    </row>
    <row r="279" spans="1:26" ht="15.75" customHeight="1" x14ac:dyDescent="0.3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46"/>
      <c r="S279" s="46"/>
      <c r="T279" s="46"/>
      <c r="U279" s="46"/>
      <c r="V279" s="46"/>
      <c r="W279" s="32"/>
      <c r="X279" s="32"/>
      <c r="Y279" s="32"/>
      <c r="Z279" s="46"/>
    </row>
    <row r="280" spans="1:26" ht="15.75" customHeight="1" x14ac:dyDescent="0.3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46"/>
      <c r="S280" s="46"/>
      <c r="T280" s="46"/>
      <c r="U280" s="46"/>
      <c r="V280" s="46"/>
      <c r="W280" s="32"/>
      <c r="X280" s="32"/>
      <c r="Y280" s="32"/>
      <c r="Z280" s="46"/>
    </row>
    <row r="281" spans="1:26" ht="15.75" customHeight="1" x14ac:dyDescent="0.3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46"/>
      <c r="S281" s="46"/>
      <c r="T281" s="46"/>
      <c r="U281" s="46"/>
      <c r="V281" s="46"/>
      <c r="W281" s="32"/>
      <c r="X281" s="32"/>
      <c r="Y281" s="32"/>
      <c r="Z281" s="46"/>
    </row>
    <row r="282" spans="1:26" ht="15.75" customHeight="1" x14ac:dyDescent="0.3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46"/>
      <c r="S282" s="46"/>
      <c r="T282" s="46"/>
      <c r="U282" s="46"/>
      <c r="V282" s="46"/>
      <c r="W282" s="32"/>
      <c r="X282" s="32"/>
      <c r="Y282" s="32"/>
      <c r="Z282" s="46"/>
    </row>
    <row r="283" spans="1:26" ht="15.75" customHeight="1" x14ac:dyDescent="0.3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46"/>
      <c r="S283" s="46"/>
      <c r="T283" s="46"/>
      <c r="U283" s="46"/>
      <c r="V283" s="46"/>
      <c r="W283" s="32"/>
      <c r="X283" s="32"/>
      <c r="Y283" s="32"/>
      <c r="Z283" s="46"/>
    </row>
    <row r="284" spans="1:26" ht="15.75" customHeight="1" x14ac:dyDescent="0.3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46"/>
      <c r="S284" s="46"/>
      <c r="T284" s="46"/>
      <c r="U284" s="46"/>
      <c r="V284" s="46"/>
      <c r="W284" s="32"/>
      <c r="X284" s="32"/>
      <c r="Y284" s="32"/>
      <c r="Z284" s="46"/>
    </row>
    <row r="285" spans="1:26" ht="15.75" customHeight="1" x14ac:dyDescent="0.3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46"/>
      <c r="S285" s="46"/>
      <c r="T285" s="46"/>
      <c r="U285" s="46"/>
      <c r="V285" s="46"/>
      <c r="W285" s="32"/>
      <c r="X285" s="32"/>
      <c r="Y285" s="32"/>
      <c r="Z285" s="46"/>
    </row>
    <row r="286" spans="1:26" ht="15.75" customHeight="1" x14ac:dyDescent="0.3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46"/>
      <c r="S286" s="46"/>
      <c r="T286" s="46"/>
      <c r="U286" s="46"/>
      <c r="V286" s="46"/>
      <c r="W286" s="32"/>
      <c r="X286" s="32"/>
      <c r="Y286" s="32"/>
      <c r="Z286" s="46"/>
    </row>
    <row r="287" spans="1:26" ht="15.75" customHeight="1" x14ac:dyDescent="0.3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46"/>
      <c r="S287" s="46"/>
      <c r="T287" s="46"/>
      <c r="U287" s="46"/>
      <c r="V287" s="46"/>
      <c r="W287" s="32"/>
      <c r="X287" s="32"/>
      <c r="Y287" s="32"/>
      <c r="Z287" s="46"/>
    </row>
    <row r="288" spans="1:26" ht="15.75" customHeight="1" x14ac:dyDescent="0.3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46"/>
      <c r="S288" s="46"/>
      <c r="T288" s="46"/>
      <c r="U288" s="46"/>
      <c r="V288" s="46"/>
      <c r="W288" s="32"/>
      <c r="X288" s="32"/>
      <c r="Y288" s="32"/>
      <c r="Z288" s="46"/>
    </row>
    <row r="289" spans="1:26" ht="15.75" customHeight="1" x14ac:dyDescent="0.3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46"/>
      <c r="S289" s="46"/>
      <c r="T289" s="46"/>
      <c r="U289" s="46"/>
      <c r="V289" s="46"/>
      <c r="W289" s="32"/>
      <c r="X289" s="32"/>
      <c r="Y289" s="32"/>
      <c r="Z289" s="46"/>
    </row>
    <row r="290" spans="1:26" ht="15.75" customHeight="1" x14ac:dyDescent="0.3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46"/>
      <c r="S290" s="46"/>
      <c r="T290" s="46"/>
      <c r="U290" s="46"/>
      <c r="V290" s="46"/>
      <c r="W290" s="32"/>
      <c r="X290" s="32"/>
      <c r="Y290" s="32"/>
      <c r="Z290" s="46"/>
    </row>
    <row r="291" spans="1:26" ht="15.75" customHeight="1" x14ac:dyDescent="0.3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46"/>
      <c r="S291" s="46"/>
      <c r="T291" s="46"/>
      <c r="U291" s="46"/>
      <c r="V291" s="46"/>
      <c r="W291" s="32"/>
      <c r="X291" s="32"/>
      <c r="Y291" s="32"/>
      <c r="Z291" s="46"/>
    </row>
    <row r="292" spans="1:26" ht="15.75" customHeight="1" x14ac:dyDescent="0.3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46"/>
      <c r="S292" s="46"/>
      <c r="T292" s="46"/>
      <c r="U292" s="46"/>
      <c r="V292" s="46"/>
      <c r="W292" s="32"/>
      <c r="X292" s="32"/>
      <c r="Y292" s="32"/>
      <c r="Z292" s="46"/>
    </row>
    <row r="293" spans="1:26" ht="15.75" customHeight="1" x14ac:dyDescent="0.3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46"/>
      <c r="S293" s="46"/>
      <c r="T293" s="46"/>
      <c r="U293" s="46"/>
      <c r="V293" s="46"/>
      <c r="W293" s="32"/>
      <c r="X293" s="32"/>
      <c r="Y293" s="32"/>
      <c r="Z293" s="46"/>
    </row>
    <row r="294" spans="1:26" ht="15.75" customHeight="1" x14ac:dyDescent="0.3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46"/>
      <c r="S294" s="46"/>
      <c r="T294" s="46"/>
      <c r="U294" s="46"/>
      <c r="V294" s="46"/>
      <c r="W294" s="32"/>
      <c r="X294" s="32"/>
      <c r="Y294" s="32"/>
      <c r="Z294" s="46"/>
    </row>
    <row r="295" spans="1:26" ht="15.75" customHeight="1" x14ac:dyDescent="0.3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46"/>
      <c r="S295" s="46"/>
      <c r="T295" s="46"/>
      <c r="U295" s="46"/>
      <c r="V295" s="46"/>
      <c r="W295" s="32"/>
      <c r="X295" s="32"/>
      <c r="Y295" s="32"/>
      <c r="Z295" s="46"/>
    </row>
    <row r="296" spans="1:26" ht="15.75" customHeight="1" x14ac:dyDescent="0.3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46"/>
      <c r="S296" s="46"/>
      <c r="T296" s="46"/>
      <c r="U296" s="46"/>
      <c r="V296" s="46"/>
      <c r="W296" s="32"/>
      <c r="X296" s="32"/>
      <c r="Y296" s="32"/>
      <c r="Z296" s="46"/>
    </row>
    <row r="297" spans="1:26" ht="15.75" customHeight="1" x14ac:dyDescent="0.3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46"/>
      <c r="S297" s="46"/>
      <c r="T297" s="46"/>
      <c r="U297" s="46"/>
      <c r="V297" s="46"/>
      <c r="W297" s="32"/>
      <c r="X297" s="32"/>
      <c r="Y297" s="32"/>
      <c r="Z297" s="46"/>
    </row>
    <row r="298" spans="1:26" ht="15.75" customHeight="1" x14ac:dyDescent="0.3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46"/>
      <c r="S298" s="46"/>
      <c r="T298" s="46"/>
      <c r="U298" s="46"/>
      <c r="V298" s="46"/>
      <c r="W298" s="32"/>
      <c r="X298" s="32"/>
      <c r="Y298" s="32"/>
      <c r="Z298" s="46"/>
    </row>
    <row r="299" spans="1:26" ht="15.75" customHeight="1" x14ac:dyDescent="0.3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46"/>
      <c r="S299" s="46"/>
      <c r="T299" s="46"/>
      <c r="U299" s="46"/>
      <c r="V299" s="46"/>
      <c r="W299" s="32"/>
      <c r="X299" s="32"/>
      <c r="Y299" s="32"/>
      <c r="Z299" s="46"/>
    </row>
    <row r="300" spans="1:26" ht="15.75" customHeight="1" x14ac:dyDescent="0.3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46"/>
      <c r="S300" s="46"/>
      <c r="T300" s="46"/>
      <c r="U300" s="46"/>
      <c r="V300" s="46"/>
      <c r="W300" s="32"/>
      <c r="X300" s="32"/>
      <c r="Y300" s="32"/>
      <c r="Z300" s="46"/>
    </row>
    <row r="301" spans="1:26" ht="15.75" customHeight="1" x14ac:dyDescent="0.3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46"/>
      <c r="S301" s="46"/>
      <c r="T301" s="46"/>
      <c r="U301" s="46"/>
      <c r="V301" s="46"/>
      <c r="W301" s="32"/>
      <c r="X301" s="32"/>
      <c r="Y301" s="32"/>
      <c r="Z301" s="46"/>
    </row>
    <row r="302" spans="1:26" ht="15.75" customHeight="1" x14ac:dyDescent="0.3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46"/>
      <c r="S302" s="46"/>
      <c r="T302" s="46"/>
      <c r="U302" s="46"/>
      <c r="V302" s="46"/>
      <c r="W302" s="32"/>
      <c r="X302" s="32"/>
      <c r="Y302" s="32"/>
      <c r="Z302" s="46"/>
    </row>
    <row r="303" spans="1:26" ht="15.75" customHeight="1" x14ac:dyDescent="0.3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46"/>
      <c r="S303" s="46"/>
      <c r="T303" s="46"/>
      <c r="U303" s="46"/>
      <c r="V303" s="46"/>
      <c r="W303" s="32"/>
      <c r="X303" s="32"/>
      <c r="Y303" s="32"/>
      <c r="Z303" s="46"/>
    </row>
    <row r="304" spans="1:26" ht="15.75" customHeight="1" x14ac:dyDescent="0.3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46"/>
      <c r="S304" s="46"/>
      <c r="T304" s="46"/>
      <c r="U304" s="46"/>
      <c r="V304" s="46"/>
      <c r="W304" s="32"/>
      <c r="X304" s="32"/>
      <c r="Y304" s="32"/>
      <c r="Z304" s="46"/>
    </row>
    <row r="305" spans="1:26" ht="15.75" customHeight="1" x14ac:dyDescent="0.3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46"/>
      <c r="S305" s="46"/>
      <c r="T305" s="46"/>
      <c r="U305" s="46"/>
      <c r="V305" s="46"/>
      <c r="W305" s="32"/>
      <c r="X305" s="32"/>
      <c r="Y305" s="32"/>
      <c r="Z305" s="46"/>
    </row>
    <row r="306" spans="1:26" ht="15.75" customHeight="1" x14ac:dyDescent="0.3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46"/>
      <c r="S306" s="46"/>
      <c r="T306" s="46"/>
      <c r="U306" s="46"/>
      <c r="V306" s="46"/>
      <c r="W306" s="32"/>
      <c r="X306" s="32"/>
      <c r="Y306" s="32"/>
      <c r="Z306" s="46"/>
    </row>
    <row r="307" spans="1:26" ht="15.75" customHeight="1" x14ac:dyDescent="0.3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46"/>
      <c r="S307" s="46"/>
      <c r="T307" s="46"/>
      <c r="U307" s="46"/>
      <c r="V307" s="46"/>
      <c r="W307" s="32"/>
      <c r="X307" s="32"/>
      <c r="Y307" s="32"/>
      <c r="Z307" s="46"/>
    </row>
    <row r="308" spans="1:26" ht="15.75" customHeight="1" x14ac:dyDescent="0.3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46"/>
      <c r="S308" s="46"/>
      <c r="T308" s="46"/>
      <c r="U308" s="46"/>
      <c r="V308" s="46"/>
      <c r="W308" s="32"/>
      <c r="X308" s="32"/>
      <c r="Y308" s="32"/>
      <c r="Z308" s="46"/>
    </row>
    <row r="309" spans="1:26" ht="15.75" customHeight="1" x14ac:dyDescent="0.3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46"/>
      <c r="S309" s="46"/>
      <c r="T309" s="46"/>
      <c r="U309" s="46"/>
      <c r="V309" s="46"/>
      <c r="W309" s="32"/>
      <c r="X309" s="32"/>
      <c r="Y309" s="32"/>
      <c r="Z309" s="46"/>
    </row>
    <row r="310" spans="1:26" ht="15.75" customHeight="1" x14ac:dyDescent="0.3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46"/>
      <c r="S310" s="46"/>
      <c r="T310" s="46"/>
      <c r="U310" s="46"/>
      <c r="V310" s="46"/>
      <c r="W310" s="32"/>
      <c r="X310" s="32"/>
      <c r="Y310" s="32"/>
      <c r="Z310" s="46"/>
    </row>
    <row r="311" spans="1:26" ht="15.75" customHeight="1" x14ac:dyDescent="0.3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46"/>
      <c r="S311" s="46"/>
      <c r="T311" s="46"/>
      <c r="U311" s="46"/>
      <c r="V311" s="46"/>
      <c r="W311" s="32"/>
      <c r="X311" s="32"/>
      <c r="Y311" s="32"/>
      <c r="Z311" s="46"/>
    </row>
    <row r="312" spans="1:26" ht="15.75" customHeight="1" x14ac:dyDescent="0.3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46"/>
      <c r="S312" s="46"/>
      <c r="T312" s="46"/>
      <c r="U312" s="46"/>
      <c r="V312" s="46"/>
      <c r="W312" s="32"/>
      <c r="X312" s="32"/>
      <c r="Y312" s="32"/>
      <c r="Z312" s="46"/>
    </row>
    <row r="313" spans="1:26" ht="15.75" customHeight="1" x14ac:dyDescent="0.3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46"/>
      <c r="S313" s="46"/>
      <c r="T313" s="46"/>
      <c r="U313" s="46"/>
      <c r="V313" s="46"/>
      <c r="W313" s="32"/>
      <c r="X313" s="32"/>
      <c r="Y313" s="32"/>
      <c r="Z313" s="46"/>
    </row>
    <row r="314" spans="1:26" ht="15.75" customHeight="1" x14ac:dyDescent="0.3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46"/>
      <c r="S314" s="46"/>
      <c r="T314" s="46"/>
      <c r="U314" s="46"/>
      <c r="V314" s="46"/>
      <c r="W314" s="32"/>
      <c r="X314" s="32"/>
      <c r="Y314" s="32"/>
      <c r="Z314" s="46"/>
    </row>
    <row r="315" spans="1:26" ht="15.75" customHeight="1" x14ac:dyDescent="0.3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46"/>
      <c r="S315" s="46"/>
      <c r="T315" s="46"/>
      <c r="U315" s="46"/>
      <c r="V315" s="46"/>
      <c r="W315" s="32"/>
      <c r="X315" s="32"/>
      <c r="Y315" s="32"/>
      <c r="Z315" s="46"/>
    </row>
    <row r="316" spans="1:26" ht="15.75" customHeight="1" x14ac:dyDescent="0.3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46"/>
      <c r="S316" s="46"/>
      <c r="T316" s="46"/>
      <c r="U316" s="46"/>
      <c r="V316" s="46"/>
      <c r="W316" s="32"/>
      <c r="X316" s="32"/>
      <c r="Y316" s="32"/>
      <c r="Z316" s="46"/>
    </row>
    <row r="317" spans="1:26" ht="15.75" customHeight="1" x14ac:dyDescent="0.3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46"/>
      <c r="S317" s="46"/>
      <c r="T317" s="46"/>
      <c r="U317" s="46"/>
      <c r="V317" s="46"/>
      <c r="W317" s="32"/>
      <c r="X317" s="32"/>
      <c r="Y317" s="32"/>
      <c r="Z317" s="46"/>
    </row>
    <row r="318" spans="1:26" ht="15.75" customHeight="1" x14ac:dyDescent="0.3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46"/>
      <c r="S318" s="46"/>
      <c r="T318" s="46"/>
      <c r="U318" s="46"/>
      <c r="V318" s="46"/>
      <c r="W318" s="32"/>
      <c r="X318" s="32"/>
      <c r="Y318" s="32"/>
      <c r="Z318" s="46"/>
    </row>
    <row r="319" spans="1:26" ht="15.75" customHeight="1" x14ac:dyDescent="0.3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46"/>
      <c r="S319" s="46"/>
      <c r="T319" s="46"/>
      <c r="U319" s="46"/>
      <c r="V319" s="46"/>
      <c r="W319" s="32"/>
      <c r="X319" s="32"/>
      <c r="Y319" s="32"/>
      <c r="Z319" s="46"/>
    </row>
    <row r="320" spans="1:26" ht="15.75" customHeight="1" x14ac:dyDescent="0.3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46"/>
      <c r="S320" s="46"/>
      <c r="T320" s="46"/>
      <c r="U320" s="46"/>
      <c r="V320" s="46"/>
      <c r="W320" s="32"/>
      <c r="X320" s="32"/>
      <c r="Y320" s="32"/>
      <c r="Z320" s="46"/>
    </row>
    <row r="321" spans="1:26" ht="15.75" customHeight="1" x14ac:dyDescent="0.3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46"/>
      <c r="S321" s="46"/>
      <c r="T321" s="46"/>
      <c r="U321" s="46"/>
      <c r="V321" s="46"/>
      <c r="W321" s="32"/>
      <c r="X321" s="32"/>
      <c r="Y321" s="32"/>
      <c r="Z321" s="46"/>
    </row>
    <row r="322" spans="1:26" ht="15.75" customHeight="1" x14ac:dyDescent="0.3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46"/>
      <c r="S322" s="46"/>
      <c r="T322" s="46"/>
      <c r="U322" s="46"/>
      <c r="V322" s="46"/>
      <c r="W322" s="32"/>
      <c r="X322" s="32"/>
      <c r="Y322" s="32"/>
      <c r="Z322" s="46"/>
    </row>
    <row r="323" spans="1:26" ht="15.75" customHeight="1" x14ac:dyDescent="0.3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46"/>
      <c r="S323" s="46"/>
      <c r="T323" s="46"/>
      <c r="U323" s="46"/>
      <c r="V323" s="46"/>
      <c r="W323" s="32"/>
      <c r="X323" s="32"/>
      <c r="Y323" s="32"/>
      <c r="Z323" s="46"/>
    </row>
    <row r="324" spans="1:26" ht="15.75" customHeight="1" x14ac:dyDescent="0.3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46"/>
      <c r="S324" s="46"/>
      <c r="T324" s="46"/>
      <c r="U324" s="46"/>
      <c r="V324" s="46"/>
      <c r="W324" s="32"/>
      <c r="X324" s="32"/>
      <c r="Y324" s="32"/>
      <c r="Z324" s="46"/>
    </row>
    <row r="325" spans="1:26" ht="15.75" customHeight="1" x14ac:dyDescent="0.3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46"/>
      <c r="S325" s="46"/>
      <c r="T325" s="46"/>
      <c r="U325" s="46"/>
      <c r="V325" s="46"/>
      <c r="W325" s="32"/>
      <c r="X325" s="32"/>
      <c r="Y325" s="32"/>
      <c r="Z325" s="46"/>
    </row>
    <row r="326" spans="1:26" ht="15.75" customHeight="1" x14ac:dyDescent="0.3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46"/>
      <c r="S326" s="46"/>
      <c r="T326" s="46"/>
      <c r="U326" s="46"/>
      <c r="V326" s="46"/>
      <c r="W326" s="32"/>
      <c r="X326" s="32"/>
      <c r="Y326" s="32"/>
      <c r="Z326" s="46"/>
    </row>
    <row r="327" spans="1:26" ht="15.75" customHeight="1" x14ac:dyDescent="0.3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46"/>
      <c r="S327" s="46"/>
      <c r="T327" s="46"/>
      <c r="U327" s="46"/>
      <c r="V327" s="46"/>
      <c r="W327" s="32"/>
      <c r="X327" s="32"/>
      <c r="Y327" s="32"/>
      <c r="Z327" s="46"/>
    </row>
    <row r="328" spans="1:26" ht="15.75" customHeight="1" x14ac:dyDescent="0.3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46"/>
      <c r="S328" s="46"/>
      <c r="T328" s="46"/>
      <c r="U328" s="46"/>
      <c r="V328" s="46"/>
      <c r="W328" s="32"/>
      <c r="X328" s="32"/>
      <c r="Y328" s="32"/>
      <c r="Z328" s="46"/>
    </row>
    <row r="329" spans="1:26" ht="15.75" customHeight="1" x14ac:dyDescent="0.3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46"/>
      <c r="S329" s="46"/>
      <c r="T329" s="46"/>
      <c r="U329" s="46"/>
      <c r="V329" s="46"/>
      <c r="W329" s="32"/>
      <c r="X329" s="32"/>
      <c r="Y329" s="32"/>
      <c r="Z329" s="46"/>
    </row>
    <row r="330" spans="1:26" ht="15.75" customHeight="1" x14ac:dyDescent="0.3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46"/>
      <c r="S330" s="46"/>
      <c r="T330" s="46"/>
      <c r="U330" s="46"/>
      <c r="V330" s="46"/>
      <c r="W330" s="32"/>
      <c r="X330" s="32"/>
      <c r="Y330" s="32"/>
      <c r="Z330" s="46"/>
    </row>
    <row r="331" spans="1:26" ht="15.75" customHeight="1" x14ac:dyDescent="0.3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46"/>
      <c r="S331" s="46"/>
      <c r="T331" s="46"/>
      <c r="U331" s="46"/>
      <c r="V331" s="46"/>
      <c r="W331" s="32"/>
      <c r="X331" s="32"/>
      <c r="Y331" s="32"/>
      <c r="Z331" s="46"/>
    </row>
    <row r="332" spans="1:26" ht="15.75" customHeight="1" x14ac:dyDescent="0.3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46"/>
      <c r="S332" s="46"/>
      <c r="T332" s="46"/>
      <c r="U332" s="46"/>
      <c r="V332" s="46"/>
      <c r="W332" s="32"/>
      <c r="X332" s="32"/>
      <c r="Y332" s="32"/>
      <c r="Z332" s="46"/>
    </row>
    <row r="333" spans="1:26" ht="15.75" customHeight="1" x14ac:dyDescent="0.3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46"/>
      <c r="S333" s="46"/>
      <c r="T333" s="46"/>
      <c r="U333" s="46"/>
      <c r="V333" s="46"/>
      <c r="W333" s="32"/>
      <c r="X333" s="32"/>
      <c r="Y333" s="32"/>
      <c r="Z333" s="46"/>
    </row>
    <row r="334" spans="1:26" ht="15.75" customHeight="1" x14ac:dyDescent="0.3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46"/>
      <c r="S334" s="46"/>
      <c r="T334" s="46"/>
      <c r="U334" s="46"/>
      <c r="V334" s="46"/>
      <c r="W334" s="32"/>
      <c r="X334" s="32"/>
      <c r="Y334" s="32"/>
      <c r="Z334" s="46"/>
    </row>
    <row r="335" spans="1:26" ht="15.75" customHeight="1" x14ac:dyDescent="0.3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46"/>
      <c r="S335" s="46"/>
      <c r="T335" s="46"/>
      <c r="U335" s="46"/>
      <c r="V335" s="46"/>
      <c r="W335" s="32"/>
      <c r="X335" s="32"/>
      <c r="Y335" s="32"/>
      <c r="Z335" s="46"/>
    </row>
    <row r="336" spans="1:26" ht="15.75" customHeight="1" x14ac:dyDescent="0.3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46"/>
      <c r="S336" s="46"/>
      <c r="T336" s="46"/>
      <c r="U336" s="46"/>
      <c r="V336" s="46"/>
      <c r="W336" s="32"/>
      <c r="X336" s="32"/>
      <c r="Y336" s="32"/>
      <c r="Z336" s="46"/>
    </row>
    <row r="337" spans="1:26" ht="15.75" customHeight="1" x14ac:dyDescent="0.3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46"/>
      <c r="S337" s="46"/>
      <c r="T337" s="46"/>
      <c r="U337" s="46"/>
      <c r="V337" s="46"/>
      <c r="W337" s="32"/>
      <c r="X337" s="32"/>
      <c r="Y337" s="32"/>
      <c r="Z337" s="46"/>
    </row>
    <row r="338" spans="1:26" ht="15.75" customHeight="1" x14ac:dyDescent="0.3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46"/>
      <c r="S338" s="46"/>
      <c r="T338" s="46"/>
      <c r="U338" s="46"/>
      <c r="V338" s="46"/>
      <c r="W338" s="32"/>
      <c r="X338" s="32"/>
      <c r="Y338" s="32"/>
      <c r="Z338" s="46"/>
    </row>
    <row r="339" spans="1:26" ht="15.75" customHeight="1" x14ac:dyDescent="0.3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46"/>
      <c r="S339" s="46"/>
      <c r="T339" s="46"/>
      <c r="U339" s="46"/>
      <c r="V339" s="46"/>
      <c r="W339" s="32"/>
      <c r="X339" s="32"/>
      <c r="Y339" s="32"/>
      <c r="Z339" s="46"/>
    </row>
    <row r="340" spans="1:26" ht="15.75" customHeight="1" x14ac:dyDescent="0.3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46"/>
      <c r="S340" s="46"/>
      <c r="T340" s="46"/>
      <c r="U340" s="46"/>
      <c r="V340" s="46"/>
      <c r="W340" s="32"/>
      <c r="X340" s="32"/>
      <c r="Y340" s="32"/>
      <c r="Z340" s="46"/>
    </row>
    <row r="341" spans="1:26" ht="15.75" customHeight="1" x14ac:dyDescent="0.3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46"/>
      <c r="S341" s="46"/>
      <c r="T341" s="46"/>
      <c r="U341" s="46"/>
      <c r="V341" s="46"/>
      <c r="W341" s="32"/>
      <c r="X341" s="32"/>
      <c r="Y341" s="32"/>
      <c r="Z341" s="46"/>
    </row>
    <row r="342" spans="1:26" ht="15.75" customHeight="1" x14ac:dyDescent="0.3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46"/>
      <c r="S342" s="46"/>
      <c r="T342" s="46"/>
      <c r="U342" s="46"/>
      <c r="V342" s="46"/>
      <c r="W342" s="32"/>
      <c r="X342" s="32"/>
      <c r="Y342" s="32"/>
      <c r="Z342" s="46"/>
    </row>
    <row r="343" spans="1:26" ht="15.75" customHeight="1" x14ac:dyDescent="0.3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46"/>
      <c r="S343" s="46"/>
      <c r="T343" s="46"/>
      <c r="U343" s="46"/>
      <c r="V343" s="46"/>
      <c r="W343" s="32"/>
      <c r="X343" s="32"/>
      <c r="Y343" s="32"/>
      <c r="Z343" s="46"/>
    </row>
    <row r="344" spans="1:26" ht="15.75" customHeight="1" x14ac:dyDescent="0.3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46"/>
      <c r="S344" s="46"/>
      <c r="T344" s="46"/>
      <c r="U344" s="46"/>
      <c r="V344" s="46"/>
      <c r="W344" s="32"/>
      <c r="X344" s="32"/>
      <c r="Y344" s="32"/>
      <c r="Z344" s="46"/>
    </row>
    <row r="345" spans="1:26" ht="15.75" customHeight="1" x14ac:dyDescent="0.3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46"/>
      <c r="S345" s="46"/>
      <c r="T345" s="46"/>
      <c r="U345" s="46"/>
      <c r="V345" s="46"/>
      <c r="W345" s="32"/>
      <c r="X345" s="32"/>
      <c r="Y345" s="32"/>
      <c r="Z345" s="46"/>
    </row>
    <row r="346" spans="1:26" ht="15.75" customHeight="1" x14ac:dyDescent="0.3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46"/>
      <c r="S346" s="46"/>
      <c r="T346" s="46"/>
      <c r="U346" s="46"/>
      <c r="V346" s="46"/>
      <c r="W346" s="32"/>
      <c r="X346" s="32"/>
      <c r="Y346" s="32"/>
      <c r="Z346" s="46"/>
    </row>
    <row r="347" spans="1:26" ht="15.75" customHeight="1" x14ac:dyDescent="0.3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46"/>
      <c r="S347" s="46"/>
      <c r="T347" s="46"/>
      <c r="U347" s="46"/>
      <c r="V347" s="46"/>
      <c r="W347" s="32"/>
      <c r="X347" s="32"/>
      <c r="Y347" s="32"/>
      <c r="Z347" s="46"/>
    </row>
    <row r="348" spans="1:26" ht="15.75" customHeight="1" x14ac:dyDescent="0.3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46"/>
      <c r="S348" s="46"/>
      <c r="T348" s="46"/>
      <c r="U348" s="46"/>
      <c r="V348" s="46"/>
      <c r="W348" s="32"/>
      <c r="X348" s="32"/>
      <c r="Y348" s="32"/>
      <c r="Z348" s="46"/>
    </row>
    <row r="349" spans="1:26" ht="15.75" customHeight="1" x14ac:dyDescent="0.3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46"/>
      <c r="S349" s="46"/>
      <c r="T349" s="46"/>
      <c r="U349" s="46"/>
      <c r="V349" s="46"/>
      <c r="W349" s="32"/>
      <c r="X349" s="32"/>
      <c r="Y349" s="32"/>
      <c r="Z349" s="46"/>
    </row>
    <row r="350" spans="1:26" ht="15.75" customHeight="1" x14ac:dyDescent="0.3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46"/>
      <c r="S350" s="46"/>
      <c r="T350" s="46"/>
      <c r="U350" s="46"/>
      <c r="V350" s="46"/>
      <c r="W350" s="32"/>
      <c r="X350" s="32"/>
      <c r="Y350" s="32"/>
      <c r="Z350" s="46"/>
    </row>
    <row r="351" spans="1:26" ht="15.75" customHeight="1" x14ac:dyDescent="0.3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46"/>
      <c r="S351" s="46"/>
      <c r="T351" s="46"/>
      <c r="U351" s="46"/>
      <c r="V351" s="46"/>
      <c r="W351" s="32"/>
      <c r="X351" s="32"/>
      <c r="Y351" s="32"/>
      <c r="Z351" s="46"/>
    </row>
    <row r="352" spans="1:26" ht="15.75" customHeight="1" x14ac:dyDescent="0.3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46"/>
      <c r="S352" s="46"/>
      <c r="T352" s="46"/>
      <c r="U352" s="46"/>
      <c r="V352" s="46"/>
      <c r="W352" s="32"/>
      <c r="X352" s="32"/>
      <c r="Y352" s="32"/>
      <c r="Z352" s="46"/>
    </row>
    <row r="353" spans="1:26" ht="15.75" customHeight="1" x14ac:dyDescent="0.3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46"/>
      <c r="S353" s="46"/>
      <c r="T353" s="46"/>
      <c r="U353" s="46"/>
      <c r="V353" s="46"/>
      <c r="W353" s="32"/>
      <c r="X353" s="32"/>
      <c r="Y353" s="32"/>
      <c r="Z353" s="46"/>
    </row>
    <row r="354" spans="1:26" ht="15.75" customHeight="1" x14ac:dyDescent="0.3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46"/>
      <c r="S354" s="46"/>
      <c r="T354" s="46"/>
      <c r="U354" s="46"/>
      <c r="V354" s="46"/>
      <c r="W354" s="32"/>
      <c r="X354" s="32"/>
      <c r="Y354" s="32"/>
      <c r="Z354" s="46"/>
    </row>
    <row r="355" spans="1:26" ht="15.75" customHeight="1" x14ac:dyDescent="0.3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46"/>
      <c r="S355" s="46"/>
      <c r="T355" s="46"/>
      <c r="U355" s="46"/>
      <c r="V355" s="46"/>
      <c r="W355" s="32"/>
      <c r="X355" s="32"/>
      <c r="Y355" s="32"/>
      <c r="Z355" s="46"/>
    </row>
    <row r="356" spans="1:26" ht="15.75" customHeight="1" x14ac:dyDescent="0.3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46"/>
      <c r="S356" s="46"/>
      <c r="T356" s="46"/>
      <c r="U356" s="46"/>
      <c r="V356" s="46"/>
      <c r="W356" s="32"/>
      <c r="X356" s="32"/>
      <c r="Y356" s="32"/>
      <c r="Z356" s="46"/>
    </row>
    <row r="357" spans="1:26" ht="15.75" customHeight="1" x14ac:dyDescent="0.3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46"/>
      <c r="S357" s="46"/>
      <c r="T357" s="46"/>
      <c r="U357" s="46"/>
      <c r="V357" s="46"/>
      <c r="W357" s="32"/>
      <c r="X357" s="32"/>
      <c r="Y357" s="32"/>
      <c r="Z357" s="46"/>
    </row>
    <row r="358" spans="1:26" ht="15.75" customHeight="1" x14ac:dyDescent="0.3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46"/>
      <c r="S358" s="46"/>
      <c r="T358" s="46"/>
      <c r="U358" s="46"/>
      <c r="V358" s="46"/>
      <c r="W358" s="32"/>
      <c r="X358" s="32"/>
      <c r="Y358" s="32"/>
      <c r="Z358" s="46"/>
    </row>
    <row r="359" spans="1:26" ht="15.75" customHeight="1" x14ac:dyDescent="0.3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46"/>
      <c r="S359" s="46"/>
      <c r="T359" s="46"/>
      <c r="U359" s="46"/>
      <c r="V359" s="46"/>
      <c r="W359" s="32"/>
      <c r="X359" s="32"/>
      <c r="Y359" s="32"/>
      <c r="Z359" s="46"/>
    </row>
    <row r="360" spans="1:26" ht="15.75" customHeight="1" x14ac:dyDescent="0.3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46"/>
      <c r="S360" s="46"/>
      <c r="T360" s="46"/>
      <c r="U360" s="46"/>
      <c r="V360" s="46"/>
      <c r="W360" s="32"/>
      <c r="X360" s="32"/>
      <c r="Y360" s="32"/>
      <c r="Z360" s="46"/>
    </row>
    <row r="361" spans="1:26" ht="15.75" customHeight="1" x14ac:dyDescent="0.3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46"/>
      <c r="S361" s="46"/>
      <c r="T361" s="46"/>
      <c r="U361" s="46"/>
      <c r="V361" s="46"/>
      <c r="W361" s="32"/>
      <c r="X361" s="32"/>
      <c r="Y361" s="32"/>
      <c r="Z361" s="46"/>
    </row>
    <row r="362" spans="1:26" ht="15.75" customHeight="1" x14ac:dyDescent="0.3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46"/>
      <c r="S362" s="46"/>
      <c r="T362" s="46"/>
      <c r="U362" s="46"/>
      <c r="V362" s="46"/>
      <c r="W362" s="32"/>
      <c r="X362" s="32"/>
      <c r="Y362" s="32"/>
      <c r="Z362" s="46"/>
    </row>
    <row r="363" spans="1:26" ht="15.75" customHeight="1" x14ac:dyDescent="0.3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46"/>
      <c r="S363" s="46"/>
      <c r="T363" s="46"/>
      <c r="U363" s="46"/>
      <c r="V363" s="46"/>
      <c r="W363" s="32"/>
      <c r="X363" s="32"/>
      <c r="Y363" s="32"/>
      <c r="Z363" s="46"/>
    </row>
    <row r="364" spans="1:26" ht="15.75" customHeight="1" x14ac:dyDescent="0.3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46"/>
      <c r="S364" s="46"/>
      <c r="T364" s="46"/>
      <c r="U364" s="46"/>
      <c r="V364" s="46"/>
      <c r="W364" s="32"/>
      <c r="X364" s="32"/>
      <c r="Y364" s="32"/>
      <c r="Z364" s="46"/>
    </row>
    <row r="365" spans="1:26" ht="15.75" customHeight="1" x14ac:dyDescent="0.3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46"/>
      <c r="S365" s="46"/>
      <c r="T365" s="46"/>
      <c r="U365" s="46"/>
      <c r="V365" s="46"/>
      <c r="W365" s="32"/>
      <c r="X365" s="32"/>
      <c r="Y365" s="32"/>
      <c r="Z365" s="46"/>
    </row>
    <row r="366" spans="1:26" ht="15.75" customHeight="1" x14ac:dyDescent="0.3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46"/>
      <c r="S366" s="46"/>
      <c r="T366" s="46"/>
      <c r="U366" s="46"/>
      <c r="V366" s="46"/>
      <c r="W366" s="32"/>
      <c r="X366" s="32"/>
      <c r="Y366" s="32"/>
      <c r="Z366" s="46"/>
    </row>
    <row r="367" spans="1:26" ht="15.75" customHeight="1" x14ac:dyDescent="0.3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46"/>
      <c r="S367" s="46"/>
      <c r="T367" s="46"/>
      <c r="U367" s="46"/>
      <c r="V367" s="46"/>
      <c r="W367" s="32"/>
      <c r="X367" s="32"/>
      <c r="Y367" s="32"/>
      <c r="Z367" s="46"/>
    </row>
    <row r="368" spans="1:26" ht="15.75" customHeight="1" x14ac:dyDescent="0.3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46"/>
      <c r="S368" s="46"/>
      <c r="T368" s="46"/>
      <c r="U368" s="46"/>
      <c r="V368" s="46"/>
      <c r="W368" s="32"/>
      <c r="X368" s="32"/>
      <c r="Y368" s="32"/>
      <c r="Z368" s="46"/>
    </row>
    <row r="369" spans="1:26" ht="15.75" customHeight="1" x14ac:dyDescent="0.3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46"/>
      <c r="S369" s="46"/>
      <c r="T369" s="46"/>
      <c r="U369" s="46"/>
      <c r="V369" s="46"/>
      <c r="W369" s="32"/>
      <c r="X369" s="32"/>
      <c r="Y369" s="32"/>
      <c r="Z369" s="46"/>
    </row>
    <row r="370" spans="1:26" ht="15.75" customHeight="1" x14ac:dyDescent="0.3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46"/>
      <c r="S370" s="46"/>
      <c r="T370" s="46"/>
      <c r="U370" s="46"/>
      <c r="V370" s="46"/>
      <c r="W370" s="32"/>
      <c r="X370" s="32"/>
      <c r="Y370" s="32"/>
      <c r="Z370" s="46"/>
    </row>
    <row r="371" spans="1:26" ht="15.75" customHeight="1" x14ac:dyDescent="0.3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46"/>
      <c r="S371" s="46"/>
      <c r="T371" s="46"/>
      <c r="U371" s="46"/>
      <c r="V371" s="46"/>
      <c r="W371" s="32"/>
      <c r="X371" s="32"/>
      <c r="Y371" s="32"/>
      <c r="Z371" s="46"/>
    </row>
    <row r="372" spans="1:26" ht="15.75" customHeight="1" x14ac:dyDescent="0.3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46"/>
      <c r="S372" s="46"/>
      <c r="T372" s="46"/>
      <c r="U372" s="46"/>
      <c r="V372" s="46"/>
      <c r="W372" s="32"/>
      <c r="X372" s="32"/>
      <c r="Y372" s="32"/>
      <c r="Z372" s="46"/>
    </row>
    <row r="373" spans="1:26" ht="15.75" customHeight="1" x14ac:dyDescent="0.3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46"/>
      <c r="S373" s="46"/>
      <c r="T373" s="46"/>
      <c r="U373" s="46"/>
      <c r="V373" s="46"/>
      <c r="W373" s="32"/>
      <c r="X373" s="32"/>
      <c r="Y373" s="32"/>
      <c r="Z373" s="46"/>
    </row>
    <row r="374" spans="1:26" ht="15.75" customHeight="1" x14ac:dyDescent="0.3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46"/>
      <c r="S374" s="46"/>
      <c r="T374" s="46"/>
      <c r="U374" s="46"/>
      <c r="V374" s="46"/>
      <c r="W374" s="32"/>
      <c r="X374" s="32"/>
      <c r="Y374" s="32"/>
      <c r="Z374" s="46"/>
    </row>
    <row r="375" spans="1:26" ht="15.75" customHeight="1" x14ac:dyDescent="0.3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46"/>
      <c r="S375" s="46"/>
      <c r="T375" s="46"/>
      <c r="U375" s="46"/>
      <c r="V375" s="46"/>
      <c r="W375" s="32"/>
      <c r="X375" s="32"/>
      <c r="Y375" s="32"/>
      <c r="Z375" s="46"/>
    </row>
    <row r="376" spans="1:26" ht="15.75" customHeight="1" x14ac:dyDescent="0.3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46"/>
      <c r="S376" s="46"/>
      <c r="T376" s="46"/>
      <c r="U376" s="46"/>
      <c r="V376" s="46"/>
      <c r="W376" s="32"/>
      <c r="X376" s="32"/>
      <c r="Y376" s="32"/>
      <c r="Z376" s="46"/>
    </row>
    <row r="377" spans="1:26" ht="15.75" customHeight="1" x14ac:dyDescent="0.3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46"/>
      <c r="S377" s="46"/>
      <c r="T377" s="46"/>
      <c r="U377" s="46"/>
      <c r="V377" s="46"/>
      <c r="W377" s="32"/>
      <c r="X377" s="32"/>
      <c r="Y377" s="32"/>
      <c r="Z377" s="46"/>
    </row>
    <row r="378" spans="1:26" ht="15.75" customHeight="1" x14ac:dyDescent="0.3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46"/>
      <c r="S378" s="46"/>
      <c r="T378" s="46"/>
      <c r="U378" s="46"/>
      <c r="V378" s="46"/>
      <c r="W378" s="32"/>
      <c r="X378" s="32"/>
      <c r="Y378" s="32"/>
      <c r="Z378" s="46"/>
    </row>
    <row r="379" spans="1:26" ht="15.75" customHeight="1" x14ac:dyDescent="0.3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46"/>
      <c r="S379" s="46"/>
      <c r="T379" s="46"/>
      <c r="U379" s="46"/>
      <c r="V379" s="46"/>
      <c r="W379" s="32"/>
      <c r="X379" s="32"/>
      <c r="Y379" s="32"/>
      <c r="Z379" s="46"/>
    </row>
    <row r="380" spans="1:26" ht="15.75" customHeight="1" x14ac:dyDescent="0.3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46"/>
      <c r="S380" s="46"/>
      <c r="T380" s="46"/>
      <c r="U380" s="46"/>
      <c r="V380" s="46"/>
      <c r="W380" s="32"/>
      <c r="X380" s="32"/>
      <c r="Y380" s="32"/>
      <c r="Z380" s="46"/>
    </row>
    <row r="381" spans="1:26" ht="15.75" customHeight="1" x14ac:dyDescent="0.3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46"/>
      <c r="S381" s="46"/>
      <c r="T381" s="46"/>
      <c r="U381" s="46"/>
      <c r="V381" s="46"/>
      <c r="W381" s="32"/>
      <c r="X381" s="32"/>
      <c r="Y381" s="32"/>
      <c r="Z381" s="46"/>
    </row>
    <row r="382" spans="1:26" ht="15.75" customHeight="1" x14ac:dyDescent="0.3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46"/>
      <c r="S382" s="46"/>
      <c r="T382" s="46"/>
      <c r="U382" s="46"/>
      <c r="V382" s="46"/>
      <c r="W382" s="32"/>
      <c r="X382" s="32"/>
      <c r="Y382" s="32"/>
      <c r="Z382" s="46"/>
    </row>
    <row r="383" spans="1:26" ht="15.75" customHeight="1" x14ac:dyDescent="0.3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46"/>
      <c r="S383" s="46"/>
      <c r="T383" s="46"/>
      <c r="U383" s="46"/>
      <c r="V383" s="46"/>
      <c r="W383" s="32"/>
      <c r="X383" s="32"/>
      <c r="Y383" s="32"/>
      <c r="Z383" s="46"/>
    </row>
    <row r="384" spans="1:26" ht="15.75" customHeight="1" x14ac:dyDescent="0.3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46"/>
      <c r="S384" s="46"/>
      <c r="T384" s="46"/>
      <c r="U384" s="46"/>
      <c r="V384" s="46"/>
      <c r="W384" s="32"/>
      <c r="X384" s="32"/>
      <c r="Y384" s="32"/>
      <c r="Z384" s="46"/>
    </row>
    <row r="385" spans="1:26" ht="15.75" customHeight="1" x14ac:dyDescent="0.3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46"/>
      <c r="S385" s="46"/>
      <c r="T385" s="46"/>
      <c r="U385" s="46"/>
      <c r="V385" s="46"/>
      <c r="W385" s="32"/>
      <c r="X385" s="32"/>
      <c r="Y385" s="32"/>
      <c r="Z385" s="46"/>
    </row>
    <row r="386" spans="1:26" ht="15.75" customHeight="1" x14ac:dyDescent="0.3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46"/>
      <c r="S386" s="46"/>
      <c r="T386" s="46"/>
      <c r="U386" s="46"/>
      <c r="V386" s="46"/>
      <c r="W386" s="32"/>
      <c r="X386" s="32"/>
      <c r="Y386" s="32"/>
      <c r="Z386" s="46"/>
    </row>
    <row r="387" spans="1:26" ht="15.75" customHeight="1" x14ac:dyDescent="0.3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46"/>
      <c r="S387" s="46"/>
      <c r="T387" s="46"/>
      <c r="U387" s="46"/>
      <c r="V387" s="46"/>
      <c r="W387" s="32"/>
      <c r="X387" s="32"/>
      <c r="Y387" s="32"/>
      <c r="Z387" s="46"/>
    </row>
    <row r="388" spans="1:26" ht="15.75" customHeight="1" x14ac:dyDescent="0.3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46"/>
      <c r="S388" s="46"/>
      <c r="T388" s="46"/>
      <c r="U388" s="46"/>
      <c r="V388" s="46"/>
      <c r="W388" s="32"/>
      <c r="X388" s="32"/>
      <c r="Y388" s="32"/>
      <c r="Z388" s="46"/>
    </row>
    <row r="389" spans="1:26" ht="15.75" customHeight="1" x14ac:dyDescent="0.3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46"/>
      <c r="S389" s="46"/>
      <c r="T389" s="46"/>
      <c r="U389" s="46"/>
      <c r="V389" s="46"/>
      <c r="W389" s="32"/>
      <c r="X389" s="32"/>
      <c r="Y389" s="32"/>
      <c r="Z389" s="46"/>
    </row>
    <row r="390" spans="1:26" ht="15.75" customHeight="1" x14ac:dyDescent="0.3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46"/>
      <c r="S390" s="46"/>
      <c r="T390" s="46"/>
      <c r="U390" s="46"/>
      <c r="V390" s="46"/>
      <c r="W390" s="32"/>
      <c r="X390" s="32"/>
      <c r="Y390" s="32"/>
      <c r="Z390" s="46"/>
    </row>
    <row r="391" spans="1:26" ht="15.75" customHeight="1" x14ac:dyDescent="0.3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46"/>
      <c r="S391" s="46"/>
      <c r="T391" s="46"/>
      <c r="U391" s="46"/>
      <c r="V391" s="46"/>
      <c r="W391" s="32"/>
      <c r="X391" s="32"/>
      <c r="Y391" s="32"/>
      <c r="Z391" s="46"/>
    </row>
    <row r="392" spans="1:26" ht="15.75" customHeight="1" x14ac:dyDescent="0.3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46"/>
      <c r="S392" s="46"/>
      <c r="T392" s="46"/>
      <c r="U392" s="46"/>
      <c r="V392" s="46"/>
      <c r="W392" s="32"/>
      <c r="X392" s="32"/>
      <c r="Y392" s="32"/>
      <c r="Z392" s="46"/>
    </row>
    <row r="393" spans="1:26" ht="15.75" customHeight="1" x14ac:dyDescent="0.3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46"/>
      <c r="S393" s="46"/>
      <c r="T393" s="46"/>
      <c r="U393" s="46"/>
      <c r="V393" s="46"/>
      <c r="W393" s="32"/>
      <c r="X393" s="32"/>
      <c r="Y393" s="32"/>
      <c r="Z393" s="46"/>
    </row>
    <row r="394" spans="1:26" ht="15.75" customHeight="1" x14ac:dyDescent="0.3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46"/>
      <c r="S394" s="46"/>
      <c r="T394" s="46"/>
      <c r="U394" s="46"/>
      <c r="V394" s="46"/>
      <c r="W394" s="32"/>
      <c r="X394" s="32"/>
      <c r="Y394" s="32"/>
      <c r="Z394" s="46"/>
    </row>
    <row r="395" spans="1:26" ht="15.75" customHeight="1" x14ac:dyDescent="0.3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46"/>
      <c r="S395" s="46"/>
      <c r="T395" s="46"/>
      <c r="U395" s="46"/>
      <c r="V395" s="46"/>
      <c r="W395" s="32"/>
      <c r="X395" s="32"/>
      <c r="Y395" s="32"/>
      <c r="Z395" s="46"/>
    </row>
    <row r="396" spans="1:26" ht="15.75" customHeight="1" x14ac:dyDescent="0.3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46"/>
      <c r="S396" s="46"/>
      <c r="T396" s="46"/>
      <c r="U396" s="46"/>
      <c r="V396" s="46"/>
      <c r="W396" s="32"/>
      <c r="X396" s="32"/>
      <c r="Y396" s="32"/>
      <c r="Z396" s="46"/>
    </row>
    <row r="397" spans="1:26" ht="15.75" customHeight="1" x14ac:dyDescent="0.3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46"/>
      <c r="S397" s="46"/>
      <c r="T397" s="46"/>
      <c r="U397" s="46"/>
      <c r="V397" s="46"/>
      <c r="W397" s="32"/>
      <c r="X397" s="32"/>
      <c r="Y397" s="32"/>
      <c r="Z397" s="46"/>
    </row>
    <row r="398" spans="1:26" ht="15.75" customHeight="1" x14ac:dyDescent="0.3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46"/>
      <c r="S398" s="46"/>
      <c r="T398" s="46"/>
      <c r="U398" s="46"/>
      <c r="V398" s="46"/>
      <c r="W398" s="32"/>
      <c r="X398" s="32"/>
      <c r="Y398" s="32"/>
      <c r="Z398" s="46"/>
    </row>
    <row r="399" spans="1:26" ht="15.75" customHeight="1" x14ac:dyDescent="0.3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46"/>
      <c r="S399" s="46"/>
      <c r="T399" s="46"/>
      <c r="U399" s="46"/>
      <c r="V399" s="46"/>
      <c r="W399" s="32"/>
      <c r="X399" s="32"/>
      <c r="Y399" s="32"/>
      <c r="Z399" s="46"/>
    </row>
    <row r="400" spans="1:26" ht="15.75" customHeight="1" x14ac:dyDescent="0.3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46"/>
      <c r="S400" s="46"/>
      <c r="T400" s="46"/>
      <c r="U400" s="46"/>
      <c r="V400" s="46"/>
      <c r="W400" s="32"/>
      <c r="X400" s="32"/>
      <c r="Y400" s="32"/>
      <c r="Z400" s="46"/>
    </row>
    <row r="401" spans="1:26" ht="15.75" customHeight="1" x14ac:dyDescent="0.3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46"/>
      <c r="S401" s="46"/>
      <c r="T401" s="46"/>
      <c r="U401" s="46"/>
      <c r="V401" s="46"/>
      <c r="W401" s="32"/>
      <c r="X401" s="32"/>
      <c r="Y401" s="32"/>
      <c r="Z401" s="46"/>
    </row>
    <row r="402" spans="1:26" ht="15.75" customHeight="1" x14ac:dyDescent="0.3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46"/>
      <c r="S402" s="46"/>
      <c r="T402" s="46"/>
      <c r="U402" s="46"/>
      <c r="V402" s="46"/>
      <c r="W402" s="32"/>
      <c r="X402" s="32"/>
      <c r="Y402" s="32"/>
      <c r="Z402" s="46"/>
    </row>
    <row r="403" spans="1:26" ht="15.75" customHeight="1" x14ac:dyDescent="0.3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46"/>
      <c r="S403" s="46"/>
      <c r="T403" s="46"/>
      <c r="U403" s="46"/>
      <c r="V403" s="46"/>
      <c r="W403" s="32"/>
      <c r="X403" s="32"/>
      <c r="Y403" s="32"/>
      <c r="Z403" s="46"/>
    </row>
    <row r="404" spans="1:26" ht="15.75" customHeight="1" x14ac:dyDescent="0.3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46"/>
      <c r="S404" s="46"/>
      <c r="T404" s="46"/>
      <c r="U404" s="46"/>
      <c r="V404" s="46"/>
      <c r="W404" s="32"/>
      <c r="X404" s="32"/>
      <c r="Y404" s="32"/>
      <c r="Z404" s="46"/>
    </row>
    <row r="405" spans="1:26" ht="15.75" customHeight="1" x14ac:dyDescent="0.3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46"/>
      <c r="S405" s="46"/>
      <c r="T405" s="46"/>
      <c r="U405" s="46"/>
      <c r="V405" s="46"/>
      <c r="W405" s="32"/>
      <c r="X405" s="32"/>
      <c r="Y405" s="32"/>
      <c r="Z405" s="46"/>
    </row>
    <row r="406" spans="1:26" ht="15.75" customHeight="1" x14ac:dyDescent="0.3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46"/>
      <c r="S406" s="46"/>
      <c r="T406" s="46"/>
      <c r="U406" s="46"/>
      <c r="V406" s="46"/>
      <c r="W406" s="32"/>
      <c r="X406" s="32"/>
      <c r="Y406" s="32"/>
      <c r="Z406" s="46"/>
    </row>
    <row r="407" spans="1:26" ht="15.75" customHeight="1" x14ac:dyDescent="0.3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46"/>
      <c r="S407" s="46"/>
      <c r="T407" s="46"/>
      <c r="U407" s="46"/>
      <c r="V407" s="46"/>
      <c r="W407" s="32"/>
      <c r="X407" s="32"/>
      <c r="Y407" s="32"/>
      <c r="Z407" s="46"/>
    </row>
    <row r="408" spans="1:26" ht="15.75" customHeight="1" x14ac:dyDescent="0.3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46"/>
      <c r="S408" s="46"/>
      <c r="T408" s="46"/>
      <c r="U408" s="46"/>
      <c r="V408" s="46"/>
      <c r="W408" s="32"/>
      <c r="X408" s="32"/>
      <c r="Y408" s="32"/>
      <c r="Z408" s="46"/>
    </row>
    <row r="409" spans="1:26" ht="15.75" customHeight="1" x14ac:dyDescent="0.3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46"/>
      <c r="S409" s="46"/>
      <c r="T409" s="46"/>
      <c r="U409" s="46"/>
      <c r="V409" s="46"/>
      <c r="W409" s="32"/>
      <c r="X409" s="32"/>
      <c r="Y409" s="32"/>
      <c r="Z409" s="46"/>
    </row>
    <row r="410" spans="1:26" ht="15.75" customHeight="1" x14ac:dyDescent="0.3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46"/>
      <c r="S410" s="46"/>
      <c r="T410" s="46"/>
      <c r="U410" s="46"/>
      <c r="V410" s="46"/>
      <c r="W410" s="32"/>
      <c r="X410" s="32"/>
      <c r="Y410" s="32"/>
      <c r="Z410" s="46"/>
    </row>
    <row r="411" spans="1:26" ht="15.75" customHeight="1" x14ac:dyDescent="0.3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46"/>
      <c r="S411" s="46"/>
      <c r="T411" s="46"/>
      <c r="U411" s="46"/>
      <c r="V411" s="46"/>
      <c r="W411" s="32"/>
      <c r="X411" s="32"/>
      <c r="Y411" s="32"/>
      <c r="Z411" s="46"/>
    </row>
    <row r="412" spans="1:26" ht="15.75" customHeight="1" x14ac:dyDescent="0.3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46"/>
      <c r="S412" s="46"/>
      <c r="T412" s="46"/>
      <c r="U412" s="46"/>
      <c r="V412" s="46"/>
      <c r="W412" s="32"/>
      <c r="X412" s="32"/>
      <c r="Y412" s="32"/>
      <c r="Z412" s="46"/>
    </row>
    <row r="413" spans="1:26" ht="15.75" customHeight="1" x14ac:dyDescent="0.3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46"/>
      <c r="S413" s="46"/>
      <c r="T413" s="46"/>
      <c r="U413" s="46"/>
      <c r="V413" s="46"/>
      <c r="W413" s="32"/>
      <c r="X413" s="32"/>
      <c r="Y413" s="32"/>
      <c r="Z413" s="46"/>
    </row>
    <row r="414" spans="1:26" ht="15.75" customHeight="1" x14ac:dyDescent="0.3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46"/>
      <c r="S414" s="46"/>
      <c r="T414" s="46"/>
      <c r="U414" s="46"/>
      <c r="V414" s="46"/>
      <c r="W414" s="32"/>
      <c r="X414" s="32"/>
      <c r="Y414" s="32"/>
      <c r="Z414" s="46"/>
    </row>
    <row r="415" spans="1:26" ht="15.75" customHeight="1" x14ac:dyDescent="0.3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46"/>
      <c r="S415" s="46"/>
      <c r="T415" s="46"/>
      <c r="U415" s="46"/>
      <c r="V415" s="46"/>
      <c r="W415" s="32"/>
      <c r="X415" s="32"/>
      <c r="Y415" s="32"/>
      <c r="Z415" s="46"/>
    </row>
    <row r="416" spans="1:26" ht="15.75" customHeight="1" x14ac:dyDescent="0.3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46"/>
      <c r="S416" s="46"/>
      <c r="T416" s="46"/>
      <c r="U416" s="46"/>
      <c r="V416" s="46"/>
      <c r="W416" s="32"/>
      <c r="X416" s="32"/>
      <c r="Y416" s="32"/>
      <c r="Z416" s="46"/>
    </row>
    <row r="417" spans="1:26" ht="15.75" customHeight="1" x14ac:dyDescent="0.3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46"/>
      <c r="S417" s="46"/>
      <c r="T417" s="46"/>
      <c r="U417" s="46"/>
      <c r="V417" s="46"/>
      <c r="W417" s="32"/>
      <c r="X417" s="32"/>
      <c r="Y417" s="32"/>
      <c r="Z417" s="46"/>
    </row>
    <row r="418" spans="1:26" ht="15.75" customHeight="1" x14ac:dyDescent="0.3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46"/>
      <c r="S418" s="46"/>
      <c r="T418" s="46"/>
      <c r="U418" s="46"/>
      <c r="V418" s="46"/>
      <c r="W418" s="32"/>
      <c r="X418" s="32"/>
      <c r="Y418" s="32"/>
      <c r="Z418" s="46"/>
    </row>
    <row r="419" spans="1:26" ht="15.75" customHeight="1" x14ac:dyDescent="0.3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46"/>
      <c r="S419" s="46"/>
      <c r="T419" s="46"/>
      <c r="U419" s="46"/>
      <c r="V419" s="46"/>
      <c r="W419" s="32"/>
      <c r="X419" s="32"/>
      <c r="Y419" s="32"/>
      <c r="Z419" s="46"/>
    </row>
    <row r="420" spans="1:26" ht="15.75" customHeight="1" x14ac:dyDescent="0.3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46"/>
      <c r="S420" s="46"/>
      <c r="T420" s="46"/>
      <c r="U420" s="46"/>
      <c r="V420" s="46"/>
      <c r="W420" s="32"/>
      <c r="X420" s="32"/>
      <c r="Y420" s="32"/>
      <c r="Z420" s="46"/>
    </row>
    <row r="421" spans="1:26" ht="15.75" customHeight="1" x14ac:dyDescent="0.3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46"/>
      <c r="S421" s="46"/>
      <c r="T421" s="46"/>
      <c r="U421" s="46"/>
      <c r="V421" s="46"/>
      <c r="W421" s="32"/>
      <c r="X421" s="32"/>
      <c r="Y421" s="32"/>
      <c r="Z421" s="46"/>
    </row>
    <row r="422" spans="1:26" ht="15.75" customHeight="1" x14ac:dyDescent="0.3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46"/>
      <c r="S422" s="46"/>
      <c r="T422" s="46"/>
      <c r="U422" s="46"/>
      <c r="V422" s="46"/>
      <c r="W422" s="32"/>
      <c r="X422" s="32"/>
      <c r="Y422" s="32"/>
      <c r="Z422" s="46"/>
    </row>
    <row r="423" spans="1:26" ht="15.75" customHeight="1" x14ac:dyDescent="0.3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46"/>
      <c r="S423" s="46"/>
      <c r="T423" s="46"/>
      <c r="U423" s="46"/>
      <c r="V423" s="46"/>
      <c r="W423" s="32"/>
      <c r="X423" s="32"/>
      <c r="Y423" s="32"/>
      <c r="Z423" s="46"/>
    </row>
    <row r="424" spans="1:26" ht="15.75" customHeight="1" x14ac:dyDescent="0.3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46"/>
      <c r="S424" s="46"/>
      <c r="T424" s="46"/>
      <c r="U424" s="46"/>
      <c r="V424" s="46"/>
      <c r="W424" s="32"/>
      <c r="X424" s="32"/>
      <c r="Y424" s="32"/>
      <c r="Z424" s="46"/>
    </row>
    <row r="425" spans="1:26" ht="15.75" customHeight="1" x14ac:dyDescent="0.3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46"/>
      <c r="S425" s="46"/>
      <c r="T425" s="46"/>
      <c r="U425" s="46"/>
      <c r="V425" s="46"/>
      <c r="W425" s="32"/>
      <c r="X425" s="32"/>
      <c r="Y425" s="32"/>
      <c r="Z425" s="46"/>
    </row>
    <row r="426" spans="1:26" ht="15.75" customHeight="1" x14ac:dyDescent="0.3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46"/>
      <c r="S426" s="46"/>
      <c r="T426" s="46"/>
      <c r="U426" s="46"/>
      <c r="V426" s="46"/>
      <c r="W426" s="32"/>
      <c r="X426" s="32"/>
      <c r="Y426" s="32"/>
      <c r="Z426" s="46"/>
    </row>
    <row r="427" spans="1:26" ht="15.75" customHeight="1" x14ac:dyDescent="0.3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46"/>
      <c r="S427" s="46"/>
      <c r="T427" s="46"/>
      <c r="U427" s="46"/>
      <c r="V427" s="46"/>
      <c r="W427" s="32"/>
      <c r="X427" s="32"/>
      <c r="Y427" s="32"/>
      <c r="Z427" s="46"/>
    </row>
    <row r="428" spans="1:26" ht="15.75" customHeight="1" x14ac:dyDescent="0.3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46"/>
      <c r="S428" s="46"/>
      <c r="T428" s="46"/>
      <c r="U428" s="46"/>
      <c r="V428" s="46"/>
      <c r="W428" s="32"/>
      <c r="X428" s="32"/>
      <c r="Y428" s="32"/>
      <c r="Z428" s="46"/>
    </row>
    <row r="429" spans="1:26" ht="15.75" customHeight="1" x14ac:dyDescent="0.3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46"/>
      <c r="S429" s="46"/>
      <c r="T429" s="46"/>
      <c r="U429" s="46"/>
      <c r="V429" s="46"/>
      <c r="W429" s="32"/>
      <c r="X429" s="32"/>
      <c r="Y429" s="32"/>
      <c r="Z429" s="46"/>
    </row>
    <row r="430" spans="1:26" ht="15.75" customHeight="1" x14ac:dyDescent="0.3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46"/>
      <c r="S430" s="46"/>
      <c r="T430" s="46"/>
      <c r="U430" s="46"/>
      <c r="V430" s="46"/>
      <c r="W430" s="32"/>
      <c r="X430" s="32"/>
      <c r="Y430" s="32"/>
      <c r="Z430" s="46"/>
    </row>
    <row r="431" spans="1:26" ht="15.75" customHeight="1" x14ac:dyDescent="0.3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46"/>
      <c r="S431" s="46"/>
      <c r="T431" s="46"/>
      <c r="U431" s="46"/>
      <c r="V431" s="46"/>
      <c r="W431" s="32"/>
      <c r="X431" s="32"/>
      <c r="Y431" s="32"/>
      <c r="Z431" s="46"/>
    </row>
    <row r="432" spans="1:26" ht="15.75" customHeight="1" x14ac:dyDescent="0.3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46"/>
      <c r="S432" s="46"/>
      <c r="T432" s="46"/>
      <c r="U432" s="46"/>
      <c r="V432" s="46"/>
      <c r="W432" s="32"/>
      <c r="X432" s="32"/>
      <c r="Y432" s="32"/>
      <c r="Z432" s="46"/>
    </row>
    <row r="433" spans="1:26" ht="15.75" customHeight="1" x14ac:dyDescent="0.3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46"/>
      <c r="S433" s="46"/>
      <c r="T433" s="46"/>
      <c r="U433" s="46"/>
      <c r="V433" s="46"/>
      <c r="W433" s="32"/>
      <c r="X433" s="32"/>
      <c r="Y433" s="32"/>
      <c r="Z433" s="46"/>
    </row>
    <row r="434" spans="1:26" ht="15.75" customHeight="1" x14ac:dyDescent="0.3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46"/>
      <c r="S434" s="46"/>
      <c r="T434" s="46"/>
      <c r="U434" s="46"/>
      <c r="V434" s="46"/>
      <c r="W434" s="32"/>
      <c r="X434" s="32"/>
      <c r="Y434" s="32"/>
      <c r="Z434" s="46"/>
    </row>
    <row r="435" spans="1:26" ht="15.75" customHeight="1" x14ac:dyDescent="0.3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46"/>
      <c r="S435" s="46"/>
      <c r="T435" s="46"/>
      <c r="U435" s="46"/>
      <c r="V435" s="46"/>
      <c r="W435" s="32"/>
      <c r="X435" s="32"/>
      <c r="Y435" s="32"/>
      <c r="Z435" s="46"/>
    </row>
    <row r="436" spans="1:26" ht="15.75" customHeight="1" x14ac:dyDescent="0.3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46"/>
      <c r="S436" s="46"/>
      <c r="T436" s="46"/>
      <c r="U436" s="46"/>
      <c r="V436" s="46"/>
      <c r="W436" s="32"/>
      <c r="X436" s="32"/>
      <c r="Y436" s="32"/>
      <c r="Z436" s="46"/>
    </row>
    <row r="437" spans="1:26" ht="15.75" customHeight="1" x14ac:dyDescent="0.3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46"/>
      <c r="S437" s="46"/>
      <c r="T437" s="46"/>
      <c r="U437" s="46"/>
      <c r="V437" s="46"/>
      <c r="W437" s="32"/>
      <c r="X437" s="32"/>
      <c r="Y437" s="32"/>
      <c r="Z437" s="46"/>
    </row>
    <row r="438" spans="1:26" ht="15.75" customHeight="1" x14ac:dyDescent="0.3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46"/>
      <c r="S438" s="46"/>
      <c r="T438" s="46"/>
      <c r="U438" s="46"/>
      <c r="V438" s="46"/>
      <c r="W438" s="32"/>
      <c r="X438" s="32"/>
      <c r="Y438" s="32"/>
      <c r="Z438" s="46"/>
    </row>
    <row r="439" spans="1:26" ht="15.75" customHeight="1" x14ac:dyDescent="0.3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46"/>
      <c r="S439" s="46"/>
      <c r="T439" s="46"/>
      <c r="U439" s="46"/>
      <c r="V439" s="46"/>
      <c r="W439" s="32"/>
      <c r="X439" s="32"/>
      <c r="Y439" s="32"/>
      <c r="Z439" s="46"/>
    </row>
    <row r="440" spans="1:26" ht="15.75" customHeight="1" x14ac:dyDescent="0.3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46"/>
      <c r="S440" s="46"/>
      <c r="T440" s="46"/>
      <c r="U440" s="46"/>
      <c r="V440" s="46"/>
      <c r="W440" s="32"/>
      <c r="X440" s="32"/>
      <c r="Y440" s="32"/>
      <c r="Z440" s="46"/>
    </row>
    <row r="441" spans="1:26" ht="15.75" customHeight="1" x14ac:dyDescent="0.3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46"/>
      <c r="S441" s="46"/>
      <c r="T441" s="46"/>
      <c r="U441" s="46"/>
      <c r="V441" s="46"/>
      <c r="W441" s="32"/>
      <c r="X441" s="32"/>
      <c r="Y441" s="32"/>
      <c r="Z441" s="46"/>
    </row>
    <row r="442" spans="1:26" ht="15.75" customHeight="1" x14ac:dyDescent="0.3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46"/>
      <c r="S442" s="46"/>
      <c r="T442" s="46"/>
      <c r="U442" s="46"/>
      <c r="V442" s="46"/>
      <c r="W442" s="32"/>
      <c r="X442" s="32"/>
      <c r="Y442" s="32"/>
      <c r="Z442" s="46"/>
    </row>
    <row r="443" spans="1:26" ht="15.75" customHeight="1" x14ac:dyDescent="0.3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46"/>
      <c r="S443" s="46"/>
      <c r="T443" s="46"/>
      <c r="U443" s="46"/>
      <c r="V443" s="46"/>
      <c r="W443" s="32"/>
      <c r="X443" s="32"/>
      <c r="Y443" s="32"/>
      <c r="Z443" s="46"/>
    </row>
    <row r="444" spans="1:26" ht="15.75" customHeight="1" x14ac:dyDescent="0.3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46"/>
      <c r="S444" s="46"/>
      <c r="T444" s="46"/>
      <c r="U444" s="46"/>
      <c r="V444" s="46"/>
      <c r="W444" s="32"/>
      <c r="X444" s="32"/>
      <c r="Y444" s="32"/>
      <c r="Z444" s="46"/>
    </row>
    <row r="445" spans="1:26" ht="15.75" customHeight="1" x14ac:dyDescent="0.3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46"/>
      <c r="S445" s="46"/>
      <c r="T445" s="46"/>
      <c r="U445" s="46"/>
      <c r="V445" s="46"/>
      <c r="W445" s="32"/>
      <c r="X445" s="32"/>
      <c r="Y445" s="32"/>
      <c r="Z445" s="46"/>
    </row>
    <row r="446" spans="1:26" ht="15.75" customHeight="1" x14ac:dyDescent="0.3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46"/>
      <c r="S446" s="46"/>
      <c r="T446" s="46"/>
      <c r="U446" s="46"/>
      <c r="V446" s="46"/>
      <c r="W446" s="32"/>
      <c r="X446" s="32"/>
      <c r="Y446" s="32"/>
      <c r="Z446" s="46"/>
    </row>
    <row r="447" spans="1:26" ht="15.75" customHeight="1" x14ac:dyDescent="0.3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46"/>
      <c r="S447" s="46"/>
      <c r="T447" s="46"/>
      <c r="U447" s="46"/>
      <c r="V447" s="46"/>
      <c r="W447" s="32"/>
      <c r="X447" s="32"/>
      <c r="Y447" s="32"/>
      <c r="Z447" s="46"/>
    </row>
    <row r="448" spans="1:26" ht="15.75" customHeight="1" x14ac:dyDescent="0.3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46"/>
      <c r="S448" s="46"/>
      <c r="T448" s="46"/>
      <c r="U448" s="46"/>
      <c r="V448" s="46"/>
      <c r="W448" s="32"/>
      <c r="X448" s="32"/>
      <c r="Y448" s="32"/>
      <c r="Z448" s="46"/>
    </row>
    <row r="449" spans="1:26" ht="15.75" customHeight="1" x14ac:dyDescent="0.3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46"/>
      <c r="S449" s="46"/>
      <c r="T449" s="46"/>
      <c r="U449" s="46"/>
      <c r="V449" s="46"/>
      <c r="W449" s="32"/>
      <c r="X449" s="32"/>
      <c r="Y449" s="32"/>
      <c r="Z449" s="46"/>
    </row>
    <row r="450" spans="1:26" ht="15.75" customHeight="1" x14ac:dyDescent="0.3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46"/>
      <c r="S450" s="46"/>
      <c r="T450" s="46"/>
      <c r="U450" s="46"/>
      <c r="V450" s="46"/>
      <c r="W450" s="32"/>
      <c r="X450" s="32"/>
      <c r="Y450" s="32"/>
      <c r="Z450" s="46"/>
    </row>
    <row r="451" spans="1:26" ht="15.75" customHeight="1" x14ac:dyDescent="0.3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46"/>
      <c r="S451" s="46"/>
      <c r="T451" s="46"/>
      <c r="U451" s="46"/>
      <c r="V451" s="46"/>
      <c r="W451" s="32"/>
      <c r="X451" s="32"/>
      <c r="Y451" s="32"/>
      <c r="Z451" s="46"/>
    </row>
    <row r="452" spans="1:26" ht="15.75" customHeight="1" x14ac:dyDescent="0.3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46"/>
      <c r="S452" s="46"/>
      <c r="T452" s="46"/>
      <c r="U452" s="46"/>
      <c r="V452" s="46"/>
      <c r="W452" s="32"/>
      <c r="X452" s="32"/>
      <c r="Y452" s="32"/>
      <c r="Z452" s="46"/>
    </row>
    <row r="453" spans="1:26" ht="15.75" customHeight="1" x14ac:dyDescent="0.3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46"/>
      <c r="S453" s="46"/>
      <c r="T453" s="46"/>
      <c r="U453" s="46"/>
      <c r="V453" s="46"/>
      <c r="W453" s="32"/>
      <c r="X453" s="32"/>
      <c r="Y453" s="32"/>
      <c r="Z453" s="46"/>
    </row>
    <row r="454" spans="1:26" ht="15.75" customHeight="1" x14ac:dyDescent="0.3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46"/>
      <c r="S454" s="46"/>
      <c r="T454" s="46"/>
      <c r="U454" s="46"/>
      <c r="V454" s="46"/>
      <c r="W454" s="32"/>
      <c r="X454" s="32"/>
      <c r="Y454" s="32"/>
      <c r="Z454" s="46"/>
    </row>
    <row r="455" spans="1:26" ht="15.75" customHeight="1" x14ac:dyDescent="0.3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46"/>
      <c r="S455" s="46"/>
      <c r="T455" s="46"/>
      <c r="U455" s="46"/>
      <c r="V455" s="46"/>
      <c r="W455" s="32"/>
      <c r="X455" s="32"/>
      <c r="Y455" s="32"/>
      <c r="Z455" s="46"/>
    </row>
    <row r="456" spans="1:26" ht="15.75" customHeight="1" x14ac:dyDescent="0.3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46"/>
      <c r="S456" s="46"/>
      <c r="T456" s="46"/>
      <c r="U456" s="46"/>
      <c r="V456" s="46"/>
      <c r="W456" s="32"/>
      <c r="X456" s="32"/>
      <c r="Y456" s="32"/>
      <c r="Z456" s="46"/>
    </row>
    <row r="457" spans="1:26" ht="15.75" customHeight="1" x14ac:dyDescent="0.3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46"/>
      <c r="S457" s="46"/>
      <c r="T457" s="46"/>
      <c r="U457" s="46"/>
      <c r="V457" s="46"/>
      <c r="W457" s="32"/>
      <c r="X457" s="32"/>
      <c r="Y457" s="32"/>
      <c r="Z457" s="46"/>
    </row>
    <row r="458" spans="1:26" ht="15.75" customHeight="1" x14ac:dyDescent="0.3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46"/>
      <c r="S458" s="46"/>
      <c r="T458" s="46"/>
      <c r="U458" s="46"/>
      <c r="V458" s="46"/>
      <c r="W458" s="32"/>
      <c r="X458" s="32"/>
      <c r="Y458" s="32"/>
      <c r="Z458" s="46"/>
    </row>
    <row r="459" spans="1:26" ht="15.75" customHeight="1" x14ac:dyDescent="0.3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46"/>
      <c r="S459" s="46"/>
      <c r="T459" s="46"/>
      <c r="U459" s="46"/>
      <c r="V459" s="46"/>
      <c r="W459" s="32"/>
      <c r="X459" s="32"/>
      <c r="Y459" s="32"/>
      <c r="Z459" s="46"/>
    </row>
    <row r="460" spans="1:26" ht="15.75" customHeight="1" x14ac:dyDescent="0.3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46"/>
      <c r="S460" s="46"/>
      <c r="T460" s="46"/>
      <c r="U460" s="46"/>
      <c r="V460" s="46"/>
      <c r="W460" s="32"/>
      <c r="X460" s="32"/>
      <c r="Y460" s="32"/>
      <c r="Z460" s="46"/>
    </row>
    <row r="461" spans="1:26" ht="15.75" customHeight="1" x14ac:dyDescent="0.3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46"/>
      <c r="S461" s="46"/>
      <c r="T461" s="46"/>
      <c r="U461" s="46"/>
      <c r="V461" s="46"/>
      <c r="W461" s="32"/>
      <c r="X461" s="32"/>
      <c r="Y461" s="32"/>
      <c r="Z461" s="46"/>
    </row>
    <row r="462" spans="1:26" ht="15.75" customHeight="1" x14ac:dyDescent="0.3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46"/>
      <c r="S462" s="46"/>
      <c r="T462" s="46"/>
      <c r="U462" s="46"/>
      <c r="V462" s="46"/>
      <c r="W462" s="32"/>
      <c r="X462" s="32"/>
      <c r="Y462" s="32"/>
      <c r="Z462" s="46"/>
    </row>
    <row r="463" spans="1:26" ht="15.75" customHeight="1" x14ac:dyDescent="0.3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46"/>
      <c r="S463" s="46"/>
      <c r="T463" s="46"/>
      <c r="U463" s="46"/>
      <c r="V463" s="46"/>
      <c r="W463" s="32"/>
      <c r="X463" s="32"/>
      <c r="Y463" s="32"/>
      <c r="Z463" s="46"/>
    </row>
    <row r="464" spans="1:26" ht="15.75" customHeight="1" x14ac:dyDescent="0.3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46"/>
      <c r="S464" s="46"/>
      <c r="T464" s="46"/>
      <c r="U464" s="46"/>
      <c r="V464" s="46"/>
      <c r="W464" s="32"/>
      <c r="X464" s="32"/>
      <c r="Y464" s="32"/>
      <c r="Z464" s="46"/>
    </row>
    <row r="465" spans="1:26" ht="15.75" customHeight="1" x14ac:dyDescent="0.3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46"/>
      <c r="S465" s="46"/>
      <c r="T465" s="46"/>
      <c r="U465" s="46"/>
      <c r="V465" s="46"/>
      <c r="W465" s="32"/>
      <c r="X465" s="32"/>
      <c r="Y465" s="32"/>
      <c r="Z465" s="46"/>
    </row>
    <row r="466" spans="1:26" ht="15.75" customHeight="1" x14ac:dyDescent="0.3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46"/>
      <c r="S466" s="46"/>
      <c r="T466" s="46"/>
      <c r="U466" s="46"/>
      <c r="V466" s="46"/>
      <c r="W466" s="32"/>
      <c r="X466" s="32"/>
      <c r="Y466" s="32"/>
      <c r="Z466" s="46"/>
    </row>
    <row r="467" spans="1:26" ht="15.75" customHeight="1" x14ac:dyDescent="0.3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46"/>
      <c r="S467" s="46"/>
      <c r="T467" s="46"/>
      <c r="U467" s="46"/>
      <c r="V467" s="46"/>
      <c r="W467" s="32"/>
      <c r="X467" s="32"/>
      <c r="Y467" s="32"/>
      <c r="Z467" s="46"/>
    </row>
    <row r="468" spans="1:26" ht="15.75" customHeight="1" x14ac:dyDescent="0.3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46"/>
      <c r="S468" s="46"/>
      <c r="T468" s="46"/>
      <c r="U468" s="46"/>
      <c r="V468" s="46"/>
      <c r="W468" s="32"/>
      <c r="X468" s="32"/>
      <c r="Y468" s="32"/>
      <c r="Z468" s="46"/>
    </row>
    <row r="469" spans="1:26" ht="15.75" customHeight="1" x14ac:dyDescent="0.3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46"/>
      <c r="S469" s="46"/>
      <c r="T469" s="46"/>
      <c r="U469" s="46"/>
      <c r="V469" s="46"/>
      <c r="W469" s="32"/>
      <c r="X469" s="32"/>
      <c r="Y469" s="32"/>
      <c r="Z469" s="46"/>
    </row>
    <row r="470" spans="1:26" ht="15.75" customHeight="1" x14ac:dyDescent="0.3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46"/>
      <c r="S470" s="46"/>
      <c r="T470" s="46"/>
      <c r="U470" s="46"/>
      <c r="V470" s="46"/>
      <c r="W470" s="32"/>
      <c r="X470" s="32"/>
      <c r="Y470" s="32"/>
      <c r="Z470" s="46"/>
    </row>
    <row r="471" spans="1:26" ht="15.75" customHeight="1" x14ac:dyDescent="0.3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46"/>
      <c r="S471" s="46"/>
      <c r="T471" s="46"/>
      <c r="U471" s="46"/>
      <c r="V471" s="46"/>
      <c r="W471" s="32"/>
      <c r="X471" s="32"/>
      <c r="Y471" s="32"/>
      <c r="Z471" s="46"/>
    </row>
    <row r="472" spans="1:26" ht="15.75" customHeight="1" x14ac:dyDescent="0.3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46"/>
      <c r="S472" s="46"/>
      <c r="T472" s="46"/>
      <c r="U472" s="46"/>
      <c r="V472" s="46"/>
      <c r="W472" s="32"/>
      <c r="X472" s="32"/>
      <c r="Y472" s="32"/>
      <c r="Z472" s="46"/>
    </row>
    <row r="473" spans="1:26" ht="15.75" customHeight="1" x14ac:dyDescent="0.3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46"/>
      <c r="S473" s="46"/>
      <c r="T473" s="46"/>
      <c r="U473" s="46"/>
      <c r="V473" s="46"/>
      <c r="W473" s="32"/>
      <c r="X473" s="32"/>
      <c r="Y473" s="32"/>
      <c r="Z473" s="46"/>
    </row>
    <row r="474" spans="1:26" ht="15.75" customHeight="1" x14ac:dyDescent="0.3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46"/>
      <c r="S474" s="46"/>
      <c r="T474" s="46"/>
      <c r="U474" s="46"/>
      <c r="V474" s="46"/>
      <c r="W474" s="32"/>
      <c r="X474" s="32"/>
      <c r="Y474" s="32"/>
      <c r="Z474" s="46"/>
    </row>
    <row r="475" spans="1:26" ht="15.75" customHeight="1" x14ac:dyDescent="0.3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46"/>
      <c r="S475" s="46"/>
      <c r="T475" s="46"/>
      <c r="U475" s="46"/>
      <c r="V475" s="46"/>
      <c r="W475" s="32"/>
      <c r="X475" s="32"/>
      <c r="Y475" s="32"/>
      <c r="Z475" s="46"/>
    </row>
    <row r="476" spans="1:26" ht="15.75" customHeight="1" x14ac:dyDescent="0.3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46"/>
      <c r="S476" s="46"/>
      <c r="T476" s="46"/>
      <c r="U476" s="46"/>
      <c r="V476" s="46"/>
      <c r="W476" s="32"/>
      <c r="X476" s="32"/>
      <c r="Y476" s="32"/>
      <c r="Z476" s="46"/>
    </row>
    <row r="477" spans="1:26" ht="15.75" customHeight="1" x14ac:dyDescent="0.3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46"/>
      <c r="S477" s="46"/>
      <c r="T477" s="46"/>
      <c r="U477" s="46"/>
      <c r="V477" s="46"/>
      <c r="W477" s="32"/>
      <c r="X477" s="32"/>
      <c r="Y477" s="32"/>
      <c r="Z477" s="46"/>
    </row>
    <row r="478" spans="1:26" ht="15.75" customHeight="1" x14ac:dyDescent="0.3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46"/>
      <c r="S478" s="46"/>
      <c r="T478" s="46"/>
      <c r="U478" s="46"/>
      <c r="V478" s="46"/>
      <c r="W478" s="32"/>
      <c r="X478" s="32"/>
      <c r="Y478" s="32"/>
      <c r="Z478" s="46"/>
    </row>
    <row r="479" spans="1:26" ht="15.75" customHeight="1" x14ac:dyDescent="0.3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46"/>
      <c r="S479" s="46"/>
      <c r="T479" s="46"/>
      <c r="U479" s="46"/>
      <c r="V479" s="46"/>
      <c r="W479" s="32"/>
      <c r="X479" s="32"/>
      <c r="Y479" s="32"/>
      <c r="Z479" s="46"/>
    </row>
    <row r="480" spans="1:26" ht="15.75" customHeight="1" x14ac:dyDescent="0.3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46"/>
      <c r="S480" s="46"/>
      <c r="T480" s="46"/>
      <c r="U480" s="46"/>
      <c r="V480" s="46"/>
      <c r="W480" s="32"/>
      <c r="X480" s="32"/>
      <c r="Y480" s="32"/>
      <c r="Z480" s="46"/>
    </row>
    <row r="481" spans="1:26" ht="15.75" customHeight="1" x14ac:dyDescent="0.3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46"/>
      <c r="S481" s="46"/>
      <c r="T481" s="46"/>
      <c r="U481" s="46"/>
      <c r="V481" s="46"/>
      <c r="W481" s="32"/>
      <c r="X481" s="32"/>
      <c r="Y481" s="32"/>
      <c r="Z481" s="46"/>
    </row>
    <row r="482" spans="1:26" ht="15.75" customHeight="1" x14ac:dyDescent="0.3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46"/>
      <c r="S482" s="46"/>
      <c r="T482" s="46"/>
      <c r="U482" s="46"/>
      <c r="V482" s="46"/>
      <c r="W482" s="32"/>
      <c r="X482" s="32"/>
      <c r="Y482" s="32"/>
      <c r="Z482" s="46"/>
    </row>
    <row r="483" spans="1:26" ht="15.75" customHeight="1" x14ac:dyDescent="0.3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46"/>
      <c r="S483" s="46"/>
      <c r="T483" s="46"/>
      <c r="U483" s="46"/>
      <c r="V483" s="46"/>
      <c r="W483" s="32"/>
      <c r="X483" s="32"/>
      <c r="Y483" s="32"/>
      <c r="Z483" s="46"/>
    </row>
    <row r="484" spans="1:26" ht="15.75" customHeight="1" x14ac:dyDescent="0.3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46"/>
      <c r="S484" s="46"/>
      <c r="T484" s="46"/>
      <c r="U484" s="46"/>
      <c r="V484" s="46"/>
      <c r="W484" s="32"/>
      <c r="X484" s="32"/>
      <c r="Y484" s="32"/>
      <c r="Z484" s="46"/>
    </row>
    <row r="485" spans="1:26" ht="15.75" customHeight="1" x14ac:dyDescent="0.3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46"/>
      <c r="S485" s="46"/>
      <c r="T485" s="46"/>
      <c r="U485" s="46"/>
      <c r="V485" s="46"/>
      <c r="W485" s="32"/>
      <c r="X485" s="32"/>
      <c r="Y485" s="32"/>
      <c r="Z485" s="46"/>
    </row>
    <row r="486" spans="1:26" ht="15.75" customHeight="1" x14ac:dyDescent="0.3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46"/>
      <c r="S486" s="46"/>
      <c r="T486" s="46"/>
      <c r="U486" s="46"/>
      <c r="V486" s="46"/>
      <c r="W486" s="32"/>
      <c r="X486" s="32"/>
      <c r="Y486" s="32"/>
      <c r="Z486" s="46"/>
    </row>
    <row r="487" spans="1:26" ht="15.75" customHeight="1" x14ac:dyDescent="0.3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46"/>
      <c r="S487" s="46"/>
      <c r="T487" s="46"/>
      <c r="U487" s="46"/>
      <c r="V487" s="46"/>
      <c r="W487" s="32"/>
      <c r="X487" s="32"/>
      <c r="Y487" s="32"/>
      <c r="Z487" s="46"/>
    </row>
    <row r="488" spans="1:26" ht="15.75" customHeight="1" x14ac:dyDescent="0.3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46"/>
      <c r="S488" s="46"/>
      <c r="T488" s="46"/>
      <c r="U488" s="46"/>
      <c r="V488" s="46"/>
      <c r="W488" s="32"/>
      <c r="X488" s="32"/>
      <c r="Y488" s="32"/>
      <c r="Z488" s="46"/>
    </row>
    <row r="489" spans="1:26" ht="15.75" customHeight="1" x14ac:dyDescent="0.3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46"/>
      <c r="S489" s="46"/>
      <c r="T489" s="46"/>
      <c r="U489" s="46"/>
      <c r="V489" s="46"/>
      <c r="W489" s="32"/>
      <c r="X489" s="32"/>
      <c r="Y489" s="32"/>
      <c r="Z489" s="46"/>
    </row>
    <row r="490" spans="1:26" ht="15.75" customHeight="1" x14ac:dyDescent="0.3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46"/>
      <c r="S490" s="46"/>
      <c r="T490" s="46"/>
      <c r="U490" s="46"/>
      <c r="V490" s="46"/>
      <c r="W490" s="32"/>
      <c r="X490" s="32"/>
      <c r="Y490" s="32"/>
      <c r="Z490" s="46"/>
    </row>
    <row r="491" spans="1:26" ht="15.75" customHeight="1" x14ac:dyDescent="0.3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46"/>
      <c r="S491" s="46"/>
      <c r="T491" s="46"/>
      <c r="U491" s="46"/>
      <c r="V491" s="46"/>
      <c r="W491" s="32"/>
      <c r="X491" s="32"/>
      <c r="Y491" s="32"/>
      <c r="Z491" s="46"/>
    </row>
    <row r="492" spans="1:26" ht="15.75" customHeight="1" x14ac:dyDescent="0.3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46"/>
      <c r="S492" s="46"/>
      <c r="T492" s="46"/>
      <c r="U492" s="46"/>
      <c r="V492" s="46"/>
      <c r="W492" s="32"/>
      <c r="X492" s="32"/>
      <c r="Y492" s="32"/>
      <c r="Z492" s="46"/>
    </row>
    <row r="493" spans="1:26" ht="15.75" customHeight="1" x14ac:dyDescent="0.3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46"/>
      <c r="S493" s="46"/>
      <c r="T493" s="46"/>
      <c r="U493" s="46"/>
      <c r="V493" s="46"/>
      <c r="W493" s="32"/>
      <c r="X493" s="32"/>
      <c r="Y493" s="32"/>
      <c r="Z493" s="46"/>
    </row>
    <row r="494" spans="1:26" ht="15.75" customHeight="1" x14ac:dyDescent="0.3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46"/>
      <c r="S494" s="46"/>
      <c r="T494" s="46"/>
      <c r="U494" s="46"/>
      <c r="V494" s="46"/>
      <c r="W494" s="32"/>
      <c r="X494" s="32"/>
      <c r="Y494" s="32"/>
      <c r="Z494" s="46"/>
    </row>
    <row r="495" spans="1:26" ht="15.75" customHeight="1" x14ac:dyDescent="0.3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46"/>
      <c r="S495" s="46"/>
      <c r="T495" s="46"/>
      <c r="U495" s="46"/>
      <c r="V495" s="46"/>
      <c r="W495" s="32"/>
      <c r="X495" s="32"/>
      <c r="Y495" s="32"/>
      <c r="Z495" s="46"/>
    </row>
    <row r="496" spans="1:26" ht="15.75" customHeight="1" x14ac:dyDescent="0.3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46"/>
      <c r="S496" s="46"/>
      <c r="T496" s="46"/>
      <c r="U496" s="46"/>
      <c r="V496" s="46"/>
      <c r="W496" s="32"/>
      <c r="X496" s="32"/>
      <c r="Y496" s="32"/>
      <c r="Z496" s="46"/>
    </row>
    <row r="497" spans="1:26" ht="15.75" customHeight="1" x14ac:dyDescent="0.3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46"/>
      <c r="S497" s="46"/>
      <c r="T497" s="46"/>
      <c r="U497" s="46"/>
      <c r="V497" s="46"/>
      <c r="W497" s="32"/>
      <c r="X497" s="32"/>
      <c r="Y497" s="32"/>
      <c r="Z497" s="46"/>
    </row>
    <row r="498" spans="1:26" ht="15.75" customHeight="1" x14ac:dyDescent="0.3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46"/>
      <c r="S498" s="46"/>
      <c r="T498" s="46"/>
      <c r="U498" s="46"/>
      <c r="V498" s="46"/>
      <c r="W498" s="32"/>
      <c r="X498" s="32"/>
      <c r="Y498" s="32"/>
      <c r="Z498" s="46"/>
    </row>
    <row r="499" spans="1:26" ht="15.75" customHeight="1" x14ac:dyDescent="0.3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46"/>
      <c r="S499" s="46"/>
      <c r="T499" s="46"/>
      <c r="U499" s="46"/>
      <c r="V499" s="46"/>
      <c r="W499" s="32"/>
      <c r="X499" s="32"/>
      <c r="Y499" s="32"/>
      <c r="Z499" s="46"/>
    </row>
    <row r="500" spans="1:26" ht="15.75" customHeight="1" x14ac:dyDescent="0.3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46"/>
      <c r="S500" s="46"/>
      <c r="T500" s="46"/>
      <c r="U500" s="46"/>
      <c r="V500" s="46"/>
      <c r="W500" s="32"/>
      <c r="X500" s="32"/>
      <c r="Y500" s="32"/>
      <c r="Z500" s="46"/>
    </row>
    <row r="501" spans="1:26" ht="15.75" customHeight="1" x14ac:dyDescent="0.3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46"/>
      <c r="S501" s="46"/>
      <c r="T501" s="46"/>
      <c r="U501" s="46"/>
      <c r="V501" s="46"/>
      <c r="W501" s="32"/>
      <c r="X501" s="32"/>
      <c r="Y501" s="32"/>
      <c r="Z501" s="46"/>
    </row>
    <row r="502" spans="1:26" ht="15.75" customHeight="1" x14ac:dyDescent="0.3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46"/>
      <c r="S502" s="46"/>
      <c r="T502" s="46"/>
      <c r="U502" s="46"/>
      <c r="V502" s="46"/>
      <c r="W502" s="32"/>
      <c r="X502" s="32"/>
      <c r="Y502" s="32"/>
      <c r="Z502" s="46"/>
    </row>
    <row r="503" spans="1:26" ht="15.75" customHeight="1" x14ac:dyDescent="0.3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46"/>
      <c r="S503" s="46"/>
      <c r="T503" s="46"/>
      <c r="U503" s="46"/>
      <c r="V503" s="46"/>
      <c r="W503" s="32"/>
      <c r="X503" s="32"/>
      <c r="Y503" s="32"/>
      <c r="Z503" s="46"/>
    </row>
    <row r="504" spans="1:26" ht="15.75" customHeight="1" x14ac:dyDescent="0.3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46"/>
      <c r="S504" s="46"/>
      <c r="T504" s="46"/>
      <c r="U504" s="46"/>
      <c r="V504" s="46"/>
      <c r="W504" s="32"/>
      <c r="X504" s="32"/>
      <c r="Y504" s="32"/>
      <c r="Z504" s="46"/>
    </row>
    <row r="505" spans="1:26" ht="15.75" customHeight="1" x14ac:dyDescent="0.3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46"/>
      <c r="S505" s="46"/>
      <c r="T505" s="46"/>
      <c r="U505" s="46"/>
      <c r="V505" s="46"/>
      <c r="W505" s="32"/>
      <c r="X505" s="32"/>
      <c r="Y505" s="32"/>
      <c r="Z505" s="46"/>
    </row>
    <row r="506" spans="1:26" ht="15.75" customHeight="1" x14ac:dyDescent="0.3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46"/>
      <c r="S506" s="46"/>
      <c r="T506" s="46"/>
      <c r="U506" s="46"/>
      <c r="V506" s="46"/>
      <c r="W506" s="32"/>
      <c r="X506" s="32"/>
      <c r="Y506" s="32"/>
      <c r="Z506" s="46"/>
    </row>
    <row r="507" spans="1:26" ht="15.75" customHeight="1" x14ac:dyDescent="0.3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46"/>
      <c r="S507" s="46"/>
      <c r="T507" s="46"/>
      <c r="U507" s="46"/>
      <c r="V507" s="46"/>
      <c r="W507" s="32"/>
      <c r="X507" s="32"/>
      <c r="Y507" s="32"/>
      <c r="Z507" s="46"/>
    </row>
    <row r="508" spans="1:26" ht="15.75" customHeight="1" x14ac:dyDescent="0.3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46"/>
      <c r="S508" s="46"/>
      <c r="T508" s="46"/>
      <c r="U508" s="46"/>
      <c r="V508" s="46"/>
      <c r="W508" s="32"/>
      <c r="X508" s="32"/>
      <c r="Y508" s="32"/>
      <c r="Z508" s="46"/>
    </row>
    <row r="509" spans="1:26" ht="15.75" customHeight="1" x14ac:dyDescent="0.3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46"/>
      <c r="S509" s="46"/>
      <c r="T509" s="46"/>
      <c r="U509" s="46"/>
      <c r="V509" s="46"/>
      <c r="W509" s="32"/>
      <c r="X509" s="32"/>
      <c r="Y509" s="32"/>
      <c r="Z509" s="46"/>
    </row>
    <row r="510" spans="1:26" ht="15.75" customHeight="1" x14ac:dyDescent="0.3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46"/>
      <c r="S510" s="46"/>
      <c r="T510" s="46"/>
      <c r="U510" s="46"/>
      <c r="V510" s="46"/>
      <c r="W510" s="32"/>
      <c r="X510" s="32"/>
      <c r="Y510" s="32"/>
      <c r="Z510" s="46"/>
    </row>
    <row r="511" spans="1:26" ht="15.75" customHeight="1" x14ac:dyDescent="0.3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46"/>
      <c r="S511" s="46"/>
      <c r="T511" s="46"/>
      <c r="U511" s="46"/>
      <c r="V511" s="46"/>
      <c r="W511" s="32"/>
      <c r="X511" s="32"/>
      <c r="Y511" s="32"/>
      <c r="Z511" s="46"/>
    </row>
    <row r="512" spans="1:26" ht="15.75" customHeight="1" x14ac:dyDescent="0.3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46"/>
      <c r="S512" s="46"/>
      <c r="T512" s="46"/>
      <c r="U512" s="46"/>
      <c r="V512" s="46"/>
      <c r="W512" s="32"/>
      <c r="X512" s="32"/>
      <c r="Y512" s="32"/>
      <c r="Z512" s="46"/>
    </row>
    <row r="513" spans="1:26" ht="15.75" customHeight="1" x14ac:dyDescent="0.3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46"/>
      <c r="S513" s="46"/>
      <c r="T513" s="46"/>
      <c r="U513" s="46"/>
      <c r="V513" s="46"/>
      <c r="W513" s="32"/>
      <c r="X513" s="32"/>
      <c r="Y513" s="32"/>
      <c r="Z513" s="46"/>
    </row>
    <row r="514" spans="1:26" ht="15.75" customHeight="1" x14ac:dyDescent="0.3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46"/>
      <c r="S514" s="46"/>
      <c r="T514" s="46"/>
      <c r="U514" s="46"/>
      <c r="V514" s="46"/>
      <c r="W514" s="32"/>
      <c r="X514" s="32"/>
      <c r="Y514" s="32"/>
      <c r="Z514" s="46"/>
    </row>
    <row r="515" spans="1:26" ht="15.75" customHeight="1" x14ac:dyDescent="0.3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46"/>
      <c r="S515" s="46"/>
      <c r="T515" s="46"/>
      <c r="U515" s="46"/>
      <c r="V515" s="46"/>
      <c r="W515" s="32"/>
      <c r="X515" s="32"/>
      <c r="Y515" s="32"/>
      <c r="Z515" s="46"/>
    </row>
    <row r="516" spans="1:26" ht="15.75" customHeight="1" x14ac:dyDescent="0.3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46"/>
      <c r="S516" s="46"/>
      <c r="T516" s="46"/>
      <c r="U516" s="46"/>
      <c r="V516" s="46"/>
      <c r="W516" s="32"/>
      <c r="X516" s="32"/>
      <c r="Y516" s="32"/>
      <c r="Z516" s="46"/>
    </row>
    <row r="517" spans="1:26" ht="15.75" customHeight="1" x14ac:dyDescent="0.3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46"/>
      <c r="S517" s="46"/>
      <c r="T517" s="46"/>
      <c r="U517" s="46"/>
      <c r="V517" s="46"/>
      <c r="W517" s="32"/>
      <c r="X517" s="32"/>
      <c r="Y517" s="32"/>
      <c r="Z517" s="46"/>
    </row>
    <row r="518" spans="1:26" ht="15.75" customHeight="1" x14ac:dyDescent="0.3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46"/>
      <c r="S518" s="46"/>
      <c r="T518" s="46"/>
      <c r="U518" s="46"/>
      <c r="V518" s="46"/>
      <c r="W518" s="32"/>
      <c r="X518" s="32"/>
      <c r="Y518" s="32"/>
      <c r="Z518" s="46"/>
    </row>
    <row r="519" spans="1:26" ht="15.75" customHeight="1" x14ac:dyDescent="0.3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46"/>
      <c r="S519" s="46"/>
      <c r="T519" s="46"/>
      <c r="U519" s="46"/>
      <c r="V519" s="46"/>
      <c r="W519" s="32"/>
      <c r="X519" s="32"/>
      <c r="Y519" s="32"/>
      <c r="Z519" s="46"/>
    </row>
    <row r="520" spans="1:26" ht="15.75" customHeight="1" x14ac:dyDescent="0.3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46"/>
      <c r="S520" s="46"/>
      <c r="T520" s="46"/>
      <c r="U520" s="46"/>
      <c r="V520" s="46"/>
      <c r="W520" s="32"/>
      <c r="X520" s="32"/>
      <c r="Y520" s="32"/>
      <c r="Z520" s="46"/>
    </row>
    <row r="521" spans="1:26" ht="15.75" customHeight="1" x14ac:dyDescent="0.3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46"/>
      <c r="S521" s="46"/>
      <c r="T521" s="46"/>
      <c r="U521" s="46"/>
      <c r="V521" s="46"/>
      <c r="W521" s="32"/>
      <c r="X521" s="32"/>
      <c r="Y521" s="32"/>
      <c r="Z521" s="46"/>
    </row>
    <row r="522" spans="1:26" ht="15.75" customHeight="1" x14ac:dyDescent="0.3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46"/>
      <c r="S522" s="46"/>
      <c r="T522" s="46"/>
      <c r="U522" s="46"/>
      <c r="V522" s="46"/>
      <c r="W522" s="32"/>
      <c r="X522" s="32"/>
      <c r="Y522" s="32"/>
      <c r="Z522" s="46"/>
    </row>
    <row r="523" spans="1:26" ht="15.75" customHeight="1" x14ac:dyDescent="0.3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46"/>
      <c r="S523" s="46"/>
      <c r="T523" s="46"/>
      <c r="U523" s="46"/>
      <c r="V523" s="46"/>
      <c r="W523" s="32"/>
      <c r="X523" s="32"/>
      <c r="Y523" s="32"/>
      <c r="Z523" s="46"/>
    </row>
    <row r="524" spans="1:26" ht="15.75" customHeight="1" x14ac:dyDescent="0.3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46"/>
      <c r="S524" s="46"/>
      <c r="T524" s="46"/>
      <c r="U524" s="46"/>
      <c r="V524" s="46"/>
      <c r="W524" s="32"/>
      <c r="X524" s="32"/>
      <c r="Y524" s="32"/>
      <c r="Z524" s="46"/>
    </row>
    <row r="525" spans="1:26" ht="15.75" customHeight="1" x14ac:dyDescent="0.3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46"/>
      <c r="S525" s="46"/>
      <c r="T525" s="46"/>
      <c r="U525" s="46"/>
      <c r="V525" s="46"/>
      <c r="W525" s="32"/>
      <c r="X525" s="32"/>
      <c r="Y525" s="32"/>
      <c r="Z525" s="46"/>
    </row>
    <row r="526" spans="1:26" ht="15.75" customHeight="1" x14ac:dyDescent="0.3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46"/>
      <c r="S526" s="46"/>
      <c r="T526" s="46"/>
      <c r="U526" s="46"/>
      <c r="V526" s="46"/>
      <c r="W526" s="32"/>
      <c r="X526" s="32"/>
      <c r="Y526" s="32"/>
      <c r="Z526" s="46"/>
    </row>
    <row r="527" spans="1:26" ht="15.75" customHeight="1" x14ac:dyDescent="0.3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46"/>
      <c r="S527" s="46"/>
      <c r="T527" s="46"/>
      <c r="U527" s="46"/>
      <c r="V527" s="46"/>
      <c r="W527" s="32"/>
      <c r="X527" s="32"/>
      <c r="Y527" s="32"/>
      <c r="Z527" s="46"/>
    </row>
    <row r="528" spans="1:26" ht="15.75" customHeight="1" x14ac:dyDescent="0.3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46"/>
      <c r="S528" s="46"/>
      <c r="T528" s="46"/>
      <c r="U528" s="46"/>
      <c r="V528" s="46"/>
      <c r="W528" s="32"/>
      <c r="X528" s="32"/>
      <c r="Y528" s="32"/>
      <c r="Z528" s="46"/>
    </row>
    <row r="529" spans="1:26" ht="15.75" customHeight="1" x14ac:dyDescent="0.3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46"/>
      <c r="S529" s="46"/>
      <c r="T529" s="46"/>
      <c r="U529" s="46"/>
      <c r="V529" s="46"/>
      <c r="W529" s="32"/>
      <c r="X529" s="32"/>
      <c r="Y529" s="32"/>
      <c r="Z529" s="46"/>
    </row>
    <row r="530" spans="1:26" ht="15.75" customHeight="1" x14ac:dyDescent="0.3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46"/>
      <c r="S530" s="46"/>
      <c r="T530" s="46"/>
      <c r="U530" s="46"/>
      <c r="V530" s="46"/>
      <c r="W530" s="32"/>
      <c r="X530" s="32"/>
      <c r="Y530" s="32"/>
      <c r="Z530" s="46"/>
    </row>
    <row r="531" spans="1:26" ht="15.75" customHeight="1" x14ac:dyDescent="0.3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46"/>
      <c r="S531" s="46"/>
      <c r="T531" s="46"/>
      <c r="U531" s="46"/>
      <c r="V531" s="46"/>
      <c r="W531" s="32"/>
      <c r="X531" s="32"/>
      <c r="Y531" s="32"/>
      <c r="Z531" s="46"/>
    </row>
    <row r="532" spans="1:26" ht="15.75" customHeight="1" x14ac:dyDescent="0.3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46"/>
      <c r="S532" s="46"/>
      <c r="T532" s="46"/>
      <c r="U532" s="46"/>
      <c r="V532" s="46"/>
      <c r="W532" s="32"/>
      <c r="X532" s="32"/>
      <c r="Y532" s="32"/>
      <c r="Z532" s="46"/>
    </row>
    <row r="533" spans="1:26" ht="15.75" customHeight="1" x14ac:dyDescent="0.3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46"/>
      <c r="S533" s="46"/>
      <c r="T533" s="46"/>
      <c r="U533" s="46"/>
      <c r="V533" s="46"/>
      <c r="W533" s="32"/>
      <c r="X533" s="32"/>
      <c r="Y533" s="32"/>
      <c r="Z533" s="46"/>
    </row>
    <row r="534" spans="1:26" ht="15.75" customHeight="1" x14ac:dyDescent="0.3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46"/>
      <c r="S534" s="46"/>
      <c r="T534" s="46"/>
      <c r="U534" s="46"/>
      <c r="V534" s="46"/>
      <c r="W534" s="32"/>
      <c r="X534" s="32"/>
      <c r="Y534" s="32"/>
      <c r="Z534" s="46"/>
    </row>
    <row r="535" spans="1:26" ht="15.75" customHeight="1" x14ac:dyDescent="0.3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46"/>
      <c r="S535" s="46"/>
      <c r="T535" s="46"/>
      <c r="U535" s="46"/>
      <c r="V535" s="46"/>
      <c r="W535" s="32"/>
      <c r="X535" s="32"/>
      <c r="Y535" s="32"/>
      <c r="Z535" s="46"/>
    </row>
    <row r="536" spans="1:26" ht="15.75" customHeight="1" x14ac:dyDescent="0.3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46"/>
      <c r="S536" s="46"/>
      <c r="T536" s="46"/>
      <c r="U536" s="46"/>
      <c r="V536" s="46"/>
      <c r="W536" s="32"/>
      <c r="X536" s="32"/>
      <c r="Y536" s="32"/>
      <c r="Z536" s="46"/>
    </row>
    <row r="537" spans="1:26" ht="15.75" customHeight="1" x14ac:dyDescent="0.3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46"/>
      <c r="S537" s="46"/>
      <c r="T537" s="46"/>
      <c r="U537" s="46"/>
      <c r="V537" s="46"/>
      <c r="W537" s="32"/>
      <c r="X537" s="32"/>
      <c r="Y537" s="32"/>
      <c r="Z537" s="46"/>
    </row>
    <row r="538" spans="1:26" ht="15.75" customHeight="1" x14ac:dyDescent="0.3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46"/>
      <c r="S538" s="46"/>
      <c r="T538" s="46"/>
      <c r="U538" s="46"/>
      <c r="V538" s="46"/>
      <c r="W538" s="32"/>
      <c r="X538" s="32"/>
      <c r="Y538" s="32"/>
      <c r="Z538" s="46"/>
    </row>
    <row r="539" spans="1:26" ht="15.75" customHeight="1" x14ac:dyDescent="0.3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46"/>
      <c r="S539" s="46"/>
      <c r="T539" s="46"/>
      <c r="U539" s="46"/>
      <c r="V539" s="46"/>
      <c r="W539" s="32"/>
      <c r="X539" s="32"/>
      <c r="Y539" s="32"/>
      <c r="Z539" s="46"/>
    </row>
    <row r="540" spans="1:26" ht="15.75" customHeight="1" x14ac:dyDescent="0.3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46"/>
      <c r="S540" s="46"/>
      <c r="T540" s="46"/>
      <c r="U540" s="46"/>
      <c r="V540" s="46"/>
      <c r="W540" s="32"/>
      <c r="X540" s="32"/>
      <c r="Y540" s="32"/>
      <c r="Z540" s="46"/>
    </row>
    <row r="541" spans="1:26" ht="15.75" customHeight="1" x14ac:dyDescent="0.3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46"/>
      <c r="S541" s="46"/>
      <c r="T541" s="46"/>
      <c r="U541" s="46"/>
      <c r="V541" s="46"/>
      <c r="W541" s="32"/>
      <c r="X541" s="32"/>
      <c r="Y541" s="32"/>
      <c r="Z541" s="46"/>
    </row>
    <row r="542" spans="1:26" ht="15.75" customHeight="1" x14ac:dyDescent="0.3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46"/>
      <c r="S542" s="46"/>
      <c r="T542" s="46"/>
      <c r="U542" s="46"/>
      <c r="V542" s="46"/>
      <c r="W542" s="32"/>
      <c r="X542" s="32"/>
      <c r="Y542" s="32"/>
      <c r="Z542" s="46"/>
    </row>
    <row r="543" spans="1:26" ht="15.75" customHeight="1" x14ac:dyDescent="0.3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46"/>
      <c r="S543" s="46"/>
      <c r="T543" s="46"/>
      <c r="U543" s="46"/>
      <c r="V543" s="46"/>
      <c r="W543" s="32"/>
      <c r="X543" s="32"/>
      <c r="Y543" s="32"/>
      <c r="Z543" s="46"/>
    </row>
    <row r="544" spans="1:26" ht="15.75" customHeight="1" x14ac:dyDescent="0.3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46"/>
      <c r="S544" s="46"/>
      <c r="T544" s="46"/>
      <c r="U544" s="46"/>
      <c r="V544" s="46"/>
      <c r="W544" s="32"/>
      <c r="X544" s="32"/>
      <c r="Y544" s="32"/>
      <c r="Z544" s="46"/>
    </row>
    <row r="545" spans="1:26" ht="15.75" customHeight="1" x14ac:dyDescent="0.3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46"/>
      <c r="S545" s="46"/>
      <c r="T545" s="46"/>
      <c r="U545" s="46"/>
      <c r="V545" s="46"/>
      <c r="W545" s="32"/>
      <c r="X545" s="32"/>
      <c r="Y545" s="32"/>
      <c r="Z545" s="46"/>
    </row>
    <row r="546" spans="1:26" ht="15.75" customHeight="1" x14ac:dyDescent="0.3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46"/>
      <c r="S546" s="46"/>
      <c r="T546" s="46"/>
      <c r="U546" s="46"/>
      <c r="V546" s="46"/>
      <c r="W546" s="32"/>
      <c r="X546" s="32"/>
      <c r="Y546" s="32"/>
      <c r="Z546" s="46"/>
    </row>
    <row r="547" spans="1:26" ht="15.75" customHeight="1" x14ac:dyDescent="0.3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46"/>
      <c r="S547" s="46"/>
      <c r="T547" s="46"/>
      <c r="U547" s="46"/>
      <c r="V547" s="46"/>
      <c r="W547" s="32"/>
      <c r="X547" s="32"/>
      <c r="Y547" s="32"/>
      <c r="Z547" s="46"/>
    </row>
    <row r="548" spans="1:26" ht="15.75" customHeight="1" x14ac:dyDescent="0.3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46"/>
      <c r="S548" s="46"/>
      <c r="T548" s="46"/>
      <c r="U548" s="46"/>
      <c r="V548" s="46"/>
      <c r="W548" s="32"/>
      <c r="X548" s="32"/>
      <c r="Y548" s="32"/>
      <c r="Z548" s="46"/>
    </row>
    <row r="549" spans="1:26" ht="15.75" customHeight="1" x14ac:dyDescent="0.3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46"/>
      <c r="S549" s="46"/>
      <c r="T549" s="46"/>
      <c r="U549" s="46"/>
      <c r="V549" s="46"/>
      <c r="W549" s="32"/>
      <c r="X549" s="32"/>
      <c r="Y549" s="32"/>
      <c r="Z549" s="46"/>
    </row>
    <row r="550" spans="1:26" ht="15.75" customHeight="1" x14ac:dyDescent="0.3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46"/>
      <c r="S550" s="46"/>
      <c r="T550" s="46"/>
      <c r="U550" s="46"/>
      <c r="V550" s="46"/>
      <c r="W550" s="32"/>
      <c r="X550" s="32"/>
      <c r="Y550" s="32"/>
      <c r="Z550" s="46"/>
    </row>
    <row r="551" spans="1:26" ht="15.75" customHeight="1" x14ac:dyDescent="0.3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46"/>
      <c r="S551" s="46"/>
      <c r="T551" s="46"/>
      <c r="U551" s="46"/>
      <c r="V551" s="46"/>
      <c r="W551" s="32"/>
      <c r="X551" s="32"/>
      <c r="Y551" s="32"/>
      <c r="Z551" s="46"/>
    </row>
    <row r="552" spans="1:26" ht="15.75" customHeight="1" x14ac:dyDescent="0.3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46"/>
      <c r="S552" s="46"/>
      <c r="T552" s="46"/>
      <c r="U552" s="46"/>
      <c r="V552" s="46"/>
      <c r="W552" s="32"/>
      <c r="X552" s="32"/>
      <c r="Y552" s="32"/>
      <c r="Z552" s="46"/>
    </row>
    <row r="553" spans="1:26" ht="15.75" customHeight="1" x14ac:dyDescent="0.3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46"/>
      <c r="S553" s="46"/>
      <c r="T553" s="46"/>
      <c r="U553" s="46"/>
      <c r="V553" s="46"/>
      <c r="W553" s="32"/>
      <c r="X553" s="32"/>
      <c r="Y553" s="32"/>
      <c r="Z553" s="46"/>
    </row>
    <row r="554" spans="1:26" ht="15.75" customHeight="1" x14ac:dyDescent="0.3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46"/>
      <c r="S554" s="46"/>
      <c r="T554" s="46"/>
      <c r="U554" s="46"/>
      <c r="V554" s="46"/>
      <c r="W554" s="32"/>
      <c r="X554" s="32"/>
      <c r="Y554" s="32"/>
      <c r="Z554" s="46"/>
    </row>
    <row r="555" spans="1:26" ht="15.75" customHeight="1" x14ac:dyDescent="0.3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46"/>
      <c r="S555" s="46"/>
      <c r="T555" s="46"/>
      <c r="U555" s="46"/>
      <c r="V555" s="46"/>
      <c r="W555" s="32"/>
      <c r="X555" s="32"/>
      <c r="Y555" s="32"/>
      <c r="Z555" s="46"/>
    </row>
    <row r="556" spans="1:26" ht="15.75" customHeight="1" x14ac:dyDescent="0.3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46"/>
      <c r="S556" s="46"/>
      <c r="T556" s="46"/>
      <c r="U556" s="46"/>
      <c r="V556" s="46"/>
      <c r="W556" s="32"/>
      <c r="X556" s="32"/>
      <c r="Y556" s="32"/>
      <c r="Z556" s="46"/>
    </row>
    <row r="557" spans="1:26" ht="15.75" customHeight="1" x14ac:dyDescent="0.3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46"/>
      <c r="S557" s="46"/>
      <c r="T557" s="46"/>
      <c r="U557" s="46"/>
      <c r="V557" s="46"/>
      <c r="W557" s="32"/>
      <c r="X557" s="32"/>
      <c r="Y557" s="32"/>
      <c r="Z557" s="46"/>
    </row>
    <row r="558" spans="1:26" ht="15.75" customHeight="1" x14ac:dyDescent="0.3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46"/>
      <c r="S558" s="46"/>
      <c r="T558" s="46"/>
      <c r="U558" s="46"/>
      <c r="V558" s="46"/>
      <c r="W558" s="32"/>
      <c r="X558" s="32"/>
      <c r="Y558" s="32"/>
      <c r="Z558" s="46"/>
    </row>
    <row r="559" spans="1:26" ht="15.75" customHeight="1" x14ac:dyDescent="0.3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46"/>
      <c r="S559" s="46"/>
      <c r="T559" s="46"/>
      <c r="U559" s="46"/>
      <c r="V559" s="46"/>
      <c r="W559" s="32"/>
      <c r="X559" s="32"/>
      <c r="Y559" s="32"/>
      <c r="Z559" s="46"/>
    </row>
    <row r="560" spans="1:26" ht="15.75" customHeight="1" x14ac:dyDescent="0.3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46"/>
      <c r="S560" s="46"/>
      <c r="T560" s="46"/>
      <c r="U560" s="46"/>
      <c r="V560" s="46"/>
      <c r="W560" s="32"/>
      <c r="X560" s="32"/>
      <c r="Y560" s="32"/>
      <c r="Z560" s="46"/>
    </row>
    <row r="561" spans="1:26" ht="15.75" customHeight="1" x14ac:dyDescent="0.3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46"/>
      <c r="S561" s="46"/>
      <c r="T561" s="46"/>
      <c r="U561" s="46"/>
      <c r="V561" s="46"/>
      <c r="W561" s="32"/>
      <c r="X561" s="32"/>
      <c r="Y561" s="32"/>
      <c r="Z561" s="46"/>
    </row>
    <row r="562" spans="1:26" ht="15.75" customHeight="1" x14ac:dyDescent="0.3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46"/>
      <c r="S562" s="46"/>
      <c r="T562" s="46"/>
      <c r="U562" s="46"/>
      <c r="V562" s="46"/>
      <c r="W562" s="32"/>
      <c r="X562" s="32"/>
      <c r="Y562" s="32"/>
      <c r="Z562" s="46"/>
    </row>
    <row r="563" spans="1:26" ht="15.75" customHeight="1" x14ac:dyDescent="0.3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46"/>
      <c r="S563" s="46"/>
      <c r="T563" s="46"/>
      <c r="U563" s="46"/>
      <c r="V563" s="46"/>
      <c r="W563" s="32"/>
      <c r="X563" s="32"/>
      <c r="Y563" s="32"/>
      <c r="Z563" s="46"/>
    </row>
    <row r="564" spans="1:26" ht="15.75" customHeight="1" x14ac:dyDescent="0.3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46"/>
      <c r="S564" s="46"/>
      <c r="T564" s="46"/>
      <c r="U564" s="46"/>
      <c r="V564" s="46"/>
      <c r="W564" s="32"/>
      <c r="X564" s="32"/>
      <c r="Y564" s="32"/>
      <c r="Z564" s="46"/>
    </row>
    <row r="565" spans="1:26" ht="15.75" customHeight="1" x14ac:dyDescent="0.3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46"/>
      <c r="S565" s="46"/>
      <c r="T565" s="46"/>
      <c r="U565" s="46"/>
      <c r="V565" s="46"/>
      <c r="W565" s="32"/>
      <c r="X565" s="32"/>
      <c r="Y565" s="32"/>
      <c r="Z565" s="46"/>
    </row>
    <row r="566" spans="1:26" ht="15.75" customHeight="1" x14ac:dyDescent="0.3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46"/>
      <c r="S566" s="46"/>
      <c r="T566" s="46"/>
      <c r="U566" s="46"/>
      <c r="V566" s="46"/>
      <c r="W566" s="32"/>
      <c r="X566" s="32"/>
      <c r="Y566" s="32"/>
      <c r="Z566" s="46"/>
    </row>
    <row r="567" spans="1:26" ht="15.75" customHeight="1" x14ac:dyDescent="0.3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46"/>
      <c r="S567" s="46"/>
      <c r="T567" s="46"/>
      <c r="U567" s="46"/>
      <c r="V567" s="46"/>
      <c r="W567" s="32"/>
      <c r="X567" s="32"/>
      <c r="Y567" s="32"/>
      <c r="Z567" s="46"/>
    </row>
    <row r="568" spans="1:26" ht="15.75" customHeight="1" x14ac:dyDescent="0.3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46"/>
      <c r="S568" s="46"/>
      <c r="T568" s="46"/>
      <c r="U568" s="46"/>
      <c r="V568" s="46"/>
      <c r="W568" s="32"/>
      <c r="X568" s="32"/>
      <c r="Y568" s="32"/>
      <c r="Z568" s="46"/>
    </row>
    <row r="569" spans="1:26" ht="15.75" customHeight="1" x14ac:dyDescent="0.3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46"/>
      <c r="S569" s="46"/>
      <c r="T569" s="46"/>
      <c r="U569" s="46"/>
      <c r="V569" s="46"/>
      <c r="W569" s="32"/>
      <c r="X569" s="32"/>
      <c r="Y569" s="32"/>
      <c r="Z569" s="46"/>
    </row>
    <row r="570" spans="1:26" ht="15.75" customHeight="1" x14ac:dyDescent="0.3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46"/>
      <c r="S570" s="46"/>
      <c r="T570" s="46"/>
      <c r="U570" s="46"/>
      <c r="V570" s="46"/>
      <c r="W570" s="32"/>
      <c r="X570" s="32"/>
      <c r="Y570" s="32"/>
      <c r="Z570" s="46"/>
    </row>
    <row r="571" spans="1:26" ht="15.75" customHeight="1" x14ac:dyDescent="0.3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46"/>
      <c r="S571" s="46"/>
      <c r="T571" s="46"/>
      <c r="U571" s="46"/>
      <c r="V571" s="46"/>
      <c r="W571" s="32"/>
      <c r="X571" s="32"/>
      <c r="Y571" s="32"/>
      <c r="Z571" s="46"/>
    </row>
    <row r="572" spans="1:26" ht="15.75" customHeight="1" x14ac:dyDescent="0.3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46"/>
      <c r="S572" s="46"/>
      <c r="T572" s="46"/>
      <c r="U572" s="46"/>
      <c r="V572" s="46"/>
      <c r="W572" s="32"/>
      <c r="X572" s="32"/>
      <c r="Y572" s="32"/>
      <c r="Z572" s="46"/>
    </row>
    <row r="573" spans="1:26" ht="15.75" customHeight="1" x14ac:dyDescent="0.3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46"/>
      <c r="S573" s="46"/>
      <c r="T573" s="46"/>
      <c r="U573" s="46"/>
      <c r="V573" s="46"/>
      <c r="W573" s="32"/>
      <c r="X573" s="32"/>
      <c r="Y573" s="32"/>
      <c r="Z573" s="46"/>
    </row>
    <row r="574" spans="1:26" ht="15.75" customHeight="1" x14ac:dyDescent="0.3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46"/>
      <c r="S574" s="46"/>
      <c r="T574" s="46"/>
      <c r="U574" s="46"/>
      <c r="V574" s="46"/>
      <c r="W574" s="32"/>
      <c r="X574" s="32"/>
      <c r="Y574" s="32"/>
      <c r="Z574" s="46"/>
    </row>
    <row r="575" spans="1:26" ht="15.75" customHeight="1" x14ac:dyDescent="0.3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46"/>
      <c r="S575" s="46"/>
      <c r="T575" s="46"/>
      <c r="U575" s="46"/>
      <c r="V575" s="46"/>
      <c r="W575" s="32"/>
      <c r="X575" s="32"/>
      <c r="Y575" s="32"/>
      <c r="Z575" s="46"/>
    </row>
    <row r="576" spans="1:26" ht="15.75" customHeight="1" x14ac:dyDescent="0.3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46"/>
      <c r="S576" s="46"/>
      <c r="T576" s="46"/>
      <c r="U576" s="46"/>
      <c r="V576" s="46"/>
      <c r="W576" s="32"/>
      <c r="X576" s="32"/>
      <c r="Y576" s="32"/>
      <c r="Z576" s="46"/>
    </row>
    <row r="577" spans="1:26" ht="15.75" customHeight="1" x14ac:dyDescent="0.3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46"/>
      <c r="S577" s="46"/>
      <c r="T577" s="46"/>
      <c r="U577" s="46"/>
      <c r="V577" s="46"/>
      <c r="W577" s="32"/>
      <c r="X577" s="32"/>
      <c r="Y577" s="32"/>
      <c r="Z577" s="46"/>
    </row>
    <row r="578" spans="1:26" ht="15.75" customHeight="1" x14ac:dyDescent="0.3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46"/>
      <c r="S578" s="46"/>
      <c r="T578" s="46"/>
      <c r="U578" s="46"/>
      <c r="V578" s="46"/>
      <c r="W578" s="32"/>
      <c r="X578" s="32"/>
      <c r="Y578" s="32"/>
      <c r="Z578" s="46"/>
    </row>
    <row r="579" spans="1:26" ht="15.75" customHeight="1" x14ac:dyDescent="0.3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46"/>
      <c r="S579" s="46"/>
      <c r="T579" s="46"/>
      <c r="U579" s="46"/>
      <c r="V579" s="46"/>
      <c r="W579" s="32"/>
      <c r="X579" s="32"/>
      <c r="Y579" s="32"/>
      <c r="Z579" s="46"/>
    </row>
    <row r="580" spans="1:26" ht="15.75" customHeight="1" x14ac:dyDescent="0.3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46"/>
      <c r="S580" s="46"/>
      <c r="T580" s="46"/>
      <c r="U580" s="46"/>
      <c r="V580" s="46"/>
      <c r="W580" s="32"/>
      <c r="X580" s="32"/>
      <c r="Y580" s="32"/>
      <c r="Z580" s="46"/>
    </row>
    <row r="581" spans="1:26" ht="15.75" customHeight="1" x14ac:dyDescent="0.3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46"/>
      <c r="S581" s="46"/>
      <c r="T581" s="46"/>
      <c r="U581" s="46"/>
      <c r="V581" s="46"/>
      <c r="W581" s="32"/>
      <c r="X581" s="32"/>
      <c r="Y581" s="32"/>
      <c r="Z581" s="46"/>
    </row>
    <row r="582" spans="1:26" ht="15.75" customHeight="1" x14ac:dyDescent="0.3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46"/>
      <c r="S582" s="46"/>
      <c r="T582" s="46"/>
      <c r="U582" s="46"/>
      <c r="V582" s="46"/>
      <c r="W582" s="32"/>
      <c r="X582" s="32"/>
      <c r="Y582" s="32"/>
      <c r="Z582" s="46"/>
    </row>
    <row r="583" spans="1:26" ht="15.75" customHeight="1" x14ac:dyDescent="0.3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46"/>
      <c r="S583" s="46"/>
      <c r="T583" s="46"/>
      <c r="U583" s="46"/>
      <c r="V583" s="46"/>
      <c r="W583" s="32"/>
      <c r="X583" s="32"/>
      <c r="Y583" s="32"/>
      <c r="Z583" s="46"/>
    </row>
    <row r="584" spans="1:26" ht="15.75" customHeight="1" x14ac:dyDescent="0.3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46"/>
      <c r="S584" s="46"/>
      <c r="T584" s="46"/>
      <c r="U584" s="46"/>
      <c r="V584" s="46"/>
      <c r="W584" s="32"/>
      <c r="X584" s="32"/>
      <c r="Y584" s="32"/>
      <c r="Z584" s="46"/>
    </row>
    <row r="585" spans="1:26" ht="15.75" customHeight="1" x14ac:dyDescent="0.3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46"/>
      <c r="S585" s="46"/>
      <c r="T585" s="46"/>
      <c r="U585" s="46"/>
      <c r="V585" s="46"/>
      <c r="W585" s="32"/>
      <c r="X585" s="32"/>
      <c r="Y585" s="32"/>
      <c r="Z585" s="46"/>
    </row>
    <row r="586" spans="1:26" ht="15.75" customHeight="1" x14ac:dyDescent="0.3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46"/>
      <c r="S586" s="46"/>
      <c r="T586" s="46"/>
      <c r="U586" s="46"/>
      <c r="V586" s="46"/>
      <c r="W586" s="32"/>
      <c r="X586" s="32"/>
      <c r="Y586" s="32"/>
      <c r="Z586" s="46"/>
    </row>
    <row r="587" spans="1:26" ht="15.75" customHeight="1" x14ac:dyDescent="0.3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46"/>
      <c r="S587" s="46"/>
      <c r="T587" s="46"/>
      <c r="U587" s="46"/>
      <c r="V587" s="46"/>
      <c r="W587" s="32"/>
      <c r="X587" s="32"/>
      <c r="Y587" s="32"/>
      <c r="Z587" s="46"/>
    </row>
    <row r="588" spans="1:26" ht="15.75" customHeight="1" x14ac:dyDescent="0.3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46"/>
      <c r="S588" s="46"/>
      <c r="T588" s="46"/>
      <c r="U588" s="46"/>
      <c r="V588" s="46"/>
      <c r="W588" s="32"/>
      <c r="X588" s="32"/>
      <c r="Y588" s="32"/>
      <c r="Z588" s="46"/>
    </row>
    <row r="589" spans="1:26" ht="15.75" customHeight="1" x14ac:dyDescent="0.3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46"/>
      <c r="S589" s="46"/>
      <c r="T589" s="46"/>
      <c r="U589" s="46"/>
      <c r="V589" s="46"/>
      <c r="W589" s="32"/>
      <c r="X589" s="32"/>
      <c r="Y589" s="32"/>
      <c r="Z589" s="46"/>
    </row>
    <row r="590" spans="1:26" ht="15.75" customHeight="1" x14ac:dyDescent="0.3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46"/>
      <c r="S590" s="46"/>
      <c r="T590" s="46"/>
      <c r="U590" s="46"/>
      <c r="V590" s="46"/>
      <c r="W590" s="32"/>
      <c r="X590" s="32"/>
      <c r="Y590" s="32"/>
      <c r="Z590" s="46"/>
    </row>
    <row r="591" spans="1:26" ht="15.75" customHeight="1" x14ac:dyDescent="0.3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46"/>
      <c r="S591" s="46"/>
      <c r="T591" s="46"/>
      <c r="U591" s="46"/>
      <c r="V591" s="46"/>
      <c r="W591" s="32"/>
      <c r="X591" s="32"/>
      <c r="Y591" s="32"/>
      <c r="Z591" s="46"/>
    </row>
    <row r="592" spans="1:26" ht="15.75" customHeight="1" x14ac:dyDescent="0.3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46"/>
      <c r="S592" s="46"/>
      <c r="T592" s="46"/>
      <c r="U592" s="46"/>
      <c r="V592" s="46"/>
      <c r="W592" s="32"/>
      <c r="X592" s="32"/>
      <c r="Y592" s="32"/>
      <c r="Z592" s="46"/>
    </row>
    <row r="593" spans="1:26" ht="15.75" customHeight="1" x14ac:dyDescent="0.3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46"/>
      <c r="S593" s="46"/>
      <c r="T593" s="46"/>
      <c r="U593" s="46"/>
      <c r="V593" s="46"/>
      <c r="W593" s="32"/>
      <c r="X593" s="32"/>
      <c r="Y593" s="32"/>
      <c r="Z593" s="46"/>
    </row>
    <row r="594" spans="1:26" ht="15.75" customHeight="1" x14ac:dyDescent="0.3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46"/>
      <c r="S594" s="46"/>
      <c r="T594" s="46"/>
      <c r="U594" s="46"/>
      <c r="V594" s="46"/>
      <c r="W594" s="32"/>
      <c r="X594" s="32"/>
      <c r="Y594" s="32"/>
      <c r="Z594" s="46"/>
    </row>
    <row r="595" spans="1:26" ht="15.75" customHeight="1" x14ac:dyDescent="0.3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46"/>
      <c r="S595" s="46"/>
      <c r="T595" s="46"/>
      <c r="U595" s="46"/>
      <c r="V595" s="46"/>
      <c r="W595" s="32"/>
      <c r="X595" s="32"/>
      <c r="Y595" s="32"/>
      <c r="Z595" s="46"/>
    </row>
    <row r="596" spans="1:26" ht="15.75" customHeight="1" x14ac:dyDescent="0.3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46"/>
      <c r="S596" s="46"/>
      <c r="T596" s="46"/>
      <c r="U596" s="46"/>
      <c r="V596" s="46"/>
      <c r="W596" s="32"/>
      <c r="X596" s="32"/>
      <c r="Y596" s="32"/>
      <c r="Z596" s="46"/>
    </row>
    <row r="597" spans="1:26" ht="15.75" customHeight="1" x14ac:dyDescent="0.3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46"/>
      <c r="S597" s="46"/>
      <c r="T597" s="46"/>
      <c r="U597" s="46"/>
      <c r="V597" s="46"/>
      <c r="W597" s="32"/>
      <c r="X597" s="32"/>
      <c r="Y597" s="32"/>
      <c r="Z597" s="46"/>
    </row>
    <row r="598" spans="1:26" ht="15.75" customHeight="1" x14ac:dyDescent="0.3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46"/>
      <c r="S598" s="46"/>
      <c r="T598" s="46"/>
      <c r="U598" s="46"/>
      <c r="V598" s="46"/>
      <c r="W598" s="32"/>
      <c r="X598" s="32"/>
      <c r="Y598" s="32"/>
      <c r="Z598" s="46"/>
    </row>
    <row r="599" spans="1:26" ht="15.75" customHeight="1" x14ac:dyDescent="0.3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46"/>
      <c r="S599" s="46"/>
      <c r="T599" s="46"/>
      <c r="U599" s="46"/>
      <c r="V599" s="46"/>
      <c r="W599" s="32"/>
      <c r="X599" s="32"/>
      <c r="Y599" s="32"/>
      <c r="Z599" s="46"/>
    </row>
    <row r="600" spans="1:26" ht="15.75" customHeight="1" x14ac:dyDescent="0.3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46"/>
      <c r="S600" s="46"/>
      <c r="T600" s="46"/>
      <c r="U600" s="46"/>
      <c r="V600" s="46"/>
      <c r="W600" s="32"/>
      <c r="X600" s="32"/>
      <c r="Y600" s="32"/>
      <c r="Z600" s="46"/>
    </row>
    <row r="601" spans="1:26" ht="15.75" customHeight="1" x14ac:dyDescent="0.3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46"/>
      <c r="S601" s="46"/>
      <c r="T601" s="46"/>
      <c r="U601" s="46"/>
      <c r="V601" s="46"/>
      <c r="W601" s="32"/>
      <c r="X601" s="32"/>
      <c r="Y601" s="32"/>
      <c r="Z601" s="46"/>
    </row>
    <row r="602" spans="1:26" ht="15.75" customHeight="1" x14ac:dyDescent="0.3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46"/>
      <c r="S602" s="46"/>
      <c r="T602" s="46"/>
      <c r="U602" s="46"/>
      <c r="V602" s="46"/>
      <c r="W602" s="32"/>
      <c r="X602" s="32"/>
      <c r="Y602" s="32"/>
      <c r="Z602" s="46"/>
    </row>
    <row r="603" spans="1:26" ht="15.75" customHeight="1" x14ac:dyDescent="0.3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46"/>
      <c r="S603" s="46"/>
      <c r="T603" s="46"/>
      <c r="U603" s="46"/>
      <c r="V603" s="46"/>
      <c r="W603" s="32"/>
      <c r="X603" s="32"/>
      <c r="Y603" s="32"/>
      <c r="Z603" s="46"/>
    </row>
    <row r="604" spans="1:26" ht="15.75" customHeight="1" x14ac:dyDescent="0.3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46"/>
      <c r="S604" s="46"/>
      <c r="T604" s="46"/>
      <c r="U604" s="46"/>
      <c r="V604" s="46"/>
      <c r="W604" s="32"/>
      <c r="X604" s="32"/>
      <c r="Y604" s="32"/>
      <c r="Z604" s="46"/>
    </row>
    <row r="605" spans="1:26" ht="15.75" customHeight="1" x14ac:dyDescent="0.3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46"/>
      <c r="S605" s="46"/>
      <c r="T605" s="46"/>
      <c r="U605" s="46"/>
      <c r="V605" s="46"/>
      <c r="W605" s="32"/>
      <c r="X605" s="32"/>
      <c r="Y605" s="32"/>
      <c r="Z605" s="46"/>
    </row>
    <row r="606" spans="1:26" ht="15.75" customHeight="1" x14ac:dyDescent="0.3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46"/>
      <c r="S606" s="46"/>
      <c r="T606" s="46"/>
      <c r="U606" s="46"/>
      <c r="V606" s="46"/>
      <c r="W606" s="32"/>
      <c r="X606" s="32"/>
      <c r="Y606" s="32"/>
      <c r="Z606" s="46"/>
    </row>
    <row r="607" spans="1:26" ht="15.75" customHeight="1" x14ac:dyDescent="0.3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46"/>
      <c r="S607" s="46"/>
      <c r="T607" s="46"/>
      <c r="U607" s="46"/>
      <c r="V607" s="46"/>
      <c r="W607" s="32"/>
      <c r="X607" s="32"/>
      <c r="Y607" s="32"/>
      <c r="Z607" s="46"/>
    </row>
    <row r="608" spans="1:26" ht="15.75" customHeight="1" x14ac:dyDescent="0.3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46"/>
      <c r="S608" s="46"/>
      <c r="T608" s="46"/>
      <c r="U608" s="46"/>
      <c r="V608" s="46"/>
      <c r="W608" s="32"/>
      <c r="X608" s="32"/>
      <c r="Y608" s="32"/>
      <c r="Z608" s="46"/>
    </row>
    <row r="609" spans="1:26" ht="15.75" customHeight="1" x14ac:dyDescent="0.3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46"/>
      <c r="S609" s="46"/>
      <c r="T609" s="46"/>
      <c r="U609" s="46"/>
      <c r="V609" s="46"/>
      <c r="W609" s="32"/>
      <c r="X609" s="32"/>
      <c r="Y609" s="32"/>
      <c r="Z609" s="46"/>
    </row>
    <row r="610" spans="1:26" ht="15.75" customHeight="1" x14ac:dyDescent="0.3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46"/>
      <c r="S610" s="46"/>
      <c r="T610" s="46"/>
      <c r="U610" s="46"/>
      <c r="V610" s="46"/>
      <c r="W610" s="32"/>
      <c r="X610" s="32"/>
      <c r="Y610" s="32"/>
      <c r="Z610" s="46"/>
    </row>
    <row r="611" spans="1:26" ht="15.75" customHeight="1" x14ac:dyDescent="0.3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46"/>
      <c r="S611" s="46"/>
      <c r="T611" s="46"/>
      <c r="U611" s="46"/>
      <c r="V611" s="46"/>
      <c r="W611" s="32"/>
      <c r="X611" s="32"/>
      <c r="Y611" s="32"/>
      <c r="Z611" s="46"/>
    </row>
    <row r="612" spans="1:26" ht="15.75" customHeight="1" x14ac:dyDescent="0.3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46"/>
      <c r="S612" s="46"/>
      <c r="T612" s="46"/>
      <c r="U612" s="46"/>
      <c r="V612" s="46"/>
      <c r="W612" s="32"/>
      <c r="X612" s="32"/>
      <c r="Y612" s="32"/>
      <c r="Z612" s="46"/>
    </row>
    <row r="613" spans="1:26" ht="15.75" customHeight="1" x14ac:dyDescent="0.3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46"/>
      <c r="S613" s="46"/>
      <c r="T613" s="46"/>
      <c r="U613" s="46"/>
      <c r="V613" s="46"/>
      <c r="W613" s="32"/>
      <c r="X613" s="32"/>
      <c r="Y613" s="32"/>
      <c r="Z613" s="46"/>
    </row>
    <row r="614" spans="1:26" ht="15.75" customHeight="1" x14ac:dyDescent="0.3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46"/>
      <c r="S614" s="46"/>
      <c r="T614" s="46"/>
      <c r="U614" s="46"/>
      <c r="V614" s="46"/>
      <c r="W614" s="32"/>
      <c r="X614" s="32"/>
      <c r="Y614" s="32"/>
      <c r="Z614" s="46"/>
    </row>
    <row r="615" spans="1:26" ht="15.75" customHeight="1" x14ac:dyDescent="0.3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46"/>
      <c r="S615" s="46"/>
      <c r="T615" s="46"/>
      <c r="U615" s="46"/>
      <c r="V615" s="46"/>
      <c r="W615" s="32"/>
      <c r="X615" s="32"/>
      <c r="Y615" s="32"/>
      <c r="Z615" s="46"/>
    </row>
    <row r="616" spans="1:26" ht="15.75" customHeight="1" x14ac:dyDescent="0.3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46"/>
      <c r="S616" s="46"/>
      <c r="T616" s="46"/>
      <c r="U616" s="46"/>
      <c r="V616" s="46"/>
      <c r="W616" s="32"/>
      <c r="X616" s="32"/>
      <c r="Y616" s="32"/>
      <c r="Z616" s="46"/>
    </row>
    <row r="617" spans="1:26" ht="15.75" customHeight="1" x14ac:dyDescent="0.3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46"/>
      <c r="S617" s="46"/>
      <c r="T617" s="46"/>
      <c r="U617" s="46"/>
      <c r="V617" s="46"/>
      <c r="W617" s="32"/>
      <c r="X617" s="32"/>
      <c r="Y617" s="32"/>
      <c r="Z617" s="46"/>
    </row>
    <row r="618" spans="1:26" ht="15.75" customHeight="1" x14ac:dyDescent="0.3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46"/>
      <c r="S618" s="46"/>
      <c r="T618" s="46"/>
      <c r="U618" s="46"/>
      <c r="V618" s="46"/>
      <c r="W618" s="32"/>
      <c r="X618" s="32"/>
      <c r="Y618" s="32"/>
      <c r="Z618" s="46"/>
    </row>
    <row r="619" spans="1:26" ht="15.75" customHeight="1" x14ac:dyDescent="0.3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46"/>
      <c r="S619" s="46"/>
      <c r="T619" s="46"/>
      <c r="U619" s="46"/>
      <c r="V619" s="46"/>
      <c r="W619" s="32"/>
      <c r="X619" s="32"/>
      <c r="Y619" s="32"/>
      <c r="Z619" s="46"/>
    </row>
    <row r="620" spans="1:26" ht="15.75" customHeight="1" x14ac:dyDescent="0.3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46"/>
      <c r="S620" s="46"/>
      <c r="T620" s="46"/>
      <c r="U620" s="46"/>
      <c r="V620" s="46"/>
      <c r="W620" s="32"/>
      <c r="X620" s="32"/>
      <c r="Y620" s="32"/>
      <c r="Z620" s="46"/>
    </row>
    <row r="621" spans="1:26" ht="15.75" customHeight="1" x14ac:dyDescent="0.3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46"/>
      <c r="S621" s="46"/>
      <c r="T621" s="46"/>
      <c r="U621" s="46"/>
      <c r="V621" s="46"/>
      <c r="W621" s="32"/>
      <c r="X621" s="32"/>
      <c r="Y621" s="32"/>
      <c r="Z621" s="46"/>
    </row>
    <row r="622" spans="1:26" ht="15.75" customHeight="1" x14ac:dyDescent="0.3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46"/>
      <c r="S622" s="46"/>
      <c r="T622" s="46"/>
      <c r="U622" s="46"/>
      <c r="V622" s="46"/>
      <c r="W622" s="32"/>
      <c r="X622" s="32"/>
      <c r="Y622" s="32"/>
      <c r="Z622" s="46"/>
    </row>
    <row r="623" spans="1:26" ht="15.75" customHeight="1" x14ac:dyDescent="0.3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46"/>
      <c r="S623" s="46"/>
      <c r="T623" s="46"/>
      <c r="U623" s="46"/>
      <c r="V623" s="46"/>
      <c r="W623" s="32"/>
      <c r="X623" s="32"/>
      <c r="Y623" s="32"/>
      <c r="Z623" s="46"/>
    </row>
    <row r="624" spans="1:26" ht="15.75" customHeight="1" x14ac:dyDescent="0.3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46"/>
      <c r="S624" s="46"/>
      <c r="T624" s="46"/>
      <c r="U624" s="46"/>
      <c r="V624" s="46"/>
      <c r="W624" s="32"/>
      <c r="X624" s="32"/>
      <c r="Y624" s="32"/>
      <c r="Z624" s="46"/>
    </row>
    <row r="625" spans="1:26" ht="15.75" customHeight="1" x14ac:dyDescent="0.3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46"/>
      <c r="S625" s="46"/>
      <c r="T625" s="46"/>
      <c r="U625" s="46"/>
      <c r="V625" s="46"/>
      <c r="W625" s="32"/>
      <c r="X625" s="32"/>
      <c r="Y625" s="32"/>
      <c r="Z625" s="46"/>
    </row>
    <row r="626" spans="1:26" ht="15.75" customHeight="1" x14ac:dyDescent="0.3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46"/>
      <c r="S626" s="46"/>
      <c r="T626" s="46"/>
      <c r="U626" s="46"/>
      <c r="V626" s="46"/>
      <c r="W626" s="32"/>
      <c r="X626" s="32"/>
      <c r="Y626" s="32"/>
      <c r="Z626" s="46"/>
    </row>
    <row r="627" spans="1:26" ht="15.75" customHeight="1" x14ac:dyDescent="0.3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46"/>
      <c r="S627" s="46"/>
      <c r="T627" s="46"/>
      <c r="U627" s="46"/>
      <c r="V627" s="46"/>
      <c r="W627" s="32"/>
      <c r="X627" s="32"/>
      <c r="Y627" s="32"/>
      <c r="Z627" s="46"/>
    </row>
    <row r="628" spans="1:26" ht="15.75" customHeight="1" x14ac:dyDescent="0.3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46"/>
      <c r="S628" s="46"/>
      <c r="T628" s="46"/>
      <c r="U628" s="46"/>
      <c r="V628" s="46"/>
      <c r="W628" s="32"/>
      <c r="X628" s="32"/>
      <c r="Y628" s="32"/>
      <c r="Z628" s="46"/>
    </row>
    <row r="629" spans="1:26" ht="15.75" customHeight="1" x14ac:dyDescent="0.3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46"/>
      <c r="S629" s="46"/>
      <c r="T629" s="46"/>
      <c r="U629" s="46"/>
      <c r="V629" s="46"/>
      <c r="W629" s="32"/>
      <c r="X629" s="32"/>
      <c r="Y629" s="32"/>
      <c r="Z629" s="46"/>
    </row>
    <row r="630" spans="1:26" ht="15.75" customHeight="1" x14ac:dyDescent="0.3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46"/>
      <c r="S630" s="46"/>
      <c r="T630" s="46"/>
      <c r="U630" s="46"/>
      <c r="V630" s="46"/>
      <c r="W630" s="32"/>
      <c r="X630" s="32"/>
      <c r="Y630" s="32"/>
      <c r="Z630" s="46"/>
    </row>
    <row r="631" spans="1:26" ht="15.75" customHeight="1" x14ac:dyDescent="0.3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46"/>
      <c r="S631" s="46"/>
      <c r="T631" s="46"/>
      <c r="U631" s="46"/>
      <c r="V631" s="46"/>
      <c r="W631" s="32"/>
      <c r="X631" s="32"/>
      <c r="Y631" s="32"/>
      <c r="Z631" s="46"/>
    </row>
    <row r="632" spans="1:26" ht="15.75" customHeight="1" x14ac:dyDescent="0.3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46"/>
      <c r="S632" s="46"/>
      <c r="T632" s="46"/>
      <c r="U632" s="46"/>
      <c r="V632" s="46"/>
      <c r="W632" s="32"/>
      <c r="X632" s="32"/>
      <c r="Y632" s="32"/>
      <c r="Z632" s="46"/>
    </row>
    <row r="633" spans="1:26" ht="15.75" customHeight="1" x14ac:dyDescent="0.3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46"/>
      <c r="S633" s="46"/>
      <c r="T633" s="46"/>
      <c r="U633" s="46"/>
      <c r="V633" s="46"/>
      <c r="W633" s="32"/>
      <c r="X633" s="32"/>
      <c r="Y633" s="32"/>
      <c r="Z633" s="46"/>
    </row>
    <row r="634" spans="1:26" ht="15.75" customHeight="1" x14ac:dyDescent="0.3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46"/>
      <c r="S634" s="46"/>
      <c r="T634" s="46"/>
      <c r="U634" s="46"/>
      <c r="V634" s="46"/>
      <c r="W634" s="32"/>
      <c r="X634" s="32"/>
      <c r="Y634" s="32"/>
      <c r="Z634" s="46"/>
    </row>
    <row r="635" spans="1:26" ht="15.75" customHeight="1" x14ac:dyDescent="0.3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46"/>
      <c r="S635" s="46"/>
      <c r="T635" s="46"/>
      <c r="U635" s="46"/>
      <c r="V635" s="46"/>
      <c r="W635" s="32"/>
      <c r="X635" s="32"/>
      <c r="Y635" s="32"/>
      <c r="Z635" s="46"/>
    </row>
    <row r="636" spans="1:26" ht="15.75" customHeight="1" x14ac:dyDescent="0.3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46"/>
      <c r="S636" s="46"/>
      <c r="T636" s="46"/>
      <c r="U636" s="46"/>
      <c r="V636" s="46"/>
      <c r="W636" s="32"/>
      <c r="X636" s="32"/>
      <c r="Y636" s="32"/>
      <c r="Z636" s="46"/>
    </row>
    <row r="637" spans="1:26" ht="15.75" customHeight="1" x14ac:dyDescent="0.3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46"/>
      <c r="S637" s="46"/>
      <c r="T637" s="46"/>
      <c r="U637" s="46"/>
      <c r="V637" s="46"/>
      <c r="W637" s="32"/>
      <c r="X637" s="32"/>
      <c r="Y637" s="32"/>
      <c r="Z637" s="46"/>
    </row>
    <row r="638" spans="1:26" ht="15.75" customHeight="1" x14ac:dyDescent="0.3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46"/>
      <c r="S638" s="46"/>
      <c r="T638" s="46"/>
      <c r="U638" s="46"/>
      <c r="V638" s="46"/>
      <c r="W638" s="32"/>
      <c r="X638" s="32"/>
      <c r="Y638" s="32"/>
      <c r="Z638" s="46"/>
    </row>
    <row r="639" spans="1:26" ht="15.75" customHeight="1" x14ac:dyDescent="0.3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46"/>
      <c r="S639" s="46"/>
      <c r="T639" s="46"/>
      <c r="U639" s="46"/>
      <c r="V639" s="46"/>
      <c r="W639" s="32"/>
      <c r="X639" s="32"/>
      <c r="Y639" s="32"/>
      <c r="Z639" s="46"/>
    </row>
    <row r="640" spans="1:26" ht="15.75" customHeight="1" x14ac:dyDescent="0.3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46"/>
      <c r="S640" s="46"/>
      <c r="T640" s="46"/>
      <c r="U640" s="46"/>
      <c r="V640" s="46"/>
      <c r="W640" s="32"/>
      <c r="X640" s="32"/>
      <c r="Y640" s="32"/>
      <c r="Z640" s="46"/>
    </row>
    <row r="641" spans="1:26" ht="15.75" customHeight="1" x14ac:dyDescent="0.3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46"/>
      <c r="S641" s="46"/>
      <c r="T641" s="46"/>
      <c r="U641" s="46"/>
      <c r="V641" s="46"/>
      <c r="W641" s="32"/>
      <c r="X641" s="32"/>
      <c r="Y641" s="32"/>
      <c r="Z641" s="46"/>
    </row>
    <row r="642" spans="1:26" ht="15.75" customHeight="1" x14ac:dyDescent="0.3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46"/>
      <c r="S642" s="46"/>
      <c r="T642" s="46"/>
      <c r="U642" s="46"/>
      <c r="V642" s="46"/>
      <c r="W642" s="32"/>
      <c r="X642" s="32"/>
      <c r="Y642" s="32"/>
      <c r="Z642" s="46"/>
    </row>
    <row r="643" spans="1:26" ht="15.75" customHeight="1" x14ac:dyDescent="0.3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46"/>
      <c r="S643" s="46"/>
      <c r="T643" s="46"/>
      <c r="U643" s="46"/>
      <c r="V643" s="46"/>
      <c r="W643" s="32"/>
      <c r="X643" s="32"/>
      <c r="Y643" s="32"/>
      <c r="Z643" s="46"/>
    </row>
    <row r="644" spans="1:26" ht="15.75" customHeight="1" x14ac:dyDescent="0.3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46"/>
      <c r="S644" s="46"/>
      <c r="T644" s="46"/>
      <c r="U644" s="46"/>
      <c r="V644" s="46"/>
      <c r="W644" s="32"/>
      <c r="X644" s="32"/>
      <c r="Y644" s="32"/>
      <c r="Z644" s="46"/>
    </row>
    <row r="645" spans="1:26" ht="15.75" customHeight="1" x14ac:dyDescent="0.3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46"/>
      <c r="S645" s="46"/>
      <c r="T645" s="46"/>
      <c r="U645" s="46"/>
      <c r="V645" s="46"/>
      <c r="W645" s="32"/>
      <c r="X645" s="32"/>
      <c r="Y645" s="32"/>
      <c r="Z645" s="46"/>
    </row>
    <row r="646" spans="1:26" ht="15.75" customHeight="1" x14ac:dyDescent="0.3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46"/>
      <c r="S646" s="46"/>
      <c r="T646" s="46"/>
      <c r="U646" s="46"/>
      <c r="V646" s="46"/>
      <c r="W646" s="32"/>
      <c r="X646" s="32"/>
      <c r="Y646" s="32"/>
      <c r="Z646" s="46"/>
    </row>
    <row r="647" spans="1:26" ht="15.75" customHeight="1" x14ac:dyDescent="0.3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46"/>
      <c r="S647" s="46"/>
      <c r="T647" s="46"/>
      <c r="U647" s="46"/>
      <c r="V647" s="46"/>
      <c r="W647" s="32"/>
      <c r="X647" s="32"/>
      <c r="Y647" s="32"/>
      <c r="Z647" s="46"/>
    </row>
    <row r="648" spans="1:26" ht="15.75" customHeight="1" x14ac:dyDescent="0.3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46"/>
      <c r="S648" s="46"/>
      <c r="T648" s="46"/>
      <c r="U648" s="46"/>
      <c r="V648" s="46"/>
      <c r="W648" s="32"/>
      <c r="X648" s="32"/>
      <c r="Y648" s="32"/>
      <c r="Z648" s="46"/>
    </row>
    <row r="649" spans="1:26" ht="15.75" customHeight="1" x14ac:dyDescent="0.3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46"/>
      <c r="S649" s="46"/>
      <c r="T649" s="46"/>
      <c r="U649" s="46"/>
      <c r="V649" s="46"/>
      <c r="W649" s="32"/>
      <c r="X649" s="32"/>
      <c r="Y649" s="32"/>
      <c r="Z649" s="46"/>
    </row>
    <row r="650" spans="1:26" ht="15.75" customHeight="1" x14ac:dyDescent="0.3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46"/>
      <c r="S650" s="46"/>
      <c r="T650" s="46"/>
      <c r="U650" s="46"/>
      <c r="V650" s="46"/>
      <c r="W650" s="32"/>
      <c r="X650" s="32"/>
      <c r="Y650" s="32"/>
      <c r="Z650" s="46"/>
    </row>
    <row r="651" spans="1:26" ht="15.75" customHeight="1" x14ac:dyDescent="0.3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46"/>
      <c r="S651" s="46"/>
      <c r="T651" s="46"/>
      <c r="U651" s="46"/>
      <c r="V651" s="46"/>
      <c r="W651" s="32"/>
      <c r="X651" s="32"/>
      <c r="Y651" s="32"/>
      <c r="Z651" s="46"/>
    </row>
    <row r="652" spans="1:26" ht="15.75" customHeight="1" x14ac:dyDescent="0.3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46"/>
      <c r="S652" s="46"/>
      <c r="T652" s="46"/>
      <c r="U652" s="46"/>
      <c r="V652" s="46"/>
      <c r="W652" s="32"/>
      <c r="X652" s="32"/>
      <c r="Y652" s="32"/>
      <c r="Z652" s="46"/>
    </row>
    <row r="653" spans="1:26" ht="15.75" customHeight="1" x14ac:dyDescent="0.3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46"/>
      <c r="S653" s="46"/>
      <c r="T653" s="46"/>
      <c r="U653" s="46"/>
      <c r="V653" s="46"/>
      <c r="W653" s="32"/>
      <c r="X653" s="32"/>
      <c r="Y653" s="32"/>
      <c r="Z653" s="46"/>
    </row>
    <row r="654" spans="1:26" ht="15.75" customHeight="1" x14ac:dyDescent="0.3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46"/>
      <c r="S654" s="46"/>
      <c r="T654" s="46"/>
      <c r="U654" s="46"/>
      <c r="V654" s="46"/>
      <c r="W654" s="32"/>
      <c r="X654" s="32"/>
      <c r="Y654" s="32"/>
      <c r="Z654" s="46"/>
    </row>
    <row r="655" spans="1:26" ht="15.75" customHeight="1" x14ac:dyDescent="0.3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46"/>
      <c r="S655" s="46"/>
      <c r="T655" s="46"/>
      <c r="U655" s="46"/>
      <c r="V655" s="46"/>
      <c r="W655" s="32"/>
      <c r="X655" s="32"/>
      <c r="Y655" s="32"/>
      <c r="Z655" s="46"/>
    </row>
    <row r="656" spans="1:26" ht="15.75" customHeight="1" x14ac:dyDescent="0.3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46"/>
      <c r="S656" s="46"/>
      <c r="T656" s="46"/>
      <c r="U656" s="46"/>
      <c r="V656" s="46"/>
      <c r="W656" s="32"/>
      <c r="X656" s="32"/>
      <c r="Y656" s="32"/>
      <c r="Z656" s="46"/>
    </row>
    <row r="657" spans="1:26" ht="15.75" customHeight="1" x14ac:dyDescent="0.3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46"/>
      <c r="S657" s="46"/>
      <c r="T657" s="46"/>
      <c r="U657" s="46"/>
      <c r="V657" s="46"/>
      <c r="W657" s="32"/>
      <c r="X657" s="32"/>
      <c r="Y657" s="32"/>
      <c r="Z657" s="46"/>
    </row>
    <row r="658" spans="1:26" ht="15.75" customHeight="1" x14ac:dyDescent="0.3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46"/>
      <c r="S658" s="46"/>
      <c r="T658" s="46"/>
      <c r="U658" s="46"/>
      <c r="V658" s="46"/>
      <c r="W658" s="32"/>
      <c r="X658" s="32"/>
      <c r="Y658" s="32"/>
      <c r="Z658" s="46"/>
    </row>
    <row r="659" spans="1:26" ht="15.75" customHeight="1" x14ac:dyDescent="0.3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46"/>
      <c r="S659" s="46"/>
      <c r="T659" s="46"/>
      <c r="U659" s="46"/>
      <c r="V659" s="46"/>
      <c r="W659" s="32"/>
      <c r="X659" s="32"/>
      <c r="Y659" s="32"/>
      <c r="Z659" s="46"/>
    </row>
    <row r="660" spans="1:26" ht="15.75" customHeight="1" x14ac:dyDescent="0.3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46"/>
      <c r="S660" s="46"/>
      <c r="T660" s="46"/>
      <c r="U660" s="46"/>
      <c r="V660" s="46"/>
      <c r="W660" s="32"/>
      <c r="X660" s="32"/>
      <c r="Y660" s="32"/>
      <c r="Z660" s="46"/>
    </row>
    <row r="661" spans="1:26" ht="15.75" customHeight="1" x14ac:dyDescent="0.3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46"/>
      <c r="S661" s="46"/>
      <c r="T661" s="46"/>
      <c r="U661" s="46"/>
      <c r="V661" s="46"/>
      <c r="W661" s="32"/>
      <c r="X661" s="32"/>
      <c r="Y661" s="32"/>
      <c r="Z661" s="46"/>
    </row>
    <row r="662" spans="1:26" ht="15.75" customHeight="1" x14ac:dyDescent="0.3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46"/>
      <c r="S662" s="46"/>
      <c r="T662" s="46"/>
      <c r="U662" s="46"/>
      <c r="V662" s="46"/>
      <c r="W662" s="32"/>
      <c r="X662" s="32"/>
      <c r="Y662" s="32"/>
      <c r="Z662" s="46"/>
    </row>
    <row r="663" spans="1:26" ht="15.75" customHeight="1" x14ac:dyDescent="0.3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46"/>
      <c r="S663" s="46"/>
      <c r="T663" s="46"/>
      <c r="U663" s="46"/>
      <c r="V663" s="46"/>
      <c r="W663" s="32"/>
      <c r="X663" s="32"/>
      <c r="Y663" s="32"/>
      <c r="Z663" s="46"/>
    </row>
    <row r="664" spans="1:26" ht="15.75" customHeight="1" x14ac:dyDescent="0.3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46"/>
      <c r="S664" s="46"/>
      <c r="T664" s="46"/>
      <c r="U664" s="46"/>
      <c r="V664" s="46"/>
      <c r="W664" s="32"/>
      <c r="X664" s="32"/>
      <c r="Y664" s="32"/>
      <c r="Z664" s="46"/>
    </row>
    <row r="665" spans="1:26" ht="15.75" customHeight="1" x14ac:dyDescent="0.3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46"/>
      <c r="S665" s="46"/>
      <c r="T665" s="46"/>
      <c r="U665" s="46"/>
      <c r="V665" s="46"/>
      <c r="W665" s="32"/>
      <c r="X665" s="32"/>
      <c r="Y665" s="32"/>
      <c r="Z665" s="46"/>
    </row>
    <row r="666" spans="1:26" ht="15.75" customHeight="1" x14ac:dyDescent="0.3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46"/>
      <c r="S666" s="46"/>
      <c r="T666" s="46"/>
      <c r="U666" s="46"/>
      <c r="V666" s="46"/>
      <c r="W666" s="32"/>
      <c r="X666" s="32"/>
      <c r="Y666" s="32"/>
      <c r="Z666" s="46"/>
    </row>
    <row r="667" spans="1:26" ht="15.75" customHeight="1" x14ac:dyDescent="0.3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46"/>
      <c r="S667" s="46"/>
      <c r="T667" s="46"/>
      <c r="U667" s="46"/>
      <c r="V667" s="46"/>
      <c r="W667" s="32"/>
      <c r="X667" s="32"/>
      <c r="Y667" s="32"/>
      <c r="Z667" s="46"/>
    </row>
    <row r="668" spans="1:26" ht="15.75" customHeight="1" x14ac:dyDescent="0.3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46"/>
      <c r="S668" s="46"/>
      <c r="T668" s="46"/>
      <c r="U668" s="46"/>
      <c r="V668" s="46"/>
      <c r="W668" s="32"/>
      <c r="X668" s="32"/>
      <c r="Y668" s="32"/>
      <c r="Z668" s="46"/>
    </row>
    <row r="669" spans="1:26" ht="15.75" customHeight="1" x14ac:dyDescent="0.3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46"/>
      <c r="S669" s="46"/>
      <c r="T669" s="46"/>
      <c r="U669" s="46"/>
      <c r="V669" s="46"/>
      <c r="W669" s="32"/>
      <c r="X669" s="32"/>
      <c r="Y669" s="32"/>
      <c r="Z669" s="46"/>
    </row>
    <row r="670" spans="1:26" ht="15.75" customHeight="1" x14ac:dyDescent="0.3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46"/>
      <c r="S670" s="46"/>
      <c r="T670" s="46"/>
      <c r="U670" s="46"/>
      <c r="V670" s="46"/>
      <c r="W670" s="32"/>
      <c r="X670" s="32"/>
      <c r="Y670" s="32"/>
      <c r="Z670" s="46"/>
    </row>
    <row r="671" spans="1:26" ht="15.75" customHeight="1" x14ac:dyDescent="0.3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46"/>
      <c r="S671" s="46"/>
      <c r="T671" s="46"/>
      <c r="U671" s="46"/>
      <c r="V671" s="46"/>
      <c r="W671" s="32"/>
      <c r="X671" s="32"/>
      <c r="Y671" s="32"/>
      <c r="Z671" s="46"/>
    </row>
    <row r="672" spans="1:26" ht="15.75" customHeight="1" x14ac:dyDescent="0.3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46"/>
      <c r="S672" s="46"/>
      <c r="T672" s="46"/>
      <c r="U672" s="46"/>
      <c r="V672" s="46"/>
      <c r="W672" s="32"/>
      <c r="X672" s="32"/>
      <c r="Y672" s="32"/>
      <c r="Z672" s="46"/>
    </row>
    <row r="673" spans="1:26" ht="15.75" customHeight="1" x14ac:dyDescent="0.3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46"/>
      <c r="S673" s="46"/>
      <c r="T673" s="46"/>
      <c r="U673" s="46"/>
      <c r="V673" s="46"/>
      <c r="W673" s="32"/>
      <c r="X673" s="32"/>
      <c r="Y673" s="32"/>
      <c r="Z673" s="46"/>
    </row>
    <row r="674" spans="1:26" ht="15.75" customHeight="1" x14ac:dyDescent="0.3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46"/>
      <c r="S674" s="46"/>
      <c r="T674" s="46"/>
      <c r="U674" s="46"/>
      <c r="V674" s="46"/>
      <c r="W674" s="32"/>
      <c r="X674" s="32"/>
      <c r="Y674" s="32"/>
      <c r="Z674" s="46"/>
    </row>
    <row r="675" spans="1:26" ht="15.75" customHeight="1" x14ac:dyDescent="0.3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46"/>
      <c r="S675" s="46"/>
      <c r="T675" s="46"/>
      <c r="U675" s="46"/>
      <c r="V675" s="46"/>
      <c r="W675" s="32"/>
      <c r="X675" s="32"/>
      <c r="Y675" s="32"/>
      <c r="Z675" s="46"/>
    </row>
    <row r="676" spans="1:26" ht="15.75" customHeight="1" x14ac:dyDescent="0.3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46"/>
      <c r="S676" s="46"/>
      <c r="T676" s="46"/>
      <c r="U676" s="46"/>
      <c r="V676" s="46"/>
      <c r="W676" s="32"/>
      <c r="X676" s="32"/>
      <c r="Y676" s="32"/>
      <c r="Z676" s="46"/>
    </row>
    <row r="677" spans="1:26" ht="15.75" customHeight="1" x14ac:dyDescent="0.3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46"/>
      <c r="S677" s="46"/>
      <c r="T677" s="46"/>
      <c r="U677" s="46"/>
      <c r="V677" s="46"/>
      <c r="W677" s="32"/>
      <c r="X677" s="32"/>
      <c r="Y677" s="32"/>
      <c r="Z677" s="46"/>
    </row>
    <row r="678" spans="1:26" ht="15.75" customHeight="1" x14ac:dyDescent="0.3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46"/>
      <c r="S678" s="46"/>
      <c r="T678" s="46"/>
      <c r="U678" s="46"/>
      <c r="V678" s="46"/>
      <c r="W678" s="32"/>
      <c r="X678" s="32"/>
      <c r="Y678" s="32"/>
      <c r="Z678" s="46"/>
    </row>
    <row r="679" spans="1:26" ht="15.75" customHeight="1" x14ac:dyDescent="0.3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46"/>
      <c r="S679" s="46"/>
      <c r="T679" s="46"/>
      <c r="U679" s="46"/>
      <c r="V679" s="46"/>
      <c r="W679" s="32"/>
      <c r="X679" s="32"/>
      <c r="Y679" s="32"/>
      <c r="Z679" s="46"/>
    </row>
    <row r="680" spans="1:26" ht="15.75" customHeight="1" x14ac:dyDescent="0.3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46"/>
      <c r="S680" s="46"/>
      <c r="T680" s="46"/>
      <c r="U680" s="46"/>
      <c r="V680" s="46"/>
      <c r="W680" s="32"/>
      <c r="X680" s="32"/>
      <c r="Y680" s="32"/>
      <c r="Z680" s="46"/>
    </row>
    <row r="681" spans="1:26" ht="15.75" customHeight="1" x14ac:dyDescent="0.3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46"/>
      <c r="S681" s="46"/>
      <c r="T681" s="46"/>
      <c r="U681" s="46"/>
      <c r="V681" s="46"/>
      <c r="W681" s="32"/>
      <c r="X681" s="32"/>
      <c r="Y681" s="32"/>
      <c r="Z681" s="46"/>
    </row>
    <row r="682" spans="1:26" ht="15.75" customHeight="1" x14ac:dyDescent="0.3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46"/>
      <c r="S682" s="46"/>
      <c r="T682" s="46"/>
      <c r="U682" s="46"/>
      <c r="V682" s="46"/>
      <c r="W682" s="32"/>
      <c r="X682" s="32"/>
      <c r="Y682" s="32"/>
      <c r="Z682" s="46"/>
    </row>
    <row r="683" spans="1:26" ht="15.75" customHeight="1" x14ac:dyDescent="0.3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46"/>
      <c r="S683" s="46"/>
      <c r="T683" s="46"/>
      <c r="U683" s="46"/>
      <c r="V683" s="46"/>
      <c r="W683" s="32"/>
      <c r="X683" s="32"/>
      <c r="Y683" s="32"/>
      <c r="Z683" s="46"/>
    </row>
    <row r="684" spans="1:26" ht="15.75" customHeight="1" x14ac:dyDescent="0.3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46"/>
      <c r="S684" s="46"/>
      <c r="T684" s="46"/>
      <c r="U684" s="46"/>
      <c r="V684" s="46"/>
      <c r="W684" s="32"/>
      <c r="X684" s="32"/>
      <c r="Y684" s="32"/>
      <c r="Z684" s="46"/>
    </row>
    <row r="685" spans="1:26" ht="15.75" customHeight="1" x14ac:dyDescent="0.3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46"/>
      <c r="S685" s="46"/>
      <c r="T685" s="46"/>
      <c r="U685" s="46"/>
      <c r="V685" s="46"/>
      <c r="W685" s="32"/>
      <c r="X685" s="32"/>
      <c r="Y685" s="32"/>
      <c r="Z685" s="46"/>
    </row>
    <row r="686" spans="1:26" ht="15.75" customHeight="1" x14ac:dyDescent="0.3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46"/>
      <c r="S686" s="46"/>
      <c r="T686" s="46"/>
      <c r="U686" s="46"/>
      <c r="V686" s="46"/>
      <c r="W686" s="32"/>
      <c r="X686" s="32"/>
      <c r="Y686" s="32"/>
      <c r="Z686" s="46"/>
    </row>
    <row r="687" spans="1:26" ht="15.75" customHeight="1" x14ac:dyDescent="0.3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46"/>
      <c r="S687" s="46"/>
      <c r="T687" s="46"/>
      <c r="U687" s="46"/>
      <c r="V687" s="46"/>
      <c r="W687" s="32"/>
      <c r="X687" s="32"/>
      <c r="Y687" s="32"/>
      <c r="Z687" s="46"/>
    </row>
    <row r="688" spans="1:26" ht="15.75" customHeight="1" x14ac:dyDescent="0.3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46"/>
      <c r="S688" s="46"/>
      <c r="T688" s="46"/>
      <c r="U688" s="46"/>
      <c r="V688" s="46"/>
      <c r="W688" s="32"/>
      <c r="X688" s="32"/>
      <c r="Y688" s="32"/>
      <c r="Z688" s="46"/>
    </row>
    <row r="689" spans="1:26" ht="15.75" customHeight="1" x14ac:dyDescent="0.3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46"/>
      <c r="S689" s="46"/>
      <c r="T689" s="46"/>
      <c r="U689" s="46"/>
      <c r="V689" s="46"/>
      <c r="W689" s="32"/>
      <c r="X689" s="32"/>
      <c r="Y689" s="32"/>
      <c r="Z689" s="46"/>
    </row>
    <row r="690" spans="1:26" ht="15.75" customHeight="1" x14ac:dyDescent="0.3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46"/>
      <c r="S690" s="46"/>
      <c r="T690" s="46"/>
      <c r="U690" s="46"/>
      <c r="V690" s="46"/>
      <c r="W690" s="32"/>
      <c r="X690" s="32"/>
      <c r="Y690" s="32"/>
      <c r="Z690" s="46"/>
    </row>
    <row r="691" spans="1:26" ht="15.75" customHeight="1" x14ac:dyDescent="0.3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46"/>
      <c r="S691" s="46"/>
      <c r="T691" s="46"/>
      <c r="U691" s="46"/>
      <c r="V691" s="46"/>
      <c r="W691" s="32"/>
      <c r="X691" s="32"/>
      <c r="Y691" s="32"/>
      <c r="Z691" s="46"/>
    </row>
    <row r="692" spans="1:26" ht="15.75" customHeight="1" x14ac:dyDescent="0.3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46"/>
      <c r="S692" s="46"/>
      <c r="T692" s="46"/>
      <c r="U692" s="46"/>
      <c r="V692" s="46"/>
      <c r="W692" s="32"/>
      <c r="X692" s="32"/>
      <c r="Y692" s="32"/>
      <c r="Z692" s="46"/>
    </row>
    <row r="693" spans="1:26" ht="15.75" customHeight="1" x14ac:dyDescent="0.3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46"/>
      <c r="S693" s="46"/>
      <c r="T693" s="46"/>
      <c r="U693" s="46"/>
      <c r="V693" s="46"/>
      <c r="W693" s="32"/>
      <c r="X693" s="32"/>
      <c r="Y693" s="32"/>
      <c r="Z693" s="46"/>
    </row>
    <row r="694" spans="1:26" ht="15.75" customHeight="1" x14ac:dyDescent="0.3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46"/>
      <c r="S694" s="46"/>
      <c r="T694" s="46"/>
      <c r="U694" s="46"/>
      <c r="V694" s="46"/>
      <c r="W694" s="32"/>
      <c r="X694" s="32"/>
      <c r="Y694" s="32"/>
      <c r="Z694" s="46"/>
    </row>
    <row r="695" spans="1:26" ht="15.75" customHeight="1" x14ac:dyDescent="0.3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46"/>
      <c r="S695" s="46"/>
      <c r="T695" s="46"/>
      <c r="U695" s="46"/>
      <c r="V695" s="46"/>
      <c r="W695" s="32"/>
      <c r="X695" s="32"/>
      <c r="Y695" s="32"/>
      <c r="Z695" s="46"/>
    </row>
    <row r="696" spans="1:26" ht="15.75" customHeight="1" x14ac:dyDescent="0.3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46"/>
      <c r="S696" s="46"/>
      <c r="T696" s="46"/>
      <c r="U696" s="46"/>
      <c r="V696" s="46"/>
      <c r="W696" s="32"/>
      <c r="X696" s="32"/>
      <c r="Y696" s="32"/>
      <c r="Z696" s="46"/>
    </row>
    <row r="697" spans="1:26" ht="15.75" customHeight="1" x14ac:dyDescent="0.3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46"/>
      <c r="S697" s="46"/>
      <c r="T697" s="46"/>
      <c r="U697" s="46"/>
      <c r="V697" s="46"/>
      <c r="W697" s="32"/>
      <c r="X697" s="32"/>
      <c r="Y697" s="32"/>
      <c r="Z697" s="46"/>
    </row>
    <row r="698" spans="1:26" ht="15.75" customHeight="1" x14ac:dyDescent="0.3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46"/>
      <c r="S698" s="46"/>
      <c r="T698" s="46"/>
      <c r="U698" s="46"/>
      <c r="V698" s="46"/>
      <c r="W698" s="32"/>
      <c r="X698" s="32"/>
      <c r="Y698" s="32"/>
      <c r="Z698" s="46"/>
    </row>
    <row r="699" spans="1:26" ht="15.75" customHeight="1" x14ac:dyDescent="0.3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46"/>
      <c r="S699" s="46"/>
      <c r="T699" s="46"/>
      <c r="U699" s="46"/>
      <c r="V699" s="46"/>
      <c r="W699" s="32"/>
      <c r="X699" s="32"/>
      <c r="Y699" s="32"/>
      <c r="Z699" s="46"/>
    </row>
    <row r="700" spans="1:26" ht="15.75" customHeight="1" x14ac:dyDescent="0.3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46"/>
      <c r="S700" s="46"/>
      <c r="T700" s="46"/>
      <c r="U700" s="46"/>
      <c r="V700" s="46"/>
      <c r="W700" s="32"/>
      <c r="X700" s="32"/>
      <c r="Y700" s="32"/>
      <c r="Z700" s="46"/>
    </row>
    <row r="701" spans="1:26" ht="15.75" customHeight="1" x14ac:dyDescent="0.3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46"/>
      <c r="S701" s="46"/>
      <c r="T701" s="46"/>
      <c r="U701" s="46"/>
      <c r="V701" s="46"/>
      <c r="W701" s="32"/>
      <c r="X701" s="32"/>
      <c r="Y701" s="32"/>
      <c r="Z701" s="46"/>
    </row>
    <row r="702" spans="1:26" ht="15.75" customHeight="1" x14ac:dyDescent="0.3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46"/>
      <c r="S702" s="46"/>
      <c r="T702" s="46"/>
      <c r="U702" s="46"/>
      <c r="V702" s="46"/>
      <c r="W702" s="32"/>
      <c r="X702" s="32"/>
      <c r="Y702" s="32"/>
      <c r="Z702" s="46"/>
    </row>
    <row r="703" spans="1:26" ht="15.75" customHeight="1" x14ac:dyDescent="0.3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46"/>
      <c r="S703" s="46"/>
      <c r="T703" s="46"/>
      <c r="U703" s="46"/>
      <c r="V703" s="46"/>
      <c r="W703" s="32"/>
      <c r="X703" s="32"/>
      <c r="Y703" s="32"/>
      <c r="Z703" s="46"/>
    </row>
    <row r="704" spans="1:26" ht="15.75" customHeight="1" x14ac:dyDescent="0.3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46"/>
      <c r="S704" s="46"/>
      <c r="T704" s="46"/>
      <c r="U704" s="46"/>
      <c r="V704" s="46"/>
      <c r="W704" s="32"/>
      <c r="X704" s="32"/>
      <c r="Y704" s="32"/>
      <c r="Z704" s="46"/>
    </row>
    <row r="705" spans="1:26" ht="15.75" customHeight="1" x14ac:dyDescent="0.3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46"/>
      <c r="S705" s="46"/>
      <c r="T705" s="46"/>
      <c r="U705" s="46"/>
      <c r="V705" s="46"/>
      <c r="W705" s="32"/>
      <c r="X705" s="32"/>
      <c r="Y705" s="32"/>
      <c r="Z705" s="46"/>
    </row>
    <row r="706" spans="1:26" ht="15.75" customHeight="1" x14ac:dyDescent="0.3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46"/>
      <c r="S706" s="46"/>
      <c r="T706" s="46"/>
      <c r="U706" s="46"/>
      <c r="V706" s="46"/>
      <c r="W706" s="32"/>
      <c r="X706" s="32"/>
      <c r="Y706" s="32"/>
      <c r="Z706" s="46"/>
    </row>
    <row r="707" spans="1:26" ht="15.75" customHeight="1" x14ac:dyDescent="0.3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46"/>
      <c r="S707" s="46"/>
      <c r="T707" s="46"/>
      <c r="U707" s="46"/>
      <c r="V707" s="46"/>
      <c r="W707" s="32"/>
      <c r="X707" s="32"/>
      <c r="Y707" s="32"/>
      <c r="Z707" s="46"/>
    </row>
    <row r="708" spans="1:26" ht="15.75" customHeight="1" x14ac:dyDescent="0.3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46"/>
      <c r="S708" s="46"/>
      <c r="T708" s="46"/>
      <c r="U708" s="46"/>
      <c r="V708" s="46"/>
      <c r="W708" s="32"/>
      <c r="X708" s="32"/>
      <c r="Y708" s="32"/>
      <c r="Z708" s="46"/>
    </row>
    <row r="709" spans="1:26" ht="15.75" customHeight="1" x14ac:dyDescent="0.3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46"/>
      <c r="S709" s="46"/>
      <c r="T709" s="46"/>
      <c r="U709" s="46"/>
      <c r="V709" s="46"/>
      <c r="W709" s="32"/>
      <c r="X709" s="32"/>
      <c r="Y709" s="32"/>
      <c r="Z709" s="46"/>
    </row>
    <row r="710" spans="1:26" ht="15.75" customHeight="1" x14ac:dyDescent="0.3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46"/>
      <c r="S710" s="46"/>
      <c r="T710" s="46"/>
      <c r="U710" s="46"/>
      <c r="V710" s="46"/>
      <c r="W710" s="32"/>
      <c r="X710" s="32"/>
      <c r="Y710" s="32"/>
      <c r="Z710" s="46"/>
    </row>
    <row r="711" spans="1:26" ht="15.75" customHeight="1" x14ac:dyDescent="0.3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46"/>
      <c r="S711" s="46"/>
      <c r="T711" s="46"/>
      <c r="U711" s="46"/>
      <c r="V711" s="46"/>
      <c r="W711" s="32"/>
      <c r="X711" s="32"/>
      <c r="Y711" s="32"/>
      <c r="Z711" s="46"/>
    </row>
    <row r="712" spans="1:26" ht="15.75" customHeight="1" x14ac:dyDescent="0.3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46"/>
      <c r="S712" s="46"/>
      <c r="T712" s="46"/>
      <c r="U712" s="46"/>
      <c r="V712" s="46"/>
      <c r="W712" s="32"/>
      <c r="X712" s="32"/>
      <c r="Y712" s="32"/>
      <c r="Z712" s="46"/>
    </row>
    <row r="713" spans="1:26" ht="15.75" customHeight="1" x14ac:dyDescent="0.3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46"/>
      <c r="S713" s="46"/>
      <c r="T713" s="46"/>
      <c r="U713" s="46"/>
      <c r="V713" s="46"/>
      <c r="W713" s="32"/>
      <c r="X713" s="32"/>
      <c r="Y713" s="32"/>
      <c r="Z713" s="46"/>
    </row>
    <row r="714" spans="1:26" ht="15.75" customHeight="1" x14ac:dyDescent="0.3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46"/>
      <c r="S714" s="46"/>
      <c r="T714" s="46"/>
      <c r="U714" s="46"/>
      <c r="V714" s="46"/>
      <c r="W714" s="32"/>
      <c r="X714" s="32"/>
      <c r="Y714" s="32"/>
      <c r="Z714" s="46"/>
    </row>
    <row r="715" spans="1:26" ht="15.75" customHeight="1" x14ac:dyDescent="0.3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46"/>
      <c r="S715" s="46"/>
      <c r="T715" s="46"/>
      <c r="U715" s="46"/>
      <c r="V715" s="46"/>
      <c r="W715" s="32"/>
      <c r="X715" s="32"/>
      <c r="Y715" s="32"/>
      <c r="Z715" s="46"/>
    </row>
    <row r="716" spans="1:26" ht="15.75" customHeight="1" x14ac:dyDescent="0.3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46"/>
      <c r="S716" s="46"/>
      <c r="T716" s="46"/>
      <c r="U716" s="46"/>
      <c r="V716" s="46"/>
      <c r="W716" s="32"/>
      <c r="X716" s="32"/>
      <c r="Y716" s="32"/>
      <c r="Z716" s="46"/>
    </row>
    <row r="717" spans="1:26" ht="15.75" customHeight="1" x14ac:dyDescent="0.3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46"/>
      <c r="S717" s="46"/>
      <c r="T717" s="46"/>
      <c r="U717" s="46"/>
      <c r="V717" s="46"/>
      <c r="W717" s="32"/>
      <c r="X717" s="32"/>
      <c r="Y717" s="32"/>
      <c r="Z717" s="46"/>
    </row>
    <row r="718" spans="1:26" ht="15.75" customHeight="1" x14ac:dyDescent="0.3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46"/>
      <c r="S718" s="46"/>
      <c r="T718" s="46"/>
      <c r="U718" s="46"/>
      <c r="V718" s="46"/>
      <c r="W718" s="32"/>
      <c r="X718" s="32"/>
      <c r="Y718" s="32"/>
      <c r="Z718" s="46"/>
    </row>
    <row r="719" spans="1:26" ht="15.75" customHeight="1" x14ac:dyDescent="0.3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46"/>
      <c r="S719" s="46"/>
      <c r="T719" s="46"/>
      <c r="U719" s="46"/>
      <c r="V719" s="46"/>
      <c r="W719" s="32"/>
      <c r="X719" s="32"/>
      <c r="Y719" s="32"/>
      <c r="Z719" s="46"/>
    </row>
    <row r="720" spans="1:26" ht="15.75" customHeight="1" x14ac:dyDescent="0.3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46"/>
      <c r="S720" s="46"/>
      <c r="T720" s="46"/>
      <c r="U720" s="46"/>
      <c r="V720" s="46"/>
      <c r="W720" s="32"/>
      <c r="X720" s="32"/>
      <c r="Y720" s="32"/>
      <c r="Z720" s="46"/>
    </row>
    <row r="721" spans="1:26" ht="15.75" customHeight="1" x14ac:dyDescent="0.3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46"/>
      <c r="S721" s="46"/>
      <c r="T721" s="46"/>
      <c r="U721" s="46"/>
      <c r="V721" s="46"/>
      <c r="W721" s="32"/>
      <c r="X721" s="32"/>
      <c r="Y721" s="32"/>
      <c r="Z721" s="46"/>
    </row>
    <row r="722" spans="1:26" ht="15.75" customHeight="1" x14ac:dyDescent="0.3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46"/>
      <c r="S722" s="46"/>
      <c r="T722" s="46"/>
      <c r="U722" s="46"/>
      <c r="V722" s="46"/>
      <c r="W722" s="32"/>
      <c r="X722" s="32"/>
      <c r="Y722" s="32"/>
      <c r="Z722" s="46"/>
    </row>
    <row r="723" spans="1:26" ht="15.75" customHeight="1" x14ac:dyDescent="0.3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46"/>
      <c r="S723" s="46"/>
      <c r="T723" s="46"/>
      <c r="U723" s="46"/>
      <c r="V723" s="46"/>
      <c r="W723" s="32"/>
      <c r="X723" s="32"/>
      <c r="Y723" s="32"/>
      <c r="Z723" s="46"/>
    </row>
    <row r="724" spans="1:26" ht="15.75" customHeight="1" x14ac:dyDescent="0.3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46"/>
      <c r="S724" s="46"/>
      <c r="T724" s="46"/>
      <c r="U724" s="46"/>
      <c r="V724" s="46"/>
      <c r="W724" s="32"/>
      <c r="X724" s="32"/>
      <c r="Y724" s="32"/>
      <c r="Z724" s="46"/>
    </row>
    <row r="725" spans="1:26" ht="15.75" customHeight="1" x14ac:dyDescent="0.3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46"/>
      <c r="S725" s="46"/>
      <c r="T725" s="46"/>
      <c r="U725" s="46"/>
      <c r="V725" s="46"/>
      <c r="W725" s="32"/>
      <c r="X725" s="32"/>
      <c r="Y725" s="32"/>
      <c r="Z725" s="46"/>
    </row>
    <row r="726" spans="1:26" ht="15.75" customHeight="1" x14ac:dyDescent="0.3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46"/>
      <c r="S726" s="46"/>
      <c r="T726" s="46"/>
      <c r="U726" s="46"/>
      <c r="V726" s="46"/>
      <c r="W726" s="32"/>
      <c r="X726" s="32"/>
      <c r="Y726" s="32"/>
      <c r="Z726" s="46"/>
    </row>
    <row r="727" spans="1:26" ht="15.75" customHeight="1" x14ac:dyDescent="0.3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46"/>
      <c r="S727" s="46"/>
      <c r="T727" s="46"/>
      <c r="U727" s="46"/>
      <c r="V727" s="46"/>
      <c r="W727" s="32"/>
      <c r="X727" s="32"/>
      <c r="Y727" s="32"/>
      <c r="Z727" s="46"/>
    </row>
    <row r="728" spans="1:26" ht="15.75" customHeight="1" x14ac:dyDescent="0.3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46"/>
      <c r="S728" s="46"/>
      <c r="T728" s="46"/>
      <c r="U728" s="46"/>
      <c r="V728" s="46"/>
      <c r="W728" s="32"/>
      <c r="X728" s="32"/>
      <c r="Y728" s="32"/>
      <c r="Z728" s="46"/>
    </row>
    <row r="729" spans="1:26" ht="15.75" customHeight="1" x14ac:dyDescent="0.3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46"/>
      <c r="S729" s="46"/>
      <c r="T729" s="46"/>
      <c r="U729" s="46"/>
      <c r="V729" s="46"/>
      <c r="W729" s="32"/>
      <c r="X729" s="32"/>
      <c r="Y729" s="32"/>
      <c r="Z729" s="46"/>
    </row>
    <row r="730" spans="1:26" ht="15.75" customHeight="1" x14ac:dyDescent="0.3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46"/>
      <c r="S730" s="46"/>
      <c r="T730" s="46"/>
      <c r="U730" s="46"/>
      <c r="V730" s="46"/>
      <c r="W730" s="32"/>
      <c r="X730" s="32"/>
      <c r="Y730" s="32"/>
      <c r="Z730" s="46"/>
    </row>
    <row r="731" spans="1:26" ht="15.75" customHeight="1" x14ac:dyDescent="0.3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46"/>
      <c r="S731" s="46"/>
      <c r="T731" s="46"/>
      <c r="U731" s="46"/>
      <c r="V731" s="46"/>
      <c r="W731" s="32"/>
      <c r="X731" s="32"/>
      <c r="Y731" s="32"/>
      <c r="Z731" s="46"/>
    </row>
    <row r="732" spans="1:26" ht="15.75" customHeight="1" x14ac:dyDescent="0.3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46"/>
      <c r="S732" s="46"/>
      <c r="T732" s="46"/>
      <c r="U732" s="46"/>
      <c r="V732" s="46"/>
      <c r="W732" s="32"/>
      <c r="X732" s="32"/>
      <c r="Y732" s="32"/>
      <c r="Z732" s="46"/>
    </row>
    <row r="733" spans="1:26" ht="15.75" customHeight="1" x14ac:dyDescent="0.3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46"/>
      <c r="S733" s="46"/>
      <c r="T733" s="46"/>
      <c r="U733" s="46"/>
      <c r="V733" s="46"/>
      <c r="W733" s="32"/>
      <c r="X733" s="32"/>
      <c r="Y733" s="32"/>
      <c r="Z733" s="46"/>
    </row>
    <row r="734" spans="1:26" ht="15.75" customHeight="1" x14ac:dyDescent="0.3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46"/>
      <c r="S734" s="46"/>
      <c r="T734" s="46"/>
      <c r="U734" s="46"/>
      <c r="V734" s="46"/>
      <c r="W734" s="32"/>
      <c r="X734" s="32"/>
      <c r="Y734" s="32"/>
      <c r="Z734" s="46"/>
    </row>
    <row r="735" spans="1:26" ht="15.75" customHeight="1" x14ac:dyDescent="0.3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46"/>
      <c r="S735" s="46"/>
      <c r="T735" s="46"/>
      <c r="U735" s="46"/>
      <c r="V735" s="46"/>
      <c r="W735" s="32"/>
      <c r="X735" s="32"/>
      <c r="Y735" s="32"/>
      <c r="Z735" s="46"/>
    </row>
    <row r="736" spans="1:26" ht="15.75" customHeight="1" x14ac:dyDescent="0.3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46"/>
      <c r="S736" s="46"/>
      <c r="T736" s="46"/>
      <c r="U736" s="46"/>
      <c r="V736" s="46"/>
      <c r="W736" s="32"/>
      <c r="X736" s="32"/>
      <c r="Y736" s="32"/>
      <c r="Z736" s="46"/>
    </row>
    <row r="737" spans="1:26" ht="15.75" customHeight="1" x14ac:dyDescent="0.3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46"/>
      <c r="S737" s="46"/>
      <c r="T737" s="46"/>
      <c r="U737" s="46"/>
      <c r="V737" s="46"/>
      <c r="W737" s="32"/>
      <c r="X737" s="32"/>
      <c r="Y737" s="32"/>
      <c r="Z737" s="46"/>
    </row>
    <row r="738" spans="1:26" ht="15.75" customHeight="1" x14ac:dyDescent="0.3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46"/>
      <c r="S738" s="46"/>
      <c r="T738" s="46"/>
      <c r="U738" s="46"/>
      <c r="V738" s="46"/>
      <c r="W738" s="32"/>
      <c r="X738" s="32"/>
      <c r="Y738" s="32"/>
      <c r="Z738" s="46"/>
    </row>
    <row r="739" spans="1:26" ht="15.75" customHeight="1" x14ac:dyDescent="0.3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46"/>
      <c r="S739" s="46"/>
      <c r="T739" s="46"/>
      <c r="U739" s="46"/>
      <c r="V739" s="46"/>
      <c r="W739" s="32"/>
      <c r="X739" s="32"/>
      <c r="Y739" s="32"/>
      <c r="Z739" s="46"/>
    </row>
    <row r="740" spans="1:26" ht="15.75" customHeight="1" x14ac:dyDescent="0.3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46"/>
      <c r="S740" s="46"/>
      <c r="T740" s="46"/>
      <c r="U740" s="46"/>
      <c r="V740" s="46"/>
      <c r="W740" s="32"/>
      <c r="X740" s="32"/>
      <c r="Y740" s="32"/>
      <c r="Z740" s="46"/>
    </row>
    <row r="741" spans="1:26" ht="15.75" customHeight="1" x14ac:dyDescent="0.3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46"/>
      <c r="S741" s="46"/>
      <c r="T741" s="46"/>
      <c r="U741" s="46"/>
      <c r="V741" s="46"/>
      <c r="W741" s="32"/>
      <c r="X741" s="32"/>
      <c r="Y741" s="32"/>
      <c r="Z741" s="46"/>
    </row>
    <row r="742" spans="1:26" ht="15.75" customHeight="1" x14ac:dyDescent="0.3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46"/>
      <c r="S742" s="46"/>
      <c r="T742" s="46"/>
      <c r="U742" s="46"/>
      <c r="V742" s="46"/>
      <c r="W742" s="32"/>
      <c r="X742" s="32"/>
      <c r="Y742" s="32"/>
      <c r="Z742" s="46"/>
    </row>
    <row r="743" spans="1:26" ht="15.75" customHeight="1" x14ac:dyDescent="0.3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46"/>
      <c r="S743" s="46"/>
      <c r="T743" s="46"/>
      <c r="U743" s="46"/>
      <c r="V743" s="46"/>
      <c r="W743" s="32"/>
      <c r="X743" s="32"/>
      <c r="Y743" s="32"/>
      <c r="Z743" s="46"/>
    </row>
    <row r="744" spans="1:26" ht="15.75" customHeight="1" x14ac:dyDescent="0.3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46"/>
      <c r="S744" s="46"/>
      <c r="T744" s="46"/>
      <c r="U744" s="46"/>
      <c r="V744" s="46"/>
      <c r="W744" s="32"/>
      <c r="X744" s="32"/>
      <c r="Y744" s="32"/>
      <c r="Z744" s="46"/>
    </row>
    <row r="745" spans="1:26" ht="15.75" customHeight="1" x14ac:dyDescent="0.3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46"/>
      <c r="S745" s="46"/>
      <c r="T745" s="46"/>
      <c r="U745" s="46"/>
      <c r="V745" s="46"/>
      <c r="W745" s="32"/>
      <c r="X745" s="32"/>
      <c r="Y745" s="32"/>
      <c r="Z745" s="46"/>
    </row>
    <row r="746" spans="1:26" ht="15.75" customHeight="1" x14ac:dyDescent="0.3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46"/>
      <c r="S746" s="46"/>
      <c r="T746" s="46"/>
      <c r="U746" s="46"/>
      <c r="V746" s="46"/>
      <c r="W746" s="32"/>
      <c r="X746" s="32"/>
      <c r="Y746" s="32"/>
      <c r="Z746" s="46"/>
    </row>
    <row r="747" spans="1:26" ht="15.75" customHeight="1" x14ac:dyDescent="0.3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46"/>
      <c r="S747" s="46"/>
      <c r="T747" s="46"/>
      <c r="U747" s="46"/>
      <c r="V747" s="46"/>
      <c r="W747" s="32"/>
      <c r="X747" s="32"/>
      <c r="Y747" s="32"/>
      <c r="Z747" s="46"/>
    </row>
    <row r="748" spans="1:26" ht="15.75" customHeight="1" x14ac:dyDescent="0.3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46"/>
      <c r="S748" s="46"/>
      <c r="T748" s="46"/>
      <c r="U748" s="46"/>
      <c r="V748" s="46"/>
      <c r="W748" s="32"/>
      <c r="X748" s="32"/>
      <c r="Y748" s="32"/>
      <c r="Z748" s="46"/>
    </row>
    <row r="749" spans="1:26" ht="15.75" customHeight="1" x14ac:dyDescent="0.3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46"/>
      <c r="S749" s="46"/>
      <c r="T749" s="46"/>
      <c r="U749" s="46"/>
      <c r="V749" s="46"/>
      <c r="W749" s="32"/>
      <c r="X749" s="32"/>
      <c r="Y749" s="32"/>
      <c r="Z749" s="46"/>
    </row>
    <row r="750" spans="1:26" ht="15.75" customHeight="1" x14ac:dyDescent="0.3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46"/>
      <c r="S750" s="46"/>
      <c r="T750" s="46"/>
      <c r="U750" s="46"/>
      <c r="V750" s="46"/>
      <c r="W750" s="32"/>
      <c r="X750" s="32"/>
      <c r="Y750" s="32"/>
      <c r="Z750" s="46"/>
    </row>
    <row r="751" spans="1:26" ht="15.75" customHeight="1" x14ac:dyDescent="0.3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46"/>
      <c r="S751" s="46"/>
      <c r="T751" s="46"/>
      <c r="U751" s="46"/>
      <c r="V751" s="46"/>
      <c r="W751" s="32"/>
      <c r="X751" s="32"/>
      <c r="Y751" s="32"/>
      <c r="Z751" s="46"/>
    </row>
    <row r="752" spans="1:26" ht="15.75" customHeight="1" x14ac:dyDescent="0.3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46"/>
      <c r="S752" s="46"/>
      <c r="T752" s="46"/>
      <c r="U752" s="46"/>
      <c r="V752" s="46"/>
      <c r="W752" s="32"/>
      <c r="X752" s="32"/>
      <c r="Y752" s="32"/>
      <c r="Z752" s="46"/>
    </row>
    <row r="753" spans="1:26" ht="15.75" customHeight="1" x14ac:dyDescent="0.3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46"/>
      <c r="S753" s="46"/>
      <c r="T753" s="46"/>
      <c r="U753" s="46"/>
      <c r="V753" s="46"/>
      <c r="W753" s="32"/>
      <c r="X753" s="32"/>
      <c r="Y753" s="32"/>
      <c r="Z753" s="46"/>
    </row>
    <row r="754" spans="1:26" ht="15.75" customHeight="1" x14ac:dyDescent="0.3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46"/>
      <c r="S754" s="46"/>
      <c r="T754" s="46"/>
      <c r="U754" s="46"/>
      <c r="V754" s="46"/>
      <c r="W754" s="32"/>
      <c r="X754" s="32"/>
      <c r="Y754" s="32"/>
      <c r="Z754" s="46"/>
    </row>
    <row r="755" spans="1:26" ht="15.75" customHeight="1" x14ac:dyDescent="0.3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46"/>
      <c r="S755" s="46"/>
      <c r="T755" s="46"/>
      <c r="U755" s="46"/>
      <c r="V755" s="46"/>
      <c r="W755" s="32"/>
      <c r="X755" s="32"/>
      <c r="Y755" s="32"/>
      <c r="Z755" s="46"/>
    </row>
    <row r="756" spans="1:26" ht="15.75" customHeight="1" x14ac:dyDescent="0.3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46"/>
      <c r="S756" s="46"/>
      <c r="T756" s="46"/>
      <c r="U756" s="46"/>
      <c r="V756" s="46"/>
      <c r="W756" s="32"/>
      <c r="X756" s="32"/>
      <c r="Y756" s="32"/>
      <c r="Z756" s="46"/>
    </row>
    <row r="757" spans="1:26" ht="15.75" customHeight="1" x14ac:dyDescent="0.3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46"/>
      <c r="S757" s="46"/>
      <c r="T757" s="46"/>
      <c r="U757" s="46"/>
      <c r="V757" s="46"/>
      <c r="W757" s="32"/>
      <c r="X757" s="32"/>
      <c r="Y757" s="32"/>
      <c r="Z757" s="46"/>
    </row>
    <row r="758" spans="1:26" ht="15.75" customHeight="1" x14ac:dyDescent="0.3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46"/>
      <c r="S758" s="46"/>
      <c r="T758" s="46"/>
      <c r="U758" s="46"/>
      <c r="V758" s="46"/>
      <c r="W758" s="32"/>
      <c r="X758" s="32"/>
      <c r="Y758" s="32"/>
      <c r="Z758" s="46"/>
    </row>
    <row r="759" spans="1:26" ht="15.75" customHeight="1" x14ac:dyDescent="0.3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46"/>
      <c r="S759" s="46"/>
      <c r="T759" s="46"/>
      <c r="U759" s="46"/>
      <c r="V759" s="46"/>
      <c r="W759" s="32"/>
      <c r="X759" s="32"/>
      <c r="Y759" s="32"/>
      <c r="Z759" s="46"/>
    </row>
    <row r="760" spans="1:26" ht="15.75" customHeight="1" x14ac:dyDescent="0.3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46"/>
      <c r="S760" s="46"/>
      <c r="T760" s="46"/>
      <c r="U760" s="46"/>
      <c r="V760" s="46"/>
      <c r="W760" s="32"/>
      <c r="X760" s="32"/>
      <c r="Y760" s="32"/>
      <c r="Z760" s="46"/>
    </row>
    <row r="761" spans="1:26" ht="15.75" customHeight="1" x14ac:dyDescent="0.3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46"/>
      <c r="S761" s="46"/>
      <c r="T761" s="46"/>
      <c r="U761" s="46"/>
      <c r="V761" s="46"/>
      <c r="W761" s="32"/>
      <c r="X761" s="32"/>
      <c r="Y761" s="32"/>
      <c r="Z761" s="46"/>
    </row>
    <row r="762" spans="1:26" ht="15.75" customHeight="1" x14ac:dyDescent="0.3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46"/>
      <c r="S762" s="46"/>
      <c r="T762" s="46"/>
      <c r="U762" s="46"/>
      <c r="V762" s="46"/>
      <c r="W762" s="32"/>
      <c r="X762" s="32"/>
      <c r="Y762" s="32"/>
      <c r="Z762" s="46"/>
    </row>
    <row r="763" spans="1:26" ht="15.75" customHeight="1" x14ac:dyDescent="0.3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46"/>
      <c r="S763" s="46"/>
      <c r="T763" s="46"/>
      <c r="U763" s="46"/>
      <c r="V763" s="46"/>
      <c r="W763" s="32"/>
      <c r="X763" s="32"/>
      <c r="Y763" s="32"/>
      <c r="Z763" s="46"/>
    </row>
    <row r="764" spans="1:26" ht="15.75" customHeight="1" x14ac:dyDescent="0.3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46"/>
      <c r="S764" s="46"/>
      <c r="T764" s="46"/>
      <c r="U764" s="46"/>
      <c r="V764" s="46"/>
      <c r="W764" s="32"/>
      <c r="X764" s="32"/>
      <c r="Y764" s="32"/>
      <c r="Z764" s="46"/>
    </row>
    <row r="765" spans="1:26" ht="15.75" customHeight="1" x14ac:dyDescent="0.3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46"/>
      <c r="S765" s="46"/>
      <c r="T765" s="46"/>
      <c r="U765" s="46"/>
      <c r="V765" s="46"/>
      <c r="W765" s="32"/>
      <c r="X765" s="32"/>
      <c r="Y765" s="32"/>
      <c r="Z765" s="46"/>
    </row>
    <row r="766" spans="1:26" ht="15.75" customHeight="1" x14ac:dyDescent="0.3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46"/>
      <c r="S766" s="46"/>
      <c r="T766" s="46"/>
      <c r="U766" s="46"/>
      <c r="V766" s="46"/>
      <c r="W766" s="32"/>
      <c r="X766" s="32"/>
      <c r="Y766" s="32"/>
      <c r="Z766" s="46"/>
    </row>
    <row r="767" spans="1:26" ht="15.75" customHeight="1" x14ac:dyDescent="0.3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46"/>
      <c r="S767" s="46"/>
      <c r="T767" s="46"/>
      <c r="U767" s="46"/>
      <c r="V767" s="46"/>
      <c r="W767" s="32"/>
      <c r="X767" s="32"/>
      <c r="Y767" s="32"/>
      <c r="Z767" s="46"/>
    </row>
    <row r="768" spans="1:26" ht="15.75" customHeight="1" x14ac:dyDescent="0.3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46"/>
      <c r="S768" s="46"/>
      <c r="T768" s="46"/>
      <c r="U768" s="46"/>
      <c r="V768" s="46"/>
      <c r="W768" s="32"/>
      <c r="X768" s="32"/>
      <c r="Y768" s="32"/>
      <c r="Z768" s="46"/>
    </row>
    <row r="769" spans="1:26" ht="15.75" customHeight="1" x14ac:dyDescent="0.3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46"/>
      <c r="S769" s="46"/>
      <c r="T769" s="46"/>
      <c r="U769" s="46"/>
      <c r="V769" s="46"/>
      <c r="W769" s="32"/>
      <c r="X769" s="32"/>
      <c r="Y769" s="32"/>
      <c r="Z769" s="46"/>
    </row>
    <row r="770" spans="1:26" ht="15.75" customHeight="1" x14ac:dyDescent="0.3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46"/>
      <c r="S770" s="46"/>
      <c r="T770" s="46"/>
      <c r="U770" s="46"/>
      <c r="V770" s="46"/>
      <c r="W770" s="32"/>
      <c r="X770" s="32"/>
      <c r="Y770" s="32"/>
      <c r="Z770" s="46"/>
    </row>
    <row r="771" spans="1:26" ht="15.75" customHeight="1" x14ac:dyDescent="0.3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46"/>
      <c r="S771" s="46"/>
      <c r="T771" s="46"/>
      <c r="U771" s="46"/>
      <c r="V771" s="46"/>
      <c r="W771" s="32"/>
      <c r="X771" s="32"/>
      <c r="Y771" s="32"/>
      <c r="Z771" s="46"/>
    </row>
    <row r="772" spans="1:26" ht="15.75" customHeight="1" x14ac:dyDescent="0.3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46"/>
      <c r="S772" s="46"/>
      <c r="T772" s="46"/>
      <c r="U772" s="46"/>
      <c r="V772" s="46"/>
      <c r="W772" s="32"/>
      <c r="X772" s="32"/>
      <c r="Y772" s="32"/>
      <c r="Z772" s="46"/>
    </row>
    <row r="773" spans="1:26" ht="15.75" customHeight="1" x14ac:dyDescent="0.3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46"/>
      <c r="S773" s="46"/>
      <c r="T773" s="46"/>
      <c r="U773" s="46"/>
      <c r="V773" s="46"/>
      <c r="W773" s="32"/>
      <c r="X773" s="32"/>
      <c r="Y773" s="32"/>
      <c r="Z773" s="46"/>
    </row>
    <row r="774" spans="1:26" ht="15.75" customHeight="1" x14ac:dyDescent="0.3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46"/>
      <c r="S774" s="46"/>
      <c r="T774" s="46"/>
      <c r="U774" s="46"/>
      <c r="V774" s="46"/>
      <c r="W774" s="32"/>
      <c r="X774" s="32"/>
      <c r="Y774" s="32"/>
      <c r="Z774" s="46"/>
    </row>
    <row r="775" spans="1:26" ht="15.75" customHeight="1" x14ac:dyDescent="0.3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46"/>
      <c r="S775" s="46"/>
      <c r="T775" s="46"/>
      <c r="U775" s="46"/>
      <c r="V775" s="46"/>
      <c r="W775" s="32"/>
      <c r="X775" s="32"/>
      <c r="Y775" s="32"/>
      <c r="Z775" s="46"/>
    </row>
    <row r="776" spans="1:26" ht="15.75" customHeight="1" x14ac:dyDescent="0.3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46"/>
      <c r="S776" s="46"/>
      <c r="T776" s="46"/>
      <c r="U776" s="46"/>
      <c r="V776" s="46"/>
      <c r="W776" s="32"/>
      <c r="X776" s="32"/>
      <c r="Y776" s="32"/>
      <c r="Z776" s="46"/>
    </row>
    <row r="777" spans="1:26" ht="15.75" customHeight="1" x14ac:dyDescent="0.3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46"/>
      <c r="S777" s="46"/>
      <c r="T777" s="46"/>
      <c r="U777" s="46"/>
      <c r="V777" s="46"/>
      <c r="W777" s="32"/>
      <c r="X777" s="32"/>
      <c r="Y777" s="32"/>
      <c r="Z777" s="46"/>
    </row>
    <row r="778" spans="1:26" ht="15.75" customHeight="1" x14ac:dyDescent="0.3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46"/>
      <c r="S778" s="46"/>
      <c r="T778" s="46"/>
      <c r="U778" s="46"/>
      <c r="V778" s="46"/>
      <c r="W778" s="32"/>
      <c r="X778" s="32"/>
      <c r="Y778" s="32"/>
      <c r="Z778" s="46"/>
    </row>
    <row r="779" spans="1:26" ht="15.75" customHeight="1" x14ac:dyDescent="0.3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46"/>
      <c r="S779" s="46"/>
      <c r="T779" s="46"/>
      <c r="U779" s="46"/>
      <c r="V779" s="46"/>
      <c r="W779" s="32"/>
      <c r="X779" s="32"/>
      <c r="Y779" s="32"/>
      <c r="Z779" s="46"/>
    </row>
    <row r="780" spans="1:26" ht="15.75" customHeight="1" x14ac:dyDescent="0.3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46"/>
      <c r="S780" s="46"/>
      <c r="T780" s="46"/>
      <c r="U780" s="46"/>
      <c r="V780" s="46"/>
      <c r="W780" s="32"/>
      <c r="X780" s="32"/>
      <c r="Y780" s="32"/>
      <c r="Z780" s="46"/>
    </row>
    <row r="781" spans="1:26" ht="15.75" customHeight="1" x14ac:dyDescent="0.3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46"/>
      <c r="S781" s="46"/>
      <c r="T781" s="46"/>
      <c r="U781" s="46"/>
      <c r="V781" s="46"/>
      <c r="W781" s="32"/>
      <c r="X781" s="32"/>
      <c r="Y781" s="32"/>
      <c r="Z781" s="46"/>
    </row>
    <row r="782" spans="1:26" ht="15.75" customHeight="1" x14ac:dyDescent="0.3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46"/>
      <c r="S782" s="46"/>
      <c r="T782" s="46"/>
      <c r="U782" s="46"/>
      <c r="V782" s="46"/>
      <c r="W782" s="32"/>
      <c r="X782" s="32"/>
      <c r="Y782" s="32"/>
      <c r="Z782" s="46"/>
    </row>
    <row r="783" spans="1:26" ht="15.75" customHeight="1" x14ac:dyDescent="0.3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46"/>
      <c r="S783" s="46"/>
      <c r="T783" s="46"/>
      <c r="U783" s="46"/>
      <c r="V783" s="46"/>
      <c r="W783" s="32"/>
      <c r="X783" s="32"/>
      <c r="Y783" s="32"/>
      <c r="Z783" s="46"/>
    </row>
    <row r="784" spans="1:26" ht="15.75" customHeight="1" x14ac:dyDescent="0.3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46"/>
      <c r="S784" s="46"/>
      <c r="T784" s="46"/>
      <c r="U784" s="46"/>
      <c r="V784" s="46"/>
      <c r="W784" s="32"/>
      <c r="X784" s="32"/>
      <c r="Y784" s="32"/>
      <c r="Z784" s="46"/>
    </row>
    <row r="785" spans="1:26" ht="15.75" customHeight="1" x14ac:dyDescent="0.3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46"/>
      <c r="S785" s="46"/>
      <c r="T785" s="46"/>
      <c r="U785" s="46"/>
      <c r="V785" s="46"/>
      <c r="W785" s="32"/>
      <c r="X785" s="32"/>
      <c r="Y785" s="32"/>
      <c r="Z785" s="46"/>
    </row>
    <row r="786" spans="1:26" ht="15.75" customHeight="1" x14ac:dyDescent="0.3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46"/>
      <c r="S786" s="46"/>
      <c r="T786" s="46"/>
      <c r="U786" s="46"/>
      <c r="V786" s="46"/>
      <c r="W786" s="32"/>
      <c r="X786" s="32"/>
      <c r="Y786" s="32"/>
      <c r="Z786" s="46"/>
    </row>
    <row r="787" spans="1:26" ht="15.75" customHeight="1" x14ac:dyDescent="0.3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46"/>
      <c r="S787" s="46"/>
      <c r="T787" s="46"/>
      <c r="U787" s="46"/>
      <c r="V787" s="46"/>
      <c r="W787" s="32"/>
      <c r="X787" s="32"/>
      <c r="Y787" s="32"/>
      <c r="Z787" s="46"/>
    </row>
    <row r="788" spans="1:26" ht="15.75" customHeight="1" x14ac:dyDescent="0.3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46"/>
      <c r="S788" s="46"/>
      <c r="T788" s="46"/>
      <c r="U788" s="46"/>
      <c r="V788" s="46"/>
      <c r="W788" s="32"/>
      <c r="X788" s="32"/>
      <c r="Y788" s="32"/>
      <c r="Z788" s="46"/>
    </row>
    <row r="789" spans="1:26" ht="15.75" customHeight="1" x14ac:dyDescent="0.3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46"/>
      <c r="S789" s="46"/>
      <c r="T789" s="46"/>
      <c r="U789" s="46"/>
      <c r="V789" s="46"/>
      <c r="W789" s="32"/>
      <c r="X789" s="32"/>
      <c r="Y789" s="32"/>
      <c r="Z789" s="46"/>
    </row>
    <row r="790" spans="1:26" ht="15.75" customHeight="1" x14ac:dyDescent="0.3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46"/>
      <c r="S790" s="46"/>
      <c r="T790" s="46"/>
      <c r="U790" s="46"/>
      <c r="V790" s="46"/>
      <c r="W790" s="32"/>
      <c r="X790" s="32"/>
      <c r="Y790" s="32"/>
      <c r="Z790" s="46"/>
    </row>
    <row r="791" spans="1:26" ht="15.75" customHeight="1" x14ac:dyDescent="0.3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46"/>
      <c r="S791" s="46"/>
      <c r="T791" s="46"/>
      <c r="U791" s="46"/>
      <c r="V791" s="46"/>
      <c r="W791" s="32"/>
      <c r="X791" s="32"/>
      <c r="Y791" s="32"/>
      <c r="Z791" s="46"/>
    </row>
    <row r="792" spans="1:26" ht="15.75" customHeight="1" x14ac:dyDescent="0.3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46"/>
      <c r="S792" s="46"/>
      <c r="T792" s="46"/>
      <c r="U792" s="46"/>
      <c r="V792" s="46"/>
      <c r="W792" s="32"/>
      <c r="X792" s="32"/>
      <c r="Y792" s="32"/>
      <c r="Z792" s="46"/>
    </row>
    <row r="793" spans="1:26" ht="15.75" customHeight="1" x14ac:dyDescent="0.3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46"/>
      <c r="S793" s="46"/>
      <c r="T793" s="46"/>
      <c r="U793" s="46"/>
      <c r="V793" s="46"/>
      <c r="W793" s="32"/>
      <c r="X793" s="32"/>
      <c r="Y793" s="32"/>
      <c r="Z793" s="46"/>
    </row>
    <row r="794" spans="1:26" ht="15.75" customHeight="1" x14ac:dyDescent="0.3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46"/>
      <c r="S794" s="46"/>
      <c r="T794" s="46"/>
      <c r="U794" s="46"/>
      <c r="V794" s="46"/>
      <c r="W794" s="32"/>
      <c r="X794" s="32"/>
      <c r="Y794" s="32"/>
      <c r="Z794" s="46"/>
    </row>
    <row r="795" spans="1:26" ht="15.75" customHeight="1" x14ac:dyDescent="0.3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46"/>
      <c r="S795" s="46"/>
      <c r="T795" s="46"/>
      <c r="U795" s="46"/>
      <c r="V795" s="46"/>
      <c r="W795" s="32"/>
      <c r="X795" s="32"/>
      <c r="Y795" s="32"/>
      <c r="Z795" s="46"/>
    </row>
    <row r="796" spans="1:26" ht="15.75" customHeight="1" x14ac:dyDescent="0.3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46"/>
      <c r="S796" s="46"/>
      <c r="T796" s="46"/>
      <c r="U796" s="46"/>
      <c r="V796" s="46"/>
      <c r="W796" s="32"/>
      <c r="X796" s="32"/>
      <c r="Y796" s="32"/>
      <c r="Z796" s="46"/>
    </row>
    <row r="797" spans="1:26" ht="15.75" customHeight="1" x14ac:dyDescent="0.3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46"/>
      <c r="S797" s="46"/>
      <c r="T797" s="46"/>
      <c r="U797" s="46"/>
      <c r="V797" s="46"/>
      <c r="W797" s="32"/>
      <c r="X797" s="32"/>
      <c r="Y797" s="32"/>
      <c r="Z797" s="46"/>
    </row>
    <row r="798" spans="1:26" ht="15.75" customHeight="1" x14ac:dyDescent="0.3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46"/>
      <c r="S798" s="46"/>
      <c r="T798" s="46"/>
      <c r="U798" s="46"/>
      <c r="V798" s="46"/>
      <c r="W798" s="32"/>
      <c r="X798" s="32"/>
      <c r="Y798" s="32"/>
      <c r="Z798" s="46"/>
    </row>
    <row r="799" spans="1:26" ht="15.75" customHeight="1" x14ac:dyDescent="0.3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46"/>
      <c r="S799" s="46"/>
      <c r="T799" s="46"/>
      <c r="U799" s="46"/>
      <c r="V799" s="46"/>
      <c r="W799" s="32"/>
      <c r="X799" s="32"/>
      <c r="Y799" s="32"/>
      <c r="Z799" s="46"/>
    </row>
    <row r="800" spans="1:26" ht="15.75" customHeight="1" x14ac:dyDescent="0.3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46"/>
      <c r="S800" s="46"/>
      <c r="T800" s="46"/>
      <c r="U800" s="46"/>
      <c r="V800" s="46"/>
      <c r="W800" s="32"/>
      <c r="X800" s="32"/>
      <c r="Y800" s="32"/>
      <c r="Z800" s="46"/>
    </row>
    <row r="801" spans="1:26" ht="15.75" customHeight="1" x14ac:dyDescent="0.3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46"/>
      <c r="S801" s="46"/>
      <c r="T801" s="46"/>
      <c r="U801" s="46"/>
      <c r="V801" s="46"/>
      <c r="W801" s="32"/>
      <c r="X801" s="32"/>
      <c r="Y801" s="32"/>
      <c r="Z801" s="46"/>
    </row>
    <row r="802" spans="1:26" ht="15.75" customHeight="1" x14ac:dyDescent="0.3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46"/>
      <c r="S802" s="46"/>
      <c r="T802" s="46"/>
      <c r="U802" s="46"/>
      <c r="V802" s="46"/>
      <c r="W802" s="32"/>
      <c r="X802" s="32"/>
      <c r="Y802" s="32"/>
      <c r="Z802" s="46"/>
    </row>
    <row r="803" spans="1:26" ht="15.75" customHeight="1" x14ac:dyDescent="0.3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46"/>
      <c r="S803" s="46"/>
      <c r="T803" s="46"/>
      <c r="U803" s="46"/>
      <c r="V803" s="46"/>
      <c r="W803" s="32"/>
      <c r="X803" s="32"/>
      <c r="Y803" s="32"/>
      <c r="Z803" s="46"/>
    </row>
    <row r="804" spans="1:26" ht="15.75" customHeight="1" x14ac:dyDescent="0.3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46"/>
      <c r="S804" s="46"/>
      <c r="T804" s="46"/>
      <c r="U804" s="46"/>
      <c r="V804" s="46"/>
      <c r="W804" s="32"/>
      <c r="X804" s="32"/>
      <c r="Y804" s="32"/>
      <c r="Z804" s="46"/>
    </row>
    <row r="805" spans="1:26" ht="15.75" customHeight="1" x14ac:dyDescent="0.3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46"/>
      <c r="S805" s="46"/>
      <c r="T805" s="46"/>
      <c r="U805" s="46"/>
      <c r="V805" s="46"/>
      <c r="W805" s="32"/>
      <c r="X805" s="32"/>
      <c r="Y805" s="32"/>
      <c r="Z805" s="46"/>
    </row>
    <row r="806" spans="1:26" ht="15.75" customHeight="1" x14ac:dyDescent="0.3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46"/>
      <c r="S806" s="46"/>
      <c r="T806" s="46"/>
      <c r="U806" s="46"/>
      <c r="V806" s="46"/>
      <c r="W806" s="32"/>
      <c r="X806" s="32"/>
      <c r="Y806" s="32"/>
      <c r="Z806" s="46"/>
    </row>
    <row r="807" spans="1:26" ht="15.75" customHeight="1" x14ac:dyDescent="0.3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46"/>
      <c r="S807" s="46"/>
      <c r="T807" s="46"/>
      <c r="U807" s="46"/>
      <c r="V807" s="46"/>
      <c r="W807" s="32"/>
      <c r="X807" s="32"/>
      <c r="Y807" s="32"/>
      <c r="Z807" s="46"/>
    </row>
    <row r="808" spans="1:26" ht="15.75" customHeight="1" x14ac:dyDescent="0.3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46"/>
      <c r="S808" s="46"/>
      <c r="T808" s="46"/>
      <c r="U808" s="46"/>
      <c r="V808" s="46"/>
      <c r="W808" s="32"/>
      <c r="X808" s="32"/>
      <c r="Y808" s="32"/>
      <c r="Z808" s="46"/>
    </row>
    <row r="809" spans="1:26" ht="15.75" customHeight="1" x14ac:dyDescent="0.3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46"/>
      <c r="S809" s="46"/>
      <c r="T809" s="46"/>
      <c r="U809" s="46"/>
      <c r="V809" s="46"/>
      <c r="W809" s="32"/>
      <c r="X809" s="32"/>
      <c r="Y809" s="32"/>
      <c r="Z809" s="46"/>
    </row>
    <row r="810" spans="1:26" ht="15.75" customHeight="1" x14ac:dyDescent="0.3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46"/>
      <c r="S810" s="46"/>
      <c r="T810" s="46"/>
      <c r="U810" s="46"/>
      <c r="V810" s="46"/>
      <c r="W810" s="32"/>
      <c r="X810" s="32"/>
      <c r="Y810" s="32"/>
      <c r="Z810" s="46"/>
    </row>
    <row r="811" spans="1:26" ht="15.75" customHeight="1" x14ac:dyDescent="0.3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46"/>
      <c r="S811" s="46"/>
      <c r="T811" s="46"/>
      <c r="U811" s="46"/>
      <c r="V811" s="46"/>
      <c r="W811" s="32"/>
      <c r="X811" s="32"/>
      <c r="Y811" s="32"/>
      <c r="Z811" s="46"/>
    </row>
    <row r="812" spans="1:26" ht="15.75" customHeight="1" x14ac:dyDescent="0.3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46"/>
      <c r="S812" s="46"/>
      <c r="T812" s="46"/>
      <c r="U812" s="46"/>
      <c r="V812" s="46"/>
      <c r="W812" s="32"/>
      <c r="X812" s="32"/>
      <c r="Y812" s="32"/>
      <c r="Z812" s="46"/>
    </row>
    <row r="813" spans="1:26" ht="15.75" customHeight="1" x14ac:dyDescent="0.3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46"/>
      <c r="S813" s="46"/>
      <c r="T813" s="46"/>
      <c r="U813" s="46"/>
      <c r="V813" s="46"/>
      <c r="W813" s="32"/>
      <c r="X813" s="32"/>
      <c r="Y813" s="32"/>
      <c r="Z813" s="46"/>
    </row>
    <row r="814" spans="1:26" ht="15.75" customHeight="1" x14ac:dyDescent="0.3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46"/>
      <c r="S814" s="46"/>
      <c r="T814" s="46"/>
      <c r="U814" s="46"/>
      <c r="V814" s="46"/>
      <c r="W814" s="32"/>
      <c r="X814" s="32"/>
      <c r="Y814" s="32"/>
      <c r="Z814" s="46"/>
    </row>
    <row r="815" spans="1:26" ht="15.75" customHeight="1" x14ac:dyDescent="0.3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46"/>
      <c r="S815" s="46"/>
      <c r="T815" s="46"/>
      <c r="U815" s="46"/>
      <c r="V815" s="46"/>
      <c r="W815" s="32"/>
      <c r="X815" s="32"/>
      <c r="Y815" s="32"/>
      <c r="Z815" s="46"/>
    </row>
    <row r="816" spans="1:26" ht="15.75" customHeight="1" x14ac:dyDescent="0.3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46"/>
      <c r="S816" s="46"/>
      <c r="T816" s="46"/>
      <c r="U816" s="46"/>
      <c r="V816" s="46"/>
      <c r="W816" s="32"/>
      <c r="X816" s="32"/>
      <c r="Y816" s="32"/>
      <c r="Z816" s="46"/>
    </row>
    <row r="817" spans="1:26" ht="15.75" customHeight="1" x14ac:dyDescent="0.3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46"/>
      <c r="S817" s="46"/>
      <c r="T817" s="46"/>
      <c r="U817" s="46"/>
      <c r="V817" s="46"/>
      <c r="W817" s="32"/>
      <c r="X817" s="32"/>
      <c r="Y817" s="32"/>
      <c r="Z817" s="46"/>
    </row>
    <row r="818" spans="1:26" ht="15.75" customHeight="1" x14ac:dyDescent="0.3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46"/>
      <c r="S818" s="46"/>
      <c r="T818" s="46"/>
      <c r="U818" s="46"/>
      <c r="V818" s="46"/>
      <c r="W818" s="32"/>
      <c r="X818" s="32"/>
      <c r="Y818" s="32"/>
      <c r="Z818" s="46"/>
    </row>
    <row r="819" spans="1:26" ht="15.75" customHeight="1" x14ac:dyDescent="0.3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46"/>
      <c r="S819" s="46"/>
      <c r="T819" s="46"/>
      <c r="U819" s="46"/>
      <c r="V819" s="46"/>
      <c r="W819" s="32"/>
      <c r="X819" s="32"/>
      <c r="Y819" s="32"/>
      <c r="Z819" s="46"/>
    </row>
    <row r="820" spans="1:26" ht="15.75" customHeight="1" x14ac:dyDescent="0.3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46"/>
      <c r="S820" s="46"/>
      <c r="T820" s="46"/>
      <c r="U820" s="46"/>
      <c r="V820" s="46"/>
      <c r="W820" s="32"/>
      <c r="X820" s="32"/>
      <c r="Y820" s="32"/>
      <c r="Z820" s="46"/>
    </row>
    <row r="821" spans="1:26" ht="15.75" customHeight="1" x14ac:dyDescent="0.3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46"/>
      <c r="S821" s="46"/>
      <c r="T821" s="46"/>
      <c r="U821" s="46"/>
      <c r="V821" s="46"/>
      <c r="W821" s="32"/>
      <c r="X821" s="32"/>
      <c r="Y821" s="32"/>
      <c r="Z821" s="46"/>
    </row>
    <row r="822" spans="1:26" ht="15.75" customHeight="1" x14ac:dyDescent="0.3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46"/>
      <c r="S822" s="46"/>
      <c r="T822" s="46"/>
      <c r="U822" s="46"/>
      <c r="V822" s="46"/>
      <c r="W822" s="32"/>
      <c r="X822" s="32"/>
      <c r="Y822" s="32"/>
      <c r="Z822" s="46"/>
    </row>
    <row r="823" spans="1:26" ht="15.75" customHeight="1" x14ac:dyDescent="0.3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46"/>
      <c r="S823" s="46"/>
      <c r="T823" s="46"/>
      <c r="U823" s="46"/>
      <c r="V823" s="46"/>
      <c r="W823" s="32"/>
      <c r="X823" s="32"/>
      <c r="Y823" s="32"/>
      <c r="Z823" s="46"/>
    </row>
    <row r="824" spans="1:26" ht="15.75" customHeight="1" x14ac:dyDescent="0.3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46"/>
      <c r="S824" s="46"/>
      <c r="T824" s="46"/>
      <c r="U824" s="46"/>
      <c r="V824" s="46"/>
      <c r="W824" s="32"/>
      <c r="X824" s="32"/>
      <c r="Y824" s="32"/>
      <c r="Z824" s="46"/>
    </row>
    <row r="825" spans="1:26" ht="15.75" customHeight="1" x14ac:dyDescent="0.3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46"/>
      <c r="S825" s="46"/>
      <c r="T825" s="46"/>
      <c r="U825" s="46"/>
      <c r="V825" s="46"/>
      <c r="W825" s="32"/>
      <c r="X825" s="32"/>
      <c r="Y825" s="32"/>
      <c r="Z825" s="46"/>
    </row>
    <row r="826" spans="1:26" ht="15.75" customHeight="1" x14ac:dyDescent="0.3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46"/>
      <c r="S826" s="46"/>
      <c r="T826" s="46"/>
      <c r="U826" s="46"/>
      <c r="V826" s="46"/>
      <c r="W826" s="32"/>
      <c r="X826" s="32"/>
      <c r="Y826" s="32"/>
      <c r="Z826" s="46"/>
    </row>
    <row r="827" spans="1:26" ht="15.75" customHeight="1" x14ac:dyDescent="0.3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46"/>
      <c r="S827" s="46"/>
      <c r="T827" s="46"/>
      <c r="U827" s="46"/>
      <c r="V827" s="46"/>
      <c r="W827" s="32"/>
      <c r="X827" s="32"/>
      <c r="Y827" s="32"/>
      <c r="Z827" s="46"/>
    </row>
    <row r="828" spans="1:26" ht="15.75" customHeight="1" x14ac:dyDescent="0.3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46"/>
      <c r="S828" s="46"/>
      <c r="T828" s="46"/>
      <c r="U828" s="46"/>
      <c r="V828" s="46"/>
      <c r="W828" s="32"/>
      <c r="X828" s="32"/>
      <c r="Y828" s="32"/>
      <c r="Z828" s="46"/>
    </row>
    <row r="829" spans="1:26" ht="15.75" customHeight="1" x14ac:dyDescent="0.3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46"/>
      <c r="S829" s="46"/>
      <c r="T829" s="46"/>
      <c r="U829" s="46"/>
      <c r="V829" s="46"/>
      <c r="W829" s="32"/>
      <c r="X829" s="32"/>
      <c r="Y829" s="32"/>
      <c r="Z829" s="46"/>
    </row>
    <row r="830" spans="1:26" ht="15.75" customHeight="1" x14ac:dyDescent="0.3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46"/>
      <c r="S830" s="46"/>
      <c r="T830" s="46"/>
      <c r="U830" s="46"/>
      <c r="V830" s="46"/>
      <c r="W830" s="32"/>
      <c r="X830" s="32"/>
      <c r="Y830" s="32"/>
      <c r="Z830" s="46"/>
    </row>
    <row r="831" spans="1:26" ht="15.75" customHeight="1" x14ac:dyDescent="0.3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46"/>
      <c r="S831" s="46"/>
      <c r="T831" s="46"/>
      <c r="U831" s="46"/>
      <c r="V831" s="46"/>
      <c r="W831" s="32"/>
      <c r="X831" s="32"/>
      <c r="Y831" s="32"/>
      <c r="Z831" s="46"/>
    </row>
    <row r="832" spans="1:26" ht="15.75" customHeight="1" x14ac:dyDescent="0.3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46"/>
      <c r="S832" s="46"/>
      <c r="T832" s="46"/>
      <c r="U832" s="46"/>
      <c r="V832" s="46"/>
      <c r="W832" s="32"/>
      <c r="X832" s="32"/>
      <c r="Y832" s="32"/>
      <c r="Z832" s="46"/>
    </row>
    <row r="833" spans="1:26" ht="15.75" customHeight="1" x14ac:dyDescent="0.3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46"/>
      <c r="S833" s="46"/>
      <c r="T833" s="46"/>
      <c r="U833" s="46"/>
      <c r="V833" s="46"/>
      <c r="W833" s="32"/>
      <c r="X833" s="32"/>
      <c r="Y833" s="32"/>
      <c r="Z833" s="46"/>
    </row>
    <row r="834" spans="1:26" ht="15.75" customHeight="1" x14ac:dyDescent="0.3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46"/>
      <c r="S834" s="46"/>
      <c r="T834" s="46"/>
      <c r="U834" s="46"/>
      <c r="V834" s="46"/>
      <c r="W834" s="32"/>
      <c r="X834" s="32"/>
      <c r="Y834" s="32"/>
      <c r="Z834" s="46"/>
    </row>
    <row r="835" spans="1:26" ht="15.75" customHeight="1" x14ac:dyDescent="0.3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46"/>
      <c r="S835" s="46"/>
      <c r="T835" s="46"/>
      <c r="U835" s="46"/>
      <c r="V835" s="46"/>
      <c r="W835" s="32"/>
      <c r="X835" s="32"/>
      <c r="Y835" s="32"/>
      <c r="Z835" s="46"/>
    </row>
    <row r="836" spans="1:26" ht="15.75" customHeight="1" x14ac:dyDescent="0.3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46"/>
      <c r="S836" s="46"/>
      <c r="T836" s="46"/>
      <c r="U836" s="46"/>
      <c r="V836" s="46"/>
      <c r="W836" s="32"/>
      <c r="X836" s="32"/>
      <c r="Y836" s="32"/>
      <c r="Z836" s="46"/>
    </row>
    <row r="837" spans="1:26" ht="15.75" customHeight="1" x14ac:dyDescent="0.3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46"/>
      <c r="S837" s="46"/>
      <c r="T837" s="46"/>
      <c r="U837" s="46"/>
      <c r="V837" s="46"/>
      <c r="W837" s="32"/>
      <c r="X837" s="32"/>
      <c r="Y837" s="32"/>
      <c r="Z837" s="46"/>
    </row>
    <row r="838" spans="1:26" ht="15.75" customHeight="1" x14ac:dyDescent="0.3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46"/>
      <c r="S838" s="46"/>
      <c r="T838" s="46"/>
      <c r="U838" s="46"/>
      <c r="V838" s="46"/>
      <c r="W838" s="32"/>
      <c r="X838" s="32"/>
      <c r="Y838" s="32"/>
      <c r="Z838" s="46"/>
    </row>
    <row r="839" spans="1:26" ht="15.75" customHeight="1" x14ac:dyDescent="0.3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46"/>
      <c r="S839" s="46"/>
      <c r="T839" s="46"/>
      <c r="U839" s="46"/>
      <c r="V839" s="46"/>
      <c r="W839" s="32"/>
      <c r="X839" s="32"/>
      <c r="Y839" s="32"/>
      <c r="Z839" s="46"/>
    </row>
    <row r="840" spans="1:26" ht="15.75" customHeight="1" x14ac:dyDescent="0.3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46"/>
      <c r="S840" s="46"/>
      <c r="T840" s="46"/>
      <c r="U840" s="46"/>
      <c r="V840" s="46"/>
      <c r="W840" s="32"/>
      <c r="X840" s="32"/>
      <c r="Y840" s="32"/>
      <c r="Z840" s="46"/>
    </row>
    <row r="841" spans="1:26" ht="15.75" customHeight="1" x14ac:dyDescent="0.3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46"/>
      <c r="S841" s="46"/>
      <c r="T841" s="46"/>
      <c r="U841" s="46"/>
      <c r="V841" s="46"/>
      <c r="W841" s="32"/>
      <c r="X841" s="32"/>
      <c r="Y841" s="32"/>
      <c r="Z841" s="46"/>
    </row>
    <row r="842" spans="1:26" ht="15.75" customHeight="1" x14ac:dyDescent="0.3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46"/>
      <c r="S842" s="46"/>
      <c r="T842" s="46"/>
      <c r="U842" s="46"/>
      <c r="V842" s="46"/>
      <c r="W842" s="32"/>
      <c r="X842" s="32"/>
      <c r="Y842" s="32"/>
      <c r="Z842" s="46"/>
    </row>
    <row r="843" spans="1:26" ht="15.75" customHeight="1" x14ac:dyDescent="0.3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46"/>
      <c r="S843" s="46"/>
      <c r="T843" s="46"/>
      <c r="U843" s="46"/>
      <c r="V843" s="46"/>
      <c r="W843" s="32"/>
      <c r="X843" s="32"/>
      <c r="Y843" s="32"/>
      <c r="Z843" s="46"/>
    </row>
    <row r="844" spans="1:26" ht="15.75" customHeight="1" x14ac:dyDescent="0.3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46"/>
      <c r="S844" s="46"/>
      <c r="T844" s="46"/>
      <c r="U844" s="46"/>
      <c r="V844" s="46"/>
      <c r="W844" s="32"/>
      <c r="X844" s="32"/>
      <c r="Y844" s="32"/>
      <c r="Z844" s="46"/>
    </row>
    <row r="845" spans="1:26" ht="15.75" customHeight="1" x14ac:dyDescent="0.3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46"/>
      <c r="S845" s="46"/>
      <c r="T845" s="46"/>
      <c r="U845" s="46"/>
      <c r="V845" s="46"/>
      <c r="W845" s="32"/>
      <c r="X845" s="32"/>
      <c r="Y845" s="32"/>
      <c r="Z845" s="46"/>
    </row>
    <row r="846" spans="1:26" ht="15.75" customHeight="1" x14ac:dyDescent="0.3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46"/>
      <c r="S846" s="46"/>
      <c r="T846" s="46"/>
      <c r="U846" s="46"/>
      <c r="V846" s="46"/>
      <c r="W846" s="32"/>
      <c r="X846" s="32"/>
      <c r="Y846" s="32"/>
      <c r="Z846" s="46"/>
    </row>
    <row r="847" spans="1:26" ht="15.75" customHeight="1" x14ac:dyDescent="0.3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46"/>
      <c r="S847" s="46"/>
      <c r="T847" s="46"/>
      <c r="U847" s="46"/>
      <c r="V847" s="46"/>
      <c r="W847" s="32"/>
      <c r="X847" s="32"/>
      <c r="Y847" s="32"/>
      <c r="Z847" s="46"/>
    </row>
    <row r="848" spans="1:26" ht="15.75" customHeight="1" x14ac:dyDescent="0.3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46"/>
      <c r="S848" s="46"/>
      <c r="T848" s="46"/>
      <c r="U848" s="46"/>
      <c r="V848" s="46"/>
      <c r="W848" s="32"/>
      <c r="X848" s="32"/>
      <c r="Y848" s="32"/>
      <c r="Z848" s="46"/>
    </row>
    <row r="849" spans="1:26" ht="15.75" customHeight="1" x14ac:dyDescent="0.3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46"/>
      <c r="S849" s="46"/>
      <c r="T849" s="46"/>
      <c r="U849" s="46"/>
      <c r="V849" s="46"/>
      <c r="W849" s="32"/>
      <c r="X849" s="32"/>
      <c r="Y849" s="32"/>
      <c r="Z849" s="46"/>
    </row>
    <row r="850" spans="1:26" ht="15.75" customHeight="1" x14ac:dyDescent="0.3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46"/>
      <c r="S850" s="46"/>
      <c r="T850" s="46"/>
      <c r="U850" s="46"/>
      <c r="V850" s="46"/>
      <c r="W850" s="32"/>
      <c r="X850" s="32"/>
      <c r="Y850" s="32"/>
      <c r="Z850" s="46"/>
    </row>
    <row r="851" spans="1:26" ht="15.75" customHeight="1" x14ac:dyDescent="0.3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46"/>
      <c r="S851" s="46"/>
      <c r="T851" s="46"/>
      <c r="U851" s="46"/>
      <c r="V851" s="46"/>
      <c r="W851" s="32"/>
      <c r="X851" s="32"/>
      <c r="Y851" s="32"/>
      <c r="Z851" s="46"/>
    </row>
    <row r="852" spans="1:26" ht="15.75" customHeight="1" x14ac:dyDescent="0.3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46"/>
      <c r="S852" s="46"/>
      <c r="T852" s="46"/>
      <c r="U852" s="46"/>
      <c r="V852" s="46"/>
      <c r="W852" s="32"/>
      <c r="X852" s="32"/>
      <c r="Y852" s="32"/>
      <c r="Z852" s="46"/>
    </row>
    <row r="853" spans="1:26" ht="15.75" customHeight="1" x14ac:dyDescent="0.3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46"/>
      <c r="S853" s="46"/>
      <c r="T853" s="46"/>
      <c r="U853" s="46"/>
      <c r="V853" s="46"/>
      <c r="W853" s="32"/>
      <c r="X853" s="32"/>
      <c r="Y853" s="32"/>
      <c r="Z853" s="46"/>
    </row>
    <row r="854" spans="1:26" ht="15.75" customHeight="1" x14ac:dyDescent="0.3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46"/>
      <c r="S854" s="46"/>
      <c r="T854" s="46"/>
      <c r="U854" s="46"/>
      <c r="V854" s="46"/>
      <c r="W854" s="32"/>
      <c r="X854" s="32"/>
      <c r="Y854" s="32"/>
      <c r="Z854" s="46"/>
    </row>
    <row r="855" spans="1:26" ht="15.75" customHeight="1" x14ac:dyDescent="0.3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46"/>
      <c r="S855" s="46"/>
      <c r="T855" s="46"/>
      <c r="U855" s="46"/>
      <c r="V855" s="46"/>
      <c r="W855" s="32"/>
      <c r="X855" s="32"/>
      <c r="Y855" s="32"/>
      <c r="Z855" s="46"/>
    </row>
    <row r="856" spans="1:26" ht="15.75" customHeight="1" x14ac:dyDescent="0.3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46"/>
      <c r="S856" s="46"/>
      <c r="T856" s="46"/>
      <c r="U856" s="46"/>
      <c r="V856" s="46"/>
      <c r="W856" s="32"/>
      <c r="X856" s="32"/>
      <c r="Y856" s="32"/>
      <c r="Z856" s="46"/>
    </row>
    <row r="857" spans="1:26" ht="15.75" customHeight="1" x14ac:dyDescent="0.3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46"/>
      <c r="S857" s="46"/>
      <c r="T857" s="46"/>
      <c r="U857" s="46"/>
      <c r="V857" s="46"/>
      <c r="W857" s="32"/>
      <c r="X857" s="32"/>
      <c r="Y857" s="32"/>
      <c r="Z857" s="46"/>
    </row>
    <row r="858" spans="1:26" ht="15.75" customHeight="1" x14ac:dyDescent="0.3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46"/>
      <c r="S858" s="46"/>
      <c r="T858" s="46"/>
      <c r="U858" s="46"/>
      <c r="V858" s="46"/>
      <c r="W858" s="32"/>
      <c r="X858" s="32"/>
      <c r="Y858" s="32"/>
      <c r="Z858" s="46"/>
    </row>
    <row r="859" spans="1:26" ht="15.75" customHeight="1" x14ac:dyDescent="0.3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46"/>
      <c r="S859" s="46"/>
      <c r="T859" s="46"/>
      <c r="U859" s="46"/>
      <c r="V859" s="46"/>
      <c r="W859" s="32"/>
      <c r="X859" s="32"/>
      <c r="Y859" s="32"/>
      <c r="Z859" s="46"/>
    </row>
    <row r="860" spans="1:26" ht="15.75" customHeight="1" x14ac:dyDescent="0.3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46"/>
      <c r="S860" s="46"/>
      <c r="T860" s="46"/>
      <c r="U860" s="46"/>
      <c r="V860" s="46"/>
      <c r="W860" s="32"/>
      <c r="X860" s="32"/>
      <c r="Y860" s="32"/>
      <c r="Z860" s="46"/>
    </row>
    <row r="861" spans="1:26" ht="15.75" customHeight="1" x14ac:dyDescent="0.3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46"/>
      <c r="S861" s="46"/>
      <c r="T861" s="46"/>
      <c r="U861" s="46"/>
      <c r="V861" s="46"/>
      <c r="W861" s="32"/>
      <c r="X861" s="32"/>
      <c r="Y861" s="32"/>
      <c r="Z861" s="46"/>
    </row>
    <row r="862" spans="1:26" ht="15.75" customHeight="1" x14ac:dyDescent="0.3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46"/>
      <c r="S862" s="46"/>
      <c r="T862" s="46"/>
      <c r="U862" s="46"/>
      <c r="V862" s="46"/>
      <c r="W862" s="32"/>
      <c r="X862" s="32"/>
      <c r="Y862" s="32"/>
      <c r="Z862" s="46"/>
    </row>
    <row r="863" spans="1:26" ht="15.75" customHeight="1" x14ac:dyDescent="0.3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46"/>
      <c r="S863" s="46"/>
      <c r="T863" s="46"/>
      <c r="U863" s="46"/>
      <c r="V863" s="46"/>
      <c r="W863" s="32"/>
      <c r="X863" s="32"/>
      <c r="Y863" s="32"/>
      <c r="Z863" s="46"/>
    </row>
    <row r="864" spans="1:26" ht="15.75" customHeight="1" x14ac:dyDescent="0.3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46"/>
      <c r="S864" s="46"/>
      <c r="T864" s="46"/>
      <c r="U864" s="46"/>
      <c r="V864" s="46"/>
      <c r="W864" s="32"/>
      <c r="X864" s="32"/>
      <c r="Y864" s="32"/>
      <c r="Z864" s="46"/>
    </row>
    <row r="865" spans="1:26" ht="15.75" customHeight="1" x14ac:dyDescent="0.3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46"/>
      <c r="S865" s="46"/>
      <c r="T865" s="46"/>
      <c r="U865" s="46"/>
      <c r="V865" s="46"/>
      <c r="W865" s="32"/>
      <c r="X865" s="32"/>
      <c r="Y865" s="32"/>
      <c r="Z865" s="46"/>
    </row>
    <row r="866" spans="1:26" ht="15.75" customHeight="1" x14ac:dyDescent="0.3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46"/>
      <c r="S866" s="46"/>
      <c r="T866" s="46"/>
      <c r="U866" s="46"/>
      <c r="V866" s="46"/>
      <c r="W866" s="32"/>
      <c r="X866" s="32"/>
      <c r="Y866" s="32"/>
      <c r="Z866" s="46"/>
    </row>
    <row r="867" spans="1:26" ht="15.75" customHeight="1" x14ac:dyDescent="0.3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46"/>
      <c r="S867" s="46"/>
      <c r="T867" s="46"/>
      <c r="U867" s="46"/>
      <c r="V867" s="46"/>
      <c r="W867" s="32"/>
      <c r="X867" s="32"/>
      <c r="Y867" s="32"/>
      <c r="Z867" s="46"/>
    </row>
    <row r="868" spans="1:26" ht="15.75" customHeight="1" x14ac:dyDescent="0.3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46"/>
      <c r="S868" s="46"/>
      <c r="T868" s="46"/>
      <c r="U868" s="46"/>
      <c r="V868" s="46"/>
      <c r="W868" s="32"/>
      <c r="X868" s="32"/>
      <c r="Y868" s="32"/>
      <c r="Z868" s="46"/>
    </row>
    <row r="869" spans="1:26" ht="15.75" customHeight="1" x14ac:dyDescent="0.3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46"/>
      <c r="S869" s="46"/>
      <c r="T869" s="46"/>
      <c r="U869" s="46"/>
      <c r="V869" s="46"/>
      <c r="W869" s="32"/>
      <c r="X869" s="32"/>
      <c r="Y869" s="32"/>
      <c r="Z869" s="46"/>
    </row>
    <row r="870" spans="1:26" ht="15.75" customHeight="1" x14ac:dyDescent="0.3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46"/>
      <c r="S870" s="46"/>
      <c r="T870" s="46"/>
      <c r="U870" s="46"/>
      <c r="V870" s="46"/>
      <c r="W870" s="32"/>
      <c r="X870" s="32"/>
      <c r="Y870" s="32"/>
      <c r="Z870" s="46"/>
    </row>
    <row r="871" spans="1:26" ht="15.75" customHeight="1" x14ac:dyDescent="0.3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46"/>
      <c r="S871" s="46"/>
      <c r="T871" s="46"/>
      <c r="U871" s="46"/>
      <c r="V871" s="46"/>
      <c r="W871" s="32"/>
      <c r="X871" s="32"/>
      <c r="Y871" s="32"/>
      <c r="Z871" s="46"/>
    </row>
    <row r="872" spans="1:26" ht="15.75" customHeight="1" x14ac:dyDescent="0.3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46"/>
      <c r="S872" s="46"/>
      <c r="T872" s="46"/>
      <c r="U872" s="46"/>
      <c r="V872" s="46"/>
      <c r="W872" s="32"/>
      <c r="X872" s="32"/>
      <c r="Y872" s="32"/>
      <c r="Z872" s="46"/>
    </row>
    <row r="873" spans="1:26" ht="15.75" customHeight="1" x14ac:dyDescent="0.3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46"/>
      <c r="S873" s="46"/>
      <c r="T873" s="46"/>
      <c r="U873" s="46"/>
      <c r="V873" s="46"/>
      <c r="W873" s="32"/>
      <c r="X873" s="32"/>
      <c r="Y873" s="32"/>
      <c r="Z873" s="46"/>
    </row>
    <row r="874" spans="1:26" ht="15.75" customHeight="1" x14ac:dyDescent="0.3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46"/>
      <c r="S874" s="46"/>
      <c r="T874" s="46"/>
      <c r="U874" s="46"/>
      <c r="V874" s="46"/>
      <c r="W874" s="32"/>
      <c r="X874" s="32"/>
      <c r="Y874" s="32"/>
      <c r="Z874" s="46"/>
    </row>
    <row r="875" spans="1:26" ht="15.75" customHeight="1" x14ac:dyDescent="0.3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46"/>
      <c r="S875" s="46"/>
      <c r="T875" s="46"/>
      <c r="U875" s="46"/>
      <c r="V875" s="46"/>
      <c r="W875" s="32"/>
      <c r="X875" s="32"/>
      <c r="Y875" s="32"/>
      <c r="Z875" s="46"/>
    </row>
    <row r="876" spans="1:26" ht="15.75" customHeight="1" x14ac:dyDescent="0.3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46"/>
      <c r="S876" s="46"/>
      <c r="T876" s="46"/>
      <c r="U876" s="46"/>
      <c r="V876" s="46"/>
      <c r="W876" s="32"/>
      <c r="X876" s="32"/>
      <c r="Y876" s="32"/>
      <c r="Z876" s="46"/>
    </row>
    <row r="877" spans="1:26" ht="15.75" customHeight="1" x14ac:dyDescent="0.3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46"/>
      <c r="S877" s="46"/>
      <c r="T877" s="46"/>
      <c r="U877" s="46"/>
      <c r="V877" s="46"/>
      <c r="W877" s="32"/>
      <c r="X877" s="32"/>
      <c r="Y877" s="32"/>
      <c r="Z877" s="46"/>
    </row>
    <row r="878" spans="1:26" ht="15.75" customHeight="1" x14ac:dyDescent="0.3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46"/>
      <c r="S878" s="46"/>
      <c r="T878" s="46"/>
      <c r="U878" s="46"/>
      <c r="V878" s="46"/>
      <c r="W878" s="32"/>
      <c r="X878" s="32"/>
      <c r="Y878" s="32"/>
      <c r="Z878" s="46"/>
    </row>
    <row r="879" spans="1:26" ht="15.75" customHeight="1" x14ac:dyDescent="0.3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46"/>
      <c r="S879" s="46"/>
      <c r="T879" s="46"/>
      <c r="U879" s="46"/>
      <c r="V879" s="46"/>
      <c r="W879" s="32"/>
      <c r="X879" s="32"/>
      <c r="Y879" s="32"/>
      <c r="Z879" s="46"/>
    </row>
    <row r="880" spans="1:26" ht="15.75" customHeight="1" x14ac:dyDescent="0.3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46"/>
      <c r="S880" s="46"/>
      <c r="T880" s="46"/>
      <c r="U880" s="46"/>
      <c r="V880" s="46"/>
      <c r="W880" s="32"/>
      <c r="X880" s="32"/>
      <c r="Y880" s="32"/>
      <c r="Z880" s="46"/>
    </row>
    <row r="881" spans="1:26" ht="15.75" customHeight="1" x14ac:dyDescent="0.3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46"/>
      <c r="S881" s="46"/>
      <c r="T881" s="46"/>
      <c r="U881" s="46"/>
      <c r="V881" s="46"/>
      <c r="W881" s="32"/>
      <c r="X881" s="32"/>
      <c r="Y881" s="32"/>
      <c r="Z881" s="46"/>
    </row>
    <row r="882" spans="1:26" ht="15.75" customHeight="1" x14ac:dyDescent="0.3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46"/>
      <c r="S882" s="46"/>
      <c r="T882" s="46"/>
      <c r="U882" s="46"/>
      <c r="V882" s="46"/>
      <c r="W882" s="32"/>
      <c r="X882" s="32"/>
      <c r="Y882" s="32"/>
      <c r="Z882" s="46"/>
    </row>
    <row r="883" spans="1:26" ht="15.75" customHeight="1" x14ac:dyDescent="0.3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46"/>
      <c r="S883" s="46"/>
      <c r="T883" s="46"/>
      <c r="U883" s="46"/>
      <c r="V883" s="46"/>
      <c r="W883" s="32"/>
      <c r="X883" s="32"/>
      <c r="Y883" s="32"/>
      <c r="Z883" s="46"/>
    </row>
    <row r="884" spans="1:26" ht="15.75" customHeight="1" x14ac:dyDescent="0.3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46"/>
      <c r="S884" s="46"/>
      <c r="T884" s="46"/>
      <c r="U884" s="46"/>
      <c r="V884" s="46"/>
      <c r="W884" s="32"/>
      <c r="X884" s="32"/>
      <c r="Y884" s="32"/>
      <c r="Z884" s="46"/>
    </row>
    <row r="885" spans="1:26" ht="15.75" customHeight="1" x14ac:dyDescent="0.3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46"/>
      <c r="S885" s="46"/>
      <c r="T885" s="46"/>
      <c r="U885" s="46"/>
      <c r="V885" s="46"/>
      <c r="W885" s="32"/>
      <c r="X885" s="32"/>
      <c r="Y885" s="32"/>
      <c r="Z885" s="46"/>
    </row>
    <row r="886" spans="1:26" ht="15.75" customHeight="1" x14ac:dyDescent="0.3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46"/>
      <c r="S886" s="46"/>
      <c r="T886" s="46"/>
      <c r="U886" s="46"/>
      <c r="V886" s="46"/>
      <c r="W886" s="32"/>
      <c r="X886" s="32"/>
      <c r="Y886" s="32"/>
      <c r="Z886" s="46"/>
    </row>
    <row r="887" spans="1:26" ht="15.75" customHeight="1" x14ac:dyDescent="0.3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46"/>
      <c r="S887" s="46"/>
      <c r="T887" s="46"/>
      <c r="U887" s="46"/>
      <c r="V887" s="46"/>
      <c r="W887" s="32"/>
      <c r="X887" s="32"/>
      <c r="Y887" s="32"/>
      <c r="Z887" s="46"/>
    </row>
    <row r="888" spans="1:26" ht="15.75" customHeight="1" x14ac:dyDescent="0.3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46"/>
      <c r="S888" s="46"/>
      <c r="T888" s="46"/>
      <c r="U888" s="46"/>
      <c r="V888" s="46"/>
      <c r="W888" s="32"/>
      <c r="X888" s="32"/>
      <c r="Y888" s="32"/>
      <c r="Z888" s="46"/>
    </row>
    <row r="889" spans="1:26" ht="15.75" customHeight="1" x14ac:dyDescent="0.3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46"/>
      <c r="S889" s="46"/>
      <c r="T889" s="46"/>
      <c r="U889" s="46"/>
      <c r="V889" s="46"/>
      <c r="W889" s="32"/>
      <c r="X889" s="32"/>
      <c r="Y889" s="32"/>
      <c r="Z889" s="46"/>
    </row>
    <row r="890" spans="1:26" ht="15.75" customHeight="1" x14ac:dyDescent="0.3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46"/>
      <c r="S890" s="46"/>
      <c r="T890" s="46"/>
      <c r="U890" s="46"/>
      <c r="V890" s="46"/>
      <c r="W890" s="32"/>
      <c r="X890" s="32"/>
      <c r="Y890" s="32"/>
      <c r="Z890" s="46"/>
    </row>
    <row r="891" spans="1:26" ht="15.75" customHeight="1" x14ac:dyDescent="0.3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46"/>
      <c r="S891" s="46"/>
      <c r="T891" s="46"/>
      <c r="U891" s="46"/>
      <c r="V891" s="46"/>
      <c r="W891" s="32"/>
      <c r="X891" s="32"/>
      <c r="Y891" s="32"/>
      <c r="Z891" s="46"/>
    </row>
    <row r="892" spans="1:26" ht="15.75" customHeight="1" x14ac:dyDescent="0.3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46"/>
      <c r="S892" s="46"/>
      <c r="T892" s="46"/>
      <c r="U892" s="46"/>
      <c r="V892" s="46"/>
      <c r="W892" s="32"/>
      <c r="X892" s="32"/>
      <c r="Y892" s="32"/>
      <c r="Z892" s="46"/>
    </row>
    <row r="893" spans="1:26" ht="15.75" customHeight="1" x14ac:dyDescent="0.3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46"/>
      <c r="S893" s="46"/>
      <c r="T893" s="46"/>
      <c r="U893" s="46"/>
      <c r="V893" s="46"/>
      <c r="W893" s="32"/>
      <c r="X893" s="32"/>
      <c r="Y893" s="32"/>
      <c r="Z893" s="46"/>
    </row>
    <row r="894" spans="1:26" ht="15.75" customHeight="1" x14ac:dyDescent="0.3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46"/>
      <c r="S894" s="46"/>
      <c r="T894" s="46"/>
      <c r="U894" s="46"/>
      <c r="V894" s="46"/>
      <c r="W894" s="32"/>
      <c r="X894" s="32"/>
      <c r="Y894" s="32"/>
      <c r="Z894" s="46"/>
    </row>
    <row r="895" spans="1:26" ht="15.75" customHeight="1" x14ac:dyDescent="0.3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46"/>
      <c r="S895" s="46"/>
      <c r="T895" s="46"/>
      <c r="U895" s="46"/>
      <c r="V895" s="46"/>
      <c r="W895" s="32"/>
      <c r="X895" s="32"/>
      <c r="Y895" s="32"/>
      <c r="Z895" s="46"/>
    </row>
    <row r="896" spans="1:26" ht="15.75" customHeight="1" x14ac:dyDescent="0.3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46"/>
      <c r="S896" s="46"/>
      <c r="T896" s="46"/>
      <c r="U896" s="46"/>
      <c r="V896" s="46"/>
      <c r="W896" s="32"/>
      <c r="X896" s="32"/>
      <c r="Y896" s="32"/>
      <c r="Z896" s="46"/>
    </row>
    <row r="897" spans="1:26" ht="15.75" customHeight="1" x14ac:dyDescent="0.3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46"/>
      <c r="S897" s="46"/>
      <c r="T897" s="46"/>
      <c r="U897" s="46"/>
      <c r="V897" s="46"/>
      <c r="W897" s="32"/>
      <c r="X897" s="32"/>
      <c r="Y897" s="32"/>
      <c r="Z897" s="46"/>
    </row>
    <row r="898" spans="1:26" ht="15.75" customHeight="1" x14ac:dyDescent="0.3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46"/>
      <c r="S898" s="46"/>
      <c r="T898" s="46"/>
      <c r="U898" s="46"/>
      <c r="V898" s="46"/>
      <c r="W898" s="32"/>
      <c r="X898" s="32"/>
      <c r="Y898" s="32"/>
      <c r="Z898" s="46"/>
    </row>
    <row r="899" spans="1:26" ht="15.75" customHeight="1" x14ac:dyDescent="0.3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46"/>
      <c r="S899" s="46"/>
      <c r="T899" s="46"/>
      <c r="U899" s="46"/>
      <c r="V899" s="46"/>
      <c r="W899" s="32"/>
      <c r="X899" s="32"/>
      <c r="Y899" s="32"/>
      <c r="Z899" s="46"/>
    </row>
    <row r="900" spans="1:26" ht="15.75" customHeight="1" x14ac:dyDescent="0.3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46"/>
      <c r="S900" s="46"/>
      <c r="T900" s="46"/>
      <c r="U900" s="46"/>
      <c r="V900" s="46"/>
      <c r="W900" s="32"/>
      <c r="X900" s="32"/>
      <c r="Y900" s="32"/>
      <c r="Z900" s="46"/>
    </row>
    <row r="901" spans="1:26" ht="15.75" customHeight="1" x14ac:dyDescent="0.3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46"/>
      <c r="S901" s="46"/>
      <c r="T901" s="46"/>
      <c r="U901" s="46"/>
      <c r="V901" s="46"/>
      <c r="W901" s="32"/>
      <c r="X901" s="32"/>
      <c r="Y901" s="32"/>
      <c r="Z901" s="46"/>
    </row>
    <row r="902" spans="1:26" ht="15.75" customHeight="1" x14ac:dyDescent="0.3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46"/>
      <c r="S902" s="46"/>
      <c r="T902" s="46"/>
      <c r="U902" s="46"/>
      <c r="V902" s="46"/>
      <c r="W902" s="32"/>
      <c r="X902" s="32"/>
      <c r="Y902" s="32"/>
      <c r="Z902" s="46"/>
    </row>
    <row r="903" spans="1:26" ht="15.75" customHeight="1" x14ac:dyDescent="0.3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46"/>
      <c r="S903" s="46"/>
      <c r="T903" s="46"/>
      <c r="U903" s="46"/>
      <c r="V903" s="46"/>
      <c r="W903" s="32"/>
      <c r="X903" s="32"/>
      <c r="Y903" s="32"/>
      <c r="Z903" s="46"/>
    </row>
    <row r="904" spans="1:26" ht="15.75" customHeight="1" x14ac:dyDescent="0.3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46"/>
      <c r="S904" s="46"/>
      <c r="T904" s="46"/>
      <c r="U904" s="46"/>
      <c r="V904" s="46"/>
      <c r="W904" s="32"/>
      <c r="X904" s="32"/>
      <c r="Y904" s="32"/>
      <c r="Z904" s="46"/>
    </row>
    <row r="905" spans="1:26" ht="15.75" customHeight="1" x14ac:dyDescent="0.3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46"/>
      <c r="S905" s="46"/>
      <c r="T905" s="46"/>
      <c r="U905" s="46"/>
      <c r="V905" s="46"/>
      <c r="W905" s="32"/>
      <c r="X905" s="32"/>
      <c r="Y905" s="32"/>
      <c r="Z905" s="46"/>
    </row>
    <row r="906" spans="1:26" ht="15.75" customHeight="1" x14ac:dyDescent="0.3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46"/>
      <c r="S906" s="46"/>
      <c r="T906" s="46"/>
      <c r="U906" s="46"/>
      <c r="V906" s="46"/>
      <c r="W906" s="32"/>
      <c r="X906" s="32"/>
      <c r="Y906" s="32"/>
      <c r="Z906" s="46"/>
    </row>
    <row r="907" spans="1:26" ht="15.75" customHeight="1" x14ac:dyDescent="0.3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46"/>
      <c r="S907" s="46"/>
      <c r="T907" s="46"/>
      <c r="U907" s="46"/>
      <c r="V907" s="46"/>
      <c r="W907" s="32"/>
      <c r="X907" s="32"/>
      <c r="Y907" s="32"/>
      <c r="Z907" s="46"/>
    </row>
    <row r="908" spans="1:26" ht="15.75" customHeight="1" x14ac:dyDescent="0.3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46"/>
      <c r="S908" s="46"/>
      <c r="T908" s="46"/>
      <c r="U908" s="46"/>
      <c r="V908" s="46"/>
      <c r="W908" s="32"/>
      <c r="X908" s="32"/>
      <c r="Y908" s="32"/>
      <c r="Z908" s="46"/>
    </row>
    <row r="909" spans="1:26" ht="15.75" customHeight="1" x14ac:dyDescent="0.3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46"/>
      <c r="S909" s="46"/>
      <c r="T909" s="46"/>
      <c r="U909" s="46"/>
      <c r="V909" s="46"/>
      <c r="W909" s="32"/>
      <c r="X909" s="32"/>
      <c r="Y909" s="32"/>
      <c r="Z909" s="46"/>
    </row>
    <row r="910" spans="1:26" ht="15.75" customHeight="1" x14ac:dyDescent="0.3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46"/>
      <c r="S910" s="46"/>
      <c r="T910" s="46"/>
      <c r="U910" s="46"/>
      <c r="V910" s="46"/>
      <c r="W910" s="32"/>
      <c r="X910" s="32"/>
      <c r="Y910" s="32"/>
      <c r="Z910" s="46"/>
    </row>
    <row r="911" spans="1:26" ht="15.75" customHeight="1" x14ac:dyDescent="0.3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46"/>
      <c r="S911" s="46"/>
      <c r="T911" s="46"/>
      <c r="U911" s="46"/>
      <c r="V911" s="46"/>
      <c r="W911" s="32"/>
      <c r="X911" s="32"/>
      <c r="Y911" s="32"/>
      <c r="Z911" s="46"/>
    </row>
    <row r="912" spans="1:26" ht="15.75" customHeight="1" x14ac:dyDescent="0.3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46"/>
      <c r="S912" s="46"/>
      <c r="T912" s="46"/>
      <c r="U912" s="46"/>
      <c r="V912" s="46"/>
      <c r="W912" s="32"/>
      <c r="X912" s="32"/>
      <c r="Y912" s="32"/>
      <c r="Z912" s="46"/>
    </row>
    <row r="913" spans="1:26" ht="15.75" customHeight="1" x14ac:dyDescent="0.3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46"/>
      <c r="S913" s="46"/>
      <c r="T913" s="46"/>
      <c r="U913" s="46"/>
      <c r="V913" s="46"/>
      <c r="W913" s="32"/>
      <c r="X913" s="32"/>
      <c r="Y913" s="32"/>
      <c r="Z913" s="46"/>
    </row>
    <row r="914" spans="1:26" ht="15.75" customHeight="1" x14ac:dyDescent="0.3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46"/>
      <c r="S914" s="46"/>
      <c r="T914" s="46"/>
      <c r="U914" s="46"/>
      <c r="V914" s="46"/>
      <c r="W914" s="32"/>
      <c r="X914" s="32"/>
      <c r="Y914" s="32"/>
      <c r="Z914" s="46"/>
    </row>
    <row r="915" spans="1:26" ht="15.75" customHeight="1" x14ac:dyDescent="0.3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46"/>
      <c r="S915" s="46"/>
      <c r="T915" s="46"/>
      <c r="U915" s="46"/>
      <c r="V915" s="46"/>
      <c r="W915" s="32"/>
      <c r="X915" s="32"/>
      <c r="Y915" s="32"/>
      <c r="Z915" s="46"/>
    </row>
    <row r="916" spans="1:26" ht="15.75" customHeight="1" x14ac:dyDescent="0.3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46"/>
      <c r="S916" s="46"/>
      <c r="T916" s="46"/>
      <c r="U916" s="46"/>
      <c r="V916" s="46"/>
      <c r="W916" s="32"/>
      <c r="X916" s="32"/>
      <c r="Y916" s="32"/>
      <c r="Z916" s="46"/>
    </row>
    <row r="917" spans="1:26" ht="15.75" customHeight="1" x14ac:dyDescent="0.3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46"/>
      <c r="S917" s="46"/>
      <c r="T917" s="46"/>
      <c r="U917" s="46"/>
      <c r="V917" s="46"/>
      <c r="W917" s="32"/>
      <c r="X917" s="32"/>
      <c r="Y917" s="32"/>
      <c r="Z917" s="46"/>
    </row>
    <row r="918" spans="1:26" ht="15.75" customHeight="1" x14ac:dyDescent="0.3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46"/>
      <c r="S918" s="46"/>
      <c r="T918" s="46"/>
      <c r="U918" s="46"/>
      <c r="V918" s="46"/>
      <c r="W918" s="32"/>
      <c r="X918" s="32"/>
      <c r="Y918" s="32"/>
      <c r="Z918" s="46"/>
    </row>
    <row r="919" spans="1:26" ht="15.75" customHeight="1" x14ac:dyDescent="0.3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46"/>
      <c r="S919" s="46"/>
      <c r="T919" s="46"/>
      <c r="U919" s="46"/>
      <c r="V919" s="46"/>
      <c r="W919" s="32"/>
      <c r="X919" s="32"/>
      <c r="Y919" s="32"/>
      <c r="Z919" s="46"/>
    </row>
    <row r="920" spans="1:26" ht="15.75" customHeight="1" x14ac:dyDescent="0.3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46"/>
      <c r="S920" s="46"/>
      <c r="T920" s="46"/>
      <c r="U920" s="46"/>
      <c r="V920" s="46"/>
      <c r="W920" s="32"/>
      <c r="X920" s="32"/>
      <c r="Y920" s="32"/>
      <c r="Z920" s="46"/>
    </row>
    <row r="921" spans="1:26" ht="15.75" customHeight="1" x14ac:dyDescent="0.3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46"/>
      <c r="S921" s="46"/>
      <c r="T921" s="46"/>
      <c r="U921" s="46"/>
      <c r="V921" s="46"/>
      <c r="W921" s="32"/>
      <c r="X921" s="32"/>
      <c r="Y921" s="32"/>
      <c r="Z921" s="46"/>
    </row>
    <row r="922" spans="1:26" ht="15.75" customHeight="1" x14ac:dyDescent="0.3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46"/>
      <c r="S922" s="46"/>
      <c r="T922" s="46"/>
      <c r="U922" s="46"/>
      <c r="V922" s="46"/>
      <c r="W922" s="32"/>
      <c r="X922" s="32"/>
      <c r="Y922" s="32"/>
      <c r="Z922" s="46"/>
    </row>
    <row r="923" spans="1:26" ht="15.75" customHeight="1" x14ac:dyDescent="0.3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46"/>
      <c r="S923" s="46"/>
      <c r="T923" s="46"/>
      <c r="U923" s="46"/>
      <c r="V923" s="46"/>
      <c r="W923" s="32"/>
      <c r="X923" s="32"/>
      <c r="Y923" s="32"/>
      <c r="Z923" s="46"/>
    </row>
    <row r="924" spans="1:26" ht="15.75" customHeight="1" x14ac:dyDescent="0.3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46"/>
      <c r="S924" s="46"/>
      <c r="T924" s="46"/>
      <c r="U924" s="46"/>
      <c r="V924" s="46"/>
      <c r="W924" s="32"/>
      <c r="X924" s="32"/>
      <c r="Y924" s="32"/>
      <c r="Z924" s="46"/>
    </row>
    <row r="925" spans="1:26" ht="15.75" customHeight="1" x14ac:dyDescent="0.3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46"/>
      <c r="S925" s="46"/>
      <c r="T925" s="46"/>
      <c r="U925" s="46"/>
      <c r="V925" s="46"/>
      <c r="W925" s="32"/>
      <c r="X925" s="32"/>
      <c r="Y925" s="32"/>
      <c r="Z925" s="46"/>
    </row>
    <row r="926" spans="1:26" ht="15.75" customHeight="1" x14ac:dyDescent="0.3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46"/>
      <c r="S926" s="46"/>
      <c r="T926" s="46"/>
      <c r="U926" s="46"/>
      <c r="V926" s="46"/>
      <c r="W926" s="32"/>
      <c r="X926" s="32"/>
      <c r="Y926" s="32"/>
      <c r="Z926" s="46"/>
    </row>
    <row r="927" spans="1:26" ht="15.75" customHeight="1" x14ac:dyDescent="0.3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46"/>
      <c r="S927" s="46"/>
      <c r="T927" s="46"/>
      <c r="U927" s="46"/>
      <c r="V927" s="46"/>
      <c r="W927" s="32"/>
      <c r="X927" s="32"/>
      <c r="Y927" s="32"/>
      <c r="Z927" s="46"/>
    </row>
    <row r="928" spans="1:26" ht="15.75" customHeight="1" x14ac:dyDescent="0.3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46"/>
      <c r="S928" s="46"/>
      <c r="T928" s="46"/>
      <c r="U928" s="46"/>
      <c r="V928" s="46"/>
      <c r="W928" s="32"/>
      <c r="X928" s="32"/>
      <c r="Y928" s="32"/>
      <c r="Z928" s="46"/>
    </row>
    <row r="929" spans="1:26" ht="15.75" customHeight="1" x14ac:dyDescent="0.3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46"/>
      <c r="S929" s="46"/>
      <c r="T929" s="46"/>
      <c r="U929" s="46"/>
      <c r="V929" s="46"/>
      <c r="W929" s="32"/>
      <c r="X929" s="32"/>
      <c r="Y929" s="32"/>
      <c r="Z929" s="46"/>
    </row>
    <row r="930" spans="1:26" ht="15.75" customHeight="1" x14ac:dyDescent="0.3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46"/>
      <c r="S930" s="46"/>
      <c r="T930" s="46"/>
      <c r="U930" s="46"/>
      <c r="V930" s="46"/>
      <c r="W930" s="32"/>
      <c r="X930" s="32"/>
      <c r="Y930" s="32"/>
      <c r="Z930" s="46"/>
    </row>
    <row r="931" spans="1:26" ht="15.75" customHeight="1" x14ac:dyDescent="0.3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46"/>
      <c r="S931" s="46"/>
      <c r="T931" s="46"/>
      <c r="U931" s="46"/>
      <c r="V931" s="46"/>
      <c r="W931" s="32"/>
      <c r="X931" s="32"/>
      <c r="Y931" s="32"/>
      <c r="Z931" s="46"/>
    </row>
    <row r="932" spans="1:26" ht="15.75" customHeight="1" x14ac:dyDescent="0.3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46"/>
      <c r="S932" s="46"/>
      <c r="T932" s="46"/>
      <c r="U932" s="46"/>
      <c r="V932" s="46"/>
      <c r="W932" s="32"/>
      <c r="X932" s="32"/>
      <c r="Y932" s="32"/>
      <c r="Z932" s="46"/>
    </row>
    <row r="933" spans="1:26" ht="15.75" customHeight="1" x14ac:dyDescent="0.3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46"/>
      <c r="S933" s="46"/>
      <c r="T933" s="46"/>
      <c r="U933" s="46"/>
      <c r="V933" s="46"/>
      <c r="W933" s="32"/>
      <c r="X933" s="32"/>
      <c r="Y933" s="32"/>
      <c r="Z933" s="46"/>
    </row>
    <row r="934" spans="1:26" ht="15.75" customHeight="1" x14ac:dyDescent="0.3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46"/>
      <c r="S934" s="46"/>
      <c r="T934" s="46"/>
      <c r="U934" s="46"/>
      <c r="V934" s="46"/>
      <c r="W934" s="32"/>
      <c r="X934" s="32"/>
      <c r="Y934" s="32"/>
      <c r="Z934" s="46"/>
    </row>
    <row r="935" spans="1:26" ht="15.75" customHeight="1" x14ac:dyDescent="0.3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46"/>
      <c r="S935" s="46"/>
      <c r="T935" s="46"/>
      <c r="U935" s="46"/>
      <c r="V935" s="46"/>
      <c r="W935" s="32"/>
      <c r="X935" s="32"/>
      <c r="Y935" s="32"/>
      <c r="Z935" s="46"/>
    </row>
    <row r="936" spans="1:26" ht="15.75" customHeight="1" x14ac:dyDescent="0.3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46"/>
      <c r="S936" s="46"/>
      <c r="T936" s="46"/>
      <c r="U936" s="46"/>
      <c r="V936" s="46"/>
      <c r="W936" s="32"/>
      <c r="X936" s="32"/>
      <c r="Y936" s="32"/>
      <c r="Z936" s="46"/>
    </row>
    <row r="937" spans="1:26" ht="15.75" customHeight="1" x14ac:dyDescent="0.3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46"/>
      <c r="S937" s="46"/>
      <c r="T937" s="46"/>
      <c r="U937" s="46"/>
      <c r="V937" s="46"/>
      <c r="W937" s="32"/>
      <c r="X937" s="32"/>
      <c r="Y937" s="32"/>
      <c r="Z937" s="46"/>
    </row>
    <row r="938" spans="1:26" ht="15.75" customHeight="1" x14ac:dyDescent="0.3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46"/>
      <c r="S938" s="46"/>
      <c r="T938" s="46"/>
      <c r="U938" s="46"/>
      <c r="V938" s="46"/>
      <c r="W938" s="32"/>
      <c r="X938" s="32"/>
      <c r="Y938" s="32"/>
      <c r="Z938" s="46"/>
    </row>
    <row r="939" spans="1:26" ht="15.75" customHeight="1" x14ac:dyDescent="0.3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46"/>
      <c r="S939" s="46"/>
      <c r="T939" s="46"/>
      <c r="U939" s="46"/>
      <c r="V939" s="46"/>
      <c r="W939" s="32"/>
      <c r="X939" s="32"/>
      <c r="Y939" s="32"/>
      <c r="Z939" s="46"/>
    </row>
    <row r="940" spans="1:26" ht="15.75" customHeight="1" x14ac:dyDescent="0.3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46"/>
      <c r="S940" s="46"/>
      <c r="T940" s="46"/>
      <c r="U940" s="46"/>
      <c r="V940" s="46"/>
      <c r="W940" s="32"/>
      <c r="X940" s="32"/>
      <c r="Y940" s="32"/>
      <c r="Z940" s="46"/>
    </row>
    <row r="941" spans="1:26" ht="15.75" customHeight="1" x14ac:dyDescent="0.3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46"/>
      <c r="S941" s="46"/>
      <c r="T941" s="46"/>
      <c r="U941" s="46"/>
      <c r="V941" s="46"/>
      <c r="W941" s="32"/>
      <c r="X941" s="32"/>
      <c r="Y941" s="32"/>
      <c r="Z941" s="46"/>
    </row>
    <row r="942" spans="1:26" ht="15.75" customHeight="1" x14ac:dyDescent="0.3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46"/>
      <c r="S942" s="46"/>
      <c r="T942" s="46"/>
      <c r="U942" s="46"/>
      <c r="V942" s="46"/>
      <c r="W942" s="32"/>
      <c r="X942" s="32"/>
      <c r="Y942" s="32"/>
      <c r="Z942" s="46"/>
    </row>
    <row r="943" spans="1:26" ht="15.75" customHeight="1" x14ac:dyDescent="0.3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46"/>
      <c r="S943" s="46"/>
      <c r="T943" s="46"/>
      <c r="U943" s="46"/>
      <c r="V943" s="46"/>
      <c r="W943" s="32"/>
      <c r="X943" s="32"/>
      <c r="Y943" s="32"/>
      <c r="Z943" s="46"/>
    </row>
    <row r="944" spans="1:26" ht="15.75" customHeight="1" x14ac:dyDescent="0.3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46"/>
      <c r="S944" s="46"/>
      <c r="T944" s="46"/>
      <c r="U944" s="46"/>
      <c r="V944" s="46"/>
      <c r="W944" s="32"/>
      <c r="X944" s="32"/>
      <c r="Y944" s="32"/>
      <c r="Z944" s="46"/>
    </row>
    <row r="945" spans="1:26" ht="15.75" customHeight="1" x14ac:dyDescent="0.3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46"/>
      <c r="S945" s="46"/>
      <c r="T945" s="46"/>
      <c r="U945" s="46"/>
      <c r="V945" s="46"/>
      <c r="W945" s="32"/>
      <c r="X945" s="32"/>
      <c r="Y945" s="32"/>
      <c r="Z945" s="46"/>
    </row>
    <row r="946" spans="1:26" ht="15.75" customHeight="1" x14ac:dyDescent="0.3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46"/>
      <c r="S946" s="46"/>
      <c r="T946" s="46"/>
      <c r="U946" s="46"/>
      <c r="V946" s="46"/>
      <c r="W946" s="32"/>
      <c r="X946" s="32"/>
      <c r="Y946" s="32"/>
      <c r="Z946" s="46"/>
    </row>
    <row r="947" spans="1:26" ht="15.75" customHeight="1" x14ac:dyDescent="0.3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46"/>
      <c r="S947" s="46"/>
      <c r="T947" s="46"/>
      <c r="U947" s="46"/>
      <c r="V947" s="46"/>
      <c r="W947" s="32"/>
      <c r="X947" s="32"/>
      <c r="Y947" s="32"/>
      <c r="Z947" s="46"/>
    </row>
    <row r="948" spans="1:26" ht="15.75" customHeight="1" x14ac:dyDescent="0.3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46"/>
      <c r="S948" s="46"/>
      <c r="T948" s="46"/>
      <c r="U948" s="46"/>
      <c r="V948" s="46"/>
      <c r="W948" s="32"/>
      <c r="X948" s="32"/>
      <c r="Y948" s="32"/>
      <c r="Z948" s="46"/>
    </row>
    <row r="949" spans="1:26" ht="15.75" customHeight="1" x14ac:dyDescent="0.3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46"/>
      <c r="S949" s="46"/>
      <c r="T949" s="46"/>
      <c r="U949" s="46"/>
      <c r="V949" s="46"/>
      <c r="W949" s="32"/>
      <c r="X949" s="32"/>
      <c r="Y949" s="32"/>
      <c r="Z949" s="46"/>
    </row>
    <row r="950" spans="1:26" ht="15.75" customHeight="1" x14ac:dyDescent="0.3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46"/>
      <c r="S950" s="46"/>
      <c r="T950" s="46"/>
      <c r="U950" s="46"/>
      <c r="V950" s="46"/>
      <c r="W950" s="32"/>
      <c r="X950" s="32"/>
      <c r="Y950" s="32"/>
      <c r="Z950" s="46"/>
    </row>
    <row r="951" spans="1:26" ht="15.75" customHeight="1" x14ac:dyDescent="0.3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46"/>
      <c r="S951" s="46"/>
      <c r="T951" s="46"/>
      <c r="U951" s="46"/>
      <c r="V951" s="46"/>
      <c r="W951" s="32"/>
      <c r="X951" s="32"/>
      <c r="Y951" s="32"/>
      <c r="Z951" s="46"/>
    </row>
    <row r="952" spans="1:26" ht="15.75" customHeight="1" x14ac:dyDescent="0.3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46"/>
      <c r="S952" s="46"/>
      <c r="T952" s="46"/>
      <c r="U952" s="46"/>
      <c r="V952" s="46"/>
      <c r="W952" s="32"/>
      <c r="X952" s="32"/>
      <c r="Y952" s="32"/>
      <c r="Z952" s="46"/>
    </row>
    <row r="953" spans="1:26" ht="15.75" customHeight="1" x14ac:dyDescent="0.3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46"/>
      <c r="S953" s="46"/>
      <c r="T953" s="46"/>
      <c r="U953" s="46"/>
      <c r="V953" s="46"/>
      <c r="W953" s="32"/>
      <c r="X953" s="32"/>
      <c r="Y953" s="32"/>
      <c r="Z953" s="46"/>
    </row>
    <row r="954" spans="1:26" ht="15.75" customHeight="1" x14ac:dyDescent="0.3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46"/>
      <c r="S954" s="46"/>
      <c r="T954" s="46"/>
      <c r="U954" s="46"/>
      <c r="V954" s="46"/>
      <c r="W954" s="32"/>
      <c r="X954" s="32"/>
      <c r="Y954" s="32"/>
      <c r="Z954" s="46"/>
    </row>
    <row r="955" spans="1:26" ht="15.75" customHeight="1" x14ac:dyDescent="0.3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46"/>
      <c r="S955" s="46"/>
      <c r="T955" s="46"/>
      <c r="U955" s="46"/>
      <c r="V955" s="46"/>
      <c r="W955" s="32"/>
      <c r="X955" s="32"/>
      <c r="Y955" s="32"/>
      <c r="Z955" s="46"/>
    </row>
    <row r="956" spans="1:26" ht="15.75" customHeight="1" x14ac:dyDescent="0.3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46"/>
      <c r="S956" s="46"/>
      <c r="T956" s="46"/>
      <c r="U956" s="46"/>
      <c r="V956" s="46"/>
      <c r="W956" s="32"/>
      <c r="X956" s="32"/>
      <c r="Y956" s="32"/>
      <c r="Z956" s="46"/>
    </row>
    <row r="957" spans="1:26" ht="15.75" customHeight="1" x14ac:dyDescent="0.3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46"/>
      <c r="S957" s="46"/>
      <c r="T957" s="46"/>
      <c r="U957" s="46"/>
      <c r="V957" s="46"/>
      <c r="W957" s="32"/>
      <c r="X957" s="32"/>
      <c r="Y957" s="32"/>
      <c r="Z957" s="46"/>
    </row>
    <row r="958" spans="1:26" ht="15.75" customHeight="1" x14ac:dyDescent="0.3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46"/>
      <c r="S958" s="46"/>
      <c r="T958" s="46"/>
      <c r="U958" s="46"/>
      <c r="V958" s="46"/>
      <c r="W958" s="32"/>
      <c r="X958" s="32"/>
      <c r="Y958" s="32"/>
      <c r="Z958" s="46"/>
    </row>
    <row r="959" spans="1:26" ht="15.75" customHeight="1" x14ac:dyDescent="0.3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46"/>
      <c r="S959" s="46"/>
      <c r="T959" s="46"/>
      <c r="U959" s="46"/>
      <c r="V959" s="46"/>
      <c r="W959" s="32"/>
      <c r="X959" s="32"/>
      <c r="Y959" s="32"/>
      <c r="Z959" s="46"/>
    </row>
    <row r="960" spans="1:26" ht="15.75" customHeight="1" x14ac:dyDescent="0.3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46"/>
      <c r="S960" s="46"/>
      <c r="T960" s="46"/>
      <c r="U960" s="46"/>
      <c r="V960" s="46"/>
      <c r="W960" s="32"/>
      <c r="X960" s="32"/>
      <c r="Y960" s="32"/>
      <c r="Z960" s="46"/>
    </row>
    <row r="961" spans="1:26" ht="15.75" customHeight="1" x14ac:dyDescent="0.3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46"/>
      <c r="S961" s="46"/>
      <c r="T961" s="46"/>
      <c r="U961" s="46"/>
      <c r="V961" s="46"/>
      <c r="W961" s="32"/>
      <c r="X961" s="32"/>
      <c r="Y961" s="32"/>
      <c r="Z961" s="46"/>
    </row>
    <row r="962" spans="1:26" ht="15.75" customHeight="1" x14ac:dyDescent="0.3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46"/>
      <c r="S962" s="46"/>
      <c r="T962" s="46"/>
      <c r="U962" s="46"/>
      <c r="V962" s="46"/>
      <c r="W962" s="32"/>
      <c r="X962" s="32"/>
      <c r="Y962" s="32"/>
      <c r="Z962" s="46"/>
    </row>
    <row r="963" spans="1:26" ht="15.75" customHeight="1" x14ac:dyDescent="0.3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46"/>
      <c r="S963" s="46"/>
      <c r="T963" s="46"/>
      <c r="U963" s="46"/>
      <c r="V963" s="46"/>
      <c r="W963" s="32"/>
      <c r="X963" s="32"/>
      <c r="Y963" s="32"/>
      <c r="Z963" s="46"/>
    </row>
    <row r="964" spans="1:26" ht="15.75" customHeight="1" x14ac:dyDescent="0.3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46"/>
      <c r="S964" s="46"/>
      <c r="T964" s="46"/>
      <c r="U964" s="46"/>
      <c r="V964" s="46"/>
      <c r="W964" s="32"/>
      <c r="X964" s="32"/>
      <c r="Y964" s="32"/>
      <c r="Z964" s="46"/>
    </row>
    <row r="965" spans="1:26" ht="15.75" customHeight="1" x14ac:dyDescent="0.3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46"/>
      <c r="S965" s="46"/>
      <c r="T965" s="46"/>
      <c r="U965" s="46"/>
      <c r="V965" s="46"/>
      <c r="W965" s="32"/>
      <c r="X965" s="32"/>
      <c r="Y965" s="32"/>
      <c r="Z965" s="46"/>
    </row>
    <row r="966" spans="1:26" ht="15.75" customHeight="1" x14ac:dyDescent="0.3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46"/>
      <c r="S966" s="46"/>
      <c r="T966" s="46"/>
      <c r="U966" s="46"/>
      <c r="V966" s="46"/>
      <c r="W966" s="32"/>
      <c r="X966" s="32"/>
      <c r="Y966" s="32"/>
      <c r="Z966" s="46"/>
    </row>
    <row r="967" spans="1:26" ht="15.75" customHeight="1" x14ac:dyDescent="0.3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46"/>
      <c r="S967" s="46"/>
      <c r="T967" s="46"/>
      <c r="U967" s="46"/>
      <c r="V967" s="46"/>
      <c r="W967" s="32"/>
      <c r="X967" s="32"/>
      <c r="Y967" s="32"/>
      <c r="Z967" s="46"/>
    </row>
    <row r="968" spans="1:26" ht="15.75" customHeight="1" x14ac:dyDescent="0.3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46"/>
      <c r="S968" s="46"/>
      <c r="T968" s="46"/>
      <c r="U968" s="46"/>
      <c r="V968" s="46"/>
      <c r="W968" s="32"/>
      <c r="X968" s="32"/>
      <c r="Y968" s="32"/>
      <c r="Z968" s="46"/>
    </row>
    <row r="969" spans="1:26" ht="15.75" customHeight="1" x14ac:dyDescent="0.3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46"/>
      <c r="S969" s="46"/>
      <c r="T969" s="46"/>
      <c r="U969" s="46"/>
      <c r="V969" s="46"/>
      <c r="W969" s="32"/>
      <c r="X969" s="32"/>
      <c r="Y969" s="32"/>
      <c r="Z969" s="46"/>
    </row>
    <row r="970" spans="1:26" ht="15.75" customHeight="1" x14ac:dyDescent="0.3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46"/>
      <c r="S970" s="46"/>
      <c r="T970" s="46"/>
      <c r="U970" s="46"/>
      <c r="V970" s="46"/>
      <c r="W970" s="32"/>
      <c r="X970" s="32"/>
      <c r="Y970" s="32"/>
      <c r="Z970" s="46"/>
    </row>
    <row r="971" spans="1:26" ht="15.75" customHeight="1" x14ac:dyDescent="0.3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46"/>
      <c r="S971" s="46"/>
      <c r="T971" s="46"/>
      <c r="U971" s="46"/>
      <c r="V971" s="46"/>
      <c r="W971" s="32"/>
      <c r="X971" s="32"/>
      <c r="Y971" s="32"/>
      <c r="Z971" s="46"/>
    </row>
    <row r="972" spans="1:26" ht="15.75" customHeight="1" x14ac:dyDescent="0.3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46"/>
      <c r="S972" s="46"/>
      <c r="T972" s="46"/>
      <c r="U972" s="46"/>
      <c r="V972" s="46"/>
      <c r="W972" s="32"/>
      <c r="X972" s="32"/>
      <c r="Y972" s="32"/>
      <c r="Z972" s="46"/>
    </row>
    <row r="973" spans="1:26" ht="15.75" customHeight="1" x14ac:dyDescent="0.3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46"/>
      <c r="S973" s="46"/>
      <c r="T973" s="46"/>
      <c r="U973" s="46"/>
      <c r="V973" s="46"/>
      <c r="W973" s="32"/>
      <c r="X973" s="32"/>
      <c r="Y973" s="32"/>
      <c r="Z973" s="46"/>
    </row>
    <row r="974" spans="1:26" ht="15.75" customHeight="1" x14ac:dyDescent="0.3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46"/>
      <c r="S974" s="46"/>
      <c r="T974" s="46"/>
      <c r="U974" s="46"/>
      <c r="V974" s="46"/>
      <c r="W974" s="32"/>
      <c r="X974" s="32"/>
      <c r="Y974" s="32"/>
      <c r="Z974" s="46"/>
    </row>
    <row r="975" spans="1:26" ht="15.75" customHeight="1" x14ac:dyDescent="0.3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46"/>
      <c r="S975" s="46"/>
      <c r="T975" s="46"/>
      <c r="U975" s="46"/>
      <c r="V975" s="46"/>
      <c r="W975" s="32"/>
      <c r="X975" s="32"/>
      <c r="Y975" s="32"/>
      <c r="Z975" s="46"/>
    </row>
    <row r="976" spans="1:26" ht="15.75" customHeight="1" x14ac:dyDescent="0.3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46"/>
      <c r="S976" s="46"/>
      <c r="T976" s="46"/>
      <c r="U976" s="46"/>
      <c r="V976" s="46"/>
      <c r="W976" s="32"/>
      <c r="X976" s="32"/>
      <c r="Y976" s="32"/>
      <c r="Z976" s="46"/>
    </row>
    <row r="977" spans="1:26" ht="15.75" customHeight="1" x14ac:dyDescent="0.3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46"/>
      <c r="S977" s="46"/>
      <c r="T977" s="46"/>
      <c r="U977" s="46"/>
      <c r="V977" s="46"/>
      <c r="W977" s="32"/>
      <c r="X977" s="32"/>
      <c r="Y977" s="32"/>
      <c r="Z977" s="46"/>
    </row>
    <row r="978" spans="1:26" ht="15.75" customHeight="1" x14ac:dyDescent="0.3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46"/>
      <c r="S978" s="46"/>
      <c r="T978" s="46"/>
      <c r="U978" s="46"/>
      <c r="V978" s="46"/>
      <c r="W978" s="32"/>
      <c r="X978" s="32"/>
      <c r="Y978" s="32"/>
      <c r="Z978" s="46"/>
    </row>
    <row r="979" spans="1:26" ht="15.75" customHeight="1" x14ac:dyDescent="0.3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46"/>
      <c r="S979" s="46"/>
      <c r="T979" s="46"/>
      <c r="U979" s="46"/>
      <c r="V979" s="46"/>
      <c r="W979" s="32"/>
      <c r="X979" s="32"/>
      <c r="Y979" s="32"/>
      <c r="Z979" s="46"/>
    </row>
    <row r="980" spans="1:26" ht="15.75" customHeight="1" x14ac:dyDescent="0.3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46"/>
      <c r="S980" s="46"/>
      <c r="T980" s="46"/>
      <c r="U980" s="46"/>
      <c r="V980" s="46"/>
      <c r="W980" s="32"/>
      <c r="X980" s="32"/>
      <c r="Y980" s="32"/>
      <c r="Z980" s="46"/>
    </row>
    <row r="981" spans="1:26" ht="15.75" customHeight="1" x14ac:dyDescent="0.3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46"/>
      <c r="S981" s="46"/>
      <c r="T981" s="46"/>
      <c r="U981" s="46"/>
      <c r="V981" s="46"/>
      <c r="W981" s="32"/>
      <c r="X981" s="32"/>
      <c r="Y981" s="32"/>
      <c r="Z981" s="46"/>
    </row>
    <row r="982" spans="1:26" ht="15.75" customHeight="1" x14ac:dyDescent="0.3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46"/>
      <c r="S982" s="46"/>
      <c r="T982" s="46"/>
      <c r="U982" s="46"/>
      <c r="V982" s="46"/>
      <c r="W982" s="32"/>
      <c r="X982" s="32"/>
      <c r="Y982" s="32"/>
      <c r="Z982" s="46"/>
    </row>
    <row r="983" spans="1:26" ht="15.75" customHeight="1" x14ac:dyDescent="0.3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46"/>
      <c r="S983" s="46"/>
      <c r="T983" s="46"/>
      <c r="U983" s="46"/>
      <c r="V983" s="46"/>
      <c r="W983" s="32"/>
      <c r="X983" s="32"/>
      <c r="Y983" s="32"/>
      <c r="Z983" s="46"/>
    </row>
    <row r="984" spans="1:26" ht="15.75" customHeight="1" x14ac:dyDescent="0.3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46"/>
      <c r="S984" s="46"/>
      <c r="T984" s="46"/>
      <c r="U984" s="46"/>
      <c r="V984" s="46"/>
      <c r="W984" s="32"/>
      <c r="X984" s="32"/>
      <c r="Y984" s="32"/>
      <c r="Z984" s="46"/>
    </row>
    <row r="985" spans="1:26" ht="15.75" customHeight="1" x14ac:dyDescent="0.3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46"/>
      <c r="S985" s="46"/>
      <c r="T985" s="46"/>
      <c r="U985" s="46"/>
      <c r="V985" s="46"/>
      <c r="W985" s="32"/>
      <c r="X985" s="32"/>
      <c r="Y985" s="32"/>
      <c r="Z985" s="46"/>
    </row>
    <row r="986" spans="1:26" ht="15.75" customHeight="1" x14ac:dyDescent="0.3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46"/>
      <c r="S986" s="46"/>
      <c r="T986" s="46"/>
      <c r="U986" s="46"/>
      <c r="V986" s="46"/>
      <c r="W986" s="32"/>
      <c r="X986" s="32"/>
      <c r="Y986" s="32"/>
      <c r="Z986" s="46"/>
    </row>
    <row r="987" spans="1:26" ht="15.75" customHeight="1" x14ac:dyDescent="0.3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46"/>
      <c r="S987" s="46"/>
      <c r="T987" s="46"/>
      <c r="U987" s="46"/>
      <c r="V987" s="46"/>
      <c r="W987" s="32"/>
      <c r="X987" s="32"/>
      <c r="Y987" s="32"/>
      <c r="Z987" s="46"/>
    </row>
    <row r="988" spans="1:26" ht="15.75" customHeight="1" x14ac:dyDescent="0.3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46"/>
      <c r="S988" s="46"/>
      <c r="T988" s="46"/>
      <c r="U988" s="46"/>
      <c r="V988" s="46"/>
      <c r="W988" s="32"/>
      <c r="X988" s="32"/>
      <c r="Y988" s="32"/>
      <c r="Z988" s="46"/>
    </row>
    <row r="989" spans="1:26" ht="15.75" customHeight="1" x14ac:dyDescent="0.3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46"/>
      <c r="S989" s="46"/>
      <c r="T989" s="46"/>
      <c r="U989" s="46"/>
      <c r="V989" s="46"/>
      <c r="W989" s="32"/>
      <c r="X989" s="32"/>
      <c r="Y989" s="32"/>
      <c r="Z989" s="46"/>
    </row>
    <row r="990" spans="1:26" ht="15.75" customHeight="1" x14ac:dyDescent="0.3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46"/>
      <c r="S990" s="46"/>
      <c r="T990" s="46"/>
      <c r="U990" s="46"/>
      <c r="V990" s="46"/>
      <c r="W990" s="32"/>
      <c r="X990" s="32"/>
      <c r="Y990" s="32"/>
      <c r="Z990" s="46"/>
    </row>
    <row r="991" spans="1:26" ht="15.75" customHeight="1" x14ac:dyDescent="0.3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46"/>
      <c r="S991" s="46"/>
      <c r="T991" s="46"/>
      <c r="U991" s="46"/>
      <c r="V991" s="46"/>
      <c r="W991" s="32"/>
      <c r="X991" s="32"/>
      <c r="Y991" s="32"/>
      <c r="Z991" s="46"/>
    </row>
    <row r="992" spans="1:26" ht="15.75" customHeight="1" x14ac:dyDescent="0.3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46"/>
      <c r="S992" s="46"/>
      <c r="T992" s="46"/>
      <c r="U992" s="46"/>
      <c r="V992" s="46"/>
      <c r="W992" s="32"/>
      <c r="X992" s="32"/>
      <c r="Y992" s="32"/>
      <c r="Z992" s="46"/>
    </row>
    <row r="993" spans="1:26" ht="15.75" customHeight="1" x14ac:dyDescent="0.3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46"/>
      <c r="S993" s="46"/>
      <c r="T993" s="46"/>
      <c r="U993" s="46"/>
      <c r="V993" s="46"/>
      <c r="W993" s="32"/>
      <c r="X993" s="32"/>
      <c r="Y993" s="32"/>
      <c r="Z993" s="46"/>
    </row>
    <row r="994" spans="1:26" ht="15.75" customHeight="1" x14ac:dyDescent="0.3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46"/>
      <c r="S994" s="46"/>
      <c r="T994" s="46"/>
      <c r="U994" s="46"/>
      <c r="V994" s="46"/>
      <c r="W994" s="32"/>
      <c r="X994" s="32"/>
      <c r="Y994" s="32"/>
      <c r="Z994" s="46"/>
    </row>
    <row r="995" spans="1:26" ht="15.75" customHeight="1" x14ac:dyDescent="0.3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46"/>
      <c r="S995" s="46"/>
      <c r="T995" s="46"/>
      <c r="U995" s="46"/>
      <c r="V995" s="46"/>
      <c r="W995" s="32"/>
      <c r="X995" s="32"/>
      <c r="Y995" s="32"/>
      <c r="Z995" s="46"/>
    </row>
    <row r="996" spans="1:26" ht="15.75" customHeight="1" x14ac:dyDescent="0.3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46"/>
      <c r="S996" s="46"/>
      <c r="T996" s="46"/>
      <c r="U996" s="46"/>
      <c r="V996" s="46"/>
      <c r="W996" s="32"/>
      <c r="X996" s="32"/>
      <c r="Y996" s="32"/>
      <c r="Z996" s="46"/>
    </row>
    <row r="997" spans="1:26" ht="15.75" customHeight="1" x14ac:dyDescent="0.3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46"/>
      <c r="S997" s="46"/>
      <c r="T997" s="46"/>
      <c r="U997" s="46"/>
      <c r="V997" s="46"/>
      <c r="W997" s="32"/>
      <c r="X997" s="32"/>
      <c r="Y997" s="32"/>
      <c r="Z997" s="46"/>
    </row>
    <row r="998" spans="1:26" ht="15.75" customHeight="1" x14ac:dyDescent="0.3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46"/>
      <c r="S998" s="46"/>
      <c r="T998" s="46"/>
      <c r="U998" s="46"/>
      <c r="V998" s="46"/>
      <c r="W998" s="32"/>
      <c r="X998" s="32"/>
      <c r="Y998" s="32"/>
      <c r="Z998" s="46"/>
    </row>
    <row r="999" spans="1:26" ht="15.75" customHeight="1" x14ac:dyDescent="0.3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46"/>
      <c r="S999" s="46"/>
      <c r="T999" s="46"/>
      <c r="U999" s="46"/>
      <c r="V999" s="46"/>
      <c r="W999" s="32"/>
      <c r="X999" s="32"/>
      <c r="Y999" s="32"/>
      <c r="Z999" s="46"/>
    </row>
    <row r="1000" spans="1:26" ht="15.75" customHeight="1" x14ac:dyDescent="0.3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46"/>
      <c r="S1000" s="46"/>
      <c r="T1000" s="46"/>
      <c r="U1000" s="46"/>
      <c r="V1000" s="46"/>
      <c r="W1000" s="32"/>
      <c r="X1000" s="32"/>
      <c r="Y1000" s="32"/>
      <c r="Z1000" s="46"/>
    </row>
  </sheetData>
  <mergeCells count="22">
    <mergeCell ref="C87:C90"/>
    <mergeCell ref="C91:C95"/>
    <mergeCell ref="C96:C99"/>
    <mergeCell ref="C100:C103"/>
    <mergeCell ref="C104:C108"/>
    <mergeCell ref="D42:I42"/>
    <mergeCell ref="D43:I43"/>
    <mergeCell ref="A66:D66"/>
    <mergeCell ref="A76:D76"/>
    <mergeCell ref="A85:C85"/>
    <mergeCell ref="D44:I44"/>
    <mergeCell ref="D45:I45"/>
    <mergeCell ref="D46:I46"/>
    <mergeCell ref="D47:I47"/>
    <mergeCell ref="D48:I48"/>
    <mergeCell ref="D49:I49"/>
    <mergeCell ref="A53:D53"/>
    <mergeCell ref="G1:H1"/>
    <mergeCell ref="I1:J1"/>
    <mergeCell ref="L1:O1"/>
    <mergeCell ref="A40:I40"/>
    <mergeCell ref="D41:I4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1428</v>
      </c>
      <c r="I1" s="62" t="s">
        <v>405</v>
      </c>
      <c r="J1" s="77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35</v>
      </c>
      <c r="C2" s="10" t="s">
        <v>1103</v>
      </c>
      <c r="D2" s="32" t="s">
        <v>1104</v>
      </c>
      <c r="E2" s="69">
        <v>-25159.19</v>
      </c>
      <c r="F2" s="69">
        <v>5299.79</v>
      </c>
      <c r="G2" s="69">
        <f>F2*0.82</f>
        <v>4345.8278</v>
      </c>
      <c r="H2" s="75">
        <v>0.26985999999999999</v>
      </c>
      <c r="I2" s="69">
        <f t="shared" ref="I2:I14" si="0">(E2+G2)*H2*0.9</f>
        <v>-5055.0245309627999</v>
      </c>
      <c r="J2" s="78">
        <f>F2*0.05*H2</f>
        <v>71.510066469999998</v>
      </c>
      <c r="K2" s="61">
        <f>E2*0.1*H2</f>
        <v>-678.94590133999998</v>
      </c>
      <c r="L2" s="61">
        <f>(F2*0.01+G2*0.1)*H2</f>
        <v>131.5785223048</v>
      </c>
      <c r="M2" s="58">
        <f>SUM(K:L)</f>
        <v>9040.8516890660521</v>
      </c>
      <c r="N2" s="2" t="s">
        <v>412</v>
      </c>
      <c r="O2" s="2" t="s">
        <v>413</v>
      </c>
      <c r="P2" s="32">
        <v>13492.15</v>
      </c>
      <c r="Q2" s="32">
        <f>SUM(I:I)</f>
        <v>103855.09285364309</v>
      </c>
      <c r="R2" s="32">
        <f>SUM(P:P)</f>
        <v>-109220.96000000002</v>
      </c>
      <c r="S2" s="32">
        <f>Q2+R2</f>
        <v>-5365.8671463569335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32" t="s">
        <v>23</v>
      </c>
      <c r="C3" s="10">
        <v>9510579</v>
      </c>
      <c r="D3" s="2" t="s">
        <v>1105</v>
      </c>
      <c r="E3" s="69">
        <v>9513.65</v>
      </c>
      <c r="F3" s="69">
        <v>1355.7</v>
      </c>
      <c r="G3" s="69">
        <f>F3*0.7</f>
        <v>948.99</v>
      </c>
      <c r="H3" s="70">
        <v>0.20366600000000001</v>
      </c>
      <c r="I3" s="69">
        <f t="shared" si="0"/>
        <v>1917.795634416</v>
      </c>
      <c r="J3" s="79" t="s">
        <v>468</v>
      </c>
      <c r="K3" s="61">
        <f t="shared" ref="K2:K4" si="1">E3*0.1*H3</f>
        <v>193.76070409000002</v>
      </c>
      <c r="L3" s="61">
        <f>G3*0.1*H3</f>
        <v>19.327699734000003</v>
      </c>
      <c r="M3" s="58"/>
      <c r="N3" s="2" t="s">
        <v>312</v>
      </c>
      <c r="O3" s="98" t="s">
        <v>421</v>
      </c>
      <c r="P3" s="32">
        <v>-128.69999999999999</v>
      </c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2" t="s">
        <v>17</v>
      </c>
      <c r="C4" s="10">
        <v>9062790</v>
      </c>
      <c r="D4" s="32" t="s">
        <v>1106</v>
      </c>
      <c r="E4" s="69">
        <v>53481.2</v>
      </c>
      <c r="F4" s="69">
        <v>2598.9</v>
      </c>
      <c r="G4" s="69">
        <f>F4*0.65</f>
        <v>1689.2850000000001</v>
      </c>
      <c r="H4" s="70">
        <v>0.20366600000000001</v>
      </c>
      <c r="I4" s="69">
        <f t="shared" si="0"/>
        <v>10112.716798209001</v>
      </c>
      <c r="J4" s="79" t="s">
        <v>468</v>
      </c>
      <c r="K4" s="61">
        <f t="shared" si="1"/>
        <v>1089.2302079200001</v>
      </c>
      <c r="L4" s="61">
        <f>(F4*0.05+G4*0.1)*H4</f>
        <v>60.870370251000011</v>
      </c>
      <c r="M4" s="58"/>
      <c r="N4" s="2" t="s">
        <v>312</v>
      </c>
      <c r="O4" s="2" t="s">
        <v>415</v>
      </c>
      <c r="P4" s="32">
        <v>-119.02</v>
      </c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2" t="s">
        <v>10</v>
      </c>
      <c r="C5" s="10">
        <v>913523</v>
      </c>
      <c r="D5" s="32" t="s">
        <v>1107</v>
      </c>
      <c r="E5" s="69">
        <v>130587.9</v>
      </c>
      <c r="F5" s="69">
        <v>11257.5</v>
      </c>
      <c r="G5" s="69">
        <f>F5*0.72</f>
        <v>8105.4</v>
      </c>
      <c r="H5" s="70">
        <v>0.20533899999999999</v>
      </c>
      <c r="I5" s="69">
        <f t="shared" si="0"/>
        <v>25631.229175829994</v>
      </c>
      <c r="J5" s="79" t="s">
        <v>468</v>
      </c>
      <c r="K5" s="61">
        <v>0</v>
      </c>
      <c r="L5" s="61">
        <f>F5*0.03*H5*0.9</f>
        <v>62.41330239749999</v>
      </c>
      <c r="M5" s="58"/>
      <c r="N5" s="2" t="s">
        <v>312</v>
      </c>
      <c r="O5" s="2" t="s">
        <v>473</v>
      </c>
      <c r="P5" s="32">
        <v>-20000</v>
      </c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32" t="s">
        <v>317</v>
      </c>
      <c r="B6" s="29" t="s">
        <v>35</v>
      </c>
      <c r="C6" s="10" t="s">
        <v>1103</v>
      </c>
      <c r="D6" s="10" t="s">
        <v>1104</v>
      </c>
      <c r="E6" s="32">
        <v>25540.59</v>
      </c>
      <c r="F6" s="32">
        <v>4194.99</v>
      </c>
      <c r="G6" s="69">
        <f>F6*0.82</f>
        <v>3439.8917999999994</v>
      </c>
      <c r="H6" s="75">
        <v>0.26644000000000001</v>
      </c>
      <c r="I6" s="69">
        <f t="shared" si="0"/>
        <v>6949.4036137128014</v>
      </c>
      <c r="J6" s="78">
        <f>F6*0.05*H6</f>
        <v>55.885656780000005</v>
      </c>
      <c r="K6" s="61">
        <f t="shared" ref="K6:K14" si="2">E6*0.1*H6</f>
        <v>680.50347996000005</v>
      </c>
      <c r="L6" s="61">
        <f>(F6*0.01+G6*0.1)*H6</f>
        <v>102.8296084752</v>
      </c>
      <c r="M6" s="58"/>
      <c r="N6" s="2" t="s">
        <v>295</v>
      </c>
      <c r="O6" s="2" t="s">
        <v>416</v>
      </c>
      <c r="P6" s="32">
        <v>72.37</v>
      </c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 t="s">
        <v>317</v>
      </c>
      <c r="B7" s="32" t="s">
        <v>23</v>
      </c>
      <c r="C7" s="10">
        <v>9510579</v>
      </c>
      <c r="D7" s="2" t="s">
        <v>1105</v>
      </c>
      <c r="E7" s="69">
        <v>-27748.65</v>
      </c>
      <c r="F7" s="69">
        <v>3425</v>
      </c>
      <c r="G7" s="69">
        <f>F7*0.7</f>
        <v>2397.5</v>
      </c>
      <c r="H7" s="70">
        <v>0.20366600000000001</v>
      </c>
      <c r="I7" s="69">
        <f t="shared" si="0"/>
        <v>-4646.8505843100011</v>
      </c>
      <c r="J7" s="79" t="s">
        <v>468</v>
      </c>
      <c r="K7" s="61">
        <f t="shared" si="2"/>
        <v>-565.1456550900001</v>
      </c>
      <c r="L7" s="61">
        <f>G7*0.1*H7</f>
        <v>48.828923500000002</v>
      </c>
      <c r="M7" s="58"/>
      <c r="N7" s="2" t="s">
        <v>894</v>
      </c>
      <c r="O7" s="2" t="s">
        <v>895</v>
      </c>
      <c r="P7" s="32">
        <v>-25000</v>
      </c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317</v>
      </c>
      <c r="B8" s="2" t="s">
        <v>17</v>
      </c>
      <c r="C8" s="10">
        <v>9062790</v>
      </c>
      <c r="D8" s="32" t="s">
        <v>1106</v>
      </c>
      <c r="E8" s="69">
        <v>-19988.400000000001</v>
      </c>
      <c r="F8" s="69">
        <v>9012.35</v>
      </c>
      <c r="G8" s="69">
        <f>F8*0.65</f>
        <v>5858.0275000000001</v>
      </c>
      <c r="H8" s="70">
        <v>0.20366600000000001</v>
      </c>
      <c r="I8" s="69">
        <f t="shared" si="0"/>
        <v>-2590.0888010265007</v>
      </c>
      <c r="J8" s="79" t="s">
        <v>468</v>
      </c>
      <c r="K8" s="61">
        <f t="shared" si="2"/>
        <v>-407.09574744000008</v>
      </c>
      <c r="L8" s="61">
        <f>(F8*0.05+G8*0.1)*H8</f>
        <v>211.08356663650005</v>
      </c>
      <c r="M8" s="58"/>
      <c r="N8" s="2" t="s">
        <v>299</v>
      </c>
      <c r="O8" s="2" t="s">
        <v>417</v>
      </c>
      <c r="P8" s="32">
        <v>64.510000000000005</v>
      </c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 t="s">
        <v>317</v>
      </c>
      <c r="B9" s="2" t="s">
        <v>10</v>
      </c>
      <c r="C9" s="10">
        <v>913523</v>
      </c>
      <c r="D9" s="32" t="s">
        <v>1107</v>
      </c>
      <c r="E9" s="69">
        <v>30302.75</v>
      </c>
      <c r="F9" s="69">
        <v>15205.85</v>
      </c>
      <c r="G9" s="69">
        <f>F9*0.72</f>
        <v>10948.212</v>
      </c>
      <c r="H9" s="73">
        <v>0.20576</v>
      </c>
      <c r="I9" s="69">
        <f t="shared" si="0"/>
        <v>7639.0181470079997</v>
      </c>
      <c r="J9" s="79" t="s">
        <v>468</v>
      </c>
      <c r="K9" s="61">
        <f t="shared" si="2"/>
        <v>623.50938400000007</v>
      </c>
      <c r="L9" s="61">
        <f>(F9*0.03+G9*0.1)*H9</f>
        <v>319.13308099200003</v>
      </c>
      <c r="M9" s="58"/>
      <c r="N9" s="2" t="s">
        <v>334</v>
      </c>
      <c r="O9" s="2" t="s">
        <v>422</v>
      </c>
      <c r="P9" s="32">
        <v>-9.8800000000000008</v>
      </c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 t="s">
        <v>325</v>
      </c>
      <c r="B10" s="32" t="s">
        <v>23</v>
      </c>
      <c r="C10" s="10">
        <v>9510579</v>
      </c>
      <c r="D10" s="2" t="s">
        <v>1105</v>
      </c>
      <c r="E10" s="69">
        <v>-79577.55</v>
      </c>
      <c r="F10" s="69">
        <v>7531.55</v>
      </c>
      <c r="G10" s="69">
        <f>F10*0.7</f>
        <v>5272.085</v>
      </c>
      <c r="H10" s="70">
        <v>0.20449899999999999</v>
      </c>
      <c r="I10" s="69">
        <f t="shared" si="0"/>
        <v>-13675.853958331498</v>
      </c>
      <c r="J10" s="79" t="s">
        <v>468</v>
      </c>
      <c r="K10" s="61">
        <f t="shared" si="2"/>
        <v>-1627.3529397450002</v>
      </c>
      <c r="L10" s="61">
        <f>G10*0.1*H10</f>
        <v>107.81361104150001</v>
      </c>
      <c r="M10" s="58"/>
      <c r="N10" s="2" t="s">
        <v>1108</v>
      </c>
      <c r="O10" s="2" t="s">
        <v>420</v>
      </c>
      <c r="P10" s="69">
        <v>-29.97</v>
      </c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 t="s">
        <v>325</v>
      </c>
      <c r="B11" s="2" t="s">
        <v>17</v>
      </c>
      <c r="C11" s="10">
        <v>9062790</v>
      </c>
      <c r="D11" s="32" t="s">
        <v>1106</v>
      </c>
      <c r="E11" s="69">
        <v>35768.949999999997</v>
      </c>
      <c r="F11" s="69">
        <v>5361.65</v>
      </c>
      <c r="G11" s="69">
        <f>F11*0.65</f>
        <v>3485.0724999999998</v>
      </c>
      <c r="H11" s="70">
        <v>0.20449899999999999</v>
      </c>
      <c r="I11" s="69">
        <f t="shared" si="0"/>
        <v>7224.6675125047495</v>
      </c>
      <c r="J11" s="79" t="s">
        <v>468</v>
      </c>
      <c r="K11" s="61">
        <f t="shared" si="2"/>
        <v>731.47145060499997</v>
      </c>
      <c r="L11" s="61">
        <f>(F11*0.05+G11*0.1)*H11</f>
        <v>126.09198728524999</v>
      </c>
      <c r="M11" s="58"/>
      <c r="N11" s="2" t="s">
        <v>303</v>
      </c>
      <c r="O11" s="2" t="s">
        <v>427</v>
      </c>
      <c r="P11" s="32">
        <v>-62.69</v>
      </c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325</v>
      </c>
      <c r="B12" s="29" t="s">
        <v>35</v>
      </c>
      <c r="C12" s="10" t="s">
        <v>1103</v>
      </c>
      <c r="D12" s="10" t="s">
        <v>1104</v>
      </c>
      <c r="E12" s="32">
        <v>9011.35</v>
      </c>
      <c r="F12" s="32">
        <v>733.4</v>
      </c>
      <c r="G12" s="69">
        <f>F12*0.82</f>
        <v>601.38799999999992</v>
      </c>
      <c r="H12" s="75">
        <v>0.26577000000000001</v>
      </c>
      <c r="I12" s="69">
        <f t="shared" si="0"/>
        <v>2299.2996404340001</v>
      </c>
      <c r="J12" s="78">
        <f>F12*0.05*H12</f>
        <v>9.7457859000000013</v>
      </c>
      <c r="K12" s="61">
        <f t="shared" si="2"/>
        <v>239.49464895000003</v>
      </c>
      <c r="L12" s="61">
        <f>(F12*0.01+G12*0.1)*H12</f>
        <v>17.932246055999997</v>
      </c>
      <c r="M12" s="58"/>
      <c r="N12" s="2" t="s">
        <v>303</v>
      </c>
      <c r="O12" s="2" t="s">
        <v>423</v>
      </c>
      <c r="P12" s="32">
        <v>-117.59</v>
      </c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325</v>
      </c>
      <c r="B13" s="32" t="s">
        <v>10</v>
      </c>
      <c r="C13" s="10">
        <v>913523</v>
      </c>
      <c r="D13" s="32" t="s">
        <v>1107</v>
      </c>
      <c r="E13" s="69">
        <v>-8708.2999999999993</v>
      </c>
      <c r="F13" s="69">
        <v>11225.3</v>
      </c>
      <c r="G13" s="69">
        <f>F13*0.72</f>
        <v>8082.2159999999994</v>
      </c>
      <c r="H13" s="73">
        <v>0.20080000000000001</v>
      </c>
      <c r="I13" s="69">
        <f t="shared" si="0"/>
        <v>-113.14590047999997</v>
      </c>
      <c r="J13" s="79" t="s">
        <v>468</v>
      </c>
      <c r="K13" s="61">
        <f t="shared" si="2"/>
        <v>-174.862664</v>
      </c>
      <c r="L13" s="61">
        <f>(F13*0.03+G13*0.1)*H13</f>
        <v>229.91210447999998</v>
      </c>
      <c r="M13" s="58"/>
      <c r="N13" s="2" t="s">
        <v>306</v>
      </c>
      <c r="O13" s="2" t="s">
        <v>425</v>
      </c>
      <c r="P13" s="32">
        <v>-36.93</v>
      </c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 t="s">
        <v>332</v>
      </c>
      <c r="B14" s="29" t="s">
        <v>35</v>
      </c>
      <c r="C14" s="10" t="s">
        <v>1103</v>
      </c>
      <c r="D14" s="32" t="s">
        <v>1104</v>
      </c>
      <c r="E14" s="69">
        <v>-79799.09</v>
      </c>
      <c r="F14" s="69">
        <v>14468.74</v>
      </c>
      <c r="G14" s="69">
        <f>F14*0.82</f>
        <v>11864.3668</v>
      </c>
      <c r="H14" s="75">
        <v>0.27323999999999998</v>
      </c>
      <c r="I14" s="69">
        <f t="shared" si="0"/>
        <v>-16706.235390451198</v>
      </c>
      <c r="J14" s="78">
        <f>F14*0.05*H14</f>
        <v>197.67192588</v>
      </c>
      <c r="K14" s="61">
        <f t="shared" si="2"/>
        <v>-2180.4303351599997</v>
      </c>
      <c r="L14" s="61">
        <f>(F14*0.01+G14*0.1)*H14</f>
        <v>363.71634361920002</v>
      </c>
      <c r="M14" s="58"/>
      <c r="N14" s="2" t="s">
        <v>367</v>
      </c>
      <c r="O14" s="2" t="s">
        <v>426</v>
      </c>
      <c r="P14" s="32">
        <v>-54.47</v>
      </c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 t="s">
        <v>332</v>
      </c>
      <c r="B15" s="2" t="s">
        <v>30</v>
      </c>
      <c r="C15" s="10">
        <v>9873420</v>
      </c>
      <c r="D15" s="2" t="s">
        <v>1109</v>
      </c>
      <c r="E15" s="2">
        <v>-305.89999999999998</v>
      </c>
      <c r="F15" s="2">
        <v>2925.95</v>
      </c>
      <c r="G15" s="69">
        <f t="shared" ref="G15:G16" si="3">F15*0.7</f>
        <v>2048.165</v>
      </c>
      <c r="H15" s="70">
        <v>0.203038</v>
      </c>
      <c r="I15" s="69">
        <f>(E15+G15)*H15*0.93</f>
        <v>328.98378099510001</v>
      </c>
      <c r="J15" s="79" t="s">
        <v>468</v>
      </c>
      <c r="K15" s="61">
        <f>E15*0.07*H15</f>
        <v>-4.3476526939999998</v>
      </c>
      <c r="L15" s="61">
        <f>(F15*0.03+G15*0.07)*H15</f>
        <v>46.932243851900004</v>
      </c>
      <c r="M15" s="58"/>
      <c r="N15" s="2" t="s">
        <v>311</v>
      </c>
      <c r="O15" s="2" t="s">
        <v>428</v>
      </c>
      <c r="P15" s="32">
        <v>-34.72</v>
      </c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 t="s">
        <v>332</v>
      </c>
      <c r="B16" s="32" t="s">
        <v>23</v>
      </c>
      <c r="C16" s="10">
        <v>9510579</v>
      </c>
      <c r="D16" s="2" t="s">
        <v>1105</v>
      </c>
      <c r="E16" s="32">
        <v>4901.6499999999996</v>
      </c>
      <c r="F16" s="32">
        <v>793.95</v>
      </c>
      <c r="G16" s="69">
        <f t="shared" si="3"/>
        <v>555.76499999999999</v>
      </c>
      <c r="H16" s="70">
        <v>0.201207</v>
      </c>
      <c r="I16" s="69">
        <f t="shared" ref="I16:I18" si="4">(E16+G16)*H16*0.9</f>
        <v>988.26308991450003</v>
      </c>
      <c r="J16" s="79" t="s">
        <v>468</v>
      </c>
      <c r="K16" s="61">
        <f t="shared" ref="K16:K18" si="5">E16*0.1*H16</f>
        <v>98.624629154999994</v>
      </c>
      <c r="L16" s="61">
        <f>G16*0.1*H16</f>
        <v>11.1823808355</v>
      </c>
      <c r="M16" s="58"/>
      <c r="N16" s="2" t="s">
        <v>665</v>
      </c>
      <c r="O16" s="2" t="s">
        <v>420</v>
      </c>
      <c r="P16" s="69">
        <v>-29.97</v>
      </c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2" t="s">
        <v>332</v>
      </c>
      <c r="B17" s="32" t="s">
        <v>10</v>
      </c>
      <c r="C17" s="10">
        <v>913523</v>
      </c>
      <c r="D17" s="10" t="s">
        <v>1107</v>
      </c>
      <c r="E17" s="32">
        <v>-52588.85</v>
      </c>
      <c r="F17" s="32">
        <v>37363.550000000003</v>
      </c>
      <c r="G17" s="69">
        <f>F17*0.72</f>
        <v>26901.756000000001</v>
      </c>
      <c r="H17" s="73">
        <v>0.20202000000000001</v>
      </c>
      <c r="I17" s="69">
        <f t="shared" si="4"/>
        <v>-4670.3760568919997</v>
      </c>
      <c r="J17" s="79" t="s">
        <v>468</v>
      </c>
      <c r="K17" s="61">
        <f t="shared" si="5"/>
        <v>-1062.3999477</v>
      </c>
      <c r="L17" s="61">
        <f>(F17*0.03+G17*0.1)*H17</f>
        <v>769.91480584200008</v>
      </c>
      <c r="M17" s="58"/>
      <c r="N17" s="2" t="s">
        <v>314</v>
      </c>
      <c r="O17" s="2" t="s">
        <v>430</v>
      </c>
      <c r="P17" s="32">
        <v>-36.9</v>
      </c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2" t="s">
        <v>340</v>
      </c>
      <c r="B18" s="29" t="s">
        <v>35</v>
      </c>
      <c r="C18" s="10" t="s">
        <v>1103</v>
      </c>
      <c r="D18" s="10" t="s">
        <v>1104</v>
      </c>
      <c r="E18" s="32">
        <v>3390</v>
      </c>
      <c r="F18" s="32">
        <v>225</v>
      </c>
      <c r="G18" s="69">
        <f>F18*0.82</f>
        <v>184.5</v>
      </c>
      <c r="H18" s="75">
        <v>0.27211000000000002</v>
      </c>
      <c r="I18" s="69">
        <f t="shared" si="4"/>
        <v>875.39147550000007</v>
      </c>
      <c r="J18" s="78">
        <f>F18*0.05*H18</f>
        <v>3.0612375000000003</v>
      </c>
      <c r="K18" s="61">
        <f t="shared" si="5"/>
        <v>92.245290000000011</v>
      </c>
      <c r="L18" s="61">
        <f>(F18*0.01+G18*0.1)*H18</f>
        <v>5.6326770000000002</v>
      </c>
      <c r="M18" s="58"/>
      <c r="N18" s="2" t="s">
        <v>431</v>
      </c>
      <c r="O18" s="2" t="s">
        <v>902</v>
      </c>
      <c r="P18" s="32">
        <v>-12000</v>
      </c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2" t="s">
        <v>340</v>
      </c>
      <c r="B19" s="2" t="s">
        <v>30</v>
      </c>
      <c r="C19" s="10">
        <v>9873420</v>
      </c>
      <c r="D19" s="10" t="s">
        <v>1109</v>
      </c>
      <c r="E19" s="32">
        <v>20058.2</v>
      </c>
      <c r="F19" s="32">
        <v>3157.75</v>
      </c>
      <c r="G19" s="69">
        <f t="shared" ref="G19:G22" si="6">F19*0.7</f>
        <v>2210.4249999999997</v>
      </c>
      <c r="H19" s="70">
        <v>0.19996900000000001</v>
      </c>
      <c r="I19" s="69">
        <f>(E19+G19)*H19*0.93</f>
        <v>4141.3222455412506</v>
      </c>
      <c r="J19" s="79" t="s">
        <v>468</v>
      </c>
      <c r="K19" s="61">
        <f>E19*0.07*H19</f>
        <v>280.77127370600004</v>
      </c>
      <c r="L19" s="61">
        <f>(F19*0.03+G19*0.07)*H19</f>
        <v>49.88471667025</v>
      </c>
      <c r="M19" s="58"/>
      <c r="N19" s="2" t="s">
        <v>431</v>
      </c>
      <c r="O19" s="2" t="s">
        <v>432</v>
      </c>
      <c r="P19" s="32">
        <v>-56.57</v>
      </c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 t="s">
        <v>340</v>
      </c>
      <c r="B20" s="32" t="s">
        <v>23</v>
      </c>
      <c r="C20" s="10">
        <v>9510579</v>
      </c>
      <c r="D20" s="2" t="s">
        <v>1105</v>
      </c>
      <c r="E20" s="69">
        <v>63341.7</v>
      </c>
      <c r="F20" s="69">
        <v>4083.55</v>
      </c>
      <c r="G20" s="69">
        <f t="shared" si="6"/>
        <v>2858.4850000000001</v>
      </c>
      <c r="H20" s="70">
        <v>0.19841300000000001</v>
      </c>
      <c r="I20" s="69">
        <f>(E20+G20)*H20*0.9</f>
        <v>11821.479575764501</v>
      </c>
      <c r="J20" s="79" t="s">
        <v>468</v>
      </c>
      <c r="K20" s="61">
        <f>E20*0.1*H20</f>
        <v>1256.7816722100001</v>
      </c>
      <c r="L20" s="61">
        <f>G20*0.1*H20</f>
        <v>56.716058430499999</v>
      </c>
      <c r="M20" s="58"/>
      <c r="N20" s="2" t="s">
        <v>431</v>
      </c>
      <c r="O20" s="2" t="s">
        <v>1110</v>
      </c>
      <c r="P20" s="32">
        <v>-56.57</v>
      </c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 t="s">
        <v>340</v>
      </c>
      <c r="B21" s="32" t="s">
        <v>10</v>
      </c>
      <c r="C21" s="10">
        <v>913523</v>
      </c>
      <c r="D21" s="32" t="s">
        <v>1107</v>
      </c>
      <c r="E21" s="69">
        <v>-20937.3</v>
      </c>
      <c r="F21" s="69">
        <v>9801.7000000000007</v>
      </c>
      <c r="G21" s="69">
        <f t="shared" si="6"/>
        <v>6861.1900000000005</v>
      </c>
      <c r="H21" s="73">
        <v>0.20039999999999999</v>
      </c>
      <c r="I21" s="69">
        <f>(E21+G21)*H21</f>
        <v>-2820.8524439999997</v>
      </c>
      <c r="J21" s="79" t="s">
        <v>468</v>
      </c>
      <c r="K21" s="61">
        <v>0</v>
      </c>
      <c r="L21" s="61">
        <f>F21*0.05*H21</f>
        <v>98.213034000000007</v>
      </c>
      <c r="M21" s="58"/>
      <c r="N21" s="2" t="s">
        <v>431</v>
      </c>
      <c r="O21" s="2" t="s">
        <v>473</v>
      </c>
      <c r="P21" s="32">
        <v>-22000</v>
      </c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 t="s">
        <v>359</v>
      </c>
      <c r="B22" s="2" t="s">
        <v>30</v>
      </c>
      <c r="C22" s="10">
        <v>9873420</v>
      </c>
      <c r="D22" s="2" t="s">
        <v>1109</v>
      </c>
      <c r="E22" s="32">
        <v>94025.1</v>
      </c>
      <c r="F22" s="32">
        <v>7940.7</v>
      </c>
      <c r="G22" s="69">
        <f t="shared" si="6"/>
        <v>5558.49</v>
      </c>
      <c r="H22" s="70">
        <v>0.20187357</v>
      </c>
      <c r="I22" s="69">
        <f>(E22+G22)*H22*0.93</f>
        <v>18696.064188846161</v>
      </c>
      <c r="J22" s="79" t="s">
        <v>468</v>
      </c>
      <c r="K22" s="61">
        <f>E22*0.07*H22</f>
        <v>1328.6827824624902</v>
      </c>
      <c r="L22" s="61">
        <f>(F22*0.03+G22*0.07)*H22</f>
        <v>126.638379126621</v>
      </c>
      <c r="M22" s="58"/>
      <c r="N22" s="2" t="s">
        <v>1002</v>
      </c>
      <c r="O22" s="2" t="s">
        <v>540</v>
      </c>
      <c r="P22" s="32">
        <v>-10000</v>
      </c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32" t="s">
        <v>359</v>
      </c>
      <c r="B23" s="29" t="s">
        <v>35</v>
      </c>
      <c r="C23" s="10" t="s">
        <v>1103</v>
      </c>
      <c r="D23" s="10" t="s">
        <v>1104</v>
      </c>
      <c r="E23" s="32">
        <v>-25900.23</v>
      </c>
      <c r="F23" s="32">
        <v>14233.9</v>
      </c>
      <c r="G23" s="69">
        <f>F23*0.82</f>
        <v>11671.797999999999</v>
      </c>
      <c r="H23" s="75">
        <v>0.27339000000000002</v>
      </c>
      <c r="I23" s="69">
        <f t="shared" ref="I23:I24" si="7">(E23+G23)*H23*0.9</f>
        <v>-3500.9199220320006</v>
      </c>
      <c r="J23" s="78">
        <f>F23*0.05*H23</f>
        <v>194.57029605000002</v>
      </c>
      <c r="K23" s="61">
        <f t="shared" ref="K23:K24" si="8">E23*0.1*H23</f>
        <v>-708.08638797000015</v>
      </c>
      <c r="L23" s="61">
        <f>(F23*0.01+G23*0.1)*H23</f>
        <v>358.00934473199999</v>
      </c>
      <c r="M23" s="58"/>
      <c r="N23" s="2" t="s">
        <v>394</v>
      </c>
      <c r="O23" s="2" t="s">
        <v>420</v>
      </c>
      <c r="P23" s="69">
        <v>-29.97</v>
      </c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32" t="s">
        <v>359</v>
      </c>
      <c r="B24" s="32" t="s">
        <v>23</v>
      </c>
      <c r="C24" s="10">
        <v>9510579</v>
      </c>
      <c r="D24" s="2" t="s">
        <v>1105</v>
      </c>
      <c r="E24" s="69">
        <v>18719.95</v>
      </c>
      <c r="F24" s="69">
        <v>2041.45</v>
      </c>
      <c r="G24" s="69">
        <f t="shared" ref="G24:G28" si="9">F24*0.7</f>
        <v>1429.0149999999999</v>
      </c>
      <c r="H24" s="70">
        <v>0.20366600000000001</v>
      </c>
      <c r="I24" s="69">
        <f t="shared" si="7"/>
        <v>3693.2931951210007</v>
      </c>
      <c r="J24" s="79" t="s">
        <v>468</v>
      </c>
      <c r="K24" s="61">
        <f t="shared" si="8"/>
        <v>381.26173367000007</v>
      </c>
      <c r="L24" s="61">
        <f>G24*0.1*H24</f>
        <v>29.104176899000002</v>
      </c>
      <c r="M24" s="58"/>
      <c r="N24" s="2" t="s">
        <v>443</v>
      </c>
      <c r="O24" s="2" t="s">
        <v>505</v>
      </c>
      <c r="P24" s="32">
        <v>-56.57</v>
      </c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32" t="s">
        <v>359</v>
      </c>
      <c r="B25" s="32" t="s">
        <v>10</v>
      </c>
      <c r="C25" s="10">
        <v>913523</v>
      </c>
      <c r="D25" s="10" t="s">
        <v>1107</v>
      </c>
      <c r="E25" s="32">
        <v>-13328.4</v>
      </c>
      <c r="F25" s="32">
        <v>18384.2</v>
      </c>
      <c r="G25" s="69">
        <f t="shared" si="9"/>
        <v>12868.94</v>
      </c>
      <c r="H25" s="73">
        <v>0.20202000000000001</v>
      </c>
      <c r="I25" s="69">
        <f>(E25+G25)*H25</f>
        <v>-92.82010919999982</v>
      </c>
      <c r="J25" s="79" t="s">
        <v>468</v>
      </c>
      <c r="K25" s="61">
        <v>0</v>
      </c>
      <c r="L25" s="61">
        <f>F25*0.05*H25</f>
        <v>185.69880420000001</v>
      </c>
      <c r="M25" s="58"/>
      <c r="N25" s="2" t="s">
        <v>507</v>
      </c>
      <c r="O25" s="2" t="s">
        <v>902</v>
      </c>
      <c r="P25" s="32">
        <v>-33000</v>
      </c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 t="s">
        <v>366</v>
      </c>
      <c r="B26" s="32" t="s">
        <v>23</v>
      </c>
      <c r="C26" s="10">
        <v>9510579</v>
      </c>
      <c r="D26" s="2" t="s">
        <v>1105</v>
      </c>
      <c r="E26" s="69">
        <v>28905.5</v>
      </c>
      <c r="F26" s="69">
        <v>1933.85</v>
      </c>
      <c r="G26" s="69">
        <f t="shared" si="9"/>
        <v>1353.6949999999999</v>
      </c>
      <c r="H26" s="70">
        <v>0.2</v>
      </c>
      <c r="I26" s="69">
        <f>(E26+G26)*H26*0.9</f>
        <v>5446.6550999999999</v>
      </c>
      <c r="J26" s="79" t="s">
        <v>468</v>
      </c>
      <c r="K26" s="61">
        <f>E26*0.1*H26</f>
        <v>578.11</v>
      </c>
      <c r="L26" s="61">
        <f>G26*0.1*H26</f>
        <v>27.073899999999998</v>
      </c>
      <c r="M26" s="58"/>
      <c r="N26" s="2" t="s">
        <v>323</v>
      </c>
      <c r="O26" s="2" t="s">
        <v>562</v>
      </c>
      <c r="P26" s="32">
        <v>10.53</v>
      </c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 t="s">
        <v>366</v>
      </c>
      <c r="B27" s="2" t="s">
        <v>30</v>
      </c>
      <c r="C27" s="10">
        <v>9873420</v>
      </c>
      <c r="D27" s="2" t="s">
        <v>1109</v>
      </c>
      <c r="E27" s="32">
        <v>11523.7</v>
      </c>
      <c r="F27" s="2">
        <v>12789.55</v>
      </c>
      <c r="G27" s="69">
        <f t="shared" si="9"/>
        <v>8952.6849999999995</v>
      </c>
      <c r="H27" s="70">
        <v>0.20166645999999999</v>
      </c>
      <c r="I27" s="69">
        <f>(E27+G27)*H27*0.93</f>
        <v>3840.3420711888034</v>
      </c>
      <c r="J27" s="79" t="s">
        <v>468</v>
      </c>
      <c r="K27" s="61">
        <f>E27*0.07*H27</f>
        <v>162.67606495714003</v>
      </c>
      <c r="L27" s="61">
        <f>(F27*0.03+G27*0.07)*H27</f>
        <v>203.758638605947</v>
      </c>
      <c r="M27" s="58"/>
      <c r="N27" s="2"/>
      <c r="O27" s="2"/>
      <c r="P27" s="32"/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 t="s">
        <v>366</v>
      </c>
      <c r="B28" s="2" t="s">
        <v>10</v>
      </c>
      <c r="C28" s="10">
        <v>913523</v>
      </c>
      <c r="D28" s="10" t="s">
        <v>1107</v>
      </c>
      <c r="E28" s="32">
        <v>-211.9</v>
      </c>
      <c r="F28" s="32">
        <v>1489.45</v>
      </c>
      <c r="G28" s="69">
        <f t="shared" si="9"/>
        <v>1042.615</v>
      </c>
      <c r="H28" s="73">
        <v>0.20161299999999999</v>
      </c>
      <c r="I28" s="69">
        <f>(E28+G28)*H28</f>
        <v>167.48294329499998</v>
      </c>
      <c r="J28" s="79" t="s">
        <v>468</v>
      </c>
      <c r="K28" s="61">
        <v>0</v>
      </c>
      <c r="L28" s="61">
        <f>F28*0.05*H28</f>
        <v>15.014624142500001</v>
      </c>
      <c r="M28" s="58"/>
      <c r="N28" s="2"/>
      <c r="O28" s="2"/>
      <c r="P28" s="32"/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 t="s">
        <v>370</v>
      </c>
      <c r="B29" s="29" t="s">
        <v>35</v>
      </c>
      <c r="C29" s="2" t="s">
        <v>1103</v>
      </c>
      <c r="D29" s="2" t="s">
        <v>1104</v>
      </c>
      <c r="E29" s="69">
        <v>8739.52</v>
      </c>
      <c r="F29" s="69">
        <v>527.15</v>
      </c>
      <c r="G29" s="69">
        <f>F29*0.82</f>
        <v>432.26299999999998</v>
      </c>
      <c r="H29" s="75">
        <v>0.27467999999999998</v>
      </c>
      <c r="I29" s="69">
        <f t="shared" ref="I29:I30" si="10">(E29+G29)*H29*0.9</f>
        <v>2267.3748189960002</v>
      </c>
      <c r="J29" s="78">
        <f>F29*0.05*H29</f>
        <v>7.2398781000000003</v>
      </c>
      <c r="K29" s="61">
        <f t="shared" ref="K29:K30" si="11">E29*0.1*H29</f>
        <v>240.05713536000002</v>
      </c>
      <c r="L29" s="61">
        <f>(F29*0.01+G29*0.1)*H29</f>
        <v>13.321375703999998</v>
      </c>
      <c r="M29" s="58"/>
      <c r="N29" s="2"/>
      <c r="O29" s="2"/>
      <c r="P29" s="32"/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2" t="s">
        <v>370</v>
      </c>
      <c r="B30" s="32" t="s">
        <v>23</v>
      </c>
      <c r="C30" s="10">
        <v>9510579</v>
      </c>
      <c r="D30" s="2" t="s">
        <v>1105</v>
      </c>
      <c r="E30" s="32">
        <v>13138</v>
      </c>
      <c r="F30" s="32">
        <v>8893.75</v>
      </c>
      <c r="G30" s="69">
        <f t="shared" ref="G30:G32" si="12">F30*0.7</f>
        <v>6225.625</v>
      </c>
      <c r="H30" s="70">
        <v>0.199203187</v>
      </c>
      <c r="I30" s="69">
        <f t="shared" si="10"/>
        <v>3471.5662306855879</v>
      </c>
      <c r="J30" s="79" t="s">
        <v>468</v>
      </c>
      <c r="K30" s="61">
        <f t="shared" si="11"/>
        <v>261.71314708060004</v>
      </c>
      <c r="L30" s="61">
        <f>G30*0.1*H30</f>
        <v>124.0164341066875</v>
      </c>
      <c r="M30" s="58"/>
      <c r="N30" s="2"/>
      <c r="O30" s="2"/>
      <c r="P30" s="32"/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2" t="s">
        <v>370</v>
      </c>
      <c r="B31" s="2" t="s">
        <v>10</v>
      </c>
      <c r="C31" s="10">
        <v>913523</v>
      </c>
      <c r="D31" s="32" t="s">
        <v>1107</v>
      </c>
      <c r="E31" s="32">
        <v>-3797.75</v>
      </c>
      <c r="F31" s="32">
        <v>17767.400000000001</v>
      </c>
      <c r="G31" s="69">
        <f t="shared" si="12"/>
        <v>12437.18</v>
      </c>
      <c r="H31" s="70">
        <v>0.20080300000000001</v>
      </c>
      <c r="I31" s="69">
        <f>(E31+G31)*H31</f>
        <v>1734.8234622900002</v>
      </c>
      <c r="J31" s="79" t="s">
        <v>468</v>
      </c>
      <c r="K31" s="61">
        <v>0</v>
      </c>
      <c r="L31" s="61">
        <f>F31*0.05*H31</f>
        <v>178.38736111000003</v>
      </c>
      <c r="M31" s="58"/>
      <c r="N31" s="2"/>
      <c r="O31" s="2"/>
      <c r="P31" s="32"/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2" t="s">
        <v>370</v>
      </c>
      <c r="B32" s="2" t="s">
        <v>30</v>
      </c>
      <c r="C32" s="10">
        <v>9873420</v>
      </c>
      <c r="D32" s="2" t="s">
        <v>1109</v>
      </c>
      <c r="E32" s="32">
        <v>-57438.9</v>
      </c>
      <c r="F32" s="32">
        <v>12829.35</v>
      </c>
      <c r="G32" s="69">
        <f t="shared" si="12"/>
        <v>8980.5450000000001</v>
      </c>
      <c r="H32" s="70">
        <v>0.20039899999999999</v>
      </c>
      <c r="I32" s="69">
        <f>(E32+G32)*H32*0.93</f>
        <v>-9031.2354717898506</v>
      </c>
      <c r="J32" s="79" t="s">
        <v>468</v>
      </c>
      <c r="K32" s="61">
        <f>E32*0.07*H32</f>
        <v>-805.74886847700009</v>
      </c>
      <c r="L32" s="61">
        <f>(F32*0.03+G32*0.07)*H32</f>
        <v>203.10812394135002</v>
      </c>
      <c r="M32" s="58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2" t="s">
        <v>370</v>
      </c>
      <c r="B33" s="32" t="s">
        <v>61</v>
      </c>
      <c r="C33" s="10" t="s">
        <v>1103</v>
      </c>
      <c r="D33" s="10" t="s">
        <v>1104</v>
      </c>
      <c r="E33" s="32">
        <v>-1686.92</v>
      </c>
      <c r="F33" s="32">
        <v>817.75</v>
      </c>
      <c r="G33" s="69">
        <f>F33*0.6</f>
        <v>490.65</v>
      </c>
      <c r="H33" s="70">
        <v>1.1366099999999999</v>
      </c>
      <c r="I33" s="69">
        <f>(E33+G33)*H33*0.9</f>
        <v>-1223.72320023</v>
      </c>
      <c r="J33" s="19" t="s">
        <v>468</v>
      </c>
      <c r="K33" s="61">
        <f t="shared" ref="K33:K36" si="13">E33*0.1*H33</f>
        <v>-191.73701412</v>
      </c>
      <c r="L33" s="61">
        <f>(F33*0.05+G33*0.1)*H33</f>
        <v>102.24091102499999</v>
      </c>
      <c r="M33" s="58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32" t="s">
        <v>370</v>
      </c>
      <c r="B34" s="32" t="s">
        <v>31</v>
      </c>
      <c r="C34" s="10">
        <v>2607375</v>
      </c>
      <c r="D34" s="32" t="s">
        <v>1111</v>
      </c>
      <c r="E34" s="69">
        <v>241.56</v>
      </c>
      <c r="F34" s="69">
        <v>231.11</v>
      </c>
      <c r="G34" s="69">
        <f t="shared" ref="G34:G35" si="14">F34*0.7</f>
        <v>161.77699999999999</v>
      </c>
      <c r="H34" s="70">
        <v>0.74369300000000005</v>
      </c>
      <c r="I34" s="69">
        <f>(E34+G34)*H34*0.8</f>
        <v>239.96712283279999</v>
      </c>
      <c r="J34" s="19" t="s">
        <v>468</v>
      </c>
      <c r="K34" s="61">
        <f t="shared" si="13"/>
        <v>17.964648108000002</v>
      </c>
      <c r="L34" s="61">
        <f t="shared" ref="L34:L35" si="15">G34*0.1*H34</f>
        <v>12.0312422461</v>
      </c>
      <c r="M34" s="58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2" t="s">
        <v>372</v>
      </c>
      <c r="B35" s="32" t="s">
        <v>23</v>
      </c>
      <c r="C35" s="10">
        <v>9510579</v>
      </c>
      <c r="D35" s="2" t="s">
        <v>1105</v>
      </c>
      <c r="E35" s="69">
        <v>19577.45</v>
      </c>
      <c r="F35" s="69">
        <v>789.65</v>
      </c>
      <c r="G35" s="69">
        <f t="shared" si="14"/>
        <v>552.755</v>
      </c>
      <c r="H35" s="70">
        <v>0.20366598799999999</v>
      </c>
      <c r="I35" s="69">
        <f t="shared" ref="I35:I36" si="16">(E35+G35)*H35*0.9</f>
        <v>3689.8542809707865</v>
      </c>
      <c r="J35" s="79" t="s">
        <v>468</v>
      </c>
      <c r="K35" s="61">
        <f t="shared" si="13"/>
        <v>398.72606967706002</v>
      </c>
      <c r="L35" s="61">
        <f t="shared" si="15"/>
        <v>11.257739319694</v>
      </c>
      <c r="M35" s="58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2" t="s">
        <v>372</v>
      </c>
      <c r="B36" s="29" t="s">
        <v>35</v>
      </c>
      <c r="C36" s="10" t="s">
        <v>1103</v>
      </c>
      <c r="D36" s="32" t="s">
        <v>1104</v>
      </c>
      <c r="E36" s="32">
        <v>23122.3</v>
      </c>
      <c r="F36" s="32">
        <v>2358.87</v>
      </c>
      <c r="G36" s="69">
        <f>F36*0.82</f>
        <v>1934.2733999999998</v>
      </c>
      <c r="H36" s="75">
        <v>0.27928999999999998</v>
      </c>
      <c r="I36" s="69">
        <f t="shared" si="16"/>
        <v>6298.2453463973989</v>
      </c>
      <c r="J36" s="78">
        <f>F36*0.05*H36</f>
        <v>32.940440115000001</v>
      </c>
      <c r="K36" s="61">
        <f t="shared" si="13"/>
        <v>645.78271669999992</v>
      </c>
      <c r="L36" s="61">
        <f>(F36*0.01+G36*0.1)*H36</f>
        <v>60.610409811599986</v>
      </c>
      <c r="M36" s="58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2" t="s">
        <v>372</v>
      </c>
      <c r="B37" s="2" t="s">
        <v>10</v>
      </c>
      <c r="C37" s="10">
        <v>913523</v>
      </c>
      <c r="D37" s="32" t="s">
        <v>1107</v>
      </c>
      <c r="E37" s="69">
        <v>32674.95</v>
      </c>
      <c r="F37" s="69">
        <v>11767.65</v>
      </c>
      <c r="G37" s="69">
        <f>F37*0.7</f>
        <v>8237.3549999999996</v>
      </c>
      <c r="H37" s="70">
        <v>0.20202000000000001</v>
      </c>
      <c r="I37" s="69">
        <f>(E37+G37)*H37</f>
        <v>8265.1038561000005</v>
      </c>
      <c r="J37" s="79" t="s">
        <v>468</v>
      </c>
      <c r="K37" s="61">
        <v>0</v>
      </c>
      <c r="L37" s="61">
        <f>F37*0.05*H37</f>
        <v>118.86503265000002</v>
      </c>
      <c r="M37" s="58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2" t="s">
        <v>372</v>
      </c>
      <c r="B38" s="32" t="s">
        <v>61</v>
      </c>
      <c r="C38" s="10" t="s">
        <v>1103</v>
      </c>
      <c r="D38" s="10" t="s">
        <v>1104</v>
      </c>
      <c r="E38" s="32">
        <v>-269.38</v>
      </c>
      <c r="F38" s="32">
        <v>242.37</v>
      </c>
      <c r="G38" s="69">
        <f>F38*0.6</f>
        <v>145.422</v>
      </c>
      <c r="H38" s="70">
        <v>1.1285700000000001</v>
      </c>
      <c r="I38" s="69">
        <f>(E38+G38)*H38*0.9</f>
        <v>-125.905752054</v>
      </c>
      <c r="J38" s="19" t="s">
        <v>468</v>
      </c>
      <c r="K38" s="61">
        <f>E38*0.1*H38</f>
        <v>-30.401418660000004</v>
      </c>
      <c r="L38" s="61">
        <f>(F38*0.05+G38*0.1)*H38</f>
        <v>30.088466199000003</v>
      </c>
      <c r="M38" s="58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2" t="s">
        <v>372</v>
      </c>
      <c r="B39" s="2" t="s">
        <v>30</v>
      </c>
      <c r="C39" s="10">
        <v>9873420</v>
      </c>
      <c r="D39" s="2" t="s">
        <v>1109</v>
      </c>
      <c r="E39" s="69">
        <v>-3363.5</v>
      </c>
      <c r="F39" s="69">
        <v>198.1</v>
      </c>
      <c r="G39" s="69">
        <f t="shared" ref="G39:G41" si="17">F39*0.7</f>
        <v>138.66999999999999</v>
      </c>
      <c r="H39" s="70">
        <v>0.20230899999999999</v>
      </c>
      <c r="I39" s="69">
        <f t="shared" ref="I39:I40" si="18">(E39+G39)*H39*0.93</f>
        <v>-606.74328319710003</v>
      </c>
      <c r="J39" s="79" t="s">
        <v>468</v>
      </c>
      <c r="K39" s="61">
        <f t="shared" ref="K39:K40" si="19">E39*0.07*H39</f>
        <v>-47.632642505</v>
      </c>
      <c r="L39" s="61">
        <f t="shared" ref="L39:L40" si="20">(F39*0.03+G39*0.07)*H39</f>
        <v>3.1661156190999997</v>
      </c>
      <c r="M39" s="58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2" t="s">
        <v>372</v>
      </c>
      <c r="B40" s="32" t="s">
        <v>25</v>
      </c>
      <c r="C40" s="10">
        <v>9510579</v>
      </c>
      <c r="D40" s="2" t="s">
        <v>1105</v>
      </c>
      <c r="E40" s="69">
        <v>28727.05</v>
      </c>
      <c r="F40" s="69">
        <v>2024.25</v>
      </c>
      <c r="G40" s="69">
        <f t="shared" si="17"/>
        <v>1416.9749999999999</v>
      </c>
      <c r="H40" s="70">
        <v>0.20219311000000001</v>
      </c>
      <c r="I40" s="69">
        <f t="shared" si="18"/>
        <v>5668.2701712810076</v>
      </c>
      <c r="J40" s="79" t="s">
        <v>468</v>
      </c>
      <c r="K40" s="61">
        <f t="shared" si="19"/>
        <v>406.58881064378505</v>
      </c>
      <c r="L40" s="61">
        <f t="shared" si="20"/>
        <v>32.333862830482502</v>
      </c>
      <c r="M40" s="58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2" t="s">
        <v>372</v>
      </c>
      <c r="B41" s="32" t="s">
        <v>31</v>
      </c>
      <c r="C41" s="10">
        <v>2607375</v>
      </c>
      <c r="D41" s="32" t="s">
        <v>1111</v>
      </c>
      <c r="E41" s="69">
        <v>-1199.44</v>
      </c>
      <c r="F41" s="69">
        <v>1908.22</v>
      </c>
      <c r="G41" s="69">
        <f t="shared" si="17"/>
        <v>1335.7539999999999</v>
      </c>
      <c r="H41" s="70">
        <v>0.74973699999999999</v>
      </c>
      <c r="I41" s="69">
        <f>(E41+G41)*H41*0.8</f>
        <v>81.75971953439992</v>
      </c>
      <c r="J41" s="19" t="s">
        <v>468</v>
      </c>
      <c r="K41" s="61">
        <f t="shared" ref="K41:K43" si="21">E41*0.1*H41</f>
        <v>-89.92645472800001</v>
      </c>
      <c r="L41" s="61">
        <f>G41*0.1*H41</f>
        <v>100.1464196698</v>
      </c>
      <c r="M41" s="58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2" t="s">
        <v>377</v>
      </c>
      <c r="B42" s="29" t="s">
        <v>35</v>
      </c>
      <c r="C42" s="10" t="s">
        <v>1103</v>
      </c>
      <c r="D42" s="10" t="s">
        <v>1104</v>
      </c>
      <c r="E42" s="32">
        <v>-1800</v>
      </c>
      <c r="F42" s="32">
        <v>90</v>
      </c>
      <c r="G42" s="69">
        <f>F42*0.82</f>
        <v>73.8</v>
      </c>
      <c r="H42" s="75">
        <v>0.27564</v>
      </c>
      <c r="I42" s="69">
        <f t="shared" ref="I42:I43" si="22">(E42+G42)*H42*0.9</f>
        <v>-428.22879120000005</v>
      </c>
      <c r="J42" s="78">
        <f>F42*0.05*H42</f>
        <v>1.24038</v>
      </c>
      <c r="K42" s="61">
        <f t="shared" si="21"/>
        <v>-49.615200000000002</v>
      </c>
      <c r="L42" s="61">
        <f>(F42*0.01+G42*0.1)*H42</f>
        <v>2.2822991999999998</v>
      </c>
      <c r="M42" s="58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2" t="s">
        <v>377</v>
      </c>
      <c r="B43" s="32" t="s">
        <v>61</v>
      </c>
      <c r="C43" s="10" t="s">
        <v>1103</v>
      </c>
      <c r="D43" s="10" t="s">
        <v>1104</v>
      </c>
      <c r="E43" s="32">
        <v>-140</v>
      </c>
      <c r="F43" s="32">
        <v>68.5</v>
      </c>
      <c r="G43" s="69">
        <f>F43*0.6</f>
        <v>41.1</v>
      </c>
      <c r="H43" s="70">
        <v>1.13923</v>
      </c>
      <c r="I43" s="69">
        <f t="shared" si="22"/>
        <v>-101.40286230000001</v>
      </c>
      <c r="J43" s="19" t="s">
        <v>468</v>
      </c>
      <c r="K43" s="61">
        <f t="shared" si="21"/>
        <v>-15.94922</v>
      </c>
      <c r="L43" s="61">
        <f>(F43*0.05+G43*0.1)*H43</f>
        <v>8.5840980499999997</v>
      </c>
      <c r="M43" s="58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2" t="s">
        <v>377</v>
      </c>
      <c r="B44" s="2" t="s">
        <v>10</v>
      </c>
      <c r="C44" s="10">
        <v>913523</v>
      </c>
      <c r="D44" s="32" t="s">
        <v>1107</v>
      </c>
      <c r="E44" s="69">
        <v>20519.5</v>
      </c>
      <c r="F44" s="69">
        <v>3090.85</v>
      </c>
      <c r="G44" s="69">
        <f t="shared" ref="G44:G46" si="23">F44*0.7</f>
        <v>2163.5949999999998</v>
      </c>
      <c r="H44" s="70">
        <v>0.20080300000000001</v>
      </c>
      <c r="I44" s="69">
        <f>(E44+G44)*H44</f>
        <v>4554.8335252850002</v>
      </c>
      <c r="J44" s="79" t="s">
        <v>468</v>
      </c>
      <c r="K44" s="61">
        <v>0</v>
      </c>
      <c r="L44" s="61">
        <f>F44*0.05*H44</f>
        <v>31.032597627500007</v>
      </c>
      <c r="M44" s="58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2" t="s">
        <v>377</v>
      </c>
      <c r="B45" s="2" t="s">
        <v>30</v>
      </c>
      <c r="C45" s="10">
        <v>9873420</v>
      </c>
      <c r="D45" s="2" t="s">
        <v>1109</v>
      </c>
      <c r="E45" s="2">
        <v>-59.25</v>
      </c>
      <c r="F45" s="2">
        <v>1052.05</v>
      </c>
      <c r="G45" s="69">
        <f t="shared" si="23"/>
        <v>736.43499999999995</v>
      </c>
      <c r="H45" s="70">
        <v>0.20088900000000001</v>
      </c>
      <c r="I45" s="69">
        <f t="shared" ref="I45:I46" si="24">(E45+G45)*H45*0.93</f>
        <v>126.51628624245001</v>
      </c>
      <c r="J45" s="79" t="s">
        <v>468</v>
      </c>
      <c r="K45" s="61">
        <f t="shared" ref="K45:K46" si="25">E45*0.07*H45</f>
        <v>-0.83318712750000001</v>
      </c>
      <c r="L45" s="61">
        <f t="shared" ref="L45:L46" si="26">(F45*0.03+G45*0.07)*H45</f>
        <v>16.696276523550001</v>
      </c>
      <c r="M45" s="58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2" t="s">
        <v>377</v>
      </c>
      <c r="B46" s="32" t="s">
        <v>25</v>
      </c>
      <c r="C46" s="10">
        <v>9510579</v>
      </c>
      <c r="D46" s="2" t="s">
        <v>1105</v>
      </c>
      <c r="E46" s="69">
        <v>40976.85</v>
      </c>
      <c r="F46" s="69">
        <v>7472.3</v>
      </c>
      <c r="G46" s="69">
        <f t="shared" si="23"/>
        <v>5230.6099999999997</v>
      </c>
      <c r="H46" s="70">
        <v>0.200817</v>
      </c>
      <c r="I46" s="69">
        <f t="shared" si="24"/>
        <v>8629.6964501825987</v>
      </c>
      <c r="J46" s="79" t="s">
        <v>468</v>
      </c>
      <c r="K46" s="61">
        <f t="shared" si="25"/>
        <v>576.01936605150001</v>
      </c>
      <c r="L46" s="61">
        <f t="shared" si="26"/>
        <v>118.54462465889999</v>
      </c>
      <c r="M46" s="58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2" t="s">
        <v>379</v>
      </c>
      <c r="B47" s="29" t="s">
        <v>35</v>
      </c>
      <c r="C47" s="10" t="s">
        <v>1103</v>
      </c>
      <c r="D47" s="10" t="s">
        <v>1104</v>
      </c>
      <c r="E47" s="32">
        <v>-7005.45</v>
      </c>
      <c r="F47" s="32">
        <v>4147.8900000000003</v>
      </c>
      <c r="G47" s="69">
        <f>F47*0.82</f>
        <v>3401.2698</v>
      </c>
      <c r="H47" s="75">
        <v>0.27393000000000001</v>
      </c>
      <c r="I47" s="69">
        <f>(E47+G47)*H47*0.9</f>
        <v>-888.56377396740004</v>
      </c>
      <c r="J47" s="78">
        <f>F47*0.05*H47</f>
        <v>56.811575385000005</v>
      </c>
      <c r="K47" s="61">
        <f>E47*0.1*H47</f>
        <v>-191.90029185000003</v>
      </c>
      <c r="L47" s="61">
        <f>(F47*0.01+G47*0.1)*H47</f>
        <v>104.53329870840001</v>
      </c>
      <c r="M47" s="58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2" t="s">
        <v>379</v>
      </c>
      <c r="B48" s="46" t="s">
        <v>268</v>
      </c>
      <c r="C48" s="10">
        <v>913523</v>
      </c>
      <c r="D48" s="10" t="s">
        <v>1107</v>
      </c>
      <c r="E48" s="32">
        <v>17415.25</v>
      </c>
      <c r="F48" s="32">
        <v>7999.3</v>
      </c>
      <c r="G48" s="69">
        <f>F48*0.7</f>
        <v>5599.51</v>
      </c>
      <c r="H48" s="70">
        <v>0.19920299999999999</v>
      </c>
      <c r="I48" s="69">
        <f>(E48+G48)*H48</f>
        <v>4584.60923628</v>
      </c>
      <c r="J48" s="79" t="s">
        <v>468</v>
      </c>
      <c r="K48" s="61">
        <v>0</v>
      </c>
      <c r="L48" s="61">
        <f>F48*0.05*H48</f>
        <v>79.674227895000001</v>
      </c>
      <c r="M48" s="58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2" t="s">
        <v>379</v>
      </c>
      <c r="B49" s="32" t="s">
        <v>61</v>
      </c>
      <c r="C49" s="10" t="s">
        <v>1103</v>
      </c>
      <c r="D49" s="10" t="s">
        <v>1104</v>
      </c>
      <c r="E49" s="32">
        <v>-126.96</v>
      </c>
      <c r="F49" s="32">
        <v>183.41</v>
      </c>
      <c r="G49" s="69">
        <f>F49*0.6</f>
        <v>110.04599999999999</v>
      </c>
      <c r="H49" s="70">
        <v>1.12683</v>
      </c>
      <c r="I49" s="69">
        <f>(E49+G49)*H49*0.9</f>
        <v>-17.153282358000002</v>
      </c>
      <c r="J49" s="19" t="s">
        <v>468</v>
      </c>
      <c r="K49" s="61">
        <f>E49*0.1*H49</f>
        <v>-14.30623368</v>
      </c>
      <c r="L49" s="61">
        <f>(F49*0.05+G49*0.1)*H49</f>
        <v>22.733907933000001</v>
      </c>
      <c r="M49" s="58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2" t="s">
        <v>379</v>
      </c>
      <c r="B50" s="2" t="s">
        <v>30</v>
      </c>
      <c r="C50" s="10">
        <v>9873420</v>
      </c>
      <c r="D50" s="2" t="s">
        <v>1109</v>
      </c>
      <c r="E50" s="32">
        <v>-5974.45</v>
      </c>
      <c r="F50" s="2">
        <v>11454.2</v>
      </c>
      <c r="G50" s="69">
        <f t="shared" ref="G50:G51" si="27">F50*0.7</f>
        <v>8017.94</v>
      </c>
      <c r="H50" s="70">
        <v>0.19900100000000001</v>
      </c>
      <c r="I50" s="69">
        <f t="shared" ref="I50:I51" si="28">(E50+G50)*H50*0.93</f>
        <v>378.19059474569997</v>
      </c>
      <c r="J50" s="79" t="s">
        <v>468</v>
      </c>
      <c r="K50" s="61">
        <f t="shared" ref="K50:K51" si="29">E50*0.07*H50</f>
        <v>-83.224506711499998</v>
      </c>
      <c r="L50" s="61">
        <f t="shared" ref="L50:L51" si="30">(F50*0.03+G50*0.07)*H50</f>
        <v>180.07238308180004</v>
      </c>
      <c r="M50" s="58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2" t="s">
        <v>379</v>
      </c>
      <c r="B51" s="32" t="s">
        <v>25</v>
      </c>
      <c r="C51" s="10">
        <v>9510579</v>
      </c>
      <c r="D51" s="2" t="s">
        <v>1105</v>
      </c>
      <c r="E51" s="69">
        <v>-93394.65</v>
      </c>
      <c r="F51" s="69">
        <v>10657.45</v>
      </c>
      <c r="G51" s="69">
        <f t="shared" si="27"/>
        <v>7460.2150000000001</v>
      </c>
      <c r="H51" s="70">
        <v>0.200265</v>
      </c>
      <c r="I51" s="69">
        <f t="shared" si="28"/>
        <v>-16004.98345150575</v>
      </c>
      <c r="J51" s="79" t="s">
        <v>468</v>
      </c>
      <c r="K51" s="61">
        <f t="shared" si="29"/>
        <v>-1309.2575707574999</v>
      </c>
      <c r="L51" s="61">
        <f t="shared" si="30"/>
        <v>168.61082371575</v>
      </c>
      <c r="M51" s="58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32" t="s">
        <v>380</v>
      </c>
      <c r="B52" s="29" t="s">
        <v>35</v>
      </c>
      <c r="C52" s="10" t="s">
        <v>1103</v>
      </c>
      <c r="D52" s="32" t="s">
        <v>1104</v>
      </c>
      <c r="E52" s="32">
        <v>26399.57</v>
      </c>
      <c r="F52" s="32">
        <v>2387.5700000000002</v>
      </c>
      <c r="G52" s="69">
        <f>F52*0.82</f>
        <v>1957.8073999999999</v>
      </c>
      <c r="H52" s="75">
        <v>0.27349000000000001</v>
      </c>
      <c r="I52" s="69">
        <f t="shared" ref="I52:I53" si="31">(E52+G52)*H52*0.9</f>
        <v>6979.9132306134006</v>
      </c>
      <c r="J52" s="78">
        <f t="shared" ref="J52:J53" si="32">F52*0.05*H52</f>
        <v>32.648825965000007</v>
      </c>
      <c r="K52" s="61">
        <f t="shared" ref="K52:K53" si="33">E52*0.1*H52</f>
        <v>722.00183993000007</v>
      </c>
      <c r="L52" s="61">
        <f>(F52*0.01+G52*0.1)*H52</f>
        <v>60.073839775600007</v>
      </c>
      <c r="M52" s="58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32" t="s">
        <v>380</v>
      </c>
      <c r="B53" s="10" t="s">
        <v>132</v>
      </c>
      <c r="C53" s="10" t="s">
        <v>1112</v>
      </c>
      <c r="D53" s="10" t="s">
        <v>1113</v>
      </c>
      <c r="E53" s="32">
        <v>-17061.509999999998</v>
      </c>
      <c r="F53" s="32">
        <v>17416.259999999998</v>
      </c>
      <c r="G53" s="32">
        <f>F53*0.75</f>
        <v>13062.195</v>
      </c>
      <c r="H53" s="75">
        <v>0.27349000000000001</v>
      </c>
      <c r="I53" s="69">
        <f t="shared" si="31"/>
        <v>-984.39539341499972</v>
      </c>
      <c r="J53" s="78">
        <f t="shared" si="32"/>
        <v>238.15864737000001</v>
      </c>
      <c r="K53" s="61">
        <f t="shared" si="33"/>
        <v>-466.61523698999997</v>
      </c>
      <c r="L53" s="61">
        <f>(F53*0.05+G53*0.1)*H53</f>
        <v>595.39661842500004</v>
      </c>
      <c r="M53" s="58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32" t="s">
        <v>380</v>
      </c>
      <c r="B54" s="2" t="s">
        <v>10</v>
      </c>
      <c r="C54" s="10">
        <v>913523</v>
      </c>
      <c r="D54" s="10" t="s">
        <v>1107</v>
      </c>
      <c r="E54" s="32">
        <v>64421.4</v>
      </c>
      <c r="F54" s="32">
        <v>21742.95</v>
      </c>
      <c r="G54" s="69">
        <f t="shared" ref="G54:G56" si="34">F54*0.7</f>
        <v>15220.064999999999</v>
      </c>
      <c r="H54" s="70">
        <v>0.201207</v>
      </c>
      <c r="I54" s="69">
        <f>(E54+G54)*H54</f>
        <v>16024.420248254999</v>
      </c>
      <c r="J54" s="79" t="s">
        <v>468</v>
      </c>
      <c r="K54" s="61">
        <v>0</v>
      </c>
      <c r="L54" s="61">
        <f>F54*0.05*H54</f>
        <v>218.74168703250001</v>
      </c>
      <c r="M54" s="58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32" t="s">
        <v>380</v>
      </c>
      <c r="B55" s="2" t="s">
        <v>30</v>
      </c>
      <c r="C55" s="10">
        <v>9873420</v>
      </c>
      <c r="D55" s="46" t="s">
        <v>1109</v>
      </c>
      <c r="E55" s="69">
        <v>38042.65</v>
      </c>
      <c r="F55" s="69">
        <v>12499.4</v>
      </c>
      <c r="G55" s="69">
        <f t="shared" si="34"/>
        <v>8749.58</v>
      </c>
      <c r="H55" s="70">
        <v>0.200848</v>
      </c>
      <c r="I55" s="69">
        <f t="shared" ref="I55:I56" si="35">(E55+G55)*H55*0.93</f>
        <v>8740.2570042672014</v>
      </c>
      <c r="J55" s="79" t="s">
        <v>468</v>
      </c>
      <c r="K55" s="61">
        <f t="shared" ref="K55:K56" si="36">E55*0.07*H55</f>
        <v>534.85531170400009</v>
      </c>
      <c r="L55" s="61">
        <f t="shared" ref="L55:L56" si="37">(F55*0.03+G55*0.07)*H55</f>
        <v>198.32787980480001</v>
      </c>
      <c r="M55" s="58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32" t="s">
        <v>380</v>
      </c>
      <c r="B56" s="32" t="s">
        <v>25</v>
      </c>
      <c r="C56" s="10">
        <v>9510579</v>
      </c>
      <c r="D56" s="2" t="s">
        <v>1105</v>
      </c>
      <c r="E56" s="69">
        <v>35630.75</v>
      </c>
      <c r="F56" s="69">
        <v>6676.25</v>
      </c>
      <c r="G56" s="69">
        <f t="shared" si="34"/>
        <v>4673.375</v>
      </c>
      <c r="H56" s="70">
        <v>0.20095099999999999</v>
      </c>
      <c r="I56" s="69">
        <f t="shared" si="35"/>
        <v>7532.2134272737503</v>
      </c>
      <c r="J56" s="79" t="s">
        <v>468</v>
      </c>
      <c r="K56" s="61">
        <f t="shared" si="36"/>
        <v>501.20243902750002</v>
      </c>
      <c r="L56" s="61">
        <f t="shared" si="37"/>
        <v>105.98632998625</v>
      </c>
      <c r="M56" s="58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32" t="s">
        <v>380</v>
      </c>
      <c r="B57" s="32" t="s">
        <v>61</v>
      </c>
      <c r="C57" s="10" t="s">
        <v>1103</v>
      </c>
      <c r="D57" s="10" t="s">
        <v>1104</v>
      </c>
      <c r="E57" s="32">
        <v>706.02</v>
      </c>
      <c r="F57" s="32">
        <v>148.58000000000001</v>
      </c>
      <c r="G57" s="69">
        <f>F57*0.6</f>
        <v>89.14800000000001</v>
      </c>
      <c r="H57" s="70">
        <v>1.10371</v>
      </c>
      <c r="I57" s="69">
        <f t="shared" ref="I57:I59" si="38">(E57+G57)*H57*0.9</f>
        <v>789.87138595199997</v>
      </c>
      <c r="J57" s="19" t="s">
        <v>468</v>
      </c>
      <c r="K57" s="61">
        <f t="shared" ref="K57:K59" si="39">E57*0.1*H57</f>
        <v>77.924133420000004</v>
      </c>
      <c r="L57" s="61">
        <f t="shared" ref="L57:L58" si="40">(F57*0.05+G57*0.1)*H57</f>
        <v>18.038815498000002</v>
      </c>
      <c r="M57" s="58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32" t="s">
        <v>381</v>
      </c>
      <c r="B58" s="10" t="s">
        <v>132</v>
      </c>
      <c r="C58" s="10" t="s">
        <v>1112</v>
      </c>
      <c r="D58" s="10" t="s">
        <v>1113</v>
      </c>
      <c r="E58" s="32">
        <v>-14976.4</v>
      </c>
      <c r="F58" s="32">
        <v>1057.4000000000001</v>
      </c>
      <c r="G58" s="32">
        <f>F58*0.75</f>
        <v>793.05000000000007</v>
      </c>
      <c r="H58" s="75">
        <v>0.27132000000000001</v>
      </c>
      <c r="I58" s="69">
        <f t="shared" si="38"/>
        <v>-3463.4038698000004</v>
      </c>
      <c r="J58" s="78">
        <f t="shared" ref="J58:J59" si="41">F58*0.05*H58</f>
        <v>14.344688400000001</v>
      </c>
      <c r="K58" s="61">
        <f t="shared" si="39"/>
        <v>-406.33968480000004</v>
      </c>
      <c r="L58" s="61">
        <f t="shared" si="40"/>
        <v>35.861721000000003</v>
      </c>
      <c r="M58" s="58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32" t="s">
        <v>381</v>
      </c>
      <c r="B59" s="29" t="s">
        <v>35</v>
      </c>
      <c r="C59" s="10" t="s">
        <v>1103</v>
      </c>
      <c r="D59" s="10" t="s">
        <v>1104</v>
      </c>
      <c r="E59" s="32">
        <v>-10724.74</v>
      </c>
      <c r="F59" s="32">
        <v>7881.45</v>
      </c>
      <c r="G59" s="69">
        <f>F59*0.82</f>
        <v>6462.7889999999998</v>
      </c>
      <c r="H59" s="75">
        <v>0.27132000000000001</v>
      </c>
      <c r="I59" s="69">
        <f t="shared" si="38"/>
        <v>-1040.7172907880001</v>
      </c>
      <c r="J59" s="78">
        <f t="shared" si="41"/>
        <v>106.91975069999999</v>
      </c>
      <c r="K59" s="61">
        <f t="shared" si="39"/>
        <v>-290.98364568</v>
      </c>
      <c r="L59" s="61">
        <f>(F59*0.01+G59*0.1)*H59</f>
        <v>196.73234128799999</v>
      </c>
      <c r="M59" s="58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32" t="s">
        <v>381</v>
      </c>
      <c r="B60" s="2" t="s">
        <v>10</v>
      </c>
      <c r="C60" s="10">
        <v>913523</v>
      </c>
      <c r="D60" s="32" t="s">
        <v>1107</v>
      </c>
      <c r="E60" s="69">
        <v>56977.2</v>
      </c>
      <c r="F60" s="69">
        <v>32331.9</v>
      </c>
      <c r="G60" s="69">
        <f t="shared" ref="G60:G62" si="42">F60*0.7</f>
        <v>22632.329999999998</v>
      </c>
      <c r="H60" s="70">
        <v>0.197628</v>
      </c>
      <c r="I60" s="69">
        <f>(E60+G60)*H60</f>
        <v>15733.072194840001</v>
      </c>
      <c r="J60" s="79" t="s">
        <v>468</v>
      </c>
      <c r="K60" s="61">
        <v>0</v>
      </c>
      <c r="L60" s="61">
        <f>F60*0.05*H60</f>
        <v>319.48443666000003</v>
      </c>
      <c r="M60" s="58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32" t="s">
        <v>381</v>
      </c>
      <c r="B61" s="2" t="s">
        <v>30</v>
      </c>
      <c r="C61" s="10">
        <v>9873420</v>
      </c>
      <c r="D61" s="10" t="s">
        <v>1109</v>
      </c>
      <c r="E61" s="32">
        <v>-14325.2</v>
      </c>
      <c r="F61" s="32">
        <v>5728.45</v>
      </c>
      <c r="G61" s="69">
        <f t="shared" si="42"/>
        <v>4009.9149999999995</v>
      </c>
      <c r="H61" s="70">
        <v>0.19758700000000001</v>
      </c>
      <c r="I61" s="69">
        <f t="shared" ref="I61:I62" si="43">(E61+G61)*H61*0.93</f>
        <v>-1895.4945820843504</v>
      </c>
      <c r="J61" s="79" t="s">
        <v>468</v>
      </c>
      <c r="K61" s="61">
        <f t="shared" ref="K61:K62" si="44">E61*0.07*H61</f>
        <v>-198.13313046800005</v>
      </c>
      <c r="L61" s="61">
        <f t="shared" ref="L61:L62" si="45">(F61*0.03+G61*0.07)*H61</f>
        <v>89.417512761850006</v>
      </c>
      <c r="M61" s="58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32" t="s">
        <v>381</v>
      </c>
      <c r="B62" s="32" t="s">
        <v>25</v>
      </c>
      <c r="C62" s="10">
        <v>9510579</v>
      </c>
      <c r="D62" s="2" t="s">
        <v>1105</v>
      </c>
      <c r="E62" s="69">
        <v>24140.7</v>
      </c>
      <c r="F62" s="69">
        <v>1031.3</v>
      </c>
      <c r="G62" s="69">
        <f t="shared" si="42"/>
        <v>721.91</v>
      </c>
      <c r="H62" s="70">
        <v>0.19781883</v>
      </c>
      <c r="I62" s="69">
        <f t="shared" si="43"/>
        <v>4574.011951480059</v>
      </c>
      <c r="J62" s="79" t="s">
        <v>468</v>
      </c>
      <c r="K62" s="61">
        <f t="shared" si="44"/>
        <v>334.28395205667005</v>
      </c>
      <c r="L62" s="61">
        <f t="shared" si="45"/>
        <v>16.116834190941002</v>
      </c>
      <c r="M62" s="58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32" t="s">
        <v>382</v>
      </c>
      <c r="B63" s="10" t="s">
        <v>132</v>
      </c>
      <c r="C63" s="10" t="s">
        <v>1112</v>
      </c>
      <c r="D63" s="10" t="s">
        <v>1113</v>
      </c>
      <c r="E63" s="32">
        <v>-16220.9</v>
      </c>
      <c r="F63" s="32">
        <v>1642.63</v>
      </c>
      <c r="G63" s="32">
        <f>F63*0.75</f>
        <v>1231.9725000000001</v>
      </c>
      <c r="H63" s="75">
        <v>0.27182000000000001</v>
      </c>
      <c r="I63" s="69">
        <f t="shared" ref="I63:I64" si="46">(E63+G63)*H63*0.9</f>
        <v>-3666.8612457449999</v>
      </c>
      <c r="J63" s="78">
        <f t="shared" ref="J63:J64" si="47">F63*0.05*H63</f>
        <v>22.324984330000007</v>
      </c>
      <c r="K63" s="61">
        <f t="shared" ref="K63:K64" si="48">E63*0.1*H63</f>
        <v>-440.91650380000004</v>
      </c>
      <c r="L63" s="61">
        <f>(F63*0.05+G63*0.1)*H63</f>
        <v>55.812460825000002</v>
      </c>
      <c r="M63" s="58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32" t="s">
        <v>382</v>
      </c>
      <c r="B64" s="29" t="s">
        <v>35</v>
      </c>
      <c r="C64" s="2" t="s">
        <v>1103</v>
      </c>
      <c r="D64" s="32" t="s">
        <v>1104</v>
      </c>
      <c r="E64" s="69">
        <v>9896.56</v>
      </c>
      <c r="F64" s="69">
        <v>5374.85</v>
      </c>
      <c r="G64" s="69">
        <f>F64*0.82</f>
        <v>4407.3770000000004</v>
      </c>
      <c r="H64" s="75">
        <v>0.27182000000000001</v>
      </c>
      <c r="I64" s="69">
        <f t="shared" si="46"/>
        <v>3499.2865398060003</v>
      </c>
      <c r="J64" s="78">
        <f t="shared" si="47"/>
        <v>73.049586349999998</v>
      </c>
      <c r="K64" s="61">
        <f t="shared" si="48"/>
        <v>269.00829391999997</v>
      </c>
      <c r="L64" s="61">
        <f>(F64*0.01+G64*0.1)*H64</f>
        <v>134.41123888400003</v>
      </c>
      <c r="M64" s="58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32" t="s">
        <v>382</v>
      </c>
      <c r="B65" s="2" t="s">
        <v>10</v>
      </c>
      <c r="C65" s="10">
        <v>913523</v>
      </c>
      <c r="D65" s="10" t="s">
        <v>1107</v>
      </c>
      <c r="E65" s="32">
        <v>-79633.149999999994</v>
      </c>
      <c r="F65" s="32">
        <v>20001.099999999999</v>
      </c>
      <c r="G65" s="69">
        <f t="shared" ref="G65:G67" si="49">F65*0.7</f>
        <v>14000.769999999999</v>
      </c>
      <c r="H65" s="70">
        <v>0.19880999999999999</v>
      </c>
      <c r="I65" s="69">
        <f>(E65+G65)*H65</f>
        <v>-13048.373467799996</v>
      </c>
      <c r="J65" s="79" t="s">
        <v>468</v>
      </c>
      <c r="K65" s="61">
        <v>0</v>
      </c>
      <c r="L65" s="61">
        <f>F65*0.05*H65</f>
        <v>198.82093454999998</v>
      </c>
      <c r="M65" s="58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32" t="s">
        <v>382</v>
      </c>
      <c r="B66" s="2" t="s">
        <v>30</v>
      </c>
      <c r="C66" s="10">
        <v>9873420</v>
      </c>
      <c r="D66" s="10" t="s">
        <v>1109</v>
      </c>
      <c r="E66" s="32">
        <v>-5727.65</v>
      </c>
      <c r="F66" s="32">
        <v>4895.3999999999996</v>
      </c>
      <c r="G66" s="69">
        <f t="shared" si="49"/>
        <v>3426.7799999999997</v>
      </c>
      <c r="H66" s="70">
        <v>0.198658</v>
      </c>
      <c r="I66" s="69">
        <f t="shared" ref="I66:I67" si="50">(E66+G66)*H66*0.93</f>
        <v>-425.09019618779996</v>
      </c>
      <c r="J66" s="79" t="s">
        <v>468</v>
      </c>
      <c r="K66" s="61">
        <f t="shared" ref="K66:K67" si="51">E66*0.07*H66</f>
        <v>-79.649044559000004</v>
      </c>
      <c r="L66" s="61">
        <f t="shared" ref="L66:L67" si="52">(F66*0.03+G66*0.07)*H66</f>
        <v>76.828319482799998</v>
      </c>
      <c r="M66" s="58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32" t="s">
        <v>382</v>
      </c>
      <c r="B67" s="32" t="s">
        <v>25</v>
      </c>
      <c r="C67" s="10">
        <v>9510579</v>
      </c>
      <c r="D67" s="2" t="s">
        <v>1105</v>
      </c>
      <c r="E67" s="69">
        <v>12938.15</v>
      </c>
      <c r="F67" s="69">
        <v>1222</v>
      </c>
      <c r="G67" s="69">
        <f t="shared" si="49"/>
        <v>855.4</v>
      </c>
      <c r="H67" s="70">
        <v>0.197327</v>
      </c>
      <c r="I67" s="69">
        <f t="shared" si="50"/>
        <v>2531.3110519904999</v>
      </c>
      <c r="J67" s="79" t="s">
        <v>468</v>
      </c>
      <c r="K67" s="61">
        <f t="shared" si="51"/>
        <v>178.71324275350003</v>
      </c>
      <c r="L67" s="61">
        <f t="shared" si="52"/>
        <v>19.049553926000002</v>
      </c>
      <c r="M67" s="58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32" t="s">
        <v>383</v>
      </c>
      <c r="B68" s="32" t="s">
        <v>35</v>
      </c>
      <c r="C68" s="2" t="s">
        <v>1103</v>
      </c>
      <c r="D68" s="32" t="s">
        <v>1104</v>
      </c>
      <c r="E68" s="32">
        <v>-68</v>
      </c>
      <c r="F68" s="32">
        <v>122.4</v>
      </c>
      <c r="G68" s="69">
        <f>F68*0.82</f>
        <v>100.36799999999999</v>
      </c>
      <c r="H68" s="75">
        <v>0.26668999999999998</v>
      </c>
      <c r="I68" s="69">
        <f>(E68+G68)*H68*0.783</f>
        <v>6.7590297633599983</v>
      </c>
      <c r="J68" s="78">
        <f>F68*0.05*H68*0.87</f>
        <v>1.4199642360000002</v>
      </c>
      <c r="K68" s="61">
        <f>E68*0.087*H68</f>
        <v>-1.5777380399999998</v>
      </c>
      <c r="L68" s="61">
        <f>(F68*0.01*0.87+G68*0.087)*H68</f>
        <v>2.6127341942399998</v>
      </c>
      <c r="M68" s="58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s="122" customFormat="1" ht="13.8" x14ac:dyDescent="0.3">
      <c r="A69" s="116" t="s">
        <v>383</v>
      </c>
      <c r="B69" s="116" t="s">
        <v>23</v>
      </c>
      <c r="C69" s="117">
        <v>9510579</v>
      </c>
      <c r="D69" s="118" t="s">
        <v>1105</v>
      </c>
      <c r="E69" s="119">
        <v>-6185</v>
      </c>
      <c r="F69" s="119">
        <v>229.6</v>
      </c>
      <c r="G69" s="119">
        <f>F69*0.7</f>
        <v>160.72</v>
      </c>
      <c r="H69" s="120">
        <v>0.19417499999999999</v>
      </c>
      <c r="I69" s="119">
        <f>(E69+G69)*H69*0.9</f>
        <v>-1052.7881121</v>
      </c>
      <c r="J69" s="121" t="s">
        <v>468</v>
      </c>
      <c r="K69" s="61">
        <f>E69*0.1*H69</f>
        <v>-120.09723749999999</v>
      </c>
      <c r="L69" s="61">
        <f>G69*0.1*H69</f>
        <v>3.1207805999999998</v>
      </c>
      <c r="M69" s="58"/>
      <c r="N69" s="118"/>
      <c r="O69" s="118"/>
      <c r="P69" s="116"/>
      <c r="Q69" s="116"/>
      <c r="R69" s="116"/>
      <c r="S69" s="116"/>
      <c r="T69" s="118"/>
      <c r="U69" s="118"/>
      <c r="V69" s="118"/>
      <c r="W69" s="118"/>
      <c r="X69" s="118"/>
      <c r="Y69" s="118"/>
      <c r="Z69" s="118"/>
    </row>
    <row r="70" spans="1:26" ht="13.8" x14ac:dyDescent="0.3">
      <c r="A70" s="32" t="s">
        <v>383</v>
      </c>
      <c r="B70" s="2" t="s">
        <v>10</v>
      </c>
      <c r="C70" s="10">
        <v>913523</v>
      </c>
      <c r="D70" s="10" t="s">
        <v>1107</v>
      </c>
      <c r="E70" s="32">
        <v>-37350.300000000003</v>
      </c>
      <c r="F70" s="32">
        <v>15903.15</v>
      </c>
      <c r="G70" s="69">
        <f t="shared" ref="G69:G72" si="53">F70*0.7</f>
        <v>11132.205</v>
      </c>
      <c r="H70" s="70">
        <v>0.19305</v>
      </c>
      <c r="I70" s="69">
        <f>(E70+G70)*H70</f>
        <v>-5061.4032397500005</v>
      </c>
      <c r="J70" s="79" t="s">
        <v>468</v>
      </c>
      <c r="K70" s="61">
        <v>0</v>
      </c>
      <c r="L70" s="61">
        <f>F70*0.05*H70</f>
        <v>153.50515537500002</v>
      </c>
      <c r="M70" s="58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32" t="s">
        <v>383</v>
      </c>
      <c r="B71" s="2" t="s">
        <v>30</v>
      </c>
      <c r="C71" s="10">
        <v>9873420</v>
      </c>
      <c r="D71" s="10" t="s">
        <v>1109</v>
      </c>
      <c r="E71" s="32">
        <v>-1300.1500000000001</v>
      </c>
      <c r="F71" s="32">
        <v>9062.1</v>
      </c>
      <c r="G71" s="69">
        <f t="shared" si="53"/>
        <v>6343.47</v>
      </c>
      <c r="H71" s="70">
        <v>0.19267699999999999</v>
      </c>
      <c r="I71" s="69">
        <f t="shared" ref="I71:I72" si="54">(E71+G71)*H71*0.93</f>
        <v>903.71054390519998</v>
      </c>
      <c r="J71" s="79" t="s">
        <v>468</v>
      </c>
      <c r="K71" s="61">
        <f t="shared" ref="K71:K72" si="55">E71*0.07*H71</f>
        <v>-17.535630108500001</v>
      </c>
      <c r="L71" s="61">
        <f t="shared" ref="L71:L72" si="56">(F71*0.03+G71*0.07)*H71</f>
        <v>137.9386010943</v>
      </c>
      <c r="M71" s="58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32" t="s">
        <v>383</v>
      </c>
      <c r="B72" s="32" t="s">
        <v>25</v>
      </c>
      <c r="C72" s="10">
        <v>9510579</v>
      </c>
      <c r="D72" s="2" t="s">
        <v>1105</v>
      </c>
      <c r="E72" s="69">
        <v>11500.15</v>
      </c>
      <c r="F72" s="69">
        <v>5476.9</v>
      </c>
      <c r="G72" s="69">
        <f t="shared" si="53"/>
        <v>3833.8299999999995</v>
      </c>
      <c r="H72" s="70">
        <v>0.19283007999999999</v>
      </c>
      <c r="I72" s="69">
        <f t="shared" si="54"/>
        <v>2749.8729088101118</v>
      </c>
      <c r="J72" s="79" t="s">
        <v>468</v>
      </c>
      <c r="K72" s="61">
        <f t="shared" si="55"/>
        <v>155.23023911584002</v>
      </c>
      <c r="L72" s="61">
        <f t="shared" si="56"/>
        <v>83.432774147007976</v>
      </c>
      <c r="M72" s="58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2" t="s">
        <v>384</v>
      </c>
      <c r="B73" s="29" t="s">
        <v>35</v>
      </c>
      <c r="C73" s="10" t="s">
        <v>1103</v>
      </c>
      <c r="D73" s="10" t="s">
        <v>1104</v>
      </c>
      <c r="E73" s="32">
        <v>-50</v>
      </c>
      <c r="F73" s="32">
        <v>0</v>
      </c>
      <c r="G73" s="69">
        <f>F73*0.82</f>
        <v>0</v>
      </c>
      <c r="H73" s="75">
        <v>0.26494000000000001</v>
      </c>
      <c r="I73" s="69">
        <f>(E73+G73)*H73*0.783</f>
        <v>-10.372401</v>
      </c>
      <c r="J73" s="78">
        <f>F73*0.05*H73*0.87</f>
        <v>0</v>
      </c>
      <c r="K73" s="61">
        <f>E73*0.087*H73</f>
        <v>-1.1524889999999999</v>
      </c>
      <c r="L73" s="61">
        <f>(F73*0.01*0.87+G73*0.087)*H73</f>
        <v>0</v>
      </c>
      <c r="M73" s="58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32" t="s">
        <v>384</v>
      </c>
      <c r="B74" s="2" t="s">
        <v>10</v>
      </c>
      <c r="C74" s="10">
        <v>913523</v>
      </c>
      <c r="D74" s="32" t="s">
        <v>1107</v>
      </c>
      <c r="E74" s="32">
        <v>-78579.399999999994</v>
      </c>
      <c r="F74" s="32">
        <v>18533</v>
      </c>
      <c r="G74" s="69">
        <f t="shared" ref="G74:G76" si="57">F74*0.7</f>
        <v>12973.099999999999</v>
      </c>
      <c r="H74" s="70">
        <v>0.19342400000000001</v>
      </c>
      <c r="I74" s="69">
        <f>(E74+G74)*H74</f>
        <v>-12689.832971199998</v>
      </c>
      <c r="J74" s="79" t="s">
        <v>468</v>
      </c>
      <c r="K74" s="61">
        <v>0</v>
      </c>
      <c r="L74" s="61">
        <f>F74*0.05*H74</f>
        <v>179.23634960000004</v>
      </c>
      <c r="M74" s="58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32" t="s">
        <v>384</v>
      </c>
      <c r="B75" s="2" t="s">
        <v>30</v>
      </c>
      <c r="C75" s="10">
        <v>9873420</v>
      </c>
      <c r="D75" s="10" t="s">
        <v>1109</v>
      </c>
      <c r="E75" s="32">
        <v>-7769.35</v>
      </c>
      <c r="F75" s="32">
        <v>1831.1</v>
      </c>
      <c r="G75" s="69">
        <f t="shared" si="57"/>
        <v>1281.7699999999998</v>
      </c>
      <c r="H75" s="70">
        <v>0.19317400000000001</v>
      </c>
      <c r="I75" s="69">
        <f t="shared" ref="I75:I76" si="58">(E75+G75)*H75*0.93</f>
        <v>-1165.5055543956005</v>
      </c>
      <c r="J75" s="79" t="s">
        <v>468</v>
      </c>
      <c r="K75" s="61">
        <f t="shared" ref="K75:K76" si="59">E75*0.07*H75</f>
        <v>-105.05854918300001</v>
      </c>
      <c r="L75" s="61">
        <f t="shared" ref="L75:L76" si="60">(F75*0.03+G75*0.07)*H75</f>
        <v>27.943952000599996</v>
      </c>
      <c r="M75" s="58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32" t="s">
        <v>384</v>
      </c>
      <c r="B76" s="32" t="s">
        <v>25</v>
      </c>
      <c r="C76" s="10">
        <v>9510579</v>
      </c>
      <c r="D76" s="2" t="s">
        <v>1105</v>
      </c>
      <c r="E76" s="69">
        <v>-7119.65</v>
      </c>
      <c r="F76" s="69">
        <v>768.85</v>
      </c>
      <c r="G76" s="69">
        <f t="shared" si="57"/>
        <v>538.19499999999994</v>
      </c>
      <c r="H76" s="70">
        <v>0.19106799999999999</v>
      </c>
      <c r="I76" s="69">
        <f t="shared" si="58"/>
        <v>-1169.4800628641999</v>
      </c>
      <c r="J76" s="79" t="s">
        <v>468</v>
      </c>
      <c r="K76" s="61">
        <f t="shared" si="59"/>
        <v>-95.223610034000004</v>
      </c>
      <c r="L76" s="61">
        <f t="shared" si="60"/>
        <v>11.605307912199999</v>
      </c>
      <c r="M76" s="58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32"/>
      <c r="L77" s="69"/>
      <c r="M77" s="32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32"/>
      <c r="L78" s="69"/>
      <c r="M78" s="32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32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84" t="s">
        <v>520</v>
      </c>
      <c r="L80" s="32"/>
      <c r="M80" s="32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32"/>
      <c r="L81" s="69"/>
      <c r="M81" s="32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32"/>
      <c r="L82" s="69"/>
      <c r="M82" s="32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32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32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32"/>
      <c r="L85" s="69"/>
      <c r="M85" s="32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32"/>
      <c r="L86" s="69"/>
      <c r="M86" s="32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32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32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32"/>
      <c r="L89" s="69"/>
      <c r="M89" s="32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32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32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32"/>
      <c r="L92" s="69"/>
      <c r="M92" s="32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32"/>
      <c r="L93" s="69"/>
      <c r="M93" s="32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32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32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32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69"/>
      <c r="M97" s="32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32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32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69"/>
      <c r="M100" s="32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69"/>
      <c r="M101" s="32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2"/>
      <c r="K102" s="32"/>
      <c r="L102" s="32"/>
      <c r="M102" s="32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32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32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32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32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32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69"/>
      <c r="M108" s="32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69"/>
      <c r="M109" s="32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32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69"/>
      <c r="M111" s="32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32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69"/>
      <c r="M113" s="32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32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32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69"/>
      <c r="M116" s="32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69"/>
      <c r="M117" s="32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69"/>
      <c r="M118" s="32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32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32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32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69"/>
      <c r="M122" s="32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69"/>
      <c r="M123" s="32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69"/>
      <c r="M124" s="32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32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32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32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69"/>
      <c r="M128" s="32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32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69"/>
      <c r="M130" s="32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69"/>
      <c r="M131" s="32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32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69"/>
      <c r="M133" s="32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32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32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32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32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32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32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32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32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32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32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69"/>
      <c r="M144" s="32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32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69"/>
      <c r="M146" s="32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32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32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32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32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32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32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32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69"/>
      <c r="M154" s="32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32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32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32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32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32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32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32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69"/>
      <c r="M162" s="32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32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32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32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32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32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32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32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32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32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32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32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32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32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32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32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32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32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32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32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69"/>
      <c r="M182" s="32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69"/>
      <c r="M183" s="32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69"/>
      <c r="M184" s="32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69"/>
      <c r="M185" s="32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32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32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32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32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32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32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69"/>
      <c r="M192" s="32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69"/>
      <c r="M193" s="32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32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32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32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32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32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32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69"/>
      <c r="M200" s="32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32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>
        <f>SUM(J2:J200)</f>
        <v>1119.5436895309999</v>
      </c>
      <c r="K202" s="32"/>
      <c r="L202" s="32"/>
      <c r="M202" s="32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32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32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76"/>
      <c r="L205" s="32"/>
      <c r="M205" s="32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76"/>
      <c r="L206" s="32"/>
      <c r="M206" s="32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76"/>
      <c r="L207" s="32"/>
      <c r="M207" s="32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32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32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32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32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32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76"/>
      <c r="L213" s="32"/>
      <c r="M213" s="32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32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32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32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76"/>
      <c r="L217" s="32"/>
      <c r="M217" s="32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76"/>
      <c r="L218" s="32"/>
      <c r="M218" s="32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76"/>
      <c r="L219" s="32"/>
      <c r="M219" s="32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69"/>
      <c r="L220" s="32"/>
      <c r="M220" s="32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69"/>
      <c r="L221" s="32"/>
      <c r="M221" s="32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32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32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32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32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32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76"/>
      <c r="L227" s="32"/>
      <c r="M227" s="32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32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32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69"/>
      <c r="L230" s="32"/>
      <c r="M230" s="32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69"/>
      <c r="L231" s="32"/>
      <c r="M231" s="32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69"/>
      <c r="L232" s="32"/>
      <c r="M232" s="32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76"/>
      <c r="L233" s="32"/>
      <c r="M233" s="32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69"/>
      <c r="M234" s="32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32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69"/>
      <c r="L236" s="32"/>
      <c r="M236" s="32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69"/>
      <c r="L237" s="32"/>
      <c r="M237" s="32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76"/>
      <c r="L238" s="32"/>
      <c r="M238" s="32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69"/>
      <c r="M239" s="32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32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32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69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69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69"/>
      <c r="L245" s="32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76"/>
      <c r="L246" s="32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69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69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69"/>
      <c r="L253" s="32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69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69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69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69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69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autoFilter ref="A1:Z76" xr:uid="{00000000-0001-0000-1100-000000000000}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Z1000"/>
  <sheetViews>
    <sheetView topLeftCell="E1" workbookViewId="0">
      <pane ySplit="1" topLeftCell="A95" activePane="bottomLeft" state="frozen"/>
      <selection pane="bottomLeft" activeCell="J95" sqref="J95:K99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hidden="1" customHeight="1" x14ac:dyDescent="0.3">
      <c r="A2" s="2" t="s">
        <v>296</v>
      </c>
      <c r="B2" s="32" t="s">
        <v>23</v>
      </c>
      <c r="C2" s="10">
        <v>8767255</v>
      </c>
      <c r="D2" s="46" t="s">
        <v>411</v>
      </c>
      <c r="E2" s="69">
        <v>-26.3</v>
      </c>
      <c r="F2" s="69">
        <v>7.9</v>
      </c>
      <c r="G2" s="69">
        <f t="shared" ref="G2:G3" si="0">F2*0.7</f>
        <v>5.53</v>
      </c>
      <c r="H2" s="70">
        <v>0.20366600000000001</v>
      </c>
      <c r="I2" s="69">
        <f t="shared" ref="I2:I14" si="1">(E2+G2)*H2*0.9</f>
        <v>-3.8071285380000002</v>
      </c>
      <c r="J2" s="61">
        <f t="shared" ref="J2:J5" si="2">E2*0.1*H2</f>
        <v>-0.53564158000000006</v>
      </c>
      <c r="K2" s="61">
        <f t="shared" ref="K2:K3" si="3">G2*0.1*H2</f>
        <v>0.11262729800000001</v>
      </c>
      <c r="L2" s="58">
        <f>SUM(J:K)</f>
        <v>1644.3854189742303</v>
      </c>
      <c r="M2" s="2" t="s">
        <v>412</v>
      </c>
      <c r="N2" s="2" t="s">
        <v>413</v>
      </c>
      <c r="O2" s="32">
        <v>8176.98</v>
      </c>
      <c r="P2" s="32">
        <f>SUM(I:I)</f>
        <v>5659.402446783557</v>
      </c>
      <c r="Q2" s="32">
        <f>SUM(O:O)</f>
        <v>7420.1300000000019</v>
      </c>
      <c r="R2" s="32">
        <f>P2+Q2</f>
        <v>13079.53244678356</v>
      </c>
      <c r="S2" s="2"/>
      <c r="T2" s="2"/>
      <c r="U2" s="2"/>
      <c r="V2" s="2"/>
      <c r="W2" s="2"/>
      <c r="X2" s="2"/>
      <c r="Y2" s="2"/>
      <c r="Z2" s="2"/>
    </row>
    <row r="3" spans="1:26" ht="15.75" hidden="1" customHeight="1" x14ac:dyDescent="0.3">
      <c r="A3" s="2" t="s">
        <v>296</v>
      </c>
      <c r="B3" s="10" t="s">
        <v>23</v>
      </c>
      <c r="C3" s="10">
        <v>9470656</v>
      </c>
      <c r="D3" s="10" t="s">
        <v>414</v>
      </c>
      <c r="E3" s="69">
        <v>-193.9</v>
      </c>
      <c r="F3" s="69">
        <v>19.899999999999999</v>
      </c>
      <c r="G3" s="69">
        <f t="shared" si="0"/>
        <v>13.929999999999998</v>
      </c>
      <c r="H3" s="70">
        <v>0.20366600000000001</v>
      </c>
      <c r="I3" s="69">
        <f t="shared" si="1"/>
        <v>-32.988393018000004</v>
      </c>
      <c r="J3" s="61">
        <f t="shared" si="2"/>
        <v>-3.9490837400000003</v>
      </c>
      <c r="K3" s="61">
        <f t="shared" si="3"/>
        <v>0.28370673799999996</v>
      </c>
      <c r="L3" s="58"/>
      <c r="M3" s="2" t="s">
        <v>312</v>
      </c>
      <c r="N3" s="2" t="s">
        <v>415</v>
      </c>
      <c r="O3" s="32">
        <v>-3.78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hidden="1" customHeight="1" x14ac:dyDescent="0.3">
      <c r="A4" s="2" t="s">
        <v>296</v>
      </c>
      <c r="B4" s="2" t="s">
        <v>17</v>
      </c>
      <c r="C4" s="10">
        <v>9470656</v>
      </c>
      <c r="D4" s="46" t="s">
        <v>414</v>
      </c>
      <c r="E4" s="69">
        <v>1550.15</v>
      </c>
      <c r="F4" s="69">
        <v>128.35</v>
      </c>
      <c r="G4" s="69">
        <f t="shared" ref="G4:G6" si="4">F4*0.65</f>
        <v>83.427499999999995</v>
      </c>
      <c r="H4" s="70">
        <v>0.20366600000000001</v>
      </c>
      <c r="I4" s="69">
        <f t="shared" si="1"/>
        <v>299.43377560350007</v>
      </c>
      <c r="J4" s="61">
        <f t="shared" si="2"/>
        <v>31.571284990000006</v>
      </c>
      <c r="K4" s="61">
        <f t="shared" ref="K4:K5" si="5">(F4*0.05+G4*0.1)*H4</f>
        <v>3.0061610765000002</v>
      </c>
      <c r="L4" s="71"/>
      <c r="M4" s="2" t="s">
        <v>295</v>
      </c>
      <c r="N4" s="2" t="s">
        <v>416</v>
      </c>
      <c r="O4" s="32">
        <v>23.83</v>
      </c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hidden="1" customHeight="1" x14ac:dyDescent="0.3">
      <c r="A5" s="2" t="s">
        <v>296</v>
      </c>
      <c r="B5" s="2" t="s">
        <v>17</v>
      </c>
      <c r="C5" s="10">
        <v>8767255</v>
      </c>
      <c r="D5" s="46" t="s">
        <v>411</v>
      </c>
      <c r="E5" s="69">
        <v>592.25</v>
      </c>
      <c r="F5" s="69">
        <v>57.2</v>
      </c>
      <c r="G5" s="69">
        <f t="shared" si="4"/>
        <v>37.18</v>
      </c>
      <c r="H5" s="70">
        <v>0.20366600000000001</v>
      </c>
      <c r="I5" s="69">
        <f t="shared" si="1"/>
        <v>115.37414134199999</v>
      </c>
      <c r="J5" s="61">
        <f t="shared" si="2"/>
        <v>12.062118850000001</v>
      </c>
      <c r="K5" s="61">
        <f t="shared" si="5"/>
        <v>1.3397149480000001</v>
      </c>
      <c r="L5" s="71"/>
      <c r="M5" s="2" t="s">
        <v>299</v>
      </c>
      <c r="N5" s="2" t="s">
        <v>417</v>
      </c>
      <c r="O5" s="32">
        <v>-15.11</v>
      </c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hidden="1" customHeight="1" x14ac:dyDescent="0.3">
      <c r="A6" s="2" t="s">
        <v>296</v>
      </c>
      <c r="B6" s="32" t="s">
        <v>10</v>
      </c>
      <c r="C6" s="72" t="s">
        <v>418</v>
      </c>
      <c r="D6" s="32" t="s">
        <v>411</v>
      </c>
      <c r="E6" s="69">
        <v>-399.6</v>
      </c>
      <c r="F6" s="69">
        <v>924.3</v>
      </c>
      <c r="G6" s="69">
        <f t="shared" si="4"/>
        <v>600.79499999999996</v>
      </c>
      <c r="H6" s="70">
        <v>0.20533899999999999</v>
      </c>
      <c r="I6" s="69">
        <f t="shared" si="1"/>
        <v>37.181862094499991</v>
      </c>
      <c r="J6" s="61">
        <v>0</v>
      </c>
      <c r="K6" s="61">
        <f>F6*0.1*H6*0.9</f>
        <v>17.081535393000003</v>
      </c>
      <c r="L6" s="71"/>
      <c r="M6" s="2" t="s">
        <v>419</v>
      </c>
      <c r="N6" s="2" t="s">
        <v>420</v>
      </c>
      <c r="O6" s="69">
        <v>-29.97</v>
      </c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hidden="1" customHeight="1" x14ac:dyDescent="0.3">
      <c r="A7" s="32" t="s">
        <v>317</v>
      </c>
      <c r="B7" s="32" t="s">
        <v>23</v>
      </c>
      <c r="C7" s="10">
        <v>8767255</v>
      </c>
      <c r="D7" s="46" t="s">
        <v>411</v>
      </c>
      <c r="E7" s="69">
        <v>-101.7</v>
      </c>
      <c r="F7" s="69">
        <v>526.75</v>
      </c>
      <c r="G7" s="69">
        <f t="shared" ref="G7:G9" si="6">F7*0.7</f>
        <v>368.72499999999997</v>
      </c>
      <c r="H7" s="70">
        <v>0.20366600000000001</v>
      </c>
      <c r="I7" s="69">
        <f t="shared" si="1"/>
        <v>48.945522284999996</v>
      </c>
      <c r="J7" s="61">
        <f t="shared" ref="J7:J14" si="7">E7*0.1*H7</f>
        <v>-2.0712832200000006</v>
      </c>
      <c r="K7" s="61">
        <f t="shared" ref="K7:K9" si="8">G7*0.1*H7</f>
        <v>7.509674585</v>
      </c>
      <c r="L7" s="71"/>
      <c r="M7" s="2" t="s">
        <v>334</v>
      </c>
      <c r="N7" s="2" t="s">
        <v>421</v>
      </c>
      <c r="O7" s="32">
        <v>-127.16</v>
      </c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hidden="1" customHeight="1" x14ac:dyDescent="0.3">
      <c r="A8" s="32" t="s">
        <v>317</v>
      </c>
      <c r="B8" s="10" t="s">
        <v>23</v>
      </c>
      <c r="C8" s="10">
        <v>9470656</v>
      </c>
      <c r="D8" s="10" t="s">
        <v>414</v>
      </c>
      <c r="E8" s="69">
        <v>-981.95</v>
      </c>
      <c r="F8" s="69">
        <v>68.45</v>
      </c>
      <c r="G8" s="69">
        <f t="shared" si="6"/>
        <v>47.914999999999999</v>
      </c>
      <c r="H8" s="70">
        <v>0.20366600000000001</v>
      </c>
      <c r="I8" s="69">
        <f t="shared" si="1"/>
        <v>-171.20805507900005</v>
      </c>
      <c r="J8" s="61">
        <f t="shared" si="7"/>
        <v>-19.998982870000003</v>
      </c>
      <c r="K8" s="61">
        <f t="shared" si="8"/>
        <v>0.97586563900000012</v>
      </c>
      <c r="L8" s="58"/>
      <c r="M8" s="2" t="s">
        <v>334</v>
      </c>
      <c r="N8" s="2" t="s">
        <v>422</v>
      </c>
      <c r="O8" s="32">
        <v>3.1</v>
      </c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hidden="1" customHeight="1" x14ac:dyDescent="0.3">
      <c r="A9" s="32" t="s">
        <v>317</v>
      </c>
      <c r="B9" s="10" t="s">
        <v>23</v>
      </c>
      <c r="C9" s="10">
        <v>9470656</v>
      </c>
      <c r="D9" s="10" t="s">
        <v>414</v>
      </c>
      <c r="E9" s="69">
        <v>143.44999999999999</v>
      </c>
      <c r="F9" s="69">
        <v>602.65</v>
      </c>
      <c r="G9" s="69">
        <f t="shared" si="6"/>
        <v>421.85499999999996</v>
      </c>
      <c r="H9" s="70">
        <v>0.20366600000000001</v>
      </c>
      <c r="I9" s="69">
        <f t="shared" si="1"/>
        <v>103.62006731699999</v>
      </c>
      <c r="J9" s="61">
        <f t="shared" si="7"/>
        <v>2.9215887700000001</v>
      </c>
      <c r="K9" s="61">
        <f t="shared" si="8"/>
        <v>8.5917520429999996</v>
      </c>
      <c r="L9" s="58"/>
      <c r="M9" s="2" t="s">
        <v>303</v>
      </c>
      <c r="N9" s="2" t="s">
        <v>423</v>
      </c>
      <c r="O9" s="32">
        <v>-2.2999999999999998</v>
      </c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hidden="1" customHeight="1" x14ac:dyDescent="0.3">
      <c r="A10" s="32" t="s">
        <v>317</v>
      </c>
      <c r="B10" s="2" t="s">
        <v>17</v>
      </c>
      <c r="C10" s="10">
        <v>8767255</v>
      </c>
      <c r="D10" s="46" t="s">
        <v>411</v>
      </c>
      <c r="E10" s="69">
        <v>-13397.6</v>
      </c>
      <c r="F10" s="69">
        <v>763.8</v>
      </c>
      <c r="G10" s="69">
        <f t="shared" ref="G10:G11" si="9">F10*0.65</f>
        <v>496.46999999999997</v>
      </c>
      <c r="H10" s="70">
        <v>0.20366600000000001</v>
      </c>
      <c r="I10" s="69">
        <f t="shared" si="1"/>
        <v>-2364.7693883220004</v>
      </c>
      <c r="J10" s="61">
        <f t="shared" si="7"/>
        <v>-272.86356016000008</v>
      </c>
      <c r="K10" s="61">
        <f>(F10*0.05+G10*0.1)*H10</f>
        <v>17.889410441999999</v>
      </c>
      <c r="L10" s="71"/>
      <c r="M10" s="2" t="s">
        <v>424</v>
      </c>
      <c r="N10" s="2" t="s">
        <v>420</v>
      </c>
      <c r="O10" s="69">
        <v>-29.97</v>
      </c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hidden="1" customHeight="1" x14ac:dyDescent="0.3">
      <c r="A11" s="32" t="s">
        <v>317</v>
      </c>
      <c r="B11" s="2" t="s">
        <v>10</v>
      </c>
      <c r="C11" s="72" t="s">
        <v>418</v>
      </c>
      <c r="D11" s="32" t="s">
        <v>411</v>
      </c>
      <c r="E11" s="69">
        <v>-138.75</v>
      </c>
      <c r="F11" s="69">
        <v>3049.6</v>
      </c>
      <c r="G11" s="69">
        <f t="shared" si="9"/>
        <v>1982.24</v>
      </c>
      <c r="H11" s="73">
        <v>0.20576</v>
      </c>
      <c r="I11" s="69">
        <f t="shared" si="1"/>
        <v>341.38485215999998</v>
      </c>
      <c r="J11" s="61">
        <f t="shared" si="7"/>
        <v>-2.8549199999999999</v>
      </c>
      <c r="K11" s="61">
        <f>(F11*0.1+G11*0.1)*H11</f>
        <v>103.53513984</v>
      </c>
      <c r="L11" s="71"/>
      <c r="M11" s="2" t="s">
        <v>306</v>
      </c>
      <c r="N11" s="2" t="s">
        <v>425</v>
      </c>
      <c r="O11" s="32">
        <v>1.1499999999999999</v>
      </c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hidden="1" customHeight="1" x14ac:dyDescent="0.3">
      <c r="A12" s="2" t="s">
        <v>325</v>
      </c>
      <c r="B12" s="32" t="s">
        <v>23</v>
      </c>
      <c r="C12" s="10">
        <v>8767255</v>
      </c>
      <c r="D12" s="46" t="s">
        <v>411</v>
      </c>
      <c r="E12" s="69">
        <v>7298.5</v>
      </c>
      <c r="F12" s="69">
        <v>694.6</v>
      </c>
      <c r="G12" s="69">
        <f>F12*0.7</f>
        <v>486.21999999999997</v>
      </c>
      <c r="H12" s="70">
        <v>0.20449899999999999</v>
      </c>
      <c r="I12" s="69">
        <f t="shared" si="1"/>
        <v>1432.7707097519999</v>
      </c>
      <c r="J12" s="61">
        <f t="shared" si="7"/>
        <v>149.25359515</v>
      </c>
      <c r="K12" s="61">
        <f>G12*0.1*H12</f>
        <v>9.9431503779999986</v>
      </c>
      <c r="L12" s="71"/>
      <c r="M12" s="2" t="s">
        <v>367</v>
      </c>
      <c r="N12" s="2" t="s">
        <v>426</v>
      </c>
      <c r="O12" s="32">
        <v>11.04</v>
      </c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hidden="1" customHeight="1" x14ac:dyDescent="0.3">
      <c r="A13" s="2" t="s">
        <v>325</v>
      </c>
      <c r="B13" s="2" t="s">
        <v>17</v>
      </c>
      <c r="C13" s="10">
        <v>9470656</v>
      </c>
      <c r="D13" s="46" t="s">
        <v>414</v>
      </c>
      <c r="E13" s="69">
        <v>-3588.75</v>
      </c>
      <c r="F13" s="69">
        <v>882.95</v>
      </c>
      <c r="G13" s="69">
        <f t="shared" ref="G13:G15" si="10">F13*0.65</f>
        <v>573.91750000000002</v>
      </c>
      <c r="H13" s="70">
        <v>0.20449899999999999</v>
      </c>
      <c r="I13" s="69">
        <f t="shared" si="1"/>
        <v>-554.87720827575004</v>
      </c>
      <c r="J13" s="61">
        <f t="shared" si="7"/>
        <v>-73.389578624999999</v>
      </c>
      <c r="K13" s="61">
        <f t="shared" ref="K13:K14" si="11">(F13*0.05+G13*0.1)*H13</f>
        <v>20.76467508575</v>
      </c>
      <c r="L13" s="71"/>
      <c r="M13" s="2" t="s">
        <v>311</v>
      </c>
      <c r="N13" s="2" t="s">
        <v>427</v>
      </c>
      <c r="O13" s="32">
        <v>-62.94</v>
      </c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hidden="1" customHeight="1" x14ac:dyDescent="0.3">
      <c r="A14" s="2" t="s">
        <v>325</v>
      </c>
      <c r="B14" s="2" t="s">
        <v>17</v>
      </c>
      <c r="C14" s="10">
        <v>8767255</v>
      </c>
      <c r="D14" s="46" t="s">
        <v>411</v>
      </c>
      <c r="E14" s="69">
        <v>3395</v>
      </c>
      <c r="F14" s="69">
        <v>70.099999999999994</v>
      </c>
      <c r="G14" s="69">
        <f t="shared" si="10"/>
        <v>45.564999999999998</v>
      </c>
      <c r="H14" s="70">
        <v>0.20449899999999999</v>
      </c>
      <c r="I14" s="69">
        <f t="shared" si="1"/>
        <v>633.2328917415</v>
      </c>
      <c r="J14" s="61">
        <f t="shared" si="7"/>
        <v>69.427410499999993</v>
      </c>
      <c r="K14" s="61">
        <f t="shared" si="11"/>
        <v>1.6485686884999997</v>
      </c>
      <c r="L14" s="71"/>
      <c r="M14" s="2" t="s">
        <v>311</v>
      </c>
      <c r="N14" s="2" t="s">
        <v>428</v>
      </c>
      <c r="O14" s="32">
        <v>-1.0900000000000001</v>
      </c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hidden="1" customHeight="1" x14ac:dyDescent="0.3">
      <c r="A15" s="2" t="s">
        <v>325</v>
      </c>
      <c r="B15" s="32" t="s">
        <v>10</v>
      </c>
      <c r="C15" s="10">
        <v>973992</v>
      </c>
      <c r="D15" s="2" t="s">
        <v>411</v>
      </c>
      <c r="E15" s="32">
        <v>2276.9499999999998</v>
      </c>
      <c r="F15" s="32">
        <v>1531.8</v>
      </c>
      <c r="G15" s="69">
        <f t="shared" si="10"/>
        <v>995.67</v>
      </c>
      <c r="H15" s="73">
        <v>0.20080000000000001</v>
      </c>
      <c r="I15" s="69">
        <f>(E15*0.98+G15)*H15*0.9</f>
        <v>583.19807832000004</v>
      </c>
      <c r="J15" s="61">
        <f>(E15*0.02*0.9+E15*0.1)*H15</f>
        <v>53.950964079999999</v>
      </c>
      <c r="K15" s="61">
        <f>(F15*0.1+G15*0.1)*H15</f>
        <v>50.751597600000004</v>
      </c>
      <c r="L15" s="71"/>
      <c r="M15" s="2" t="s">
        <v>429</v>
      </c>
      <c r="N15" s="2" t="s">
        <v>420</v>
      </c>
      <c r="O15" s="69">
        <v>-29.97</v>
      </c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hidden="1" customHeight="1" x14ac:dyDescent="0.3">
      <c r="A16" s="2" t="s">
        <v>332</v>
      </c>
      <c r="B16" s="2" t="s">
        <v>30</v>
      </c>
      <c r="C16" s="10">
        <v>9470656</v>
      </c>
      <c r="D16" s="2" t="s">
        <v>414</v>
      </c>
      <c r="E16" s="2">
        <v>-28.25</v>
      </c>
      <c r="F16" s="2">
        <v>189.1</v>
      </c>
      <c r="G16" s="69">
        <f t="shared" ref="G16:G17" si="12">F16*0.7</f>
        <v>132.36999999999998</v>
      </c>
      <c r="H16" s="70">
        <v>0.203038</v>
      </c>
      <c r="I16" s="69">
        <f>(E16+G16)*H16*0.93</f>
        <v>19.660494400799998</v>
      </c>
      <c r="J16" s="61">
        <f>E16*0.07*H16</f>
        <v>-0.40150764500000002</v>
      </c>
      <c r="K16" s="61">
        <f>(F16*0.03+G16*0.07)*H16</f>
        <v>3.0331643781999995</v>
      </c>
      <c r="L16" s="71"/>
      <c r="M16" s="2" t="s">
        <v>314</v>
      </c>
      <c r="N16" s="2" t="s">
        <v>427</v>
      </c>
      <c r="O16" s="32">
        <v>-64.349999999999994</v>
      </c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hidden="1" customHeight="1" x14ac:dyDescent="0.3">
      <c r="A17" s="2" t="s">
        <v>332</v>
      </c>
      <c r="B17" s="32" t="s">
        <v>23</v>
      </c>
      <c r="C17" s="10">
        <v>8767255</v>
      </c>
      <c r="D17" s="46" t="s">
        <v>411</v>
      </c>
      <c r="E17" s="32">
        <v>-1427.85</v>
      </c>
      <c r="F17" s="32">
        <v>443.4</v>
      </c>
      <c r="G17" s="69">
        <f t="shared" si="12"/>
        <v>310.37999999999994</v>
      </c>
      <c r="H17" s="70">
        <v>0.201207</v>
      </c>
      <c r="I17" s="69">
        <f>(E17+G17)*H17*0.9</f>
        <v>-202.358507661</v>
      </c>
      <c r="J17" s="61">
        <f>E17*0.1*H17</f>
        <v>-28.729341495</v>
      </c>
      <c r="K17" s="61">
        <f>G17*0.1*H17</f>
        <v>6.2450628659999996</v>
      </c>
      <c r="L17" s="71"/>
      <c r="M17" s="2" t="s">
        <v>314</v>
      </c>
      <c r="N17" s="2" t="s">
        <v>430</v>
      </c>
      <c r="O17" s="32">
        <v>-0.73</v>
      </c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hidden="1" customHeight="1" x14ac:dyDescent="0.3">
      <c r="A18" s="2" t="s">
        <v>332</v>
      </c>
      <c r="B18" s="2" t="s">
        <v>10</v>
      </c>
      <c r="C18" s="10">
        <v>973992</v>
      </c>
      <c r="D18" s="10" t="s">
        <v>411</v>
      </c>
      <c r="E18" s="32">
        <v>302.10000000000002</v>
      </c>
      <c r="F18" s="32">
        <v>341.7</v>
      </c>
      <c r="G18" s="69">
        <f>F18*0.65</f>
        <v>222.10499999999999</v>
      </c>
      <c r="H18" s="73">
        <v>0.20202000000000001</v>
      </c>
      <c r="I18" s="69">
        <f>(E18*0.98+G18)*H18*0.9</f>
        <v>94.211360334000005</v>
      </c>
      <c r="J18" s="61">
        <f>(E18*0.02*0.9+E18*0.1)*H18</f>
        <v>7.2015685560000007</v>
      </c>
      <c r="K18" s="61">
        <f>(F18*0.1+G18*0.1)*H18</f>
        <v>11.38998861</v>
      </c>
      <c r="L18" s="71"/>
      <c r="M18" s="2" t="s">
        <v>431</v>
      </c>
      <c r="N18" s="2" t="s">
        <v>432</v>
      </c>
      <c r="O18" s="32">
        <v>-56.57</v>
      </c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hidden="1" customHeight="1" x14ac:dyDescent="0.3">
      <c r="A19" s="2" t="s">
        <v>340</v>
      </c>
      <c r="B19" s="2" t="s">
        <v>30</v>
      </c>
      <c r="C19" s="10">
        <v>9354117</v>
      </c>
      <c r="D19" s="10" t="s">
        <v>433</v>
      </c>
      <c r="E19" s="32">
        <v>-951.2</v>
      </c>
      <c r="F19" s="32">
        <v>132.6</v>
      </c>
      <c r="G19" s="69">
        <f t="shared" ref="G19:G21" si="13">F19*0.7</f>
        <v>92.82</v>
      </c>
      <c r="H19" s="70">
        <v>0.19996900000000001</v>
      </c>
      <c r="I19" s="69">
        <f t="shared" ref="I19:I20" si="14">(E19+G19)*H19*0.93</f>
        <v>-159.63393290460002</v>
      </c>
      <c r="J19" s="61">
        <f t="shared" ref="J19:J20" si="15">E19*0.07*H19</f>
        <v>-13.314735896000002</v>
      </c>
      <c r="K19" s="61">
        <f t="shared" ref="K19:K20" si="16">(F19*0.03+G19*0.07)*H19</f>
        <v>2.0947552626000001</v>
      </c>
      <c r="L19" s="71"/>
      <c r="M19" s="2" t="s">
        <v>316</v>
      </c>
      <c r="N19" s="2" t="s">
        <v>434</v>
      </c>
      <c r="O19" s="32">
        <v>13.3</v>
      </c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hidden="1" customHeight="1" x14ac:dyDescent="0.3">
      <c r="A20" s="2" t="s">
        <v>340</v>
      </c>
      <c r="B20" s="2" t="s">
        <v>30</v>
      </c>
      <c r="C20" s="10">
        <v>8374481</v>
      </c>
      <c r="D20" s="32" t="s">
        <v>435</v>
      </c>
      <c r="E20" s="69">
        <v>-823.7</v>
      </c>
      <c r="F20" s="69">
        <v>62.9</v>
      </c>
      <c r="G20" s="69">
        <f t="shared" si="13"/>
        <v>44.029999999999994</v>
      </c>
      <c r="H20" s="70">
        <v>0.19996900000000001</v>
      </c>
      <c r="I20" s="69">
        <f t="shared" si="14"/>
        <v>-144.99614211390002</v>
      </c>
      <c r="J20" s="61">
        <f t="shared" si="15"/>
        <v>-11.530012571000002</v>
      </c>
      <c r="K20" s="61">
        <f t="shared" si="16"/>
        <v>0.99366595790000001</v>
      </c>
      <c r="L20" s="71"/>
      <c r="M20" s="2" t="s">
        <v>436</v>
      </c>
      <c r="N20" s="2" t="s">
        <v>420</v>
      </c>
      <c r="O20" s="69">
        <v>-29.97</v>
      </c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hidden="1" customHeight="1" x14ac:dyDescent="0.3">
      <c r="A21" s="2" t="s">
        <v>340</v>
      </c>
      <c r="B21" s="32" t="s">
        <v>23</v>
      </c>
      <c r="C21" s="10">
        <v>8374481</v>
      </c>
      <c r="D21" s="32" t="s">
        <v>435</v>
      </c>
      <c r="E21" s="69">
        <v>940.7</v>
      </c>
      <c r="F21" s="69">
        <v>496.9</v>
      </c>
      <c r="G21" s="69">
        <f t="shared" si="13"/>
        <v>347.83</v>
      </c>
      <c r="H21" s="70">
        <v>0.19841300000000001</v>
      </c>
      <c r="I21" s="69">
        <f>(E21+G21)*H21*0.9</f>
        <v>230.094992601</v>
      </c>
      <c r="J21" s="61">
        <f>E21*0.1*H21</f>
        <v>18.664710910000004</v>
      </c>
      <c r="K21" s="61">
        <f>G21*0.1*H21</f>
        <v>6.9013993790000008</v>
      </c>
      <c r="L21" s="71"/>
      <c r="M21" s="2" t="s">
        <v>437</v>
      </c>
      <c r="N21" s="2" t="s">
        <v>438</v>
      </c>
      <c r="O21" s="32">
        <v>-59.94</v>
      </c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hidden="1" customHeight="1" x14ac:dyDescent="0.3">
      <c r="A22" s="2" t="s">
        <v>340</v>
      </c>
      <c r="B22" s="2" t="s">
        <v>10</v>
      </c>
      <c r="C22" s="10">
        <v>1082500</v>
      </c>
      <c r="D22" s="10" t="s">
        <v>439</v>
      </c>
      <c r="E22" s="32">
        <v>2996.65</v>
      </c>
      <c r="F22" s="32">
        <v>1031.0999999999999</v>
      </c>
      <c r="G22" s="69">
        <f>F22*0.65</f>
        <v>670.21499999999992</v>
      </c>
      <c r="H22" s="73">
        <v>0.20039999999999999</v>
      </c>
      <c r="I22" s="69">
        <f>(E22*0.98+G22)*H22</f>
        <v>722.82917279999992</v>
      </c>
      <c r="J22" s="61">
        <f>E22*0.02*H22</f>
        <v>12.0105732</v>
      </c>
      <c r="K22" s="61">
        <f>F22*0.1*H22</f>
        <v>20.663243999999999</v>
      </c>
      <c r="L22" s="71"/>
      <c r="M22" s="2" t="s">
        <v>319</v>
      </c>
      <c r="N22" s="2" t="s">
        <v>440</v>
      </c>
      <c r="O22" s="32">
        <v>-0.21</v>
      </c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hidden="1" customHeight="1" x14ac:dyDescent="0.3">
      <c r="A23" s="32" t="s">
        <v>359</v>
      </c>
      <c r="B23" s="2" t="s">
        <v>30</v>
      </c>
      <c r="C23" s="10">
        <v>9354117</v>
      </c>
      <c r="D23" s="10" t="s">
        <v>433</v>
      </c>
      <c r="E23" s="32">
        <v>-260.60000000000002</v>
      </c>
      <c r="F23" s="32">
        <v>661.15</v>
      </c>
      <c r="G23" s="69">
        <f t="shared" ref="G23:G26" si="17">F23*0.7</f>
        <v>462.80499999999995</v>
      </c>
      <c r="H23" s="70">
        <v>0.20187357</v>
      </c>
      <c r="I23" s="69">
        <f t="shared" ref="I23:I24" si="18">(E23+G23)*H23*0.93</f>
        <v>37.962456056320491</v>
      </c>
      <c r="J23" s="61">
        <f t="shared" ref="J23:J24" si="19">E23*0.07*H23</f>
        <v>-3.682577663940001</v>
      </c>
      <c r="K23" s="61">
        <f t="shared" ref="K23:K24" si="20">(F23*0.03+G23*0.07)*H23</f>
        <v>10.5440281536345</v>
      </c>
      <c r="L23" s="71"/>
      <c r="M23" s="2" t="s">
        <v>441</v>
      </c>
      <c r="N23" s="32" t="s">
        <v>442</v>
      </c>
      <c r="O23" s="69">
        <v>-3</v>
      </c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hidden="1" customHeight="1" x14ac:dyDescent="0.3">
      <c r="A24" s="32" t="s">
        <v>359</v>
      </c>
      <c r="B24" s="2" t="s">
        <v>30</v>
      </c>
      <c r="C24" s="10">
        <v>8374481</v>
      </c>
      <c r="D24" s="32" t="s">
        <v>435</v>
      </c>
      <c r="E24" s="69">
        <v>1377.25</v>
      </c>
      <c r="F24" s="69">
        <v>70.7</v>
      </c>
      <c r="G24" s="69">
        <f t="shared" si="17"/>
        <v>49.49</v>
      </c>
      <c r="H24" s="70">
        <v>0.20187357</v>
      </c>
      <c r="I24" s="69">
        <f t="shared" si="18"/>
        <v>267.85962045347401</v>
      </c>
      <c r="J24" s="61">
        <f t="shared" si="19"/>
        <v>19.462126199775003</v>
      </c>
      <c r="K24" s="61">
        <f t="shared" si="20"/>
        <v>1.127524450521</v>
      </c>
      <c r="L24" s="71"/>
      <c r="M24" s="2" t="s">
        <v>443</v>
      </c>
      <c r="N24" s="2" t="s">
        <v>444</v>
      </c>
      <c r="O24" s="32">
        <v>-226.28</v>
      </c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hidden="1" customHeight="1" x14ac:dyDescent="0.3">
      <c r="A25" s="32" t="s">
        <v>359</v>
      </c>
      <c r="B25" s="32" t="s">
        <v>23</v>
      </c>
      <c r="C25" s="10">
        <v>8374481</v>
      </c>
      <c r="D25" s="32" t="s">
        <v>435</v>
      </c>
      <c r="E25" s="32">
        <v>-2694.25</v>
      </c>
      <c r="F25" s="32">
        <v>427.35</v>
      </c>
      <c r="G25" s="69">
        <f t="shared" si="17"/>
        <v>299.14499999999998</v>
      </c>
      <c r="H25" s="70">
        <v>0.20366600000000001</v>
      </c>
      <c r="I25" s="69">
        <f t="shared" ref="I25:I26" si="21">(E25+G25)*H25*0.9</f>
        <v>-439.02130943700001</v>
      </c>
      <c r="J25" s="61">
        <f t="shared" ref="J25:J26" si="22">E25*0.1*H25</f>
        <v>-54.872712050000004</v>
      </c>
      <c r="K25" s="61">
        <f t="shared" ref="K25:K26" si="23">G25*0.1*H25</f>
        <v>6.0925665570000005</v>
      </c>
      <c r="L25" s="71"/>
      <c r="M25" s="2" t="s">
        <v>445</v>
      </c>
      <c r="N25" s="2" t="s">
        <v>438</v>
      </c>
      <c r="O25" s="32">
        <v>-59.94</v>
      </c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hidden="1" customHeight="1" x14ac:dyDescent="0.3">
      <c r="A26" s="32" t="s">
        <v>359</v>
      </c>
      <c r="B26" s="32" t="s">
        <v>23</v>
      </c>
      <c r="C26" s="10">
        <v>9354117</v>
      </c>
      <c r="D26" s="10" t="s">
        <v>433</v>
      </c>
      <c r="E26" s="32">
        <v>1746.95</v>
      </c>
      <c r="F26" s="32">
        <v>31.85</v>
      </c>
      <c r="G26" s="69">
        <f t="shared" si="17"/>
        <v>22.294999999999998</v>
      </c>
      <c r="H26" s="70">
        <v>0.20366600000000001</v>
      </c>
      <c r="I26" s="69">
        <f t="shared" si="21"/>
        <v>324.30154695300007</v>
      </c>
      <c r="J26" s="61">
        <f t="shared" si="22"/>
        <v>35.579431870000008</v>
      </c>
      <c r="K26" s="61">
        <f t="shared" si="23"/>
        <v>0.45407334700000002</v>
      </c>
      <c r="L26" s="71"/>
      <c r="M26" s="2" t="s">
        <v>398</v>
      </c>
      <c r="N26" s="32" t="s">
        <v>446</v>
      </c>
      <c r="O26" s="69">
        <v>-5.99</v>
      </c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hidden="1" customHeight="1" x14ac:dyDescent="0.3">
      <c r="A27" s="32" t="s">
        <v>359</v>
      </c>
      <c r="B27" s="2" t="s">
        <v>10</v>
      </c>
      <c r="C27" s="10">
        <v>973992</v>
      </c>
      <c r="D27" s="32" t="s">
        <v>411</v>
      </c>
      <c r="E27" s="69">
        <v>950.45</v>
      </c>
      <c r="F27" s="69">
        <v>121.25</v>
      </c>
      <c r="G27" s="69">
        <f t="shared" ref="G27:G28" si="24">F27*0.65</f>
        <v>78.8125</v>
      </c>
      <c r="H27" s="73">
        <v>0.20202000000000001</v>
      </c>
      <c r="I27" s="69">
        <f t="shared" ref="I27:I28" si="25">(E27*0.98+G27)*H27</f>
        <v>204.09141207000002</v>
      </c>
      <c r="J27" s="61">
        <f t="shared" ref="J27:J28" si="26">E27*0.02*H27</f>
        <v>3.8401981800000002</v>
      </c>
      <c r="K27" s="61">
        <f t="shared" ref="K27:K28" si="27">F27*0.1*H27</f>
        <v>2.4494924999999999</v>
      </c>
      <c r="L27" s="71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hidden="1" customHeight="1" x14ac:dyDescent="0.3">
      <c r="A28" s="32" t="s">
        <v>359</v>
      </c>
      <c r="B28" s="2" t="s">
        <v>10</v>
      </c>
      <c r="C28" s="10">
        <v>1082500</v>
      </c>
      <c r="D28" s="10" t="s">
        <v>439</v>
      </c>
      <c r="E28" s="32">
        <v>7075.25</v>
      </c>
      <c r="F28" s="32">
        <v>1957.4</v>
      </c>
      <c r="G28" s="69">
        <f t="shared" si="24"/>
        <v>1272.3100000000002</v>
      </c>
      <c r="H28" s="73">
        <v>0.20202000000000001</v>
      </c>
      <c r="I28" s="69">
        <f t="shared" si="25"/>
        <v>1657.7872311000001</v>
      </c>
      <c r="J28" s="61">
        <f t="shared" si="26"/>
        <v>28.5868401</v>
      </c>
      <c r="K28" s="61">
        <f t="shared" si="27"/>
        <v>39.543394800000002</v>
      </c>
      <c r="L28" s="71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hidden="1" customHeight="1" x14ac:dyDescent="0.3">
      <c r="A29" s="32" t="s">
        <v>359</v>
      </c>
      <c r="B29" s="2" t="s">
        <v>31</v>
      </c>
      <c r="C29" s="10">
        <v>2542408</v>
      </c>
      <c r="D29" s="2" t="s">
        <v>447</v>
      </c>
      <c r="E29" s="69">
        <v>-711.1</v>
      </c>
      <c r="F29" s="69">
        <v>556.99</v>
      </c>
      <c r="G29" s="69">
        <f t="shared" ref="G29:G33" si="28">F29*0.7</f>
        <v>389.89299999999997</v>
      </c>
      <c r="H29" s="70">
        <v>0.74240899999999999</v>
      </c>
      <c r="I29" s="69">
        <f>(E29+G29)*H29*0.8</f>
        <v>-190.77357413040002</v>
      </c>
      <c r="J29" s="61">
        <f t="shared" ref="J29:J31" si="29">E29*0.1*H29</f>
        <v>-52.79270399</v>
      </c>
      <c r="K29" s="61">
        <f t="shared" ref="K29:K31" si="30">G29*0.1*H29</f>
        <v>28.946007223700001</v>
      </c>
      <c r="L29" s="71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hidden="1" x14ac:dyDescent="0.3">
      <c r="A30" s="2" t="s">
        <v>366</v>
      </c>
      <c r="B30" s="32" t="s">
        <v>23</v>
      </c>
      <c r="C30" s="10">
        <v>8374481</v>
      </c>
      <c r="D30" s="32" t="s">
        <v>435</v>
      </c>
      <c r="E30" s="32">
        <v>-8557.5</v>
      </c>
      <c r="F30" s="32">
        <v>702.9</v>
      </c>
      <c r="G30" s="69">
        <f t="shared" si="28"/>
        <v>492.03</v>
      </c>
      <c r="H30" s="70">
        <v>0.2</v>
      </c>
      <c r="I30" s="69">
        <f t="shared" ref="I30:I31" si="31">(E30+G30)*H30*0.9</f>
        <v>-1451.7846000000002</v>
      </c>
      <c r="J30" s="61">
        <f t="shared" si="29"/>
        <v>-171.15</v>
      </c>
      <c r="K30" s="61">
        <f t="shared" si="30"/>
        <v>9.840600000000002</v>
      </c>
      <c r="L30" s="71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hidden="1" x14ac:dyDescent="0.3">
      <c r="A31" s="2" t="s">
        <v>366</v>
      </c>
      <c r="B31" s="32" t="s">
        <v>23</v>
      </c>
      <c r="C31" s="10">
        <v>9354117</v>
      </c>
      <c r="D31" s="10" t="s">
        <v>433</v>
      </c>
      <c r="E31" s="32">
        <v>1614.95</v>
      </c>
      <c r="F31" s="32">
        <v>452.2</v>
      </c>
      <c r="G31" s="69">
        <f t="shared" si="28"/>
        <v>316.53999999999996</v>
      </c>
      <c r="H31" s="70">
        <v>0.2</v>
      </c>
      <c r="I31" s="69">
        <f t="shared" si="31"/>
        <v>347.66820000000001</v>
      </c>
      <c r="J31" s="61">
        <f t="shared" si="29"/>
        <v>32.298999999999999</v>
      </c>
      <c r="K31" s="61">
        <f t="shared" si="30"/>
        <v>6.3308</v>
      </c>
      <c r="L31" s="71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hidden="1" x14ac:dyDescent="0.3">
      <c r="A32" s="2" t="s">
        <v>366</v>
      </c>
      <c r="B32" s="2" t="s">
        <v>30</v>
      </c>
      <c r="C32" s="10">
        <v>9354117</v>
      </c>
      <c r="D32" s="10" t="s">
        <v>433</v>
      </c>
      <c r="E32" s="32">
        <v>5584.05</v>
      </c>
      <c r="F32" s="32">
        <v>544.4</v>
      </c>
      <c r="G32" s="69">
        <f t="shared" si="28"/>
        <v>381.08</v>
      </c>
      <c r="H32" s="70">
        <v>0.20166645999999999</v>
      </c>
      <c r="I32" s="69">
        <f t="shared" ref="I32:I33" si="32">(E32+G32)*H32*0.93</f>
        <v>1118.758985002014</v>
      </c>
      <c r="J32" s="61">
        <f t="shared" ref="J32:J33" si="33">E32*0.07*H32</f>
        <v>78.828091717410004</v>
      </c>
      <c r="K32" s="61">
        <f t="shared" ref="K32:K33" si="34">(F32*0.03+G32*0.07)*H32</f>
        <v>8.6731904450959991</v>
      </c>
      <c r="L32" s="71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hidden="1" x14ac:dyDescent="0.3">
      <c r="A33" s="2" t="s">
        <v>366</v>
      </c>
      <c r="B33" s="2" t="s">
        <v>30</v>
      </c>
      <c r="C33" s="10">
        <v>8374481</v>
      </c>
      <c r="D33" s="32" t="s">
        <v>435</v>
      </c>
      <c r="E33" s="69">
        <v>-1169.8</v>
      </c>
      <c r="F33" s="69">
        <v>42.6</v>
      </c>
      <c r="G33" s="69">
        <f t="shared" si="28"/>
        <v>29.82</v>
      </c>
      <c r="H33" s="70">
        <v>0.20166645999999999</v>
      </c>
      <c r="I33" s="69">
        <f t="shared" si="32"/>
        <v>-213.80302989584402</v>
      </c>
      <c r="J33" s="61">
        <f t="shared" si="33"/>
        <v>-16.513659743560002</v>
      </c>
      <c r="K33" s="61">
        <f t="shared" si="34"/>
        <v>0.67868830448399997</v>
      </c>
      <c r="L33" s="71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hidden="1" x14ac:dyDescent="0.3">
      <c r="A34" s="2" t="s">
        <v>366</v>
      </c>
      <c r="B34" s="2" t="s">
        <v>10</v>
      </c>
      <c r="C34" s="10">
        <v>973992</v>
      </c>
      <c r="D34" s="32" t="s">
        <v>411</v>
      </c>
      <c r="E34" s="69">
        <v>-2589.5</v>
      </c>
      <c r="F34" s="69">
        <v>2236.4499999999998</v>
      </c>
      <c r="G34" s="69">
        <f t="shared" ref="G34:G35" si="35">F34*0.65</f>
        <v>1453.6924999999999</v>
      </c>
      <c r="H34" s="73">
        <v>0.20161299999999999</v>
      </c>
      <c r="I34" s="69">
        <f t="shared" ref="I34:I35" si="36">(E34+G34)*H34</f>
        <v>-228.99355749750001</v>
      </c>
      <c r="J34" s="61">
        <v>0</v>
      </c>
      <c r="K34" s="61">
        <f t="shared" ref="K34:K35" si="37">F34*0.1*H34</f>
        <v>45.089739384999994</v>
      </c>
      <c r="L34" s="71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hidden="1" x14ac:dyDescent="0.3">
      <c r="A35" s="2" t="s">
        <v>366</v>
      </c>
      <c r="B35" s="2" t="s">
        <v>10</v>
      </c>
      <c r="C35" s="10">
        <v>1082500</v>
      </c>
      <c r="D35" s="10" t="s">
        <v>439</v>
      </c>
      <c r="E35" s="32">
        <v>-11739.25</v>
      </c>
      <c r="F35" s="32">
        <v>2042.85</v>
      </c>
      <c r="G35" s="69">
        <f t="shared" si="35"/>
        <v>1327.8525</v>
      </c>
      <c r="H35" s="73">
        <v>0.20161299999999999</v>
      </c>
      <c r="I35" s="69">
        <f t="shared" si="36"/>
        <v>-2099.0730841674995</v>
      </c>
      <c r="J35" s="61">
        <v>0</v>
      </c>
      <c r="K35" s="61">
        <f t="shared" si="37"/>
        <v>41.186511704999994</v>
      </c>
      <c r="L35" s="71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hidden="1" x14ac:dyDescent="0.3">
      <c r="A36" s="32" t="s">
        <v>366</v>
      </c>
      <c r="B36" s="10" t="s">
        <v>31</v>
      </c>
      <c r="C36" s="10">
        <v>2542408</v>
      </c>
      <c r="D36" s="2" t="s">
        <v>447</v>
      </c>
      <c r="E36" s="69">
        <v>22.68</v>
      </c>
      <c r="F36" s="69">
        <v>96.14</v>
      </c>
      <c r="G36" s="69">
        <f t="shared" ref="G36:G37" si="38">F36*0.7</f>
        <v>67.298000000000002</v>
      </c>
      <c r="H36" s="70">
        <v>0.74417500000000003</v>
      </c>
      <c r="I36" s="69">
        <f>(E36+G36)*H36*0.8</f>
        <v>53.567502520000005</v>
      </c>
      <c r="J36" s="61">
        <f t="shared" ref="J36:J37" si="39">E36*0.1*H36</f>
        <v>1.6877889000000001</v>
      </c>
      <c r="K36" s="61">
        <f t="shared" ref="K36:K37" si="40">G36*0.1*H36</f>
        <v>5.0081489150000005</v>
      </c>
      <c r="L36" s="71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hidden="1" x14ac:dyDescent="0.3">
      <c r="A37" s="2" t="s">
        <v>370</v>
      </c>
      <c r="B37" s="32" t="s">
        <v>23</v>
      </c>
      <c r="C37" s="10">
        <v>8374481</v>
      </c>
      <c r="D37" s="32" t="s">
        <v>435</v>
      </c>
      <c r="E37" s="32">
        <v>610.5</v>
      </c>
      <c r="F37" s="32">
        <v>501.45</v>
      </c>
      <c r="G37" s="69">
        <f t="shared" si="38"/>
        <v>351.01499999999999</v>
      </c>
      <c r="H37" s="70">
        <v>0.199203187</v>
      </c>
      <c r="I37" s="69">
        <f>(E37+G37)*H37*0.9</f>
        <v>172.38316711347449</v>
      </c>
      <c r="J37" s="61">
        <f t="shared" si="39"/>
        <v>12.161354566350001</v>
      </c>
      <c r="K37" s="61">
        <f t="shared" si="40"/>
        <v>6.9923306684805002</v>
      </c>
      <c r="L37" s="71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hidden="1" x14ac:dyDescent="0.3">
      <c r="A38" s="2" t="s">
        <v>370</v>
      </c>
      <c r="B38" s="2" t="s">
        <v>10</v>
      </c>
      <c r="C38" s="10">
        <v>973992</v>
      </c>
      <c r="D38" s="10" t="s">
        <v>411</v>
      </c>
      <c r="E38" s="32">
        <v>1822.7</v>
      </c>
      <c r="F38" s="32">
        <v>512.85</v>
      </c>
      <c r="G38" s="69">
        <f t="shared" ref="G38:G39" si="41">F38*0.65</f>
        <v>333.35250000000002</v>
      </c>
      <c r="H38" s="70">
        <v>0.20080300000000001</v>
      </c>
      <c r="I38" s="69">
        <f>(E38*0.98+G38)*H38</f>
        <v>425.62173759550001</v>
      </c>
      <c r="J38" s="61">
        <f>E38*0.02*H38</f>
        <v>7.3200725620000009</v>
      </c>
      <c r="K38" s="61">
        <f t="shared" ref="K38:K39" si="42">F38*0.1*H38</f>
        <v>10.298181855000001</v>
      </c>
      <c r="L38" s="71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hidden="1" x14ac:dyDescent="0.3">
      <c r="A39" s="2" t="s">
        <v>370</v>
      </c>
      <c r="B39" s="2" t="s">
        <v>10</v>
      </c>
      <c r="C39" s="10">
        <v>1082500</v>
      </c>
      <c r="D39" s="32" t="s">
        <v>439</v>
      </c>
      <c r="E39" s="69">
        <v>-305.25</v>
      </c>
      <c r="F39" s="69">
        <v>1620.1</v>
      </c>
      <c r="G39" s="69">
        <f t="shared" si="41"/>
        <v>1053.0650000000001</v>
      </c>
      <c r="H39" s="70">
        <v>0.20080300000000001</v>
      </c>
      <c r="I39" s="69">
        <f>(E39+G39)*H39</f>
        <v>150.16349544500002</v>
      </c>
      <c r="J39" s="61">
        <v>0</v>
      </c>
      <c r="K39" s="61">
        <f t="shared" si="42"/>
        <v>32.532094030000003</v>
      </c>
      <c r="L39" s="71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hidden="1" x14ac:dyDescent="0.3">
      <c r="A40" s="2" t="s">
        <v>370</v>
      </c>
      <c r="B40" s="2" t="s">
        <v>30</v>
      </c>
      <c r="C40" s="10">
        <v>9354117</v>
      </c>
      <c r="D40" s="32" t="s">
        <v>448</v>
      </c>
      <c r="E40" s="69">
        <v>5233.8500000000004</v>
      </c>
      <c r="F40" s="69">
        <v>959.9</v>
      </c>
      <c r="G40" s="69">
        <f t="shared" ref="G40:G44" si="43">F40*0.7</f>
        <v>671.93</v>
      </c>
      <c r="H40" s="70">
        <v>0.20039899999999999</v>
      </c>
      <c r="I40" s="69">
        <f t="shared" ref="I40:I42" si="44">(E40+G40)*H40*0.93</f>
        <v>1100.6665377846</v>
      </c>
      <c r="J40" s="61">
        <f t="shared" ref="J40:J42" si="45">E40*0.07*H40</f>
        <v>73.420081430500019</v>
      </c>
      <c r="K40" s="61">
        <f t="shared" ref="K40:K42" si="46">(F40*0.03+G40*0.07)*H40</f>
        <v>15.196677007899998</v>
      </c>
      <c r="L40" s="71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hidden="1" x14ac:dyDescent="0.3">
      <c r="A41" s="2" t="s">
        <v>370</v>
      </c>
      <c r="B41" s="2" t="s">
        <v>30</v>
      </c>
      <c r="C41" s="10">
        <v>8374481</v>
      </c>
      <c r="D41" s="10" t="s">
        <v>435</v>
      </c>
      <c r="E41" s="32">
        <v>5166.8</v>
      </c>
      <c r="F41" s="32">
        <v>130.30000000000001</v>
      </c>
      <c r="G41" s="69">
        <f t="shared" si="43"/>
        <v>91.210000000000008</v>
      </c>
      <c r="H41" s="70">
        <v>0.20039899999999999</v>
      </c>
      <c r="I41" s="69">
        <f t="shared" si="44"/>
        <v>979.94094977070006</v>
      </c>
      <c r="J41" s="61">
        <f t="shared" si="45"/>
        <v>72.479508724000013</v>
      </c>
      <c r="K41" s="61">
        <f t="shared" si="46"/>
        <v>2.0628471863</v>
      </c>
      <c r="L41" s="71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hidden="1" x14ac:dyDescent="0.3">
      <c r="A42" s="2" t="s">
        <v>370</v>
      </c>
      <c r="B42" s="2" t="s">
        <v>30</v>
      </c>
      <c r="C42" s="10">
        <v>9313629</v>
      </c>
      <c r="D42" s="10" t="s">
        <v>449</v>
      </c>
      <c r="E42" s="32">
        <v>6197.6</v>
      </c>
      <c r="F42" s="32">
        <v>499.8</v>
      </c>
      <c r="G42" s="69">
        <f t="shared" si="43"/>
        <v>349.86</v>
      </c>
      <c r="H42" s="70">
        <v>0.20039899999999999</v>
      </c>
      <c r="I42" s="69">
        <f t="shared" si="44"/>
        <v>1220.2571259822</v>
      </c>
      <c r="J42" s="61">
        <f t="shared" si="45"/>
        <v>86.939498968000009</v>
      </c>
      <c r="K42" s="61">
        <f t="shared" si="46"/>
        <v>7.9125941957999997</v>
      </c>
      <c r="L42" s="71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hidden="1" x14ac:dyDescent="0.3">
      <c r="A43" s="2" t="s">
        <v>370</v>
      </c>
      <c r="B43" s="10" t="s">
        <v>31</v>
      </c>
      <c r="C43" s="10">
        <v>2542408</v>
      </c>
      <c r="D43" s="2" t="s">
        <v>447</v>
      </c>
      <c r="E43" s="69">
        <v>-31.4</v>
      </c>
      <c r="F43" s="69">
        <v>23.4</v>
      </c>
      <c r="G43" s="69">
        <f t="shared" si="43"/>
        <v>16.38</v>
      </c>
      <c r="H43" s="70">
        <v>0.74369300000000005</v>
      </c>
      <c r="I43" s="69">
        <f>(E43+G43)*H43*0.8</f>
        <v>-8.9362150880000009</v>
      </c>
      <c r="J43" s="61">
        <f t="shared" ref="J43:J44" si="47">E43*0.1*H43</f>
        <v>-2.3351960200000001</v>
      </c>
      <c r="K43" s="61">
        <f t="shared" ref="K43:K44" si="48">G43*0.1*H43</f>
        <v>1.218169134</v>
      </c>
      <c r="L43" s="71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hidden="1" x14ac:dyDescent="0.3">
      <c r="A44" s="2" t="s">
        <v>372</v>
      </c>
      <c r="B44" s="32" t="s">
        <v>23</v>
      </c>
      <c r="C44" s="10">
        <v>8374481</v>
      </c>
      <c r="D44" s="32" t="s">
        <v>435</v>
      </c>
      <c r="E44" s="32">
        <v>-180.55</v>
      </c>
      <c r="F44" s="32">
        <v>1326.2</v>
      </c>
      <c r="G44" s="69">
        <f t="shared" si="43"/>
        <v>928.33999999999992</v>
      </c>
      <c r="H44" s="70">
        <v>0.20366598799999999</v>
      </c>
      <c r="I44" s="69">
        <f>(E44+G44)*H44*0.9</f>
        <v>137.06945024986797</v>
      </c>
      <c r="J44" s="61">
        <f t="shared" si="47"/>
        <v>-3.6771894133400007</v>
      </c>
      <c r="K44" s="61">
        <f t="shared" si="48"/>
        <v>18.907128329991998</v>
      </c>
      <c r="L44" s="71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hidden="1" x14ac:dyDescent="0.3">
      <c r="A45" s="2" t="s">
        <v>372</v>
      </c>
      <c r="B45" s="2" t="s">
        <v>10</v>
      </c>
      <c r="C45" s="10">
        <v>973992</v>
      </c>
      <c r="D45" s="32" t="s">
        <v>411</v>
      </c>
      <c r="E45" s="69">
        <v>-1589.85</v>
      </c>
      <c r="F45" s="69">
        <v>1225.3499999999999</v>
      </c>
      <c r="G45" s="69">
        <f t="shared" ref="G45:G46" si="49">F45*0.65</f>
        <v>796.47749999999996</v>
      </c>
      <c r="H45" s="70">
        <v>0.20202000000000001</v>
      </c>
      <c r="I45" s="69">
        <f t="shared" ref="I45:I46" si="50">(E45+G45)*H45</f>
        <v>-160.27711245</v>
      </c>
      <c r="J45" s="61">
        <v>0</v>
      </c>
      <c r="K45" s="61">
        <f t="shared" ref="K45:K46" si="51">F45*0.1*H45</f>
        <v>24.7545207</v>
      </c>
      <c r="L45" s="71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hidden="1" x14ac:dyDescent="0.3">
      <c r="A46" s="2" t="s">
        <v>372</v>
      </c>
      <c r="B46" s="2" t="s">
        <v>10</v>
      </c>
      <c r="C46" s="10">
        <v>1082500</v>
      </c>
      <c r="D46" s="10" t="s">
        <v>439</v>
      </c>
      <c r="E46" s="32">
        <v>-2673.25</v>
      </c>
      <c r="F46" s="32">
        <v>2918.5</v>
      </c>
      <c r="G46" s="69">
        <f t="shared" si="49"/>
        <v>1897.0250000000001</v>
      </c>
      <c r="H46" s="70">
        <v>0.20202000000000001</v>
      </c>
      <c r="I46" s="69">
        <f t="shared" si="50"/>
        <v>-156.8129745</v>
      </c>
      <c r="J46" s="61">
        <v>0</v>
      </c>
      <c r="K46" s="61">
        <f t="shared" si="51"/>
        <v>58.959537000000005</v>
      </c>
      <c r="L46" s="71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hidden="1" x14ac:dyDescent="0.3">
      <c r="A47" s="2" t="s">
        <v>372</v>
      </c>
      <c r="B47" s="2" t="s">
        <v>30</v>
      </c>
      <c r="C47" s="10">
        <v>9354117</v>
      </c>
      <c r="D47" s="32" t="s">
        <v>448</v>
      </c>
      <c r="E47" s="32">
        <v>936.55</v>
      </c>
      <c r="F47" s="32">
        <v>1019.35</v>
      </c>
      <c r="G47" s="69">
        <f t="shared" ref="G47:G50" si="52">F47*0.7</f>
        <v>713.54499999999996</v>
      </c>
      <c r="H47" s="70">
        <v>0.20230899999999999</v>
      </c>
      <c r="I47" s="69">
        <f t="shared" ref="I47:I49" si="53">(E47+G47)*H47*0.93</f>
        <v>310.46103450014999</v>
      </c>
      <c r="J47" s="61">
        <f t="shared" ref="J47:J49" si="54">E47*0.07*H47</f>
        <v>13.263074576500001</v>
      </c>
      <c r="K47" s="61">
        <f t="shared" ref="K47:K49" si="55">(F47*0.03+G47*0.07)*H47</f>
        <v>16.291670652849998</v>
      </c>
      <c r="L47" s="71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hidden="1" x14ac:dyDescent="0.3">
      <c r="A48" s="2" t="s">
        <v>372</v>
      </c>
      <c r="B48" s="2" t="s">
        <v>30</v>
      </c>
      <c r="C48" s="10">
        <v>9313629</v>
      </c>
      <c r="D48" s="10" t="s">
        <v>449</v>
      </c>
      <c r="E48" s="32">
        <v>-3746.4</v>
      </c>
      <c r="F48" s="32">
        <v>1162.3499999999999</v>
      </c>
      <c r="G48" s="69">
        <f t="shared" si="52"/>
        <v>813.64499999999987</v>
      </c>
      <c r="H48" s="70">
        <v>0.20230899999999999</v>
      </c>
      <c r="I48" s="69">
        <f t="shared" si="53"/>
        <v>-551.79014010435003</v>
      </c>
      <c r="J48" s="61">
        <f t="shared" si="54"/>
        <v>-53.055130632000008</v>
      </c>
      <c r="K48" s="61">
        <f t="shared" si="55"/>
        <v>18.577155425849998</v>
      </c>
      <c r="L48" s="71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hidden="1" x14ac:dyDescent="0.3">
      <c r="A49" s="2" t="s">
        <v>372</v>
      </c>
      <c r="B49" s="10" t="s">
        <v>25</v>
      </c>
      <c r="C49" s="10">
        <v>8374481</v>
      </c>
      <c r="D49" s="32" t="s">
        <v>435</v>
      </c>
      <c r="E49" s="32">
        <v>-5967.4</v>
      </c>
      <c r="F49" s="32">
        <v>498.9</v>
      </c>
      <c r="G49" s="69">
        <f t="shared" si="52"/>
        <v>349.22999999999996</v>
      </c>
      <c r="H49" s="70">
        <v>0.20219311000000001</v>
      </c>
      <c r="I49" s="69">
        <f t="shared" si="53"/>
        <v>-1056.4383962720913</v>
      </c>
      <c r="J49" s="61">
        <f t="shared" si="54"/>
        <v>-84.459701522980012</v>
      </c>
      <c r="K49" s="61">
        <f t="shared" si="55"/>
        <v>7.969057263741</v>
      </c>
      <c r="L49" s="71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hidden="1" x14ac:dyDescent="0.3">
      <c r="A50" s="2" t="s">
        <v>377</v>
      </c>
      <c r="B50" s="32" t="s">
        <v>23</v>
      </c>
      <c r="C50" s="10">
        <v>8374481</v>
      </c>
      <c r="D50" s="32" t="s">
        <v>435</v>
      </c>
      <c r="E50" s="32">
        <v>-7860.5</v>
      </c>
      <c r="F50" s="32">
        <v>820.4</v>
      </c>
      <c r="G50" s="69">
        <f t="shared" si="52"/>
        <v>574.28</v>
      </c>
      <c r="H50" s="70">
        <v>0.20283999999999999</v>
      </c>
      <c r="I50" s="69">
        <f>(E50+G50)*H50*0.9</f>
        <v>-1330.1431783200001</v>
      </c>
      <c r="J50" s="61">
        <f>E50*0.1*H50</f>
        <v>-159.44238200000001</v>
      </c>
      <c r="K50" s="61">
        <f>G50*0.1*H50</f>
        <v>11.648695519999999</v>
      </c>
      <c r="L50" s="71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hidden="1" x14ac:dyDescent="0.3">
      <c r="A51" s="2" t="s">
        <v>377</v>
      </c>
      <c r="B51" s="2" t="s">
        <v>10</v>
      </c>
      <c r="C51" s="10">
        <v>973992</v>
      </c>
      <c r="D51" s="10" t="s">
        <v>411</v>
      </c>
      <c r="E51" s="32">
        <v>6233.8</v>
      </c>
      <c r="F51" s="32">
        <v>379.5</v>
      </c>
      <c r="G51" s="69">
        <f t="shared" ref="G51:G52" si="56">F51*0.65</f>
        <v>246.67500000000001</v>
      </c>
      <c r="H51" s="70">
        <v>0.20080300000000001</v>
      </c>
      <c r="I51" s="69">
        <f>(E51*0.98+G51)*H51</f>
        <v>1276.2635065970001</v>
      </c>
      <c r="J51" s="61">
        <f>E51*0.02*H51</f>
        <v>25.035314828000001</v>
      </c>
      <c r="K51" s="61">
        <f t="shared" ref="K51:K52" si="57">F51*0.1*H51</f>
        <v>7.6204738500000007</v>
      </c>
      <c r="L51" s="71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hidden="1" x14ac:dyDescent="0.3">
      <c r="A52" s="2" t="s">
        <v>377</v>
      </c>
      <c r="B52" s="2" t="s">
        <v>10</v>
      </c>
      <c r="C52" s="10">
        <v>1082500</v>
      </c>
      <c r="D52" s="32" t="s">
        <v>439</v>
      </c>
      <c r="E52" s="32">
        <v>-5343.2</v>
      </c>
      <c r="F52" s="32">
        <v>784.1</v>
      </c>
      <c r="G52" s="69">
        <f t="shared" si="56"/>
        <v>509.66500000000002</v>
      </c>
      <c r="H52" s="70">
        <v>0.20080300000000001</v>
      </c>
      <c r="I52" s="69">
        <f>(E52+G52)*H52</f>
        <v>-970.58832860500002</v>
      </c>
      <c r="J52" s="61">
        <v>0</v>
      </c>
      <c r="K52" s="61">
        <f t="shared" si="57"/>
        <v>15.744963230000003</v>
      </c>
      <c r="L52" s="71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hidden="1" x14ac:dyDescent="0.3">
      <c r="A53" s="2" t="s">
        <v>377</v>
      </c>
      <c r="B53" s="2" t="s">
        <v>30</v>
      </c>
      <c r="C53" s="10">
        <v>9313629</v>
      </c>
      <c r="D53" s="10" t="s">
        <v>449</v>
      </c>
      <c r="E53" s="32">
        <v>-14543.35</v>
      </c>
      <c r="F53" s="32">
        <v>926.85</v>
      </c>
      <c r="G53" s="69">
        <f t="shared" ref="G53:G56" si="58">F53*0.7</f>
        <v>648.79499999999996</v>
      </c>
      <c r="H53" s="70">
        <v>0.20088900000000001</v>
      </c>
      <c r="I53" s="69">
        <f t="shared" ref="I53:I56" si="59">(E53+G53)*H53*0.93</f>
        <v>-2595.8748312373505</v>
      </c>
      <c r="J53" s="61">
        <f t="shared" ref="J53:J56" si="60">E53*0.07*H53</f>
        <v>-204.51193267050004</v>
      </c>
      <c r="K53" s="61">
        <f t="shared" ref="K53:K56" si="61">(F53*0.03+G53*0.07)*H53</f>
        <v>14.70932360235</v>
      </c>
      <c r="L53" s="71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hidden="1" x14ac:dyDescent="0.3">
      <c r="A54" s="2" t="s">
        <v>377</v>
      </c>
      <c r="B54" s="2" t="s">
        <v>30</v>
      </c>
      <c r="C54" s="10">
        <v>9470656</v>
      </c>
      <c r="D54" s="10" t="s">
        <v>414</v>
      </c>
      <c r="E54" s="32">
        <v>40</v>
      </c>
      <c r="F54" s="32">
        <v>0</v>
      </c>
      <c r="G54" s="69">
        <f t="shared" si="58"/>
        <v>0</v>
      </c>
      <c r="H54" s="70">
        <v>0.20088900000000001</v>
      </c>
      <c r="I54" s="69">
        <f t="shared" si="59"/>
        <v>7.4730708000000003</v>
      </c>
      <c r="J54" s="61">
        <f t="shared" si="60"/>
        <v>0.56248920000000013</v>
      </c>
      <c r="K54" s="61">
        <f t="shared" si="61"/>
        <v>0</v>
      </c>
      <c r="L54" s="71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hidden="1" x14ac:dyDescent="0.3">
      <c r="A55" s="2" t="s">
        <v>377</v>
      </c>
      <c r="B55" s="2" t="s">
        <v>30</v>
      </c>
      <c r="C55" s="10">
        <v>9354117</v>
      </c>
      <c r="D55" s="10" t="s">
        <v>448</v>
      </c>
      <c r="E55" s="32">
        <v>5964.55</v>
      </c>
      <c r="F55" s="32">
        <v>1009.45</v>
      </c>
      <c r="G55" s="69">
        <f t="shared" si="58"/>
        <v>706.61500000000001</v>
      </c>
      <c r="H55" s="70">
        <v>0.20088900000000001</v>
      </c>
      <c r="I55" s="69">
        <f t="shared" si="59"/>
        <v>1246.3522090870501</v>
      </c>
      <c r="J55" s="61">
        <f t="shared" si="60"/>
        <v>83.874873946500017</v>
      </c>
      <c r="K55" s="61">
        <f t="shared" si="61"/>
        <v>16.020204682950002</v>
      </c>
      <c r="L55" s="71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hidden="1" x14ac:dyDescent="0.3">
      <c r="A56" s="2" t="s">
        <v>377</v>
      </c>
      <c r="B56" s="32" t="s">
        <v>25</v>
      </c>
      <c r="C56" s="10">
        <v>8374481</v>
      </c>
      <c r="D56" s="32" t="s">
        <v>435</v>
      </c>
      <c r="E56" s="69">
        <v>-706.25</v>
      </c>
      <c r="F56" s="69">
        <v>564.1</v>
      </c>
      <c r="G56" s="69">
        <f t="shared" si="58"/>
        <v>394.87</v>
      </c>
      <c r="H56" s="70">
        <v>0.200817</v>
      </c>
      <c r="I56" s="69">
        <f t="shared" si="59"/>
        <v>-58.153269637800001</v>
      </c>
      <c r="J56" s="61">
        <f t="shared" si="60"/>
        <v>-9.9278904375000003</v>
      </c>
      <c r="K56" s="61">
        <f t="shared" si="61"/>
        <v>8.9491887063000011</v>
      </c>
      <c r="L56" s="71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hidden="1" x14ac:dyDescent="0.3">
      <c r="A57" s="32" t="s">
        <v>379</v>
      </c>
      <c r="B57" s="2" t="s">
        <v>10</v>
      </c>
      <c r="C57" s="10">
        <v>804458</v>
      </c>
      <c r="D57" s="10" t="s">
        <v>450</v>
      </c>
      <c r="E57" s="32">
        <v>-36</v>
      </c>
      <c r="F57" s="32">
        <v>1.4</v>
      </c>
      <c r="G57" s="69">
        <f t="shared" ref="G57:G61" si="62">F57*0.65</f>
        <v>0.90999999999999992</v>
      </c>
      <c r="H57" s="70">
        <v>0.19920299999999999</v>
      </c>
      <c r="I57" s="69">
        <f>(E57+G57)*H57</f>
        <v>-6.9900332700000005</v>
      </c>
      <c r="J57" s="61">
        <v>0</v>
      </c>
      <c r="K57" s="61">
        <f t="shared" ref="K57:K61" si="63">F57*0.1*H57</f>
        <v>2.7888419999999997E-2</v>
      </c>
      <c r="L57" s="71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hidden="1" x14ac:dyDescent="0.3">
      <c r="A58" s="32" t="s">
        <v>379</v>
      </c>
      <c r="B58" s="2" t="s">
        <v>10</v>
      </c>
      <c r="C58" s="10">
        <v>973992</v>
      </c>
      <c r="D58" s="10" t="s">
        <v>411</v>
      </c>
      <c r="E58" s="32">
        <v>2373.0500000000002</v>
      </c>
      <c r="F58" s="32">
        <v>257.55</v>
      </c>
      <c r="G58" s="69">
        <f t="shared" si="62"/>
        <v>167.40750000000003</v>
      </c>
      <c r="H58" s="70">
        <v>0.19920299999999999</v>
      </c>
      <c r="I58" s="69">
        <f t="shared" ref="I58:I59" si="64">(E58*0.98+G58)*H58</f>
        <v>496.61238178950003</v>
      </c>
      <c r="J58" s="61">
        <f t="shared" ref="J58:J59" si="65">E58*0.02*H58</f>
        <v>9.4543735830000006</v>
      </c>
      <c r="K58" s="61">
        <f t="shared" si="63"/>
        <v>5.130473265</v>
      </c>
      <c r="L58" s="71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hidden="1" x14ac:dyDescent="0.3">
      <c r="A59" s="32" t="s">
        <v>379</v>
      </c>
      <c r="B59" s="2" t="s">
        <v>10</v>
      </c>
      <c r="C59" s="10">
        <v>1082500</v>
      </c>
      <c r="D59" s="10" t="s">
        <v>439</v>
      </c>
      <c r="E59" s="32">
        <v>688.8</v>
      </c>
      <c r="F59" s="32">
        <v>241.6</v>
      </c>
      <c r="G59" s="69">
        <f t="shared" si="62"/>
        <v>157.04</v>
      </c>
      <c r="H59" s="70">
        <v>0.19920299999999999</v>
      </c>
      <c r="I59" s="69">
        <f t="shared" si="64"/>
        <v>165.74964499199996</v>
      </c>
      <c r="J59" s="61">
        <f t="shared" si="65"/>
        <v>2.744220528</v>
      </c>
      <c r="K59" s="61">
        <f t="shared" si="63"/>
        <v>4.8127444800000001</v>
      </c>
      <c r="L59" s="71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hidden="1" x14ac:dyDescent="0.3">
      <c r="A60" s="32" t="s">
        <v>379</v>
      </c>
      <c r="B60" s="2" t="s">
        <v>10</v>
      </c>
      <c r="C60" s="10">
        <v>1117069</v>
      </c>
      <c r="D60" s="32" t="s">
        <v>451</v>
      </c>
      <c r="E60" s="69">
        <v>-183.6</v>
      </c>
      <c r="F60" s="69">
        <v>10.6</v>
      </c>
      <c r="G60" s="69">
        <f t="shared" si="62"/>
        <v>6.89</v>
      </c>
      <c r="H60" s="70">
        <v>0.19920299999999999</v>
      </c>
      <c r="I60" s="69">
        <f t="shared" ref="I60:I61" si="66">(E60+G60)*H60</f>
        <v>-35.20116213</v>
      </c>
      <c r="J60" s="61">
        <v>0</v>
      </c>
      <c r="K60" s="61">
        <f t="shared" si="63"/>
        <v>0.21115518</v>
      </c>
      <c r="L60" s="71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hidden="1" x14ac:dyDescent="0.3">
      <c r="A61" s="32" t="s">
        <v>379</v>
      </c>
      <c r="B61" s="2" t="s">
        <v>10</v>
      </c>
      <c r="C61" s="10">
        <v>1117075</v>
      </c>
      <c r="D61" s="10" t="s">
        <v>452</v>
      </c>
      <c r="E61" s="32">
        <v>-525.6</v>
      </c>
      <c r="F61" s="32">
        <v>172.6</v>
      </c>
      <c r="G61" s="69">
        <f t="shared" si="62"/>
        <v>112.19</v>
      </c>
      <c r="H61" s="70">
        <v>0.19920299999999999</v>
      </c>
      <c r="I61" s="69">
        <f t="shared" si="66"/>
        <v>-82.352512230000002</v>
      </c>
      <c r="J61" s="61">
        <v>0</v>
      </c>
      <c r="K61" s="61">
        <f t="shared" si="63"/>
        <v>3.4382437800000001</v>
      </c>
      <c r="L61" s="71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hidden="1" x14ac:dyDescent="0.3">
      <c r="A62" s="32" t="s">
        <v>379</v>
      </c>
      <c r="B62" s="2" t="s">
        <v>30</v>
      </c>
      <c r="C62" s="10">
        <v>9354117</v>
      </c>
      <c r="D62" s="10" t="s">
        <v>448</v>
      </c>
      <c r="E62" s="32">
        <v>-2686.1</v>
      </c>
      <c r="F62" s="32">
        <v>1190.5999999999999</v>
      </c>
      <c r="G62" s="69">
        <f t="shared" ref="G62:G67" si="67">F62*0.7</f>
        <v>833.41999999999985</v>
      </c>
      <c r="H62" s="70">
        <v>0.19900100000000001</v>
      </c>
      <c r="I62" s="69">
        <f t="shared" ref="I62:I66" si="68">(E62+G62)*H62*0.93</f>
        <v>-342.87721059240005</v>
      </c>
      <c r="J62" s="61">
        <f t="shared" ref="J62:J66" si="69">E62*0.07*H62</f>
        <v>-37.417561027000005</v>
      </c>
      <c r="K62" s="61">
        <f t="shared" ref="K62:K66" si="70">(F62*0.03+G62*0.07)*H62</f>
        <v>18.717516657400001</v>
      </c>
      <c r="L62" s="71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hidden="1" x14ac:dyDescent="0.3">
      <c r="A63" s="32" t="s">
        <v>379</v>
      </c>
      <c r="B63" s="2" t="s">
        <v>30</v>
      </c>
      <c r="C63" s="10">
        <v>9313629</v>
      </c>
      <c r="D63" s="10" t="s">
        <v>449</v>
      </c>
      <c r="E63" s="32">
        <v>-3388.55</v>
      </c>
      <c r="F63" s="32">
        <v>1323.15</v>
      </c>
      <c r="G63" s="69">
        <f t="shared" si="67"/>
        <v>926.20500000000004</v>
      </c>
      <c r="H63" s="70">
        <v>0.19900100000000001</v>
      </c>
      <c r="I63" s="69">
        <f t="shared" si="68"/>
        <v>-455.70847913085015</v>
      </c>
      <c r="J63" s="61">
        <f t="shared" si="69"/>
        <v>-47.202738698500006</v>
      </c>
      <c r="K63" s="61">
        <f t="shared" si="70"/>
        <v>20.801345678850002</v>
      </c>
      <c r="L63" s="71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hidden="1" x14ac:dyDescent="0.3">
      <c r="A64" s="32" t="s">
        <v>379</v>
      </c>
      <c r="B64" s="2" t="s">
        <v>30</v>
      </c>
      <c r="C64" s="10">
        <v>10051692</v>
      </c>
      <c r="D64" s="10" t="s">
        <v>453</v>
      </c>
      <c r="E64" s="32">
        <v>15311.75</v>
      </c>
      <c r="F64" s="32">
        <v>756.25</v>
      </c>
      <c r="G64" s="69">
        <f t="shared" si="67"/>
        <v>529.375</v>
      </c>
      <c r="H64" s="70">
        <v>0.19900100000000001</v>
      </c>
      <c r="I64" s="69">
        <f t="shared" si="68"/>
        <v>2931.7317359962503</v>
      </c>
      <c r="J64" s="61">
        <f t="shared" si="69"/>
        <v>213.29374932250002</v>
      </c>
      <c r="K64" s="61">
        <f t="shared" si="70"/>
        <v>11.889065993750002</v>
      </c>
      <c r="L64" s="71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hidden="1" x14ac:dyDescent="0.3">
      <c r="A65" s="32" t="s">
        <v>379</v>
      </c>
      <c r="B65" s="32" t="s">
        <v>25</v>
      </c>
      <c r="C65" s="10">
        <v>8374481</v>
      </c>
      <c r="D65" s="10" t="s">
        <v>435</v>
      </c>
      <c r="E65" s="32">
        <v>-5883.05</v>
      </c>
      <c r="F65" s="32">
        <v>140.19999999999999</v>
      </c>
      <c r="G65" s="69">
        <f t="shared" si="67"/>
        <v>98.139999999999986</v>
      </c>
      <c r="H65" s="70">
        <v>0.200265</v>
      </c>
      <c r="I65" s="69">
        <f t="shared" si="68"/>
        <v>-1077.4189510695001</v>
      </c>
      <c r="J65" s="61">
        <f t="shared" si="69"/>
        <v>-82.4718305775</v>
      </c>
      <c r="K65" s="61">
        <f t="shared" si="70"/>
        <v>2.218095087</v>
      </c>
      <c r="L65" s="71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hidden="1" x14ac:dyDescent="0.3">
      <c r="A66" s="32" t="s">
        <v>379</v>
      </c>
      <c r="B66" s="32" t="s">
        <v>25</v>
      </c>
      <c r="C66" s="10">
        <v>9320085</v>
      </c>
      <c r="D66" s="10" t="s">
        <v>454</v>
      </c>
      <c r="E66" s="32">
        <v>171.9</v>
      </c>
      <c r="F66" s="32">
        <v>24.65</v>
      </c>
      <c r="G66" s="69">
        <f t="shared" si="67"/>
        <v>17.254999999999999</v>
      </c>
      <c r="H66" s="70">
        <v>0.200265</v>
      </c>
      <c r="I66" s="69">
        <f t="shared" si="68"/>
        <v>35.229447249750002</v>
      </c>
      <c r="J66" s="61">
        <f t="shared" si="69"/>
        <v>2.4097887450000002</v>
      </c>
      <c r="K66" s="61">
        <f t="shared" si="70"/>
        <v>0.38998604775000001</v>
      </c>
      <c r="L66" s="71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hidden="1" x14ac:dyDescent="0.3">
      <c r="A67" s="32" t="s">
        <v>380</v>
      </c>
      <c r="B67" s="32" t="s">
        <v>23</v>
      </c>
      <c r="C67" s="10">
        <v>9354117</v>
      </c>
      <c r="D67" s="32" t="s">
        <v>455</v>
      </c>
      <c r="E67" s="69">
        <v>24.15</v>
      </c>
      <c r="F67" s="69">
        <v>130.1</v>
      </c>
      <c r="G67" s="69">
        <f t="shared" si="67"/>
        <v>91.07</v>
      </c>
      <c r="H67" s="70">
        <v>0.202429</v>
      </c>
      <c r="I67" s="69">
        <f>(E67+G67)*H67*0.9</f>
        <v>20.991482441999999</v>
      </c>
      <c r="J67" s="61">
        <f>E67*0.1*H67</f>
        <v>0.48886603499999998</v>
      </c>
      <c r="K67" s="61">
        <f>G67*0.1*H67</f>
        <v>1.8435209029999999</v>
      </c>
      <c r="L67" s="71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hidden="1" x14ac:dyDescent="0.3">
      <c r="A68" s="32" t="s">
        <v>380</v>
      </c>
      <c r="B68" s="2" t="s">
        <v>10</v>
      </c>
      <c r="C68" s="10">
        <v>1117069</v>
      </c>
      <c r="D68" s="10" t="s">
        <v>451</v>
      </c>
      <c r="E68" s="32">
        <v>-22760.25</v>
      </c>
      <c r="F68" s="32">
        <v>3921.7</v>
      </c>
      <c r="G68" s="69">
        <f t="shared" ref="G68:G69" si="71">F68*0.65</f>
        <v>2549.105</v>
      </c>
      <c r="H68" s="70">
        <v>0.201207</v>
      </c>
      <c r="I68" s="69">
        <f t="shared" ref="I68:I69" si="72">(E68+G68)*H68</f>
        <v>-4066.623852015</v>
      </c>
      <c r="J68" s="61">
        <v>0</v>
      </c>
      <c r="K68" s="61">
        <f t="shared" ref="K68:K69" si="73">F68*0.1*H68</f>
        <v>78.907349190000005</v>
      </c>
      <c r="L68" s="71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hidden="1" x14ac:dyDescent="0.3">
      <c r="A69" s="32" t="s">
        <v>380</v>
      </c>
      <c r="B69" s="2" t="s">
        <v>10</v>
      </c>
      <c r="C69" s="10">
        <v>1117075</v>
      </c>
      <c r="D69" s="10" t="s">
        <v>452</v>
      </c>
      <c r="E69" s="32">
        <v>-9971.4500000000007</v>
      </c>
      <c r="F69" s="32">
        <v>2866.4</v>
      </c>
      <c r="G69" s="69">
        <f t="shared" si="71"/>
        <v>1863.16</v>
      </c>
      <c r="H69" s="70">
        <v>0.201207</v>
      </c>
      <c r="I69" s="69">
        <f t="shared" si="72"/>
        <v>-1631.4447060300001</v>
      </c>
      <c r="J69" s="61">
        <v>0</v>
      </c>
      <c r="K69" s="61">
        <f t="shared" si="73"/>
        <v>57.673974480000005</v>
      </c>
      <c r="L69" s="71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hidden="1" x14ac:dyDescent="0.3">
      <c r="A70" s="32" t="s">
        <v>380</v>
      </c>
      <c r="B70" s="2" t="s">
        <v>30</v>
      </c>
      <c r="C70" s="10">
        <v>10051692</v>
      </c>
      <c r="D70" s="10" t="s">
        <v>453</v>
      </c>
      <c r="E70" s="32">
        <v>-5045.3999999999996</v>
      </c>
      <c r="F70" s="32">
        <v>1598.25</v>
      </c>
      <c r="G70" s="69">
        <f t="shared" ref="G70:G75" si="74">F70*0.7</f>
        <v>1118.7749999999999</v>
      </c>
      <c r="H70" s="70">
        <v>0.200848</v>
      </c>
      <c r="I70" s="69">
        <f t="shared" ref="I70:I75" si="75">(E70+G70)*H70*0.93</f>
        <v>-733.44894353999996</v>
      </c>
      <c r="J70" s="61">
        <f t="shared" ref="J70:J75" si="76">E70*0.07*H70</f>
        <v>-70.935094943999999</v>
      </c>
      <c r="K70" s="61">
        <f t="shared" ref="K70:K75" si="77">(F70*0.03+G70*0.07)*H70</f>
        <v>25.359419964000001</v>
      </c>
      <c r="L70" s="71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hidden="1" x14ac:dyDescent="0.3">
      <c r="A71" s="32" t="s">
        <v>380</v>
      </c>
      <c r="B71" s="2" t="s">
        <v>30</v>
      </c>
      <c r="C71" s="10">
        <v>10062871</v>
      </c>
      <c r="D71" s="10" t="s">
        <v>456</v>
      </c>
      <c r="E71" s="32">
        <v>4750.3</v>
      </c>
      <c r="F71" s="32">
        <v>1220.0999999999999</v>
      </c>
      <c r="G71" s="69">
        <f t="shared" si="74"/>
        <v>854.06999999999994</v>
      </c>
      <c r="H71" s="70">
        <v>0.200848</v>
      </c>
      <c r="I71" s="69">
        <f t="shared" si="75"/>
        <v>1046.8326503567998</v>
      </c>
      <c r="J71" s="61">
        <f t="shared" si="76"/>
        <v>66.786177808000019</v>
      </c>
      <c r="K71" s="61">
        <f t="shared" si="77"/>
        <v>19.359316939199999</v>
      </c>
      <c r="L71" s="71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hidden="1" x14ac:dyDescent="0.3">
      <c r="A72" s="32" t="s">
        <v>380</v>
      </c>
      <c r="B72" s="2" t="s">
        <v>30</v>
      </c>
      <c r="C72" s="10">
        <v>8374481</v>
      </c>
      <c r="D72" s="10" t="s">
        <v>435</v>
      </c>
      <c r="E72" s="32">
        <v>1975.2</v>
      </c>
      <c r="F72" s="32">
        <v>32</v>
      </c>
      <c r="G72" s="69">
        <f t="shared" si="74"/>
        <v>22.4</v>
      </c>
      <c r="H72" s="70">
        <v>0.200848</v>
      </c>
      <c r="I72" s="69">
        <f t="shared" si="75"/>
        <v>373.12898726400005</v>
      </c>
      <c r="J72" s="61">
        <f t="shared" si="76"/>
        <v>27.770047872000003</v>
      </c>
      <c r="K72" s="61">
        <f t="shared" si="77"/>
        <v>0.507743744</v>
      </c>
      <c r="L72" s="71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hidden="1" x14ac:dyDescent="0.3">
      <c r="A73" s="32" t="s">
        <v>380</v>
      </c>
      <c r="B73" s="2" t="s">
        <v>30</v>
      </c>
      <c r="C73" s="10">
        <v>9320085</v>
      </c>
      <c r="D73" s="32" t="s">
        <v>454</v>
      </c>
      <c r="E73" s="69">
        <v>-47.8</v>
      </c>
      <c r="F73" s="69">
        <v>8.1999999999999993</v>
      </c>
      <c r="G73" s="69">
        <f t="shared" si="74"/>
        <v>5.7399999999999993</v>
      </c>
      <c r="H73" s="70">
        <v>0.200848</v>
      </c>
      <c r="I73" s="69">
        <f t="shared" si="75"/>
        <v>-7.8563301983999985</v>
      </c>
      <c r="J73" s="61">
        <f t="shared" si="76"/>
        <v>-0.672037408</v>
      </c>
      <c r="K73" s="61">
        <f t="shared" si="77"/>
        <v>0.1301093344</v>
      </c>
      <c r="L73" s="71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hidden="1" x14ac:dyDescent="0.3">
      <c r="A74" s="32" t="s">
        <v>380</v>
      </c>
      <c r="B74" s="2" t="s">
        <v>30</v>
      </c>
      <c r="C74" s="10">
        <v>9354117</v>
      </c>
      <c r="D74" s="32" t="s">
        <v>448</v>
      </c>
      <c r="E74" s="32">
        <v>164.3</v>
      </c>
      <c r="F74" s="32">
        <v>15.5</v>
      </c>
      <c r="G74" s="69">
        <f t="shared" si="74"/>
        <v>10.85</v>
      </c>
      <c r="H74" s="70">
        <v>0.200848</v>
      </c>
      <c r="I74" s="69">
        <f t="shared" si="75"/>
        <v>32.716030296</v>
      </c>
      <c r="J74" s="61">
        <f t="shared" si="76"/>
        <v>2.3099528480000004</v>
      </c>
      <c r="K74" s="61">
        <f t="shared" si="77"/>
        <v>0.24593837599999999</v>
      </c>
      <c r="L74" s="71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hidden="1" x14ac:dyDescent="0.3">
      <c r="A75" s="32" t="s">
        <v>380</v>
      </c>
      <c r="B75" s="32" t="s">
        <v>25</v>
      </c>
      <c r="C75" s="10">
        <v>9320085</v>
      </c>
      <c r="D75" s="10" t="s">
        <v>454</v>
      </c>
      <c r="E75" s="32">
        <v>-3739.2</v>
      </c>
      <c r="F75" s="32">
        <v>1748.6</v>
      </c>
      <c r="G75" s="69">
        <f t="shared" si="74"/>
        <v>1224.0199999999998</v>
      </c>
      <c r="H75" s="70">
        <v>0.20095099999999999</v>
      </c>
      <c r="I75" s="69">
        <f t="shared" si="75"/>
        <v>-470.04798064740004</v>
      </c>
      <c r="J75" s="61">
        <f t="shared" si="76"/>
        <v>-52.597718544000003</v>
      </c>
      <c r="K75" s="61">
        <f t="shared" si="77"/>
        <v>27.759250569399999</v>
      </c>
      <c r="L75" s="71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hidden="1" x14ac:dyDescent="0.3">
      <c r="A76" s="32" t="s">
        <v>381</v>
      </c>
      <c r="B76" s="2" t="s">
        <v>10</v>
      </c>
      <c r="C76" s="10">
        <v>1082500</v>
      </c>
      <c r="D76" s="32" t="s">
        <v>439</v>
      </c>
      <c r="E76" s="32">
        <v>40</v>
      </c>
      <c r="F76" s="32">
        <v>0</v>
      </c>
      <c r="G76" s="69">
        <f t="shared" ref="G76:G78" si="78">F76*0.65</f>
        <v>0</v>
      </c>
      <c r="H76" s="70">
        <v>0.197628</v>
      </c>
      <c r="I76" s="69">
        <f>(E76*0.98+G76)*H76</f>
        <v>7.7470176000000004</v>
      </c>
      <c r="J76" s="61">
        <f>E76*0.02*H76</f>
        <v>0.1581024</v>
      </c>
      <c r="K76" s="61">
        <f t="shared" ref="K76:K78" si="79">F76*0.1*H76</f>
        <v>0</v>
      </c>
      <c r="L76" s="71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hidden="1" x14ac:dyDescent="0.3">
      <c r="A77" s="32" t="s">
        <v>381</v>
      </c>
      <c r="B77" s="2" t="s">
        <v>10</v>
      </c>
      <c r="C77" s="10">
        <v>1117069</v>
      </c>
      <c r="D77" s="10" t="s">
        <v>451</v>
      </c>
      <c r="E77" s="32">
        <v>-9522.7999999999993</v>
      </c>
      <c r="F77" s="32">
        <v>1733.55</v>
      </c>
      <c r="G77" s="69">
        <f t="shared" si="78"/>
        <v>1126.8075000000001</v>
      </c>
      <c r="H77" s="70">
        <v>0.197628</v>
      </c>
      <c r="I77" s="69">
        <f>(E77+G77)*H77</f>
        <v>-1659.2832057899998</v>
      </c>
      <c r="J77" s="61">
        <v>0</v>
      </c>
      <c r="K77" s="61">
        <f t="shared" si="79"/>
        <v>34.259801940000003</v>
      </c>
      <c r="L77" s="71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hidden="1" x14ac:dyDescent="0.3">
      <c r="A78" s="32" t="s">
        <v>381</v>
      </c>
      <c r="B78" s="2" t="s">
        <v>10</v>
      </c>
      <c r="C78" s="10">
        <v>1117075</v>
      </c>
      <c r="D78" s="10" t="s">
        <v>452</v>
      </c>
      <c r="E78" s="32">
        <v>13450.8</v>
      </c>
      <c r="F78" s="32">
        <v>1553.55</v>
      </c>
      <c r="G78" s="69">
        <f t="shared" si="78"/>
        <v>1009.8075</v>
      </c>
      <c r="H78" s="70">
        <v>0.197628</v>
      </c>
      <c r="I78" s="69">
        <f>(E78*0.98+G78)*H78</f>
        <v>2804.6558449620002</v>
      </c>
      <c r="J78" s="61">
        <f>E78*0.02*H78</f>
        <v>53.165094047999993</v>
      </c>
      <c r="K78" s="61">
        <f t="shared" si="79"/>
        <v>30.702497940000004</v>
      </c>
      <c r="L78" s="71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hidden="1" x14ac:dyDescent="0.3">
      <c r="A79" s="32" t="s">
        <v>381</v>
      </c>
      <c r="B79" s="32" t="s">
        <v>43</v>
      </c>
      <c r="C79" s="10">
        <v>9320085</v>
      </c>
      <c r="D79" s="32" t="s">
        <v>457</v>
      </c>
      <c r="E79" s="69">
        <v>-236.1</v>
      </c>
      <c r="F79" s="69">
        <v>239.48</v>
      </c>
      <c r="G79" s="69">
        <f t="shared" ref="G79:G87" si="80">F79*0.7</f>
        <v>167.636</v>
      </c>
      <c r="H79" s="74">
        <v>0.64963899999999997</v>
      </c>
      <c r="I79" s="69">
        <f t="shared" ref="I79:I80" si="81">(E79+G79)*H79*0.9</f>
        <v>-40.029196046399996</v>
      </c>
      <c r="J79" s="61">
        <f t="shared" ref="J79:J80" si="82">E79*0.1*H79</f>
        <v>-15.337976789999999</v>
      </c>
      <c r="K79" s="61">
        <f t="shared" ref="K79:K80" si="83">(F79*0.05+G79*0.1)*H79</f>
        <v>18.6690657264</v>
      </c>
      <c r="L79" s="71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hidden="1" x14ac:dyDescent="0.3">
      <c r="A80" s="32" t="s">
        <v>381</v>
      </c>
      <c r="B80" s="32" t="s">
        <v>43</v>
      </c>
      <c r="C80" s="10">
        <v>10089135</v>
      </c>
      <c r="D80" s="32" t="s">
        <v>458</v>
      </c>
      <c r="E80" s="69">
        <v>1088.3</v>
      </c>
      <c r="F80" s="69">
        <v>60.36</v>
      </c>
      <c r="G80" s="69">
        <f t="shared" si="80"/>
        <v>42.251999999999995</v>
      </c>
      <c r="H80" s="74">
        <v>0.64963899999999997</v>
      </c>
      <c r="I80" s="69">
        <f t="shared" si="81"/>
        <v>661.00560365519993</v>
      </c>
      <c r="J80" s="61">
        <f t="shared" si="82"/>
        <v>70.700212369999988</v>
      </c>
      <c r="K80" s="61">
        <f t="shared" si="83"/>
        <v>4.7054652047999994</v>
      </c>
      <c r="L80" s="71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hidden="1" x14ac:dyDescent="0.3">
      <c r="A81" s="32" t="s">
        <v>381</v>
      </c>
      <c r="B81" s="2" t="s">
        <v>30</v>
      </c>
      <c r="C81" s="10">
        <v>10062871</v>
      </c>
      <c r="D81" s="10" t="s">
        <v>456</v>
      </c>
      <c r="E81" s="32">
        <v>4723.6000000000004</v>
      </c>
      <c r="F81" s="32">
        <v>313.85000000000002</v>
      </c>
      <c r="G81" s="69">
        <f t="shared" si="80"/>
        <v>219.69499999999999</v>
      </c>
      <c r="H81" s="70">
        <v>0.19758700000000001</v>
      </c>
      <c r="I81" s="69">
        <f t="shared" ref="I81:I85" si="84">(E81+G81)*H81*0.93</f>
        <v>908.35967112345008</v>
      </c>
      <c r="J81" s="61">
        <f t="shared" ref="J81:J85" si="85">E81*0.07*H81</f>
        <v>65.332536724000008</v>
      </c>
      <c r="K81" s="61">
        <f t="shared" ref="K81:K85" si="86">(F81*0.03+G81*0.07)*H81</f>
        <v>4.8990017160500008</v>
      </c>
      <c r="L81" s="71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hidden="1" x14ac:dyDescent="0.3">
      <c r="A82" s="32" t="s">
        <v>381</v>
      </c>
      <c r="B82" s="2" t="s">
        <v>30</v>
      </c>
      <c r="C82" s="10">
        <v>10051692</v>
      </c>
      <c r="D82" s="10" t="s">
        <v>459</v>
      </c>
      <c r="E82" s="32">
        <v>8344.65</v>
      </c>
      <c r="F82" s="32">
        <v>1236.25</v>
      </c>
      <c r="G82" s="69">
        <f t="shared" si="80"/>
        <v>865.375</v>
      </c>
      <c r="H82" s="70">
        <v>0.19758700000000001</v>
      </c>
      <c r="I82" s="69">
        <f t="shared" si="84"/>
        <v>1692.3965249977502</v>
      </c>
      <c r="J82" s="61">
        <f t="shared" si="85"/>
        <v>115.41560516850001</v>
      </c>
      <c r="K82" s="61">
        <f t="shared" si="86"/>
        <v>19.297087371250004</v>
      </c>
      <c r="L82" s="71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hidden="1" x14ac:dyDescent="0.3">
      <c r="A83" s="32" t="s">
        <v>381</v>
      </c>
      <c r="B83" s="2" t="s">
        <v>30</v>
      </c>
      <c r="C83" s="10">
        <v>10089135</v>
      </c>
      <c r="D83" s="10" t="s">
        <v>458</v>
      </c>
      <c r="E83" s="32">
        <v>-225</v>
      </c>
      <c r="F83" s="32">
        <v>4.2</v>
      </c>
      <c r="G83" s="69">
        <f t="shared" si="80"/>
        <v>2.94</v>
      </c>
      <c r="H83" s="70">
        <v>0.19758700000000001</v>
      </c>
      <c r="I83" s="69">
        <f t="shared" si="84"/>
        <v>-40.804837374600005</v>
      </c>
      <c r="J83" s="61">
        <f t="shared" si="85"/>
        <v>-3.1119952500000005</v>
      </c>
      <c r="K83" s="61">
        <f t="shared" si="86"/>
        <v>6.5559366600000002E-2</v>
      </c>
      <c r="L83" s="71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hidden="1" x14ac:dyDescent="0.3">
      <c r="A84" s="32" t="s">
        <v>381</v>
      </c>
      <c r="B84" s="2" t="s">
        <v>30</v>
      </c>
      <c r="C84" s="10">
        <v>9320085</v>
      </c>
      <c r="D84" s="10" t="s">
        <v>457</v>
      </c>
      <c r="E84" s="32">
        <v>298.8</v>
      </c>
      <c r="F84" s="32">
        <v>9.9</v>
      </c>
      <c r="G84" s="69">
        <f t="shared" si="80"/>
        <v>6.93</v>
      </c>
      <c r="H84" s="70">
        <v>0.19758700000000001</v>
      </c>
      <c r="I84" s="69">
        <f t="shared" si="84"/>
        <v>56.179694364300012</v>
      </c>
      <c r="J84" s="61">
        <f t="shared" si="85"/>
        <v>4.1327296920000007</v>
      </c>
      <c r="K84" s="61">
        <f t="shared" si="86"/>
        <v>0.1545327927</v>
      </c>
      <c r="L84" s="71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hidden="1" x14ac:dyDescent="0.3">
      <c r="A85" s="32" t="s">
        <v>381</v>
      </c>
      <c r="B85" s="32" t="s">
        <v>25</v>
      </c>
      <c r="C85" s="10">
        <v>9320085</v>
      </c>
      <c r="D85" s="10" t="s">
        <v>457</v>
      </c>
      <c r="E85" s="32">
        <v>-7167.35</v>
      </c>
      <c r="F85" s="32">
        <v>856.35</v>
      </c>
      <c r="G85" s="69">
        <f t="shared" si="80"/>
        <v>599.44499999999994</v>
      </c>
      <c r="H85" s="70">
        <v>0.19781883</v>
      </c>
      <c r="I85" s="69">
        <f t="shared" si="84"/>
        <v>-1208.3074128655696</v>
      </c>
      <c r="J85" s="61">
        <f t="shared" si="85"/>
        <v>-99.248575384035021</v>
      </c>
      <c r="K85" s="61">
        <f t="shared" si="86"/>
        <v>13.382770250569498</v>
      </c>
      <c r="L85" s="71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hidden="1" x14ac:dyDescent="0.3">
      <c r="A86" s="32" t="s">
        <v>382</v>
      </c>
      <c r="B86" s="32" t="s">
        <v>43</v>
      </c>
      <c r="C86" s="10">
        <v>9320085</v>
      </c>
      <c r="D86" s="32" t="s">
        <v>457</v>
      </c>
      <c r="E86" s="69">
        <v>1777.3</v>
      </c>
      <c r="F86" s="69">
        <v>188.67</v>
      </c>
      <c r="G86" s="69">
        <f t="shared" si="80"/>
        <v>132.06899999999999</v>
      </c>
      <c r="H86" s="75">
        <v>0.66093000000000002</v>
      </c>
      <c r="I86" s="69">
        <f t="shared" ref="I86:I87" si="87">(E86+G86)*H86*0.9</f>
        <v>1135.763327853</v>
      </c>
      <c r="J86" s="61">
        <f t="shared" ref="J86:J87" si="88">E86*0.1*H86</f>
        <v>117.46708890000002</v>
      </c>
      <c r="K86" s="61">
        <f t="shared" ref="K86:K87" si="89">(F86*0.05+G86*0.1)*H86</f>
        <v>14.963719572</v>
      </c>
      <c r="L86" s="71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hidden="1" x14ac:dyDescent="0.3">
      <c r="A87" s="32" t="s">
        <v>382</v>
      </c>
      <c r="B87" s="32" t="s">
        <v>43</v>
      </c>
      <c r="C87" s="10">
        <v>10089135</v>
      </c>
      <c r="D87" s="32" t="s">
        <v>458</v>
      </c>
      <c r="E87" s="69">
        <v>-718.9</v>
      </c>
      <c r="F87" s="69">
        <v>176.61</v>
      </c>
      <c r="G87" s="69">
        <f t="shared" si="80"/>
        <v>123.627</v>
      </c>
      <c r="H87" s="75">
        <v>0.66093000000000002</v>
      </c>
      <c r="I87" s="69">
        <f t="shared" si="87"/>
        <v>-354.09040550100002</v>
      </c>
      <c r="J87" s="61">
        <f t="shared" si="88"/>
        <v>-47.514257700000002</v>
      </c>
      <c r="K87" s="61">
        <f t="shared" si="89"/>
        <v>14.007221676</v>
      </c>
      <c r="L87" s="71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hidden="1" x14ac:dyDescent="0.3">
      <c r="A88" s="32" t="s">
        <v>382</v>
      </c>
      <c r="B88" s="2" t="s">
        <v>10</v>
      </c>
      <c r="C88" s="10">
        <v>1117069</v>
      </c>
      <c r="D88" s="10" t="s">
        <v>451</v>
      </c>
      <c r="E88" s="32">
        <v>1369.85</v>
      </c>
      <c r="F88" s="32">
        <v>1970.65</v>
      </c>
      <c r="G88" s="69">
        <f t="shared" ref="G88:G89" si="90">F88*0.65</f>
        <v>1280.9225000000001</v>
      </c>
      <c r="H88" s="70">
        <v>0.19880999999999999</v>
      </c>
      <c r="I88" s="69">
        <f>(E88*0.98+G88)*H88</f>
        <v>521.55328315500003</v>
      </c>
      <c r="J88" s="61">
        <f>E88*0.02*H88</f>
        <v>5.4467975699999993</v>
      </c>
      <c r="K88" s="61">
        <f t="shared" ref="K88:K89" si="91">F88*0.1*H88</f>
        <v>39.178492650000003</v>
      </c>
      <c r="L88" s="71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hidden="1" x14ac:dyDescent="0.3">
      <c r="A89" s="32" t="s">
        <v>382</v>
      </c>
      <c r="B89" s="2" t="s">
        <v>10</v>
      </c>
      <c r="C89" s="10">
        <v>1117075</v>
      </c>
      <c r="D89" s="10" t="s">
        <v>452</v>
      </c>
      <c r="E89" s="32">
        <v>-2750.65</v>
      </c>
      <c r="F89" s="32">
        <v>1419.9</v>
      </c>
      <c r="G89" s="69">
        <f t="shared" si="90"/>
        <v>922.93500000000006</v>
      </c>
      <c r="H89" s="70">
        <v>0.19880999999999999</v>
      </c>
      <c r="I89" s="69">
        <f>(E89+G89)*H89</f>
        <v>-363.36801915000001</v>
      </c>
      <c r="J89" s="61">
        <v>0</v>
      </c>
      <c r="K89" s="61">
        <f t="shared" si="91"/>
        <v>28.229031899999999</v>
      </c>
      <c r="L89" s="71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hidden="1" x14ac:dyDescent="0.3">
      <c r="A90" s="32" t="s">
        <v>382</v>
      </c>
      <c r="B90" s="2" t="s">
        <v>30</v>
      </c>
      <c r="C90" s="10">
        <v>9320085</v>
      </c>
      <c r="D90" s="2" t="s">
        <v>457</v>
      </c>
      <c r="E90" s="69">
        <v>4.9000000000000004</v>
      </c>
      <c r="F90" s="69">
        <v>0.25</v>
      </c>
      <c r="G90" s="69">
        <f t="shared" ref="G90:G94" si="92">F90*0.7</f>
        <v>0.17499999999999999</v>
      </c>
      <c r="H90" s="70">
        <v>0.198658</v>
      </c>
      <c r="I90" s="69">
        <f t="shared" ref="I90:I94" si="93">(E90+G90)*H90*0.93</f>
        <v>0.93761609550000014</v>
      </c>
      <c r="J90" s="61">
        <f t="shared" ref="J90:J94" si="94">E90*0.07*H90</f>
        <v>6.8139694000000015E-2</v>
      </c>
      <c r="K90" s="61">
        <f t="shared" ref="K90:K94" si="95">(F90*0.03+G90*0.07)*H90</f>
        <v>3.9234954999999997E-3</v>
      </c>
      <c r="L90" s="71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hidden="1" x14ac:dyDescent="0.3">
      <c r="A91" s="32" t="s">
        <v>382</v>
      </c>
      <c r="B91" s="2" t="s">
        <v>30</v>
      </c>
      <c r="C91" s="10">
        <v>10062871</v>
      </c>
      <c r="D91" s="2" t="s">
        <v>460</v>
      </c>
      <c r="E91" s="69">
        <v>-1430.9</v>
      </c>
      <c r="F91" s="69">
        <v>272.05</v>
      </c>
      <c r="G91" s="69">
        <f t="shared" si="92"/>
        <v>190.435</v>
      </c>
      <c r="H91" s="70">
        <v>0.198658</v>
      </c>
      <c r="I91" s="69">
        <f t="shared" si="93"/>
        <v>-229.17831525210002</v>
      </c>
      <c r="J91" s="61">
        <f t="shared" si="94"/>
        <v>-19.898181254000001</v>
      </c>
      <c r="K91" s="61">
        <f t="shared" si="95"/>
        <v>4.2695478031000009</v>
      </c>
      <c r="L91" s="71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hidden="1" x14ac:dyDescent="0.3">
      <c r="A92" s="32" t="s">
        <v>382</v>
      </c>
      <c r="B92" s="2" t="s">
        <v>30</v>
      </c>
      <c r="C92" s="10">
        <v>10051692</v>
      </c>
      <c r="D92" s="2" t="s">
        <v>459</v>
      </c>
      <c r="E92" s="69">
        <v>1297.9000000000001</v>
      </c>
      <c r="F92" s="69">
        <v>233.9</v>
      </c>
      <c r="G92" s="69">
        <f t="shared" si="92"/>
        <v>163.72999999999999</v>
      </c>
      <c r="H92" s="70">
        <v>0.198658</v>
      </c>
      <c r="I92" s="69">
        <f t="shared" si="93"/>
        <v>270.03897806220004</v>
      </c>
      <c r="J92" s="61">
        <f t="shared" si="94"/>
        <v>18.048675274000001</v>
      </c>
      <c r="K92" s="61">
        <f t="shared" si="95"/>
        <v>3.6708223898000001</v>
      </c>
      <c r="L92" s="71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hidden="1" x14ac:dyDescent="0.3">
      <c r="A93" s="32" t="s">
        <v>382</v>
      </c>
      <c r="B93" s="32" t="s">
        <v>25</v>
      </c>
      <c r="C93" s="10">
        <v>9320085</v>
      </c>
      <c r="D93" s="10" t="s">
        <v>457</v>
      </c>
      <c r="E93" s="32">
        <v>2801.25</v>
      </c>
      <c r="F93" s="32">
        <v>436.6</v>
      </c>
      <c r="G93" s="69">
        <f t="shared" si="92"/>
        <v>305.62</v>
      </c>
      <c r="H93" s="70">
        <v>0.197327</v>
      </c>
      <c r="I93" s="69">
        <f t="shared" si="93"/>
        <v>570.1544829357</v>
      </c>
      <c r="J93" s="61">
        <f t="shared" si="94"/>
        <v>38.6933581125</v>
      </c>
      <c r="K93" s="61">
        <f t="shared" si="95"/>
        <v>6.8060844878000015</v>
      </c>
      <c r="L93" s="71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hidden="1" x14ac:dyDescent="0.3">
      <c r="A94" s="32" t="s">
        <v>382</v>
      </c>
      <c r="B94" s="32" t="s">
        <v>25</v>
      </c>
      <c r="C94" s="10">
        <v>10089135</v>
      </c>
      <c r="D94" s="10" t="s">
        <v>458</v>
      </c>
      <c r="E94" s="32">
        <v>-45</v>
      </c>
      <c r="F94" s="32">
        <v>0</v>
      </c>
      <c r="G94" s="69">
        <f t="shared" si="92"/>
        <v>0</v>
      </c>
      <c r="H94" s="70">
        <v>0.197327</v>
      </c>
      <c r="I94" s="69">
        <f t="shared" si="93"/>
        <v>-8.2581349500000005</v>
      </c>
      <c r="J94" s="61">
        <f t="shared" si="94"/>
        <v>-0.62158005000000005</v>
      </c>
      <c r="K94" s="61">
        <f t="shared" si="95"/>
        <v>0</v>
      </c>
      <c r="L94" s="71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 t="s">
        <v>383</v>
      </c>
      <c r="B95" s="2" t="s">
        <v>10</v>
      </c>
      <c r="C95" s="10">
        <v>1117069</v>
      </c>
      <c r="D95" s="10" t="s">
        <v>451</v>
      </c>
      <c r="E95" s="32">
        <v>-1303.8499999999999</v>
      </c>
      <c r="F95" s="32">
        <v>868.5</v>
      </c>
      <c r="G95" s="69">
        <f t="shared" ref="G95:G96" si="96">F95*0.65</f>
        <v>564.52499999999998</v>
      </c>
      <c r="H95" s="70">
        <v>0.19305</v>
      </c>
      <c r="I95" s="69">
        <f>(E95+G95)*H95</f>
        <v>-142.72669124999999</v>
      </c>
      <c r="J95" s="61">
        <v>0</v>
      </c>
      <c r="K95" s="61">
        <f t="shared" ref="K95:K96" si="97">F95*0.1*H95</f>
        <v>16.766392500000002</v>
      </c>
      <c r="L95" s="71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 t="s">
        <v>383</v>
      </c>
      <c r="B96" s="2" t="s">
        <v>10</v>
      </c>
      <c r="C96" s="10">
        <v>1117075</v>
      </c>
      <c r="D96" s="10" t="s">
        <v>452</v>
      </c>
      <c r="E96" s="32">
        <v>1214.3</v>
      </c>
      <c r="F96" s="32">
        <v>379.3</v>
      </c>
      <c r="G96" s="69">
        <f t="shared" si="96"/>
        <v>246.54500000000002</v>
      </c>
      <c r="H96" s="70">
        <v>0.19305</v>
      </c>
      <c r="I96" s="69">
        <f>(E96*0.98+G96)*H96</f>
        <v>277.32771494999997</v>
      </c>
      <c r="J96" s="61">
        <f>E96*0.02*H96</f>
        <v>4.6884123000000004</v>
      </c>
      <c r="K96" s="61">
        <f t="shared" si="97"/>
        <v>7.3223865000000004</v>
      </c>
      <c r="L96" s="71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 t="s">
        <v>383</v>
      </c>
      <c r="B97" s="2" t="s">
        <v>30</v>
      </c>
      <c r="C97" s="10">
        <v>10051692</v>
      </c>
      <c r="D97" s="32" t="s">
        <v>459</v>
      </c>
      <c r="E97" s="69">
        <v>147.69999999999999</v>
      </c>
      <c r="F97" s="69">
        <v>423.9</v>
      </c>
      <c r="G97" s="69">
        <f t="shared" ref="G97:G99" si="98">F97*0.7</f>
        <v>296.72999999999996</v>
      </c>
      <c r="H97" s="70">
        <v>0.19267699999999999</v>
      </c>
      <c r="I97" s="69">
        <f t="shared" ref="I97:I99" si="99">(E97+G97)*H97*0.93</f>
        <v>79.63723837229999</v>
      </c>
      <c r="J97" s="61">
        <f t="shared" ref="J97:J99" si="100">E97*0.07*H97</f>
        <v>1.992087503</v>
      </c>
      <c r="K97" s="61">
        <f t="shared" ref="K97:K99" si="101">(F97*0.03+G97*0.07)*H97</f>
        <v>6.4523866436999997</v>
      </c>
      <c r="L97" s="71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 t="s">
        <v>383</v>
      </c>
      <c r="B98" s="2" t="s">
        <v>30</v>
      </c>
      <c r="C98" s="10">
        <v>10062871</v>
      </c>
      <c r="D98" s="32" t="s">
        <v>460</v>
      </c>
      <c r="E98" s="69">
        <v>-7015.5</v>
      </c>
      <c r="F98" s="69">
        <v>623.1</v>
      </c>
      <c r="G98" s="69">
        <f t="shared" si="98"/>
        <v>436.17</v>
      </c>
      <c r="H98" s="70">
        <v>0.19267699999999999</v>
      </c>
      <c r="I98" s="69">
        <f t="shared" si="99"/>
        <v>-1178.9475767612998</v>
      </c>
      <c r="J98" s="61">
        <f t="shared" si="100"/>
        <v>-94.620784545000006</v>
      </c>
      <c r="K98" s="61">
        <f t="shared" si="101"/>
        <v>9.4845060573000008</v>
      </c>
      <c r="L98" s="71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32" t="s">
        <v>383</v>
      </c>
      <c r="B99" s="32" t="s">
        <v>25</v>
      </c>
      <c r="C99" s="10">
        <v>9320085</v>
      </c>
      <c r="D99" s="2" t="s">
        <v>457</v>
      </c>
      <c r="E99" s="69">
        <v>1856.35</v>
      </c>
      <c r="F99" s="69">
        <v>73.349999999999994</v>
      </c>
      <c r="G99" s="69">
        <f t="shared" si="98"/>
        <v>51.344999999999992</v>
      </c>
      <c r="H99" s="70">
        <v>0.19283007999999999</v>
      </c>
      <c r="I99" s="69">
        <f t="shared" si="99"/>
        <v>342.11071090300794</v>
      </c>
      <c r="J99" s="61">
        <f t="shared" si="100"/>
        <v>25.057208330559998</v>
      </c>
      <c r="K99" s="61">
        <f t="shared" si="101"/>
        <v>1.117382823072</v>
      </c>
      <c r="L99" s="71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hidden="1" x14ac:dyDescent="0.3">
      <c r="A100" s="32" t="s">
        <v>384</v>
      </c>
      <c r="B100" s="2" t="s">
        <v>10</v>
      </c>
      <c r="C100" s="10">
        <v>884483</v>
      </c>
      <c r="D100" s="32" t="s">
        <v>461</v>
      </c>
      <c r="E100" s="69">
        <v>871.85</v>
      </c>
      <c r="F100" s="69">
        <v>160.75</v>
      </c>
      <c r="G100" s="69">
        <f t="shared" ref="G100:G102" si="102">F100*0.65</f>
        <v>104.4875</v>
      </c>
      <c r="H100" s="70">
        <v>0.19342400000000001</v>
      </c>
      <c r="I100" s="69">
        <f t="shared" ref="I100:I102" si="103">(E100*0.98+G100)*H100</f>
        <v>185.47437031200002</v>
      </c>
      <c r="J100" s="61">
        <f t="shared" ref="J100:J102" si="104">E100*0.02*H100</f>
        <v>3.3727342880000006</v>
      </c>
      <c r="K100" s="61">
        <f t="shared" ref="K100:K102" si="105">F100*0.1*H100</f>
        <v>3.1092908000000001</v>
      </c>
      <c r="L100" s="71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hidden="1" x14ac:dyDescent="0.3">
      <c r="A101" s="32" t="s">
        <v>384</v>
      </c>
      <c r="B101" s="2" t="s">
        <v>10</v>
      </c>
      <c r="C101" s="10">
        <v>1117069</v>
      </c>
      <c r="D101" s="10" t="s">
        <v>451</v>
      </c>
      <c r="E101" s="32">
        <v>2025.25</v>
      </c>
      <c r="F101" s="32">
        <v>1500.15</v>
      </c>
      <c r="G101" s="69">
        <f t="shared" si="102"/>
        <v>975.09750000000008</v>
      </c>
      <c r="H101" s="70">
        <v>0.19342400000000001</v>
      </c>
      <c r="I101" s="69">
        <f t="shared" si="103"/>
        <v>572.50457571999993</v>
      </c>
      <c r="J101" s="61">
        <f t="shared" si="104"/>
        <v>7.8346391200000012</v>
      </c>
      <c r="K101" s="61">
        <f t="shared" si="105"/>
        <v>29.016501360000003</v>
      </c>
      <c r="L101" s="71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hidden="1" x14ac:dyDescent="0.3">
      <c r="A102" s="32" t="s">
        <v>384</v>
      </c>
      <c r="B102" s="2" t="s">
        <v>10</v>
      </c>
      <c r="C102" s="10">
        <v>1117075</v>
      </c>
      <c r="D102" s="10" t="s">
        <v>452</v>
      </c>
      <c r="E102" s="32">
        <v>2525.5</v>
      </c>
      <c r="F102" s="32">
        <v>321.45</v>
      </c>
      <c r="G102" s="69">
        <f t="shared" si="102"/>
        <v>208.9425</v>
      </c>
      <c r="H102" s="70">
        <v>0.19342400000000001</v>
      </c>
      <c r="I102" s="69">
        <f t="shared" si="103"/>
        <v>519.13695988000006</v>
      </c>
      <c r="J102" s="61">
        <f t="shared" si="104"/>
        <v>9.7698462399999997</v>
      </c>
      <c r="K102" s="61">
        <f t="shared" si="105"/>
        <v>6.2176144800000008</v>
      </c>
      <c r="L102" s="71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hidden="1" x14ac:dyDescent="0.3">
      <c r="A103" s="32" t="s">
        <v>384</v>
      </c>
      <c r="B103" s="32" t="s">
        <v>43</v>
      </c>
      <c r="C103" s="10">
        <v>10089135</v>
      </c>
      <c r="D103" s="32" t="s">
        <v>462</v>
      </c>
      <c r="E103" s="69">
        <v>-463.1</v>
      </c>
      <c r="F103" s="69">
        <v>18.239999999999998</v>
      </c>
      <c r="G103" s="69">
        <f t="shared" ref="G103:G107" si="106">F103*0.7</f>
        <v>12.767999999999999</v>
      </c>
      <c r="H103" s="75">
        <v>0.64562200000000003</v>
      </c>
      <c r="I103" s="69">
        <f>(E103+G103)*H103*0.9</f>
        <v>-261.66982185360007</v>
      </c>
      <c r="J103" s="61">
        <f>E103*0.1*H103</f>
        <v>-29.898754820000004</v>
      </c>
      <c r="K103" s="61">
        <f>(F103*0.05+G103*0.1)*H103</f>
        <v>1.4131374335999998</v>
      </c>
      <c r="L103" s="71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hidden="1" x14ac:dyDescent="0.3">
      <c r="A104" s="32" t="s">
        <v>384</v>
      </c>
      <c r="B104" s="2" t="s">
        <v>30</v>
      </c>
      <c r="C104" s="10">
        <v>10062871</v>
      </c>
      <c r="D104" s="2" t="s">
        <v>460</v>
      </c>
      <c r="E104" s="69">
        <v>9552.4500000000007</v>
      </c>
      <c r="F104" s="69">
        <v>729.2</v>
      </c>
      <c r="G104" s="69">
        <f t="shared" si="106"/>
        <v>510.44</v>
      </c>
      <c r="H104" s="70">
        <v>0.19317400000000001</v>
      </c>
      <c r="I104" s="69">
        <f t="shared" ref="I104:I107" si="107">(E104+G104)*H104*0.93</f>
        <v>1807.8165029598006</v>
      </c>
      <c r="J104" s="61">
        <f t="shared" ref="J104:J107" si="108">E104*0.07*H104</f>
        <v>129.16994834100004</v>
      </c>
      <c r="K104" s="61">
        <f t="shared" ref="K104:K107" si="109">(F104*0.03+G104*0.07)*H104</f>
        <v>11.128135983200002</v>
      </c>
      <c r="L104" s="71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hidden="1" x14ac:dyDescent="0.3">
      <c r="A105" s="32" t="s">
        <v>384</v>
      </c>
      <c r="B105" s="2" t="s">
        <v>30</v>
      </c>
      <c r="C105" s="10">
        <v>10051692</v>
      </c>
      <c r="D105" s="2" t="s">
        <v>459</v>
      </c>
      <c r="E105" s="69">
        <v>7465</v>
      </c>
      <c r="F105" s="69">
        <v>422.65</v>
      </c>
      <c r="G105" s="69">
        <f t="shared" si="106"/>
        <v>295.85499999999996</v>
      </c>
      <c r="H105" s="70">
        <v>0.19317400000000001</v>
      </c>
      <c r="I105" s="69">
        <f t="shared" si="107"/>
        <v>1394.2517255061</v>
      </c>
      <c r="J105" s="61">
        <f t="shared" si="108"/>
        <v>100.94307370000001</v>
      </c>
      <c r="K105" s="61">
        <f t="shared" si="109"/>
        <v>6.4499542969000005</v>
      </c>
      <c r="L105" s="71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hidden="1" x14ac:dyDescent="0.3">
      <c r="A106" s="32" t="s">
        <v>384</v>
      </c>
      <c r="B106" s="2" t="s">
        <v>30</v>
      </c>
      <c r="C106" s="10">
        <v>10183546</v>
      </c>
      <c r="D106" s="2" t="s">
        <v>463</v>
      </c>
      <c r="E106" s="69">
        <v>-1510.35</v>
      </c>
      <c r="F106" s="69">
        <v>166.05</v>
      </c>
      <c r="G106" s="69">
        <f t="shared" si="106"/>
        <v>116.235</v>
      </c>
      <c r="H106" s="70">
        <v>0.19317400000000001</v>
      </c>
      <c r="I106" s="69">
        <f t="shared" si="107"/>
        <v>-250.45529703930004</v>
      </c>
      <c r="J106" s="61">
        <f t="shared" si="108"/>
        <v>-20.423224563000002</v>
      </c>
      <c r="K106" s="61">
        <f t="shared" si="109"/>
        <v>2.5340468733000003</v>
      </c>
      <c r="L106" s="71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hidden="1" x14ac:dyDescent="0.3">
      <c r="A107" s="32" t="s">
        <v>384</v>
      </c>
      <c r="B107" s="32" t="s">
        <v>25</v>
      </c>
      <c r="C107" s="10">
        <v>9320085</v>
      </c>
      <c r="D107" s="2" t="s">
        <v>457</v>
      </c>
      <c r="E107" s="69">
        <v>4125.05</v>
      </c>
      <c r="F107" s="69">
        <v>884.1</v>
      </c>
      <c r="G107" s="69">
        <f t="shared" si="106"/>
        <v>618.87</v>
      </c>
      <c r="H107" s="70">
        <v>0.19106799999999999</v>
      </c>
      <c r="I107" s="69">
        <f t="shared" si="107"/>
        <v>842.96251510080003</v>
      </c>
      <c r="J107" s="61">
        <f t="shared" si="108"/>
        <v>55.171553738</v>
      </c>
      <c r="K107" s="61">
        <f t="shared" si="109"/>
        <v>13.344934285200001</v>
      </c>
      <c r="L107" s="71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autoFilter ref="A1:Z107" xr:uid="{00000000-0001-0000-0200-000000000000}">
    <filterColumn colId="0">
      <filters>
        <filter val="8 apr - 14 ap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M2" sqref="M2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77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29" t="s">
        <v>35</v>
      </c>
      <c r="C2" s="10" t="s">
        <v>465</v>
      </c>
      <c r="D2" s="32" t="s">
        <v>466</v>
      </c>
      <c r="E2" s="69">
        <v>-6749.08</v>
      </c>
      <c r="F2" s="69">
        <v>763</v>
      </c>
      <c r="G2" s="69">
        <f>F2*0.73</f>
        <v>556.99</v>
      </c>
      <c r="H2" s="75">
        <v>0.26985999999999999</v>
      </c>
      <c r="I2" s="69">
        <f>(E2+G2)*H2</f>
        <v>-1670.9974073999999</v>
      </c>
      <c r="J2" s="78">
        <f>F2*0.05*H2</f>
        <v>10.295159</v>
      </c>
      <c r="K2" s="61">
        <v>0</v>
      </c>
      <c r="L2" s="61">
        <f>F2*0.1*H2</f>
        <v>20.590318</v>
      </c>
      <c r="M2" s="58">
        <f>SUM(K:L)</f>
        <v>7675.1553589493042</v>
      </c>
      <c r="N2" s="2" t="s">
        <v>412</v>
      </c>
      <c r="O2" s="2" t="s">
        <v>413</v>
      </c>
      <c r="P2" s="32">
        <v>-7042.14</v>
      </c>
      <c r="Q2" s="32">
        <f>SUM(I:I)</f>
        <v>7777.8898888132017</v>
      </c>
      <c r="R2" s="32">
        <f>SUM(P:P)</f>
        <v>-19203.82</v>
      </c>
      <c r="S2" s="32">
        <f>Q2+R2</f>
        <v>-11425.930111186797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2" t="s">
        <v>10</v>
      </c>
      <c r="C3" s="10">
        <v>729767</v>
      </c>
      <c r="D3" s="32" t="s">
        <v>467</v>
      </c>
      <c r="E3" s="69">
        <v>828</v>
      </c>
      <c r="F3" s="69">
        <v>38.85</v>
      </c>
      <c r="G3" s="69">
        <f t="shared" ref="G3:G6" si="0">F3*0.7</f>
        <v>27.195</v>
      </c>
      <c r="H3" s="70">
        <v>0.20533899999999999</v>
      </c>
      <c r="I3" s="69">
        <f>(E3*0.98+G3)*H3*0.9</f>
        <v>154.98402503849999</v>
      </c>
      <c r="J3" s="79" t="s">
        <v>468</v>
      </c>
      <c r="K3" s="61">
        <f>E3*0.02*H3*0.9</f>
        <v>3.0603724559999996</v>
      </c>
      <c r="L3" s="61">
        <f t="shared" ref="L3:L6" si="1">F3*0.05*H3*0.9</f>
        <v>0.35898390674999997</v>
      </c>
      <c r="M3" s="58"/>
      <c r="N3" s="2" t="s">
        <v>469</v>
      </c>
      <c r="O3" s="2" t="s">
        <v>420</v>
      </c>
      <c r="P3" s="32">
        <v>-29.97</v>
      </c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2" t="s">
        <v>10</v>
      </c>
      <c r="C4" s="10">
        <v>981761</v>
      </c>
      <c r="D4" s="10" t="s">
        <v>470</v>
      </c>
      <c r="E4" s="69">
        <v>-13678.45</v>
      </c>
      <c r="F4" s="69">
        <v>4491.3500000000004</v>
      </c>
      <c r="G4" s="69">
        <f t="shared" si="0"/>
        <v>3143.9450000000002</v>
      </c>
      <c r="H4" s="70">
        <v>0.20533899999999999</v>
      </c>
      <c r="I4" s="69">
        <f>(E4+G4)*H4*0.9</f>
        <v>-1946.8302499755002</v>
      </c>
      <c r="J4" s="79" t="s">
        <v>468</v>
      </c>
      <c r="K4" s="61">
        <v>0</v>
      </c>
      <c r="L4" s="61">
        <f t="shared" si="1"/>
        <v>41.501219294250006</v>
      </c>
      <c r="M4" s="58"/>
      <c r="N4" s="2" t="s">
        <v>471</v>
      </c>
      <c r="O4" s="2" t="s">
        <v>420</v>
      </c>
      <c r="P4" s="69">
        <v>-29.97</v>
      </c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2" t="s">
        <v>10</v>
      </c>
      <c r="C5" s="10">
        <v>1047131</v>
      </c>
      <c r="D5" s="10" t="s">
        <v>472</v>
      </c>
      <c r="E5" s="69">
        <v>896.65</v>
      </c>
      <c r="F5" s="69">
        <v>2313.35</v>
      </c>
      <c r="G5" s="69">
        <f t="shared" si="0"/>
        <v>1619.3449999999998</v>
      </c>
      <c r="H5" s="70">
        <v>0.20533899999999999</v>
      </c>
      <c r="I5" s="69">
        <f>(E5*0.98+G5)*H5*0.9</f>
        <v>461.65459771619999</v>
      </c>
      <c r="J5" s="79" t="s">
        <v>468</v>
      </c>
      <c r="K5" s="61">
        <f>E5*0.02*H5*0.9</f>
        <v>3.3141098582999997</v>
      </c>
      <c r="L5" s="61">
        <f t="shared" si="1"/>
        <v>21.375943904250001</v>
      </c>
      <c r="M5" s="58"/>
      <c r="N5" s="2" t="s">
        <v>471</v>
      </c>
      <c r="O5" s="2" t="s">
        <v>473</v>
      </c>
      <c r="P5" s="32">
        <v>11147</v>
      </c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296</v>
      </c>
      <c r="B6" s="2" t="s">
        <v>10</v>
      </c>
      <c r="C6" s="10">
        <v>1066285</v>
      </c>
      <c r="D6" s="10" t="s">
        <v>474</v>
      </c>
      <c r="E6" s="69">
        <v>-15232.6</v>
      </c>
      <c r="F6" s="69">
        <v>2452.25</v>
      </c>
      <c r="G6" s="69">
        <f t="shared" si="0"/>
        <v>1716.5749999999998</v>
      </c>
      <c r="H6" s="70">
        <v>0.20533899999999999</v>
      </c>
      <c r="I6" s="69">
        <f t="shared" ref="I6:I7" si="2">(E6+G6)*H6*0.9</f>
        <v>-2497.8303517275003</v>
      </c>
      <c r="J6" s="79" t="s">
        <v>468</v>
      </c>
      <c r="K6" s="61">
        <v>0</v>
      </c>
      <c r="L6" s="61">
        <f t="shared" si="1"/>
        <v>22.659415323750004</v>
      </c>
      <c r="M6" s="58"/>
      <c r="N6" s="2" t="s">
        <v>475</v>
      </c>
      <c r="O6" s="2" t="s">
        <v>476</v>
      </c>
      <c r="P6" s="32">
        <v>12.63</v>
      </c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296</v>
      </c>
      <c r="B7" s="32" t="s">
        <v>61</v>
      </c>
      <c r="C7" s="2" t="s">
        <v>465</v>
      </c>
      <c r="D7" s="32" t="s">
        <v>466</v>
      </c>
      <c r="E7" s="69">
        <v>-351.28</v>
      </c>
      <c r="F7" s="69">
        <v>3091.56</v>
      </c>
      <c r="G7" s="69">
        <f>F7*0.55</f>
        <v>1700.3580000000002</v>
      </c>
      <c r="H7" s="70">
        <v>1.17363</v>
      </c>
      <c r="I7" s="69">
        <f t="shared" si="2"/>
        <v>1424.986571826</v>
      </c>
      <c r="J7" s="19" t="s">
        <v>468</v>
      </c>
      <c r="K7" s="61">
        <f>E7*0.1*H7</f>
        <v>-41.227274639999997</v>
      </c>
      <c r="L7" s="61">
        <f>(F7*0.1+G7*0.1)*H7</f>
        <v>562.39387223400001</v>
      </c>
      <c r="M7" s="58"/>
      <c r="N7" s="2" t="s">
        <v>477</v>
      </c>
      <c r="O7" s="2" t="s">
        <v>438</v>
      </c>
      <c r="P7" s="32">
        <v>-59.94</v>
      </c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317</v>
      </c>
      <c r="B8" s="29" t="s">
        <v>35</v>
      </c>
      <c r="C8" s="10" t="s">
        <v>465</v>
      </c>
      <c r="D8" s="32" t="s">
        <v>466</v>
      </c>
      <c r="E8" s="69">
        <v>-20965.16</v>
      </c>
      <c r="F8" s="69">
        <v>19906.88</v>
      </c>
      <c r="G8" s="69">
        <f>F8*0.73</f>
        <v>14532.0224</v>
      </c>
      <c r="H8" s="75">
        <v>0.26644000000000001</v>
      </c>
      <c r="I8" s="69">
        <f>(E8+G8)*H8</f>
        <v>-1714.0451821440001</v>
      </c>
      <c r="J8" s="78">
        <f>F8*0.05*H8</f>
        <v>265.19945536</v>
      </c>
      <c r="K8" s="61">
        <v>0</v>
      </c>
      <c r="L8" s="61">
        <f>F8*0.1*H8</f>
        <v>530.39891072</v>
      </c>
      <c r="M8" s="58"/>
      <c r="N8" s="2" t="s">
        <v>306</v>
      </c>
      <c r="O8" s="2" t="s">
        <v>420</v>
      </c>
      <c r="P8" s="32">
        <v>-29.97</v>
      </c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 t="s">
        <v>317</v>
      </c>
      <c r="B9" s="2" t="s">
        <v>10</v>
      </c>
      <c r="C9" s="10">
        <v>729767</v>
      </c>
      <c r="D9" s="10" t="s">
        <v>467</v>
      </c>
      <c r="E9" s="32">
        <v>-445</v>
      </c>
      <c r="F9" s="32">
        <v>66.45</v>
      </c>
      <c r="G9" s="69">
        <f t="shared" ref="G9:G13" si="3">F9*0.7</f>
        <v>46.515000000000001</v>
      </c>
      <c r="H9" s="73">
        <v>0.20576</v>
      </c>
      <c r="I9" s="69">
        <f>(E9+G9)*H9*0.9</f>
        <v>-73.79304624000001</v>
      </c>
      <c r="J9" s="79" t="s">
        <v>468</v>
      </c>
      <c r="K9" s="61">
        <f>E9*0.1*H9</f>
        <v>-9.1563199999999991</v>
      </c>
      <c r="L9" s="61">
        <f t="shared" ref="L9:L13" si="4">(F9*0.05+G9*0.1)*H9</f>
        <v>1.6407302400000001</v>
      </c>
      <c r="M9" s="58"/>
      <c r="N9" s="2" t="s">
        <v>478</v>
      </c>
      <c r="O9" s="2" t="s">
        <v>420</v>
      </c>
      <c r="P9" s="32">
        <v>-29.97</v>
      </c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 t="s">
        <v>317</v>
      </c>
      <c r="B10" s="2" t="s">
        <v>10</v>
      </c>
      <c r="C10" s="10">
        <v>1012047</v>
      </c>
      <c r="D10" s="10" t="s">
        <v>479</v>
      </c>
      <c r="E10" s="32">
        <v>1771.3</v>
      </c>
      <c r="F10" s="32">
        <v>37.35</v>
      </c>
      <c r="G10" s="69">
        <f t="shared" si="3"/>
        <v>26.145</v>
      </c>
      <c r="H10" s="73">
        <v>0.20576</v>
      </c>
      <c r="I10" s="69">
        <f>(E10*0.98+G10)*H10*0.9</f>
        <v>326.297726496</v>
      </c>
      <c r="J10" s="79" t="s">
        <v>468</v>
      </c>
      <c r="K10" s="61">
        <f>(E10*0.02*0.9+E10*0.1)*H10</f>
        <v>43.006597184</v>
      </c>
      <c r="L10" s="61">
        <f t="shared" si="4"/>
        <v>0.92221632000000009</v>
      </c>
      <c r="M10" s="58"/>
      <c r="N10" s="2" t="s">
        <v>480</v>
      </c>
      <c r="O10" s="2" t="s">
        <v>473</v>
      </c>
      <c r="P10" s="32">
        <v>-6600</v>
      </c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 t="s">
        <v>317</v>
      </c>
      <c r="B11" s="2" t="s">
        <v>10</v>
      </c>
      <c r="C11" s="10">
        <v>1047131</v>
      </c>
      <c r="D11" s="10" t="s">
        <v>472</v>
      </c>
      <c r="E11" s="32">
        <v>-9239.9500000000007</v>
      </c>
      <c r="F11" s="32">
        <v>1558.3</v>
      </c>
      <c r="G11" s="69">
        <f t="shared" si="3"/>
        <v>1090.81</v>
      </c>
      <c r="H11" s="73">
        <v>0.20576</v>
      </c>
      <c r="I11" s="69">
        <f>(E11+G11)*H11*0.9</f>
        <v>-1509.0903417600002</v>
      </c>
      <c r="J11" s="79" t="s">
        <v>468</v>
      </c>
      <c r="K11" s="61">
        <f>E11*0.1*H11</f>
        <v>-190.12121120000003</v>
      </c>
      <c r="L11" s="61">
        <f t="shared" si="4"/>
        <v>38.476296959999999</v>
      </c>
      <c r="M11" s="58"/>
      <c r="N11" s="2" t="s">
        <v>481</v>
      </c>
      <c r="O11" s="2" t="s">
        <v>473</v>
      </c>
      <c r="P11" s="32">
        <v>-5915</v>
      </c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 t="s">
        <v>317</v>
      </c>
      <c r="B12" s="2" t="s">
        <v>10</v>
      </c>
      <c r="C12" s="10">
        <v>1066285</v>
      </c>
      <c r="D12" s="10" t="s">
        <v>474</v>
      </c>
      <c r="E12" s="32">
        <v>233.5</v>
      </c>
      <c r="F12" s="32">
        <v>4814.1499999999996</v>
      </c>
      <c r="G12" s="69">
        <f t="shared" si="3"/>
        <v>3369.9049999999997</v>
      </c>
      <c r="H12" s="73">
        <v>0.20576</v>
      </c>
      <c r="I12" s="69">
        <f t="shared" ref="I12:I13" si="5">(E12*0.98+G12)*H12*0.9</f>
        <v>666.42814223999994</v>
      </c>
      <c r="J12" s="79" t="s">
        <v>468</v>
      </c>
      <c r="K12" s="61">
        <f t="shared" ref="K12:K13" si="6">(E12*0.02*0.9+E12*0.1)*H12</f>
        <v>5.6693052800000006</v>
      </c>
      <c r="L12" s="61">
        <f t="shared" si="4"/>
        <v>118.86714047999999</v>
      </c>
      <c r="M12" s="58"/>
      <c r="N12" s="2" t="s">
        <v>376</v>
      </c>
      <c r="O12" s="2" t="s">
        <v>473</v>
      </c>
      <c r="P12" s="32">
        <v>405</v>
      </c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 t="s">
        <v>317</v>
      </c>
      <c r="B13" s="2" t="s">
        <v>10</v>
      </c>
      <c r="C13" s="10">
        <v>1071916</v>
      </c>
      <c r="D13" s="32" t="s">
        <v>482</v>
      </c>
      <c r="E13" s="69">
        <v>8837.9500000000007</v>
      </c>
      <c r="F13" s="69">
        <v>3449.1</v>
      </c>
      <c r="G13" s="69">
        <f t="shared" si="3"/>
        <v>2414.37</v>
      </c>
      <c r="H13" s="73">
        <v>0.20576</v>
      </c>
      <c r="I13" s="69">
        <f t="shared" si="5"/>
        <v>2051.0166882240005</v>
      </c>
      <c r="J13" s="79" t="s">
        <v>468</v>
      </c>
      <c r="K13" s="61">
        <f t="shared" si="6"/>
        <v>214.58259785600004</v>
      </c>
      <c r="L13" s="61">
        <f t="shared" si="4"/>
        <v>85.16241792000001</v>
      </c>
      <c r="M13" s="58"/>
      <c r="N13" s="2" t="s">
        <v>376</v>
      </c>
      <c r="O13" s="2" t="s">
        <v>483</v>
      </c>
      <c r="P13" s="32">
        <v>908.94</v>
      </c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 t="s">
        <v>317</v>
      </c>
      <c r="B14" s="32" t="s">
        <v>61</v>
      </c>
      <c r="C14" s="2" t="s">
        <v>465</v>
      </c>
      <c r="D14" s="32" t="s">
        <v>466</v>
      </c>
      <c r="E14" s="69">
        <v>2549.7600000000002</v>
      </c>
      <c r="F14" s="69">
        <v>746.19</v>
      </c>
      <c r="G14" s="69">
        <f>F14*0.55</f>
        <v>410.40450000000004</v>
      </c>
      <c r="H14" s="70">
        <v>1.16154</v>
      </c>
      <c r="I14" s="69">
        <f>(E14+G14)*H14*0.9</f>
        <v>3094.5145259970004</v>
      </c>
      <c r="J14" s="19" t="s">
        <v>468</v>
      </c>
      <c r="K14" s="61">
        <f>E14*0.1*H14</f>
        <v>296.16482304000004</v>
      </c>
      <c r="L14" s="61">
        <f>(F14*0.1+G14*0.1)*H14</f>
        <v>134.34307755300003</v>
      </c>
      <c r="M14" s="58"/>
      <c r="N14" s="2" t="s">
        <v>378</v>
      </c>
      <c r="O14" s="2" t="s">
        <v>473</v>
      </c>
      <c r="P14" s="32">
        <v>-11286.1</v>
      </c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 t="s">
        <v>325</v>
      </c>
      <c r="B15" s="29" t="s">
        <v>35</v>
      </c>
      <c r="C15" s="10" t="s">
        <v>465</v>
      </c>
      <c r="D15" s="2" t="s">
        <v>466</v>
      </c>
      <c r="E15" s="32">
        <v>-1577.14</v>
      </c>
      <c r="F15" s="32">
        <v>2023.77</v>
      </c>
      <c r="G15" s="69">
        <f>F15*0.73</f>
        <v>1477.3521000000001</v>
      </c>
      <c r="H15" s="75">
        <v>0.26577000000000001</v>
      </c>
      <c r="I15" s="69">
        <f>(E15+G15)*H15</f>
        <v>-26.520630183000009</v>
      </c>
      <c r="J15" s="78">
        <f>F15*0.05*H15</f>
        <v>26.892867645000003</v>
      </c>
      <c r="K15" s="61">
        <v>0</v>
      </c>
      <c r="L15" s="61">
        <f>F15*0.1*H15</f>
        <v>53.785735290000005</v>
      </c>
      <c r="M15" s="58"/>
      <c r="N15" s="2" t="s">
        <v>389</v>
      </c>
      <c r="O15" s="2" t="s">
        <v>438</v>
      </c>
      <c r="P15" s="32">
        <v>-59.94</v>
      </c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 t="s">
        <v>325</v>
      </c>
      <c r="B16" s="32" t="s">
        <v>10</v>
      </c>
      <c r="C16" s="10">
        <v>729767</v>
      </c>
      <c r="D16" s="32" t="s">
        <v>467</v>
      </c>
      <c r="E16" s="32">
        <v>-22990.400000000001</v>
      </c>
      <c r="F16" s="32">
        <v>2441.85</v>
      </c>
      <c r="G16" s="69">
        <f t="shared" ref="G16:G20" si="7">F16*0.7</f>
        <v>1709.2949999999998</v>
      </c>
      <c r="H16" s="73">
        <v>0.20080000000000001</v>
      </c>
      <c r="I16" s="69">
        <f>(E16+G16)*H16*0.9</f>
        <v>-3845.921295600001</v>
      </c>
      <c r="J16" s="79" t="s">
        <v>468</v>
      </c>
      <c r="K16" s="61">
        <f>E16*0.1*H16</f>
        <v>-461.64723200000009</v>
      </c>
      <c r="L16" s="61">
        <f t="shared" ref="L16:L20" si="8">(F16*0.05+G16*0.1)*H16</f>
        <v>58.838817599999999</v>
      </c>
      <c r="M16" s="58"/>
      <c r="N16" s="2" t="s">
        <v>484</v>
      </c>
      <c r="O16" s="2" t="s">
        <v>420</v>
      </c>
      <c r="P16" s="32">
        <v>-29.97</v>
      </c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2" t="s">
        <v>325</v>
      </c>
      <c r="B17" s="32" t="s">
        <v>10</v>
      </c>
      <c r="C17" s="10">
        <v>995985</v>
      </c>
      <c r="D17" s="10" t="s">
        <v>485</v>
      </c>
      <c r="E17" s="32">
        <v>110</v>
      </c>
      <c r="F17" s="32">
        <v>154.25</v>
      </c>
      <c r="G17" s="69">
        <f t="shared" si="7"/>
        <v>107.97499999999999</v>
      </c>
      <c r="H17" s="73">
        <v>0.20080000000000001</v>
      </c>
      <c r="I17" s="69">
        <f t="shared" ref="I17:I18" si="9">(E17*0.98+G17)*H17*0.9</f>
        <v>38.994858000000001</v>
      </c>
      <c r="J17" s="79" t="s">
        <v>468</v>
      </c>
      <c r="K17" s="61">
        <f t="shared" ref="K17:K18" si="10">(E17*0.02*0.9+E17*0.1)*H17</f>
        <v>2.6063840000000003</v>
      </c>
      <c r="L17" s="61">
        <f t="shared" si="8"/>
        <v>3.7168079999999999</v>
      </c>
      <c r="M17" s="58"/>
      <c r="N17" s="2" t="s">
        <v>486</v>
      </c>
      <c r="O17" s="2" t="s">
        <v>473</v>
      </c>
      <c r="P17" s="32">
        <v>-132</v>
      </c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2" t="s">
        <v>325</v>
      </c>
      <c r="B18" s="32" t="s">
        <v>10</v>
      </c>
      <c r="C18" s="10">
        <v>1012047</v>
      </c>
      <c r="D18" s="10" t="s">
        <v>479</v>
      </c>
      <c r="E18" s="32">
        <v>9855.75</v>
      </c>
      <c r="F18" s="32">
        <v>10009.65</v>
      </c>
      <c r="G18" s="69">
        <f t="shared" si="7"/>
        <v>7006.7549999999992</v>
      </c>
      <c r="H18" s="73">
        <v>0.20080000000000001</v>
      </c>
      <c r="I18" s="69">
        <f t="shared" si="9"/>
        <v>3011.7692808000002</v>
      </c>
      <c r="J18" s="79" t="s">
        <v>468</v>
      </c>
      <c r="K18" s="61">
        <f t="shared" si="10"/>
        <v>233.52608280000004</v>
      </c>
      <c r="L18" s="61">
        <f t="shared" si="8"/>
        <v>241.19252639999999</v>
      </c>
      <c r="M18" s="58"/>
      <c r="N18" s="2" t="s">
        <v>487</v>
      </c>
      <c r="O18" s="2" t="s">
        <v>473</v>
      </c>
      <c r="P18" s="32">
        <v>-132</v>
      </c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2" t="s">
        <v>325</v>
      </c>
      <c r="B19" s="32" t="s">
        <v>10</v>
      </c>
      <c r="C19" s="10">
        <v>1066285</v>
      </c>
      <c r="D19" s="10" t="s">
        <v>474</v>
      </c>
      <c r="E19" s="32">
        <v>-996</v>
      </c>
      <c r="F19" s="32">
        <v>50.3</v>
      </c>
      <c r="G19" s="69">
        <f t="shared" si="7"/>
        <v>35.209999999999994</v>
      </c>
      <c r="H19" s="73">
        <v>0.20080000000000001</v>
      </c>
      <c r="I19" s="69">
        <f>(E19+G19)*H19*0.9</f>
        <v>-173.63396880000002</v>
      </c>
      <c r="J19" s="79" t="s">
        <v>468</v>
      </c>
      <c r="K19" s="61">
        <f>E19*0.1*H19</f>
        <v>-19.999680000000001</v>
      </c>
      <c r="L19" s="61">
        <f t="shared" si="8"/>
        <v>1.2120287999999999</v>
      </c>
      <c r="M19" s="58"/>
      <c r="N19" s="2" t="s">
        <v>320</v>
      </c>
      <c r="O19" s="2" t="s">
        <v>420</v>
      </c>
      <c r="P19" s="32">
        <v>-29.97</v>
      </c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 t="s">
        <v>325</v>
      </c>
      <c r="B20" s="32" t="s">
        <v>10</v>
      </c>
      <c r="C20" s="10">
        <v>1071916</v>
      </c>
      <c r="D20" s="32" t="s">
        <v>482</v>
      </c>
      <c r="E20" s="69">
        <v>34258.699999999997</v>
      </c>
      <c r="F20" s="69">
        <v>15700.75</v>
      </c>
      <c r="G20" s="69">
        <f t="shared" si="7"/>
        <v>10990.525</v>
      </c>
      <c r="H20" s="73">
        <v>0.20080000000000001</v>
      </c>
      <c r="I20" s="69">
        <f>(E20*0.98+G20)*H20*0.9</f>
        <v>8053.6152967199996</v>
      </c>
      <c r="J20" s="79" t="s">
        <v>468</v>
      </c>
      <c r="K20" s="61">
        <f>(E20*0.02*0.9+E20*0.1)*H20</f>
        <v>811.73934128000008</v>
      </c>
      <c r="L20" s="61">
        <f t="shared" si="8"/>
        <v>378.32527200000004</v>
      </c>
      <c r="M20" s="58"/>
      <c r="N20" s="2" t="s">
        <v>488</v>
      </c>
      <c r="O20" s="2" t="s">
        <v>489</v>
      </c>
      <c r="P20" s="32">
        <v>41.52</v>
      </c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 t="s">
        <v>325</v>
      </c>
      <c r="B21" s="32" t="s">
        <v>61</v>
      </c>
      <c r="C21" s="2" t="s">
        <v>465</v>
      </c>
      <c r="D21" s="32" t="s">
        <v>466</v>
      </c>
      <c r="E21" s="69">
        <v>342.36</v>
      </c>
      <c r="F21" s="69">
        <v>581.54</v>
      </c>
      <c r="G21" s="69">
        <f>F21*0.55</f>
        <v>319.84699999999998</v>
      </c>
      <c r="H21" s="70">
        <v>1.1501399999999999</v>
      </c>
      <c r="I21" s="69">
        <f>(E21+G21)*H21*0.9</f>
        <v>685.46768308200001</v>
      </c>
      <c r="J21" s="19" t="s">
        <v>468</v>
      </c>
      <c r="K21" s="61">
        <f>E21*0.1*H21</f>
        <v>39.376193040000004</v>
      </c>
      <c r="L21" s="61">
        <f>(F21*0.1+G21*0.1)*H21</f>
        <v>103.672124418</v>
      </c>
      <c r="M21" s="58"/>
      <c r="N21" s="2" t="s">
        <v>490</v>
      </c>
      <c r="O21" s="2" t="s">
        <v>473</v>
      </c>
      <c r="P21" s="32">
        <v>-132</v>
      </c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 t="s">
        <v>332</v>
      </c>
      <c r="B22" s="29" t="s">
        <v>35</v>
      </c>
      <c r="C22" s="10" t="s">
        <v>465</v>
      </c>
      <c r="D22" s="2" t="s">
        <v>466</v>
      </c>
      <c r="E22" s="32">
        <v>-6459.82</v>
      </c>
      <c r="F22" s="32">
        <v>1059.3</v>
      </c>
      <c r="G22" s="69">
        <f>F22*0.73</f>
        <v>773.28899999999999</v>
      </c>
      <c r="H22" s="75">
        <v>0.27323999999999998</v>
      </c>
      <c r="I22" s="69">
        <f>(E22+G22)*H22</f>
        <v>-1553.7877304399999</v>
      </c>
      <c r="J22" s="78">
        <f>F22*0.05*H22</f>
        <v>14.4721566</v>
      </c>
      <c r="K22" s="61">
        <v>0</v>
      </c>
      <c r="L22" s="61">
        <f>F22*0.1*H22</f>
        <v>28.9443132</v>
      </c>
      <c r="M22" s="58"/>
      <c r="N22" s="2" t="s">
        <v>491</v>
      </c>
      <c r="O22" s="2" t="s">
        <v>420</v>
      </c>
      <c r="P22" s="32">
        <v>-29.97</v>
      </c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 t="s">
        <v>332</v>
      </c>
      <c r="B23" s="2" t="s">
        <v>10</v>
      </c>
      <c r="C23" s="10">
        <v>1012047</v>
      </c>
      <c r="D23" s="32" t="s">
        <v>479</v>
      </c>
      <c r="E23" s="32">
        <v>-13663.3</v>
      </c>
      <c r="F23" s="32">
        <v>1728.25</v>
      </c>
      <c r="G23" s="69">
        <f t="shared" ref="G23:G25" si="11">F23*0.7</f>
        <v>1209.7749999999999</v>
      </c>
      <c r="H23" s="73">
        <v>0.20202000000000001</v>
      </c>
      <c r="I23" s="69">
        <f t="shared" ref="I23:I27" si="12">(E23+G23)*H23*0.9</f>
        <v>-2264.2750084500003</v>
      </c>
      <c r="J23" s="79" t="s">
        <v>468</v>
      </c>
      <c r="K23" s="61">
        <f t="shared" ref="K23:K27" si="13">E23*0.1*H23</f>
        <v>-276.02598660000001</v>
      </c>
      <c r="L23" s="61">
        <f t="shared" ref="L23:L25" si="14">(F23*0.05+G23*0.1)*H23</f>
        <v>41.8969278</v>
      </c>
      <c r="M23" s="58"/>
      <c r="N23" s="2" t="s">
        <v>492</v>
      </c>
      <c r="O23" s="2" t="s">
        <v>473</v>
      </c>
      <c r="P23" s="32">
        <v>-150</v>
      </c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 t="s">
        <v>332</v>
      </c>
      <c r="B24" s="2" t="s">
        <v>10</v>
      </c>
      <c r="C24" s="10">
        <v>1066285</v>
      </c>
      <c r="D24" s="32" t="s">
        <v>474</v>
      </c>
      <c r="E24" s="32">
        <v>-1211.8</v>
      </c>
      <c r="F24" s="32">
        <v>114.85</v>
      </c>
      <c r="G24" s="69">
        <f t="shared" si="11"/>
        <v>80.394999999999996</v>
      </c>
      <c r="H24" s="73">
        <v>0.20202000000000001</v>
      </c>
      <c r="I24" s="69">
        <f t="shared" si="12"/>
        <v>-205.70979428999999</v>
      </c>
      <c r="J24" s="79" t="s">
        <v>468</v>
      </c>
      <c r="K24" s="61">
        <f t="shared" si="13"/>
        <v>-24.480783600000002</v>
      </c>
      <c r="L24" s="61">
        <f t="shared" si="14"/>
        <v>2.78423964</v>
      </c>
      <c r="M24" s="58"/>
      <c r="N24" s="2"/>
      <c r="O24" s="2"/>
      <c r="P24" s="32"/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 t="s">
        <v>332</v>
      </c>
      <c r="B25" s="2" t="s">
        <v>10</v>
      </c>
      <c r="C25" s="10">
        <v>1071916</v>
      </c>
      <c r="D25" s="10" t="s">
        <v>482</v>
      </c>
      <c r="E25" s="32">
        <v>-12044.9</v>
      </c>
      <c r="F25" s="32">
        <v>9287.65</v>
      </c>
      <c r="G25" s="69">
        <f t="shared" si="11"/>
        <v>6501.3549999999996</v>
      </c>
      <c r="H25" s="73">
        <v>0.20202000000000001</v>
      </c>
      <c r="I25" s="69">
        <f t="shared" si="12"/>
        <v>-1007.91626481</v>
      </c>
      <c r="J25" s="79" t="s">
        <v>468</v>
      </c>
      <c r="K25" s="61">
        <f t="shared" si="13"/>
        <v>-243.33106979999999</v>
      </c>
      <c r="L25" s="61">
        <f t="shared" si="14"/>
        <v>225.15492636000002</v>
      </c>
      <c r="M25" s="58"/>
      <c r="N25" s="2"/>
      <c r="O25" s="2"/>
      <c r="P25" s="32"/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32" t="s">
        <v>332</v>
      </c>
      <c r="B26" s="32" t="s">
        <v>61</v>
      </c>
      <c r="C26" s="2" t="s">
        <v>465</v>
      </c>
      <c r="D26" s="32" t="s">
        <v>466</v>
      </c>
      <c r="E26" s="69">
        <v>1382.08</v>
      </c>
      <c r="F26" s="69">
        <v>34.03</v>
      </c>
      <c r="G26" s="69">
        <f t="shared" ref="G26:G27" si="15">F26*0.55</f>
        <v>18.716500000000003</v>
      </c>
      <c r="H26" s="70">
        <v>1.15785</v>
      </c>
      <c r="I26" s="69">
        <f t="shared" si="12"/>
        <v>1459.7210047725</v>
      </c>
      <c r="J26" s="19" t="s">
        <v>468</v>
      </c>
      <c r="K26" s="61">
        <f t="shared" si="13"/>
        <v>160.02413280000002</v>
      </c>
      <c r="L26" s="61">
        <f t="shared" ref="L26:L27" si="16">(F26*0.1+G26*0.1)*H26</f>
        <v>6.1072535025000017</v>
      </c>
      <c r="M26" s="58"/>
      <c r="N26" s="2"/>
      <c r="O26" s="2"/>
      <c r="P26" s="32"/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 t="s">
        <v>340</v>
      </c>
      <c r="B27" s="32" t="s">
        <v>61</v>
      </c>
      <c r="C27" s="2" t="s">
        <v>465</v>
      </c>
      <c r="D27" s="32" t="s">
        <v>466</v>
      </c>
      <c r="E27" s="69">
        <v>-474.12</v>
      </c>
      <c r="F27" s="69">
        <v>367.46</v>
      </c>
      <c r="G27" s="69">
        <f t="shared" si="15"/>
        <v>202.10300000000001</v>
      </c>
      <c r="H27" s="70">
        <v>1.1459900000000001</v>
      </c>
      <c r="I27" s="69">
        <f t="shared" si="12"/>
        <v>-280.55588564700003</v>
      </c>
      <c r="J27" s="19" t="s">
        <v>468</v>
      </c>
      <c r="K27" s="61">
        <f t="shared" si="13"/>
        <v>-54.33367788000001</v>
      </c>
      <c r="L27" s="61">
        <f t="shared" si="16"/>
        <v>65.271350237000007</v>
      </c>
      <c r="M27" s="58"/>
      <c r="N27" s="2"/>
      <c r="O27" s="2"/>
      <c r="P27" s="32"/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 t="s">
        <v>340</v>
      </c>
      <c r="B28" s="32" t="s">
        <v>10</v>
      </c>
      <c r="C28" s="10">
        <v>995985</v>
      </c>
      <c r="D28" s="10" t="s">
        <v>485</v>
      </c>
      <c r="E28" s="32">
        <v>5573.7</v>
      </c>
      <c r="F28" s="32">
        <v>159.94999999999999</v>
      </c>
      <c r="G28" s="69">
        <f t="shared" ref="G28:G31" si="17">F28*0.7</f>
        <v>111.96499999999999</v>
      </c>
      <c r="H28" s="73">
        <v>0.20039999999999999</v>
      </c>
      <c r="I28" s="69">
        <f>(E28*0.98+G28)*H28</f>
        <v>1117.0678763999999</v>
      </c>
      <c r="J28" s="79" t="s">
        <v>468</v>
      </c>
      <c r="K28" s="61">
        <f>E28*0.02*H28</f>
        <v>22.339389600000001</v>
      </c>
      <c r="L28" s="61">
        <f t="shared" ref="L28:L31" si="18">F28*0.05*H28</f>
        <v>1.6026989999999999</v>
      </c>
      <c r="M28" s="58"/>
      <c r="N28" s="2"/>
      <c r="O28" s="2"/>
      <c r="P28" s="32"/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 t="s">
        <v>340</v>
      </c>
      <c r="B29" s="32" t="s">
        <v>10</v>
      </c>
      <c r="C29" s="10">
        <v>1012047</v>
      </c>
      <c r="D29" s="10" t="s">
        <v>479</v>
      </c>
      <c r="E29" s="32">
        <v>-11088.3</v>
      </c>
      <c r="F29" s="32">
        <v>2348.25</v>
      </c>
      <c r="G29" s="69">
        <f t="shared" si="17"/>
        <v>1643.7749999999999</v>
      </c>
      <c r="H29" s="73">
        <v>0.20039999999999999</v>
      </c>
      <c r="I29" s="69">
        <f t="shared" ref="I29:I30" si="19">(E29+G29)*H29</f>
        <v>-1892.6828099999998</v>
      </c>
      <c r="J29" s="79" t="s">
        <v>468</v>
      </c>
      <c r="K29" s="61">
        <v>0</v>
      </c>
      <c r="L29" s="61">
        <f t="shared" si="18"/>
        <v>23.529465000000002</v>
      </c>
      <c r="M29" s="58"/>
      <c r="N29" s="2"/>
      <c r="O29" s="2"/>
      <c r="P29" s="32"/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32" t="s">
        <v>340</v>
      </c>
      <c r="B30" s="32" t="s">
        <v>10</v>
      </c>
      <c r="C30" s="10">
        <v>1066285</v>
      </c>
      <c r="D30" s="10" t="s">
        <v>474</v>
      </c>
      <c r="E30" s="32">
        <v>-6760.2</v>
      </c>
      <c r="F30" s="32">
        <v>367.8</v>
      </c>
      <c r="G30" s="69">
        <f t="shared" si="17"/>
        <v>257.45999999999998</v>
      </c>
      <c r="H30" s="73">
        <v>0.20039999999999999</v>
      </c>
      <c r="I30" s="69">
        <f t="shared" si="19"/>
        <v>-1303.1490959999999</v>
      </c>
      <c r="J30" s="79" t="s">
        <v>468</v>
      </c>
      <c r="K30" s="61">
        <v>0</v>
      </c>
      <c r="L30" s="61">
        <f t="shared" si="18"/>
        <v>3.6853560000000001</v>
      </c>
      <c r="M30" s="58"/>
      <c r="N30" s="2"/>
      <c r="O30" s="2"/>
      <c r="P30" s="32"/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32" t="s">
        <v>340</v>
      </c>
      <c r="B31" s="32" t="s">
        <v>10</v>
      </c>
      <c r="C31" s="10">
        <v>1071916</v>
      </c>
      <c r="D31" s="32" t="s">
        <v>482</v>
      </c>
      <c r="E31" s="32">
        <v>12791.5</v>
      </c>
      <c r="F31" s="32">
        <v>514.15</v>
      </c>
      <c r="G31" s="69">
        <f t="shared" si="17"/>
        <v>359.90499999999997</v>
      </c>
      <c r="H31" s="73">
        <v>0.20039999999999999</v>
      </c>
      <c r="I31" s="69">
        <f>(E31*0.98+G31)*H31</f>
        <v>2584.2732300000002</v>
      </c>
      <c r="J31" s="79" t="s">
        <v>468</v>
      </c>
      <c r="K31" s="61">
        <f>E31*0.02*H31</f>
        <v>51.268332000000001</v>
      </c>
      <c r="L31" s="61">
        <f t="shared" si="18"/>
        <v>5.151783</v>
      </c>
      <c r="M31" s="58"/>
      <c r="N31" s="2"/>
      <c r="O31" s="2"/>
      <c r="P31" s="32"/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32" t="s">
        <v>359</v>
      </c>
      <c r="B32" s="32" t="s">
        <v>61</v>
      </c>
      <c r="C32" s="2" t="s">
        <v>465</v>
      </c>
      <c r="D32" s="32" t="s">
        <v>466</v>
      </c>
      <c r="E32" s="69">
        <v>33.92</v>
      </c>
      <c r="F32" s="69">
        <v>93.89</v>
      </c>
      <c r="G32" s="69">
        <f>F32*0.55</f>
        <v>51.639500000000005</v>
      </c>
      <c r="H32" s="70">
        <v>1.14192</v>
      </c>
      <c r="I32" s="69">
        <f>(E32+G32)*H32*0.9</f>
        <v>87.931893816000027</v>
      </c>
      <c r="J32" s="19" t="s">
        <v>468</v>
      </c>
      <c r="K32" s="61">
        <f>E32*0.1*H32</f>
        <v>3.8733926400000005</v>
      </c>
      <c r="L32" s="61">
        <f>(F32*0.1+G32*0.1)*H32</f>
        <v>16.618304664000004</v>
      </c>
      <c r="M32" s="58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32" t="s">
        <v>359</v>
      </c>
      <c r="B33" s="29" t="s">
        <v>35</v>
      </c>
      <c r="C33" s="10" t="s">
        <v>465</v>
      </c>
      <c r="D33" s="32" t="s">
        <v>466</v>
      </c>
      <c r="E33" s="69">
        <v>2256.04</v>
      </c>
      <c r="F33" s="69">
        <v>2727.15</v>
      </c>
      <c r="G33" s="69">
        <f>F33*0.73</f>
        <v>1990.8195000000001</v>
      </c>
      <c r="H33" s="75">
        <v>0.27339000000000002</v>
      </c>
      <c r="I33" s="69">
        <f>(E33+G33)*H33</f>
        <v>1161.0489187050002</v>
      </c>
      <c r="J33" s="78">
        <f>F33*0.05*H33</f>
        <v>37.27877692500001</v>
      </c>
      <c r="K33" s="61">
        <v>0</v>
      </c>
      <c r="L33" s="61">
        <f>F33*0.1*H33</f>
        <v>74.557553850000019</v>
      </c>
      <c r="M33" s="58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32" t="s">
        <v>359</v>
      </c>
      <c r="B34" s="32" t="s">
        <v>10</v>
      </c>
      <c r="C34" s="10">
        <v>611534</v>
      </c>
      <c r="D34" s="32" t="s">
        <v>493</v>
      </c>
      <c r="E34" s="69">
        <v>532</v>
      </c>
      <c r="F34" s="69">
        <v>6.3</v>
      </c>
      <c r="G34" s="69">
        <f t="shared" ref="G34:G37" si="20">F34*0.7</f>
        <v>4.4099999999999993</v>
      </c>
      <c r="H34" s="73">
        <v>0.20202000000000001</v>
      </c>
      <c r="I34" s="69">
        <f t="shared" ref="I34:I36" si="21">(E34*0.98+G34)*H34</f>
        <v>106.2160554</v>
      </c>
      <c r="J34" s="79" t="s">
        <v>468</v>
      </c>
      <c r="K34" s="61">
        <f t="shared" ref="K34:K36" si="22">E34*0.02*H34</f>
        <v>2.1494928</v>
      </c>
      <c r="L34" s="61">
        <f t="shared" ref="L34:L37" si="23">F34*0.05*H34</f>
        <v>6.3636300000000007E-2</v>
      </c>
      <c r="M34" s="58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32" t="s">
        <v>359</v>
      </c>
      <c r="B35" s="32" t="s">
        <v>10</v>
      </c>
      <c r="C35" s="10">
        <v>995985</v>
      </c>
      <c r="D35" s="32" t="s">
        <v>485</v>
      </c>
      <c r="E35" s="32">
        <v>445.9</v>
      </c>
      <c r="F35" s="32">
        <v>282.75</v>
      </c>
      <c r="G35" s="69">
        <f t="shared" si="20"/>
        <v>197.92499999999998</v>
      </c>
      <c r="H35" s="73">
        <v>0.20202000000000001</v>
      </c>
      <c r="I35" s="69">
        <f t="shared" si="21"/>
        <v>128.26391214</v>
      </c>
      <c r="J35" s="79" t="s">
        <v>468</v>
      </c>
      <c r="K35" s="61">
        <f t="shared" si="22"/>
        <v>1.8016143599999999</v>
      </c>
      <c r="L35" s="61">
        <f t="shared" si="23"/>
        <v>2.8560577500000002</v>
      </c>
      <c r="M35" s="58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32" t="s">
        <v>359</v>
      </c>
      <c r="B36" s="32" t="s">
        <v>10</v>
      </c>
      <c r="C36" s="10">
        <v>1012047</v>
      </c>
      <c r="D36" s="32" t="s">
        <v>479</v>
      </c>
      <c r="E36" s="32">
        <v>18940.400000000001</v>
      </c>
      <c r="F36" s="32">
        <v>1013.1</v>
      </c>
      <c r="G36" s="69">
        <f t="shared" si="20"/>
        <v>709.17</v>
      </c>
      <c r="H36" s="73">
        <v>0.20202000000000001</v>
      </c>
      <c r="I36" s="69">
        <f t="shared" si="21"/>
        <v>3893.0793392400001</v>
      </c>
      <c r="J36" s="79" t="s">
        <v>468</v>
      </c>
      <c r="K36" s="61">
        <f t="shared" si="22"/>
        <v>76.526792160000014</v>
      </c>
      <c r="L36" s="61">
        <f t="shared" si="23"/>
        <v>10.2333231</v>
      </c>
      <c r="M36" s="58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32" t="s">
        <v>359</v>
      </c>
      <c r="B37" s="32" t="s">
        <v>10</v>
      </c>
      <c r="C37" s="10">
        <v>1071916</v>
      </c>
      <c r="D37" s="32" t="s">
        <v>482</v>
      </c>
      <c r="E37" s="69">
        <v>-507.75</v>
      </c>
      <c r="F37" s="69">
        <v>7889.75</v>
      </c>
      <c r="G37" s="69">
        <f t="shared" si="20"/>
        <v>5522.8249999999998</v>
      </c>
      <c r="H37" s="73">
        <v>0.20202000000000001</v>
      </c>
      <c r="I37" s="69">
        <f t="shared" ref="I37:I39" si="24">(E37+G37)*H37</f>
        <v>1013.1454515</v>
      </c>
      <c r="J37" s="79" t="s">
        <v>468</v>
      </c>
      <c r="K37" s="61">
        <v>0</v>
      </c>
      <c r="L37" s="61">
        <f t="shared" si="23"/>
        <v>79.694364750000005</v>
      </c>
      <c r="M37" s="58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2" t="s">
        <v>366</v>
      </c>
      <c r="B38" s="29" t="s">
        <v>35</v>
      </c>
      <c r="C38" s="10" t="s">
        <v>465</v>
      </c>
      <c r="D38" s="32" t="s">
        <v>466</v>
      </c>
      <c r="E38" s="69">
        <v>1488.52</v>
      </c>
      <c r="F38" s="69">
        <v>2281.39</v>
      </c>
      <c r="G38" s="69">
        <f>F38*0.73</f>
        <v>1665.4146999999998</v>
      </c>
      <c r="H38" s="75">
        <v>0.2752</v>
      </c>
      <c r="I38" s="69">
        <f t="shared" si="24"/>
        <v>867.96282943999995</v>
      </c>
      <c r="J38" s="78">
        <f>F38*0.05*H38</f>
        <v>31.391926400000003</v>
      </c>
      <c r="K38" s="61">
        <v>0</v>
      </c>
      <c r="L38" s="61">
        <f>F38*0.1*H38</f>
        <v>62.783852800000005</v>
      </c>
      <c r="M38" s="58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2" t="s">
        <v>366</v>
      </c>
      <c r="B39" s="2" t="s">
        <v>10</v>
      </c>
      <c r="C39" s="10">
        <v>995985</v>
      </c>
      <c r="D39" s="32" t="s">
        <v>485</v>
      </c>
      <c r="E39" s="69">
        <v>-550</v>
      </c>
      <c r="F39" s="69">
        <v>23.4</v>
      </c>
      <c r="G39" s="69">
        <f t="shared" ref="G39:G42" si="25">F39*0.7</f>
        <v>16.38</v>
      </c>
      <c r="H39" s="73">
        <v>0.20161299999999999</v>
      </c>
      <c r="I39" s="69">
        <f t="shared" si="24"/>
        <v>-107.58472906</v>
      </c>
      <c r="J39" s="79" t="s">
        <v>468</v>
      </c>
      <c r="K39" s="61">
        <v>0</v>
      </c>
      <c r="L39" s="61">
        <f t="shared" ref="L39:L42" si="26">F39*0.05*H39</f>
        <v>0.23588720999999996</v>
      </c>
      <c r="M39" s="58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2" t="s">
        <v>366</v>
      </c>
      <c r="B40" s="2" t="s">
        <v>10</v>
      </c>
      <c r="C40" s="10">
        <v>1012047</v>
      </c>
      <c r="D40" s="46" t="s">
        <v>479</v>
      </c>
      <c r="E40" s="69">
        <v>19407.25</v>
      </c>
      <c r="F40" s="69">
        <v>5709.3</v>
      </c>
      <c r="G40" s="69">
        <f t="shared" si="25"/>
        <v>3996.5099999999998</v>
      </c>
      <c r="H40" s="73">
        <v>0.20161299999999999</v>
      </c>
      <c r="I40" s="69">
        <f>(E40*0.98+G40)*H40</f>
        <v>4640.2471869949995</v>
      </c>
      <c r="J40" s="79" t="s">
        <v>468</v>
      </c>
      <c r="K40" s="61">
        <f>E40*0.02*H40</f>
        <v>78.255077884999992</v>
      </c>
      <c r="L40" s="61">
        <f t="shared" si="26"/>
        <v>57.553455045</v>
      </c>
      <c r="M40" s="58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2" t="s">
        <v>366</v>
      </c>
      <c r="B41" s="2" t="s">
        <v>10</v>
      </c>
      <c r="C41" s="10">
        <v>1071916</v>
      </c>
      <c r="D41" s="10" t="s">
        <v>482</v>
      </c>
      <c r="E41" s="32">
        <v>-9016.5</v>
      </c>
      <c r="F41" s="32">
        <v>10626.95</v>
      </c>
      <c r="G41" s="69">
        <f t="shared" si="25"/>
        <v>7438.8649999999998</v>
      </c>
      <c r="H41" s="73">
        <v>0.20161299999999999</v>
      </c>
      <c r="I41" s="69">
        <f>(E41+G41)*H41</f>
        <v>-318.07172525500005</v>
      </c>
      <c r="J41" s="79" t="s">
        <v>468</v>
      </c>
      <c r="K41" s="61">
        <v>0</v>
      </c>
      <c r="L41" s="61">
        <f t="shared" si="26"/>
        <v>107.1265635175</v>
      </c>
      <c r="M41" s="58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2" t="s">
        <v>366</v>
      </c>
      <c r="B42" s="2" t="s">
        <v>10</v>
      </c>
      <c r="C42" s="10">
        <v>1094069</v>
      </c>
      <c r="D42" s="10" t="s">
        <v>494</v>
      </c>
      <c r="E42" s="32">
        <v>14283.95</v>
      </c>
      <c r="F42" s="32">
        <v>1550.35</v>
      </c>
      <c r="G42" s="69">
        <f t="shared" si="25"/>
        <v>1085.2449999999999</v>
      </c>
      <c r="H42" s="73">
        <v>0.20161299999999999</v>
      </c>
      <c r="I42" s="69">
        <f>(E42*0.98+G42)*H42</f>
        <v>3041.0329113079997</v>
      </c>
      <c r="J42" s="79" t="s">
        <v>468</v>
      </c>
      <c r="K42" s="61">
        <f>E42*0.02*H42</f>
        <v>57.596600227000003</v>
      </c>
      <c r="L42" s="61">
        <f t="shared" si="26"/>
        <v>15.628535727499999</v>
      </c>
      <c r="M42" s="58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32" t="s">
        <v>366</v>
      </c>
      <c r="B43" s="32" t="s">
        <v>61</v>
      </c>
      <c r="C43" s="10" t="s">
        <v>465</v>
      </c>
      <c r="D43" s="46" t="s">
        <v>466</v>
      </c>
      <c r="E43" s="69">
        <v>449.89</v>
      </c>
      <c r="F43" s="69">
        <v>968.24</v>
      </c>
      <c r="G43" s="69">
        <f>F43*0.55</f>
        <v>532.53200000000004</v>
      </c>
      <c r="H43" s="70">
        <v>1.1331800000000001</v>
      </c>
      <c r="I43" s="69">
        <f>(E43+G43)*H43*0.9</f>
        <v>1001.9348657640001</v>
      </c>
      <c r="J43" s="19" t="s">
        <v>468</v>
      </c>
      <c r="K43" s="61">
        <f>E43*0.1*H43</f>
        <v>50.980635020000008</v>
      </c>
      <c r="L43" s="61">
        <f>(F43*0.1+G43*0.1)*H43</f>
        <v>170.06448149600001</v>
      </c>
      <c r="M43" s="58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2" t="s">
        <v>370</v>
      </c>
      <c r="B44" s="2" t="s">
        <v>10</v>
      </c>
      <c r="C44" s="10">
        <v>1012047</v>
      </c>
      <c r="D44" s="46" t="s">
        <v>479</v>
      </c>
      <c r="E44" s="69">
        <v>9553.9</v>
      </c>
      <c r="F44" s="69">
        <v>3221.15</v>
      </c>
      <c r="G44" s="69">
        <f t="shared" ref="G44:G46" si="27">F44*0.7</f>
        <v>2254.8049999999998</v>
      </c>
      <c r="H44" s="70">
        <v>0.20080300000000001</v>
      </c>
      <c r="I44" s="69">
        <f t="shared" ref="I44:I46" si="28">(E44*0.98+G44)*H44</f>
        <v>2332.854354481</v>
      </c>
      <c r="J44" s="79" t="s">
        <v>468</v>
      </c>
      <c r="K44" s="61">
        <f t="shared" ref="K44:K46" si="29">E44*0.02*H44</f>
        <v>38.369035633999999</v>
      </c>
      <c r="L44" s="61">
        <f t="shared" ref="L44:L46" si="30">F44*0.05*H44</f>
        <v>32.340829172500001</v>
      </c>
      <c r="M44" s="58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2" t="s">
        <v>370</v>
      </c>
      <c r="B45" s="2" t="s">
        <v>10</v>
      </c>
      <c r="C45" s="10">
        <v>1071916</v>
      </c>
      <c r="D45" s="46" t="s">
        <v>482</v>
      </c>
      <c r="E45" s="69">
        <v>24255.35</v>
      </c>
      <c r="F45" s="69">
        <v>4135.5</v>
      </c>
      <c r="G45" s="69">
        <f t="shared" si="27"/>
        <v>2894.85</v>
      </c>
      <c r="H45" s="70">
        <v>0.20080300000000001</v>
      </c>
      <c r="I45" s="69">
        <f t="shared" si="28"/>
        <v>5354.4306696789999</v>
      </c>
      <c r="J45" s="79" t="s">
        <v>468</v>
      </c>
      <c r="K45" s="61">
        <f t="shared" si="29"/>
        <v>97.410940921000005</v>
      </c>
      <c r="L45" s="61">
        <f t="shared" si="30"/>
        <v>41.521040325000001</v>
      </c>
      <c r="M45" s="58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2" t="s">
        <v>370</v>
      </c>
      <c r="B46" s="2" t="s">
        <v>10</v>
      </c>
      <c r="C46" s="10">
        <v>1094069</v>
      </c>
      <c r="D46" s="10" t="s">
        <v>494</v>
      </c>
      <c r="E46" s="32">
        <v>10706.55</v>
      </c>
      <c r="F46" s="32">
        <v>1870.35</v>
      </c>
      <c r="G46" s="69">
        <f t="shared" si="27"/>
        <v>1309.2449999999999</v>
      </c>
      <c r="H46" s="70">
        <v>0.20080300000000001</v>
      </c>
      <c r="I46" s="69">
        <f t="shared" si="28"/>
        <v>2369.8095361920005</v>
      </c>
      <c r="J46" s="79" t="s">
        <v>468</v>
      </c>
      <c r="K46" s="61">
        <f t="shared" si="29"/>
        <v>42.998147193000001</v>
      </c>
      <c r="L46" s="61">
        <f t="shared" si="30"/>
        <v>18.7785945525</v>
      </c>
      <c r="M46" s="58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2" t="s">
        <v>370</v>
      </c>
      <c r="B47" s="32" t="s">
        <v>61</v>
      </c>
      <c r="C47" s="10" t="s">
        <v>465</v>
      </c>
      <c r="D47" s="46" t="s">
        <v>466</v>
      </c>
      <c r="E47" s="69">
        <v>-3260.84</v>
      </c>
      <c r="F47" s="69">
        <v>846.07</v>
      </c>
      <c r="G47" s="69">
        <f>F47*0.55</f>
        <v>465.33850000000007</v>
      </c>
      <c r="H47" s="70">
        <v>1.1366099999999999</v>
      </c>
      <c r="I47" s="69">
        <f>(E47+G47)*H47*0.9</f>
        <v>-2859.6554639235001</v>
      </c>
      <c r="J47" s="19" t="s">
        <v>468</v>
      </c>
      <c r="K47" s="61">
        <f>E47*0.1*H47</f>
        <v>-370.63033524000002</v>
      </c>
      <c r="L47" s="61">
        <f>(F47*0.1+G47*0.1)*H47</f>
        <v>149.05600151850001</v>
      </c>
      <c r="M47" s="58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2" t="s">
        <v>372</v>
      </c>
      <c r="B48" s="29" t="s">
        <v>35</v>
      </c>
      <c r="C48" s="10" t="s">
        <v>465</v>
      </c>
      <c r="D48" s="10" t="s">
        <v>466</v>
      </c>
      <c r="E48" s="32">
        <v>980</v>
      </c>
      <c r="F48" s="32">
        <v>185</v>
      </c>
      <c r="G48" s="69">
        <f>F48*0.73</f>
        <v>135.04999999999998</v>
      </c>
      <c r="H48" s="75">
        <v>0.27928999999999998</v>
      </c>
      <c r="I48" s="69">
        <f t="shared" ref="I48:I49" si="31">(E48+G48)*H48</f>
        <v>311.42231449999997</v>
      </c>
      <c r="J48" s="78">
        <f>F48*0.05*H48</f>
        <v>2.5834324999999998</v>
      </c>
      <c r="K48" s="61">
        <v>0</v>
      </c>
      <c r="L48" s="61">
        <f>F48*0.1*H48</f>
        <v>5.1668649999999996</v>
      </c>
      <c r="M48" s="58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2" t="s">
        <v>372</v>
      </c>
      <c r="B49" s="2" t="s">
        <v>10</v>
      </c>
      <c r="C49" s="10">
        <v>1012047</v>
      </c>
      <c r="D49" s="10" t="s">
        <v>479</v>
      </c>
      <c r="E49" s="32">
        <v>-10168.75</v>
      </c>
      <c r="F49" s="32">
        <v>5869.45</v>
      </c>
      <c r="G49" s="69">
        <f t="shared" ref="G49:G51" si="32">F49*0.7</f>
        <v>4108.6149999999998</v>
      </c>
      <c r="H49" s="73">
        <v>0.20202000000000001</v>
      </c>
      <c r="I49" s="69">
        <f t="shared" si="31"/>
        <v>-1224.2684727000001</v>
      </c>
      <c r="J49" s="79" t="s">
        <v>468</v>
      </c>
      <c r="K49" s="61">
        <v>0</v>
      </c>
      <c r="L49" s="61">
        <f t="shared" ref="L49:L51" si="33">F49*0.05*H49</f>
        <v>59.287314450000004</v>
      </c>
      <c r="M49" s="58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2" t="s">
        <v>372</v>
      </c>
      <c r="B50" s="2" t="s">
        <v>10</v>
      </c>
      <c r="C50" s="10">
        <v>1071916</v>
      </c>
      <c r="D50" s="10" t="s">
        <v>482</v>
      </c>
      <c r="E50" s="32">
        <v>17721.95</v>
      </c>
      <c r="F50" s="32">
        <v>3748.65</v>
      </c>
      <c r="G50" s="69">
        <f t="shared" si="32"/>
        <v>2624.0549999999998</v>
      </c>
      <c r="H50" s="73">
        <v>0.20202000000000001</v>
      </c>
      <c r="I50" s="69">
        <f>(E50*0.98+G50)*H50</f>
        <v>4038.6961633199999</v>
      </c>
      <c r="J50" s="79" t="s">
        <v>468</v>
      </c>
      <c r="K50" s="61">
        <f>E50*0.02*H50</f>
        <v>71.603766780000001</v>
      </c>
      <c r="L50" s="61">
        <f t="shared" si="33"/>
        <v>37.865113650000005</v>
      </c>
      <c r="M50" s="58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2" t="s">
        <v>372</v>
      </c>
      <c r="B51" s="2" t="s">
        <v>10</v>
      </c>
      <c r="C51" s="10">
        <v>1094069</v>
      </c>
      <c r="D51" s="10" t="s">
        <v>494</v>
      </c>
      <c r="E51" s="32">
        <v>-25252.25</v>
      </c>
      <c r="F51" s="32">
        <v>6674.35</v>
      </c>
      <c r="G51" s="69">
        <f t="shared" si="32"/>
        <v>4672.0450000000001</v>
      </c>
      <c r="H51" s="73">
        <v>0.20202000000000001</v>
      </c>
      <c r="I51" s="69">
        <f>(E51+G51)*H51</f>
        <v>-4157.6130141000003</v>
      </c>
      <c r="J51" s="79" t="s">
        <v>468</v>
      </c>
      <c r="K51" s="61">
        <v>0</v>
      </c>
      <c r="L51" s="61">
        <f t="shared" si="33"/>
        <v>67.417609350000006</v>
      </c>
      <c r="M51" s="58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2" t="s">
        <v>372</v>
      </c>
      <c r="B52" s="32" t="s">
        <v>61</v>
      </c>
      <c r="C52" s="10" t="s">
        <v>465</v>
      </c>
      <c r="D52" s="46" t="s">
        <v>466</v>
      </c>
      <c r="E52" s="69">
        <v>6797.73</v>
      </c>
      <c r="F52" s="69">
        <v>1989.97</v>
      </c>
      <c r="G52" s="69">
        <f>F52*0.55</f>
        <v>1094.4835</v>
      </c>
      <c r="H52" s="70">
        <v>1.1285700000000001</v>
      </c>
      <c r="I52" s="69">
        <f>(E52+G52)*H52*0.9</f>
        <v>8016.2238507255015</v>
      </c>
      <c r="J52" s="19" t="s">
        <v>468</v>
      </c>
      <c r="K52" s="61">
        <f>E52*0.1*H52</f>
        <v>767.17141461000006</v>
      </c>
      <c r="L52" s="61">
        <f>(F52*0.1+G52*0.1)*H52</f>
        <v>348.10216864950007</v>
      </c>
      <c r="M52" s="58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2" t="s">
        <v>377</v>
      </c>
      <c r="B53" s="29" t="s">
        <v>35</v>
      </c>
      <c r="C53" s="10" t="s">
        <v>465</v>
      </c>
      <c r="D53" s="46" t="s">
        <v>466</v>
      </c>
      <c r="E53" s="32">
        <v>2311</v>
      </c>
      <c r="F53" s="32">
        <v>94.5</v>
      </c>
      <c r="G53" s="69">
        <f>F53*0.73</f>
        <v>68.984999999999999</v>
      </c>
      <c r="H53" s="75">
        <v>0.27564</v>
      </c>
      <c r="I53" s="69">
        <f>(E53+G53)*H53</f>
        <v>656.01906540000004</v>
      </c>
      <c r="J53" s="78">
        <f>F53*0.05*H53</f>
        <v>1.3023990000000001</v>
      </c>
      <c r="K53" s="61">
        <v>0</v>
      </c>
      <c r="L53" s="61">
        <f>F53*0.1*H53</f>
        <v>2.6047980000000002</v>
      </c>
      <c r="M53" s="58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2" t="s">
        <v>377</v>
      </c>
      <c r="B54" s="32" t="s">
        <v>61</v>
      </c>
      <c r="C54" s="10" t="s">
        <v>465</v>
      </c>
      <c r="D54" s="46" t="s">
        <v>466</v>
      </c>
      <c r="E54" s="69">
        <v>-6462.97</v>
      </c>
      <c r="F54" s="69">
        <v>2626.84</v>
      </c>
      <c r="G54" s="69">
        <f>F54*0.55</f>
        <v>1444.7620000000002</v>
      </c>
      <c r="H54" s="70">
        <v>1.13923</v>
      </c>
      <c r="I54" s="69">
        <f>(E54+G54)*H54*0.9</f>
        <v>-5145.2037898560002</v>
      </c>
      <c r="J54" s="19" t="s">
        <v>468</v>
      </c>
      <c r="K54" s="61">
        <f>E54*0.1*H54</f>
        <v>-736.28093131000003</v>
      </c>
      <c r="L54" s="61">
        <f>(F54*0.1+G54*0.1)*H54</f>
        <v>463.84911464600003</v>
      </c>
      <c r="M54" s="58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2" t="s">
        <v>377</v>
      </c>
      <c r="B55" s="2" t="s">
        <v>10</v>
      </c>
      <c r="C55" s="10">
        <v>1012047</v>
      </c>
      <c r="D55" s="10" t="s">
        <v>479</v>
      </c>
      <c r="E55" s="32">
        <v>-29132.3</v>
      </c>
      <c r="F55" s="32">
        <v>6397.8</v>
      </c>
      <c r="G55" s="69">
        <f t="shared" ref="G55:G57" si="34">F55*0.7</f>
        <v>4478.46</v>
      </c>
      <c r="H55" s="73">
        <v>0.20080300000000001</v>
      </c>
      <c r="I55" s="69">
        <f>(E55+G55)*H55</f>
        <v>-4950.5650335199998</v>
      </c>
      <c r="J55" s="79" t="s">
        <v>468</v>
      </c>
      <c r="K55" s="61">
        <v>0</v>
      </c>
      <c r="L55" s="61">
        <f t="shared" ref="L55:L57" si="35">F55*0.05*H55</f>
        <v>64.234871670000018</v>
      </c>
      <c r="M55" s="58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2" t="s">
        <v>377</v>
      </c>
      <c r="B56" s="2" t="s">
        <v>10</v>
      </c>
      <c r="C56" s="10">
        <v>1071916</v>
      </c>
      <c r="D56" s="46" t="s">
        <v>482</v>
      </c>
      <c r="E56" s="69">
        <v>56390.7</v>
      </c>
      <c r="F56" s="69">
        <v>12625.55</v>
      </c>
      <c r="G56" s="69">
        <f t="shared" si="34"/>
        <v>8837.8849999999984</v>
      </c>
      <c r="H56" s="73">
        <v>0.20080300000000001</v>
      </c>
      <c r="I56" s="69">
        <f>(E56*0.98+G56)*H56</f>
        <v>12871.627119113</v>
      </c>
      <c r="J56" s="79" t="s">
        <v>468</v>
      </c>
      <c r="K56" s="61">
        <f>E56*0.02*H56</f>
        <v>226.46843464200003</v>
      </c>
      <c r="L56" s="61">
        <f t="shared" si="35"/>
        <v>126.76241583250001</v>
      </c>
      <c r="M56" s="58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2" t="s">
        <v>377</v>
      </c>
      <c r="B57" s="2" t="s">
        <v>10</v>
      </c>
      <c r="C57" s="10">
        <v>1094069</v>
      </c>
      <c r="D57" s="10" t="s">
        <v>494</v>
      </c>
      <c r="E57" s="32">
        <v>-18724.150000000001</v>
      </c>
      <c r="F57" s="32">
        <v>3916.7</v>
      </c>
      <c r="G57" s="69">
        <f t="shared" si="34"/>
        <v>2741.6899999999996</v>
      </c>
      <c r="H57" s="73">
        <v>0.20080300000000001</v>
      </c>
      <c r="I57" s="69">
        <f t="shared" ref="I57:I59" si="36">(E57+G57)*H57</f>
        <v>-3209.3259153800009</v>
      </c>
      <c r="J57" s="79" t="s">
        <v>468</v>
      </c>
      <c r="K57" s="61">
        <v>0</v>
      </c>
      <c r="L57" s="61">
        <f t="shared" si="35"/>
        <v>39.324255505000004</v>
      </c>
      <c r="M57" s="58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2" t="s">
        <v>379</v>
      </c>
      <c r="B58" s="29" t="s">
        <v>35</v>
      </c>
      <c r="C58" s="10" t="s">
        <v>465</v>
      </c>
      <c r="D58" s="46" t="s">
        <v>466</v>
      </c>
      <c r="E58" s="32">
        <v>-4540.29</v>
      </c>
      <c r="F58" s="32">
        <v>1139.8800000000001</v>
      </c>
      <c r="G58" s="69">
        <f>F58*0.73</f>
        <v>832.11240000000009</v>
      </c>
      <c r="H58" s="75">
        <v>0.27393000000000001</v>
      </c>
      <c r="I58" s="69">
        <f t="shared" si="36"/>
        <v>-1015.7810899680001</v>
      </c>
      <c r="J58" s="78">
        <f>F58*0.05*H58</f>
        <v>15.612366420000003</v>
      </c>
      <c r="K58" s="61">
        <v>0</v>
      </c>
      <c r="L58" s="61">
        <f>F58*0.1*H58</f>
        <v>31.224732840000005</v>
      </c>
      <c r="M58" s="58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2" t="s">
        <v>379</v>
      </c>
      <c r="B59" s="2" t="s">
        <v>10</v>
      </c>
      <c r="C59" s="10">
        <v>1012047</v>
      </c>
      <c r="D59" s="10" t="s">
        <v>479</v>
      </c>
      <c r="E59" s="32">
        <v>-2140.9</v>
      </c>
      <c r="F59" s="32">
        <v>311.75</v>
      </c>
      <c r="G59" s="69">
        <f t="shared" ref="G59:G62" si="37">F59*0.7</f>
        <v>218.22499999999999</v>
      </c>
      <c r="H59" s="73">
        <v>0.19920299999999999</v>
      </c>
      <c r="I59" s="69">
        <f t="shared" si="36"/>
        <v>-383.00262802500004</v>
      </c>
      <c r="J59" s="79" t="s">
        <v>468</v>
      </c>
      <c r="K59" s="61">
        <v>0</v>
      </c>
      <c r="L59" s="61">
        <f t="shared" ref="L59:L62" si="38">F59*0.05*H59</f>
        <v>3.1050767625</v>
      </c>
      <c r="M59" s="58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2" t="s">
        <v>379</v>
      </c>
      <c r="B60" s="2" t="s">
        <v>10</v>
      </c>
      <c r="C60" s="10">
        <v>1066285</v>
      </c>
      <c r="D60" s="32" t="s">
        <v>474</v>
      </c>
      <c r="E60" s="69">
        <v>1555.5</v>
      </c>
      <c r="F60" s="69">
        <v>33.1</v>
      </c>
      <c r="G60" s="69">
        <f t="shared" si="37"/>
        <v>23.169999999999998</v>
      </c>
      <c r="H60" s="73">
        <v>0.19920299999999999</v>
      </c>
      <c r="I60" s="69">
        <f>(E60*0.98+G60)*H60</f>
        <v>308.27859467999997</v>
      </c>
      <c r="J60" s="79" t="s">
        <v>468</v>
      </c>
      <c r="K60" s="61">
        <f>E60*0.02*H60</f>
        <v>6.1972053299999992</v>
      </c>
      <c r="L60" s="61">
        <f t="shared" si="38"/>
        <v>0.32968096500000005</v>
      </c>
      <c r="M60" s="58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2" t="s">
        <v>379</v>
      </c>
      <c r="B61" s="2" t="s">
        <v>10</v>
      </c>
      <c r="C61" s="10">
        <v>1071916</v>
      </c>
      <c r="D61" s="10" t="s">
        <v>482</v>
      </c>
      <c r="E61" s="32">
        <v>-38909.699999999997</v>
      </c>
      <c r="F61" s="32">
        <v>6586.45</v>
      </c>
      <c r="G61" s="69">
        <f t="shared" si="37"/>
        <v>4610.5149999999994</v>
      </c>
      <c r="H61" s="73">
        <v>0.19920299999999999</v>
      </c>
      <c r="I61" s="69">
        <f>(E61+G61)*H61</f>
        <v>-6832.5005495549995</v>
      </c>
      <c r="J61" s="79" t="s">
        <v>468</v>
      </c>
      <c r="K61" s="61">
        <v>0</v>
      </c>
      <c r="L61" s="61">
        <f t="shared" si="38"/>
        <v>65.602029967500002</v>
      </c>
      <c r="M61" s="58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2" t="s">
        <v>379</v>
      </c>
      <c r="B62" s="2" t="s">
        <v>10</v>
      </c>
      <c r="C62" s="10">
        <v>1094069</v>
      </c>
      <c r="D62" s="10" t="s">
        <v>494</v>
      </c>
      <c r="E62" s="32">
        <v>2313.15</v>
      </c>
      <c r="F62" s="32">
        <v>547.5</v>
      </c>
      <c r="G62" s="69">
        <f t="shared" si="37"/>
        <v>383.25</v>
      </c>
      <c r="H62" s="73">
        <v>0.19920299999999999</v>
      </c>
      <c r="I62" s="69">
        <f>(E62*0.98+G62)*H62</f>
        <v>527.91524081099999</v>
      </c>
      <c r="J62" s="79" t="s">
        <v>468</v>
      </c>
      <c r="K62" s="61">
        <f>E62*0.02*H62</f>
        <v>9.2157283890000006</v>
      </c>
      <c r="L62" s="61">
        <f t="shared" si="38"/>
        <v>5.4531821249999997</v>
      </c>
      <c r="M62" s="58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2" t="s">
        <v>379</v>
      </c>
      <c r="B63" s="32" t="s">
        <v>61</v>
      </c>
      <c r="C63" s="10" t="s">
        <v>465</v>
      </c>
      <c r="D63" s="46" t="s">
        <v>466</v>
      </c>
      <c r="E63" s="69">
        <v>49.2</v>
      </c>
      <c r="F63" s="69">
        <v>368.24</v>
      </c>
      <c r="G63" s="69">
        <f>F63*0.55</f>
        <v>202.53200000000001</v>
      </c>
      <c r="H63" s="70">
        <v>1.12683</v>
      </c>
      <c r="I63" s="69">
        <f>(E63+G63)*H63*0.9</f>
        <v>255.293252604</v>
      </c>
      <c r="J63" s="19" t="s">
        <v>468</v>
      </c>
      <c r="K63" s="61">
        <f>E63*0.1*H63</f>
        <v>5.5440036000000008</v>
      </c>
      <c r="L63" s="61">
        <f>(F63*0.1+G63*0.1)*H63</f>
        <v>64.316301276000004</v>
      </c>
      <c r="M63" s="58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32" t="s">
        <v>380</v>
      </c>
      <c r="B64" s="29" t="s">
        <v>35</v>
      </c>
      <c r="C64" s="10" t="s">
        <v>465</v>
      </c>
      <c r="D64" s="10" t="s">
        <v>466</v>
      </c>
      <c r="E64" s="32">
        <v>-687</v>
      </c>
      <c r="F64" s="32">
        <v>52.8</v>
      </c>
      <c r="G64" s="69">
        <f>F64*0.73</f>
        <v>38.543999999999997</v>
      </c>
      <c r="H64" s="75">
        <v>0.27349000000000001</v>
      </c>
      <c r="I64" s="69">
        <f t="shared" ref="I64:I69" si="39">(E64+G64)*H64</f>
        <v>-177.34623144000003</v>
      </c>
      <c r="J64" s="78">
        <f>F64*0.05*H64</f>
        <v>0.72201360000000003</v>
      </c>
      <c r="K64" s="61">
        <v>0</v>
      </c>
      <c r="L64" s="61">
        <f>F64*0.1*H64</f>
        <v>1.4440272000000001</v>
      </c>
      <c r="M64" s="58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32" t="s">
        <v>380</v>
      </c>
      <c r="B65" s="2" t="s">
        <v>10</v>
      </c>
      <c r="C65" s="10">
        <v>933468</v>
      </c>
      <c r="D65" s="10" t="s">
        <v>495</v>
      </c>
      <c r="E65" s="32">
        <v>-3548.9</v>
      </c>
      <c r="F65" s="32">
        <v>3398.35</v>
      </c>
      <c r="G65" s="69">
        <f t="shared" ref="G65:G69" si="40">F65*0.7</f>
        <v>2378.8449999999998</v>
      </c>
      <c r="H65" s="73">
        <v>0.201207</v>
      </c>
      <c r="I65" s="69">
        <f t="shared" si="39"/>
        <v>-235.42325638500006</v>
      </c>
      <c r="J65" s="79" t="s">
        <v>468</v>
      </c>
      <c r="K65" s="61">
        <v>0</v>
      </c>
      <c r="L65" s="61">
        <f t="shared" ref="L65:L69" si="41">F65*0.05*H65</f>
        <v>34.188590422500006</v>
      </c>
      <c r="M65" s="58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32" t="s">
        <v>380</v>
      </c>
      <c r="B66" s="2" t="s">
        <v>10</v>
      </c>
      <c r="C66" s="10">
        <v>949038</v>
      </c>
      <c r="D66" s="10" t="s">
        <v>496</v>
      </c>
      <c r="E66" s="32">
        <v>-14390.25</v>
      </c>
      <c r="F66" s="32">
        <v>6945.3</v>
      </c>
      <c r="G66" s="69">
        <f t="shared" si="40"/>
        <v>4861.71</v>
      </c>
      <c r="H66" s="73">
        <v>0.201207</v>
      </c>
      <c r="I66" s="69">
        <f t="shared" si="39"/>
        <v>-1917.2089477800002</v>
      </c>
      <c r="J66" s="79" t="s">
        <v>468</v>
      </c>
      <c r="K66" s="61">
        <v>0</v>
      </c>
      <c r="L66" s="61">
        <f t="shared" si="41"/>
        <v>69.872148855000006</v>
      </c>
      <c r="M66" s="58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32" t="s">
        <v>380</v>
      </c>
      <c r="B67" s="2" t="s">
        <v>10</v>
      </c>
      <c r="C67" s="10">
        <v>1012047</v>
      </c>
      <c r="D67" s="32" t="s">
        <v>479</v>
      </c>
      <c r="E67" s="69">
        <v>-14776.3</v>
      </c>
      <c r="F67" s="69">
        <v>8280.1</v>
      </c>
      <c r="G67" s="69">
        <f t="shared" si="40"/>
        <v>5796.07</v>
      </c>
      <c r="H67" s="73">
        <v>0.201207</v>
      </c>
      <c r="I67" s="69">
        <f t="shared" si="39"/>
        <v>-1806.8851376099999</v>
      </c>
      <c r="J67" s="79" t="s">
        <v>468</v>
      </c>
      <c r="K67" s="61">
        <v>0</v>
      </c>
      <c r="L67" s="61">
        <f t="shared" si="41"/>
        <v>83.30070403500001</v>
      </c>
      <c r="M67" s="58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32" t="s">
        <v>380</v>
      </c>
      <c r="B68" s="2" t="s">
        <v>10</v>
      </c>
      <c r="C68" s="10">
        <v>1071916</v>
      </c>
      <c r="D68" s="10" t="s">
        <v>482</v>
      </c>
      <c r="E68" s="32">
        <v>-31566</v>
      </c>
      <c r="F68" s="32">
        <v>5143.55</v>
      </c>
      <c r="G68" s="69">
        <f t="shared" si="40"/>
        <v>3600.4849999999997</v>
      </c>
      <c r="H68" s="73">
        <v>0.201207</v>
      </c>
      <c r="I68" s="69">
        <f t="shared" si="39"/>
        <v>-5626.8573766049994</v>
      </c>
      <c r="J68" s="79" t="s">
        <v>468</v>
      </c>
      <c r="K68" s="61">
        <v>0</v>
      </c>
      <c r="L68" s="61">
        <f t="shared" si="41"/>
        <v>51.745913242500002</v>
      </c>
      <c r="M68" s="58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x14ac:dyDescent="0.3">
      <c r="A69" s="32" t="s">
        <v>380</v>
      </c>
      <c r="B69" s="2" t="s">
        <v>10</v>
      </c>
      <c r="C69" s="10">
        <v>1094069</v>
      </c>
      <c r="D69" s="10" t="s">
        <v>494</v>
      </c>
      <c r="E69" s="32">
        <v>-180</v>
      </c>
      <c r="F69" s="32">
        <v>30</v>
      </c>
      <c r="G69" s="69">
        <f t="shared" si="40"/>
        <v>21</v>
      </c>
      <c r="H69" s="73">
        <v>0.201207</v>
      </c>
      <c r="I69" s="69">
        <f t="shared" si="39"/>
        <v>-31.991913</v>
      </c>
      <c r="J69" s="79" t="s">
        <v>468</v>
      </c>
      <c r="K69" s="61">
        <v>0</v>
      </c>
      <c r="L69" s="61">
        <f t="shared" si="41"/>
        <v>0.30181049999999998</v>
      </c>
      <c r="M69" s="58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x14ac:dyDescent="0.3">
      <c r="A70" s="32" t="s">
        <v>380</v>
      </c>
      <c r="B70" s="32" t="s">
        <v>61</v>
      </c>
      <c r="C70" s="10" t="s">
        <v>465</v>
      </c>
      <c r="D70" s="46" t="s">
        <v>466</v>
      </c>
      <c r="E70" s="69">
        <v>-3669.35</v>
      </c>
      <c r="F70" s="69">
        <v>2438.9</v>
      </c>
      <c r="G70" s="69">
        <f>F70*0.55</f>
        <v>1341.3950000000002</v>
      </c>
      <c r="H70" s="70">
        <v>1.10371</v>
      </c>
      <c r="I70" s="69">
        <f>(E70+G70)*H70*0.9</f>
        <v>-2312.448491745</v>
      </c>
      <c r="J70" s="19" t="s">
        <v>468</v>
      </c>
      <c r="K70" s="61">
        <f>E70*0.1*H70</f>
        <v>-404.98982884999998</v>
      </c>
      <c r="L70" s="61">
        <f>(F70*0.1+G70*0.1)*H70</f>
        <v>417.23493944500001</v>
      </c>
      <c r="M70" s="58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32" t="s">
        <v>381</v>
      </c>
      <c r="B71" s="2" t="s">
        <v>10</v>
      </c>
      <c r="C71" s="10">
        <v>933468</v>
      </c>
      <c r="D71" s="10" t="s">
        <v>495</v>
      </c>
      <c r="E71" s="32">
        <v>-20146.05</v>
      </c>
      <c r="F71" s="32">
        <v>1317.2</v>
      </c>
      <c r="G71" s="69">
        <f t="shared" ref="G71:G85" si="42">F71*0.7</f>
        <v>922.04</v>
      </c>
      <c r="H71" s="70">
        <v>0.197628</v>
      </c>
      <c r="I71" s="69">
        <f t="shared" ref="I71:I74" si="43">(E71+G71)*H71</f>
        <v>-3799.2026482799997</v>
      </c>
      <c r="J71" s="79" t="s">
        <v>468</v>
      </c>
      <c r="K71" s="61">
        <v>0</v>
      </c>
      <c r="L71" s="61">
        <f t="shared" ref="L71:L85" si="44">F71*0.05*H71</f>
        <v>13.015780079999999</v>
      </c>
      <c r="M71" s="58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32" t="s">
        <v>381</v>
      </c>
      <c r="B72" s="2" t="s">
        <v>10</v>
      </c>
      <c r="C72" s="10">
        <v>949038</v>
      </c>
      <c r="D72" s="10" t="s">
        <v>496</v>
      </c>
      <c r="E72" s="32">
        <v>-10191.200000000001</v>
      </c>
      <c r="F72" s="32">
        <v>20779.5</v>
      </c>
      <c r="G72" s="69">
        <f t="shared" si="42"/>
        <v>14545.65</v>
      </c>
      <c r="H72" s="70">
        <v>0.197628</v>
      </c>
      <c r="I72" s="69">
        <f t="shared" si="43"/>
        <v>860.56124459999978</v>
      </c>
      <c r="J72" s="79" t="s">
        <v>468</v>
      </c>
      <c r="K72" s="61">
        <v>0</v>
      </c>
      <c r="L72" s="61">
        <f t="shared" si="44"/>
        <v>205.33055130000002</v>
      </c>
      <c r="M72" s="58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32" t="s">
        <v>381</v>
      </c>
      <c r="B73" s="2" t="s">
        <v>10</v>
      </c>
      <c r="C73" s="10">
        <v>1012047</v>
      </c>
      <c r="D73" s="32" t="s">
        <v>479</v>
      </c>
      <c r="E73" s="69">
        <v>-6767.15</v>
      </c>
      <c r="F73" s="69">
        <v>2253.1</v>
      </c>
      <c r="G73" s="69">
        <f t="shared" si="42"/>
        <v>1577.1699999999998</v>
      </c>
      <c r="H73" s="70">
        <v>0.197628</v>
      </c>
      <c r="I73" s="69">
        <f t="shared" si="43"/>
        <v>-1025.6853674399999</v>
      </c>
      <c r="J73" s="79" t="s">
        <v>468</v>
      </c>
      <c r="K73" s="61">
        <v>0</v>
      </c>
      <c r="L73" s="61">
        <f t="shared" si="44"/>
        <v>22.263782339999999</v>
      </c>
      <c r="M73" s="58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32" t="s">
        <v>381</v>
      </c>
      <c r="B74" s="2" t="s">
        <v>10</v>
      </c>
      <c r="C74" s="10">
        <v>1071916</v>
      </c>
      <c r="D74" s="32" t="s">
        <v>482</v>
      </c>
      <c r="E74" s="32">
        <v>-8833.9500000000007</v>
      </c>
      <c r="F74" s="32">
        <v>6250.8</v>
      </c>
      <c r="G74" s="69">
        <f t="shared" si="42"/>
        <v>4375.5599999999995</v>
      </c>
      <c r="H74" s="70">
        <v>0.197628</v>
      </c>
      <c r="I74" s="69">
        <f t="shared" si="43"/>
        <v>-881.10269892000019</v>
      </c>
      <c r="J74" s="79" t="s">
        <v>468</v>
      </c>
      <c r="K74" s="61">
        <v>0</v>
      </c>
      <c r="L74" s="61">
        <f t="shared" si="44"/>
        <v>61.766655120000003</v>
      </c>
      <c r="M74" s="58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32" t="s">
        <v>382</v>
      </c>
      <c r="B75" s="2" t="s">
        <v>10</v>
      </c>
      <c r="C75" s="10">
        <v>933468</v>
      </c>
      <c r="D75" s="32" t="s">
        <v>495</v>
      </c>
      <c r="E75" s="32">
        <v>4271.1000000000004</v>
      </c>
      <c r="F75" s="32">
        <v>12171.9</v>
      </c>
      <c r="G75" s="69">
        <f t="shared" si="42"/>
        <v>8520.33</v>
      </c>
      <c r="H75" s="73">
        <v>0.19880999999999999</v>
      </c>
      <c r="I75" s="69">
        <f>(E75*0.98+G75)*H75</f>
        <v>2526.0814504799996</v>
      </c>
      <c r="J75" s="79" t="s">
        <v>468</v>
      </c>
      <c r="K75" s="61">
        <f>E75*0.02*H75</f>
        <v>16.98274782</v>
      </c>
      <c r="L75" s="61">
        <f t="shared" si="44"/>
        <v>120.99477195</v>
      </c>
      <c r="M75" s="58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32" t="s">
        <v>382</v>
      </c>
      <c r="B76" s="2" t="s">
        <v>10</v>
      </c>
      <c r="C76" s="10">
        <v>949038</v>
      </c>
      <c r="D76" s="32" t="s">
        <v>496</v>
      </c>
      <c r="E76" s="32">
        <v>-7665.6</v>
      </c>
      <c r="F76" s="32">
        <v>15664.8</v>
      </c>
      <c r="G76" s="69">
        <f t="shared" si="42"/>
        <v>10965.359999999999</v>
      </c>
      <c r="H76" s="73">
        <v>0.19880999999999999</v>
      </c>
      <c r="I76" s="69">
        <f>(E76+G76)*H76</f>
        <v>656.02528559999962</v>
      </c>
      <c r="J76" s="79" t="s">
        <v>468</v>
      </c>
      <c r="K76" s="61">
        <v>0</v>
      </c>
      <c r="L76" s="61">
        <f t="shared" si="44"/>
        <v>155.71594439999998</v>
      </c>
      <c r="M76" s="58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32" t="s">
        <v>382</v>
      </c>
      <c r="B77" s="2" t="s">
        <v>10</v>
      </c>
      <c r="C77" s="10">
        <v>1012047</v>
      </c>
      <c r="D77" s="10" t="s">
        <v>479</v>
      </c>
      <c r="E77" s="32">
        <v>3120.85</v>
      </c>
      <c r="F77" s="32">
        <v>2754.05</v>
      </c>
      <c r="G77" s="69">
        <f t="shared" si="42"/>
        <v>1927.835</v>
      </c>
      <c r="H77" s="73">
        <v>0.19880999999999999</v>
      </c>
      <c r="I77" s="69">
        <f>(E77*0.98+G77)*H77</f>
        <v>991.31994107999992</v>
      </c>
      <c r="J77" s="79" t="s">
        <v>468</v>
      </c>
      <c r="K77" s="61">
        <f>E77*0.02*H77</f>
        <v>12.409123769999999</v>
      </c>
      <c r="L77" s="61">
        <f t="shared" si="44"/>
        <v>27.376634025000001</v>
      </c>
      <c r="M77" s="58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32" t="s">
        <v>382</v>
      </c>
      <c r="B78" s="2" t="s">
        <v>10</v>
      </c>
      <c r="C78" s="10">
        <v>1071916</v>
      </c>
      <c r="D78" s="10" t="s">
        <v>482</v>
      </c>
      <c r="E78" s="32">
        <v>-2573.85</v>
      </c>
      <c r="F78" s="32">
        <v>12560.75</v>
      </c>
      <c r="G78" s="69">
        <f t="shared" si="42"/>
        <v>8792.5249999999996</v>
      </c>
      <c r="H78" s="73">
        <v>0.19880999999999999</v>
      </c>
      <c r="I78" s="69">
        <f t="shared" ref="I78:I79" si="45">(E78+G78)*H78</f>
        <v>1236.3347767499997</v>
      </c>
      <c r="J78" s="79" t="s">
        <v>468</v>
      </c>
      <c r="K78" s="61">
        <v>0</v>
      </c>
      <c r="L78" s="61">
        <f t="shared" si="44"/>
        <v>124.860135375</v>
      </c>
      <c r="M78" s="58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32" t="s">
        <v>383</v>
      </c>
      <c r="B79" s="2" t="s">
        <v>10</v>
      </c>
      <c r="C79" s="10">
        <v>933468</v>
      </c>
      <c r="D79" s="10" t="s">
        <v>495</v>
      </c>
      <c r="E79" s="32">
        <v>-7148.8</v>
      </c>
      <c r="F79" s="32">
        <v>391.1</v>
      </c>
      <c r="G79" s="69">
        <f t="shared" si="42"/>
        <v>273.77</v>
      </c>
      <c r="H79" s="73">
        <v>0.19305</v>
      </c>
      <c r="I79" s="69">
        <f t="shared" si="45"/>
        <v>-1327.2245415000002</v>
      </c>
      <c r="J79" s="79" t="s">
        <v>468</v>
      </c>
      <c r="K79" s="61">
        <v>0</v>
      </c>
      <c r="L79" s="61">
        <f t="shared" si="44"/>
        <v>3.7750927500000007</v>
      </c>
      <c r="M79" s="58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32" t="s">
        <v>383</v>
      </c>
      <c r="B80" s="2" t="s">
        <v>10</v>
      </c>
      <c r="C80" s="10">
        <v>1071916</v>
      </c>
      <c r="D80" s="10" t="s">
        <v>482</v>
      </c>
      <c r="E80" s="32">
        <v>242.15</v>
      </c>
      <c r="F80" s="32">
        <v>101.85</v>
      </c>
      <c r="G80" s="69">
        <f t="shared" si="42"/>
        <v>71.294999999999987</v>
      </c>
      <c r="H80" s="73">
        <v>0.19305</v>
      </c>
      <c r="I80" s="69">
        <f>(E80*0.98+G80)*H80</f>
        <v>59.575616099999998</v>
      </c>
      <c r="J80" s="79" t="s">
        <v>468</v>
      </c>
      <c r="K80" s="61">
        <f>E80*0.02*H80</f>
        <v>0.93494115</v>
      </c>
      <c r="L80" s="61">
        <f t="shared" si="44"/>
        <v>0.98310712500000008</v>
      </c>
      <c r="M80" s="58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32" t="s">
        <v>384</v>
      </c>
      <c r="B81" s="2" t="s">
        <v>10</v>
      </c>
      <c r="C81" s="10">
        <v>933468</v>
      </c>
      <c r="D81" s="32" t="s">
        <v>495</v>
      </c>
      <c r="E81" s="69">
        <v>-35541.35</v>
      </c>
      <c r="F81" s="69">
        <v>13001.45</v>
      </c>
      <c r="G81" s="69">
        <f t="shared" si="42"/>
        <v>9101.0149999999994</v>
      </c>
      <c r="H81" s="73">
        <v>0.19342400000000001</v>
      </c>
      <c r="I81" s="69">
        <f>(E81+G81)*H81</f>
        <v>-5114.1953570400001</v>
      </c>
      <c r="J81" s="79" t="s">
        <v>468</v>
      </c>
      <c r="K81" s="61">
        <v>0</v>
      </c>
      <c r="L81" s="61">
        <f t="shared" si="44"/>
        <v>125.73962324000003</v>
      </c>
      <c r="M81" s="58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32" t="s">
        <v>384</v>
      </c>
      <c r="B82" s="2" t="s">
        <v>10</v>
      </c>
      <c r="C82" s="10">
        <v>949038</v>
      </c>
      <c r="D82" s="10" t="s">
        <v>496</v>
      </c>
      <c r="E82" s="32">
        <v>47350.6</v>
      </c>
      <c r="F82" s="32">
        <v>12827.65</v>
      </c>
      <c r="G82" s="69">
        <f t="shared" si="42"/>
        <v>8979.3549999999996</v>
      </c>
      <c r="H82" s="73">
        <v>0.19342400000000001</v>
      </c>
      <c r="I82" s="69">
        <f>(E82*0.98+G82)*H82</f>
        <v>10712.390366832</v>
      </c>
      <c r="J82" s="79" t="s">
        <v>468</v>
      </c>
      <c r="K82" s="61">
        <f>E82*0.02*H82</f>
        <v>183.174849088</v>
      </c>
      <c r="L82" s="61">
        <f t="shared" si="44"/>
        <v>124.05876868000001</v>
      </c>
      <c r="M82" s="58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32" t="s">
        <v>384</v>
      </c>
      <c r="B83" s="2" t="s">
        <v>10</v>
      </c>
      <c r="C83" s="10">
        <v>1012047</v>
      </c>
      <c r="D83" s="10" t="s">
        <v>479</v>
      </c>
      <c r="E83" s="32">
        <v>-22033.85</v>
      </c>
      <c r="F83" s="32">
        <v>9188.15</v>
      </c>
      <c r="G83" s="69">
        <f t="shared" si="42"/>
        <v>6431.704999999999</v>
      </c>
      <c r="H83" s="73">
        <v>0.19342400000000001</v>
      </c>
      <c r="I83" s="69">
        <f t="shared" ref="I83:I85" si="46">(E83+G83)*H83</f>
        <v>-3017.8292944800005</v>
      </c>
      <c r="J83" s="79" t="s">
        <v>468</v>
      </c>
      <c r="K83" s="61">
        <v>0</v>
      </c>
      <c r="L83" s="61">
        <f t="shared" si="44"/>
        <v>88.860436280000016</v>
      </c>
      <c r="M83" s="58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32" t="s">
        <v>384</v>
      </c>
      <c r="B84" s="2" t="s">
        <v>10</v>
      </c>
      <c r="C84" s="10">
        <v>1071916</v>
      </c>
      <c r="D84" s="10" t="s">
        <v>482</v>
      </c>
      <c r="E84" s="32">
        <v>-1097.9000000000001</v>
      </c>
      <c r="F84" s="32">
        <v>665.15</v>
      </c>
      <c r="G84" s="69">
        <f t="shared" si="42"/>
        <v>465.60499999999996</v>
      </c>
      <c r="H84" s="73">
        <v>0.19342400000000001</v>
      </c>
      <c r="I84" s="69">
        <f t="shared" si="46"/>
        <v>-122.30102808000002</v>
      </c>
      <c r="J84" s="79" t="s">
        <v>468</v>
      </c>
      <c r="K84" s="61">
        <v>0</v>
      </c>
      <c r="L84" s="61">
        <f t="shared" si="44"/>
        <v>6.4327986800000003</v>
      </c>
      <c r="M84" s="58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32" t="s">
        <v>384</v>
      </c>
      <c r="B85" s="2" t="s">
        <v>10</v>
      </c>
      <c r="C85" s="10">
        <v>1139314</v>
      </c>
      <c r="D85" s="32" t="s">
        <v>497</v>
      </c>
      <c r="E85" s="69">
        <v>-46504</v>
      </c>
      <c r="F85" s="69">
        <v>8732.7000000000007</v>
      </c>
      <c r="G85" s="69">
        <f t="shared" si="42"/>
        <v>6112.89</v>
      </c>
      <c r="H85" s="73">
        <v>0.19342400000000001</v>
      </c>
      <c r="I85" s="69">
        <f t="shared" si="46"/>
        <v>-7812.6100606400005</v>
      </c>
      <c r="J85" s="79" t="s">
        <v>468</v>
      </c>
      <c r="K85" s="61">
        <v>0</v>
      </c>
      <c r="L85" s="61">
        <f t="shared" si="44"/>
        <v>84.455688240000015</v>
      </c>
      <c r="M85" s="58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69"/>
      <c r="M86" s="32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69"/>
      <c r="L87" s="32"/>
      <c r="M87" s="32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69"/>
      <c r="L88" s="32"/>
      <c r="M88" s="32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80" t="s">
        <v>498</v>
      </c>
      <c r="L89" s="69"/>
      <c r="M89" s="32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80" t="s">
        <v>499</v>
      </c>
      <c r="L90" s="32"/>
      <c r="M90" s="32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69"/>
      <c r="L91" s="32"/>
      <c r="M91" s="32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69"/>
      <c r="M92" s="32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69"/>
      <c r="M93" s="32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69"/>
      <c r="L94" s="32"/>
      <c r="M94" s="32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69"/>
      <c r="L95" s="32"/>
      <c r="M95" s="32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69"/>
      <c r="L96" s="32"/>
      <c r="M96" s="32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69"/>
      <c r="M97" s="32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69"/>
      <c r="L98" s="32"/>
      <c r="M98" s="32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69"/>
      <c r="L99" s="32"/>
      <c r="M99" s="32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69"/>
      <c r="M100" s="32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69"/>
      <c r="M101" s="32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2"/>
      <c r="K102" s="69"/>
      <c r="L102" s="32"/>
      <c r="M102" s="32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69"/>
      <c r="L103" s="32"/>
      <c r="M103" s="32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69"/>
      <c r="L104" s="32"/>
      <c r="M104" s="32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69"/>
      <c r="L105" s="32"/>
      <c r="M105" s="32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69"/>
      <c r="L106" s="32"/>
      <c r="M106" s="32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69"/>
      <c r="L107" s="32"/>
      <c r="M107" s="32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69"/>
      <c r="M108" s="32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69"/>
      <c r="M109" s="32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69"/>
      <c r="L110" s="32"/>
      <c r="M110" s="32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69"/>
      <c r="M111" s="32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69"/>
      <c r="L112" s="32"/>
      <c r="M112" s="32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69"/>
      <c r="M113" s="32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32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32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69"/>
      <c r="M116" s="32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69"/>
      <c r="M117" s="32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69"/>
      <c r="M118" s="32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32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32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32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69"/>
      <c r="M122" s="32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69"/>
      <c r="M123" s="32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69"/>
      <c r="M124" s="32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32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32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32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69"/>
      <c r="M128" s="32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32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69"/>
      <c r="M130" s="32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69"/>
      <c r="M131" s="32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32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69"/>
      <c r="M133" s="32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32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32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32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32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32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32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32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32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32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32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69"/>
      <c r="M144" s="32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32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69"/>
      <c r="M146" s="32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32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32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32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32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32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32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32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69"/>
      <c r="M154" s="32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32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32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32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32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32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32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32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69"/>
      <c r="M162" s="32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32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32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32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32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32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32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32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32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32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32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32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32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32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32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32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32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32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32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32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69"/>
      <c r="M182" s="32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69"/>
      <c r="M183" s="32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69"/>
      <c r="M184" s="32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69"/>
      <c r="M185" s="32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32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32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32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32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32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32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69"/>
      <c r="M192" s="32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69"/>
      <c r="M193" s="32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32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32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32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32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32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32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69"/>
      <c r="M200" s="32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32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>
        <f>SUM(J2:J200)</f>
        <v>405.75055345000004</v>
      </c>
      <c r="K202" s="32"/>
      <c r="L202" s="32"/>
      <c r="M202" s="32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32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32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76"/>
      <c r="L205" s="32"/>
      <c r="M205" s="32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76"/>
      <c r="L206" s="32"/>
      <c r="M206" s="32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76"/>
      <c r="L207" s="32"/>
      <c r="M207" s="32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32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32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32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32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32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76"/>
      <c r="L213" s="32"/>
      <c r="M213" s="32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32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32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32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76"/>
      <c r="L217" s="32"/>
      <c r="M217" s="32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76"/>
      <c r="L218" s="32"/>
      <c r="M218" s="32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76"/>
      <c r="L219" s="32"/>
      <c r="M219" s="32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69"/>
      <c r="L220" s="32"/>
      <c r="M220" s="32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69"/>
      <c r="L221" s="32"/>
      <c r="M221" s="32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32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32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32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32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32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76"/>
      <c r="L227" s="32"/>
      <c r="M227" s="32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32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32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69"/>
      <c r="L230" s="32"/>
      <c r="M230" s="32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69"/>
      <c r="L231" s="32"/>
      <c r="M231" s="32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69"/>
      <c r="L232" s="32"/>
      <c r="M232" s="32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76"/>
      <c r="L233" s="32"/>
      <c r="M233" s="32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69"/>
      <c r="M234" s="32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32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69"/>
      <c r="L236" s="32"/>
      <c r="M236" s="32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69"/>
      <c r="L237" s="32"/>
      <c r="M237" s="32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76"/>
      <c r="L238" s="32"/>
      <c r="M238" s="32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69"/>
      <c r="M239" s="32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32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32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69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69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69"/>
      <c r="L245" s="32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76"/>
      <c r="L246" s="32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69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69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69"/>
      <c r="L253" s="32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69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69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69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69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69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M2" sqref="M2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77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317</v>
      </c>
      <c r="B2" s="32" t="s">
        <v>23</v>
      </c>
      <c r="C2" s="10">
        <v>9020286</v>
      </c>
      <c r="D2" s="2" t="s">
        <v>500</v>
      </c>
      <c r="E2" s="69">
        <v>157.65</v>
      </c>
      <c r="F2" s="69">
        <v>1.9</v>
      </c>
      <c r="G2" s="69">
        <f>F2*0.7</f>
        <v>1.3299999999999998</v>
      </c>
      <c r="H2" s="70">
        <v>0.20366600000000001</v>
      </c>
      <c r="I2" s="69">
        <f t="shared" ref="I2:I4" si="0">(E2+G2)*H2*0.9</f>
        <v>29.140938612000003</v>
      </c>
      <c r="J2" s="79" t="s">
        <v>468</v>
      </c>
      <c r="K2" s="61">
        <f t="shared" ref="K2:K4" si="1">E2*0.1*H2</f>
        <v>3.2107944900000005</v>
      </c>
      <c r="L2" s="61">
        <f>G2*0.1*H2</f>
        <v>2.7087577999999998E-2</v>
      </c>
      <c r="M2" s="58">
        <f>SUM(K:L)</f>
        <v>16149.583235174883</v>
      </c>
      <c r="N2" s="2" t="s">
        <v>412</v>
      </c>
      <c r="O2" s="2" t="s">
        <v>413</v>
      </c>
      <c r="P2" s="32">
        <v>-17019.57</v>
      </c>
      <c r="Q2" s="32">
        <f>SUM(I:I)</f>
        <v>80621.326928675859</v>
      </c>
      <c r="R2" s="32">
        <f>SUM(P:P)</f>
        <v>-157142.60999999999</v>
      </c>
      <c r="S2" s="32">
        <f>Q2+R2</f>
        <v>-76521.283071324127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32" t="s">
        <v>317</v>
      </c>
      <c r="B3" s="2" t="s">
        <v>17</v>
      </c>
      <c r="C3" s="10">
        <v>8778114</v>
      </c>
      <c r="D3" s="46" t="s">
        <v>501</v>
      </c>
      <c r="E3" s="69">
        <v>-24.75</v>
      </c>
      <c r="F3" s="69">
        <v>0.85</v>
      </c>
      <c r="G3" s="69">
        <f t="shared" ref="G3:G4" si="2">F3*0.65</f>
        <v>0.55249999999999999</v>
      </c>
      <c r="H3" s="70">
        <v>0.20366600000000001</v>
      </c>
      <c r="I3" s="69">
        <f t="shared" si="0"/>
        <v>-4.4353872315000009</v>
      </c>
      <c r="J3" s="79" t="s">
        <v>468</v>
      </c>
      <c r="K3" s="61">
        <f t="shared" si="1"/>
        <v>-0.50407335000000009</v>
      </c>
      <c r="L3" s="61">
        <f t="shared" ref="L3:L4" si="3">(F3*0.05+G3*0.1)*H3</f>
        <v>1.9908351500000001E-2</v>
      </c>
      <c r="M3" s="58"/>
      <c r="N3" s="2" t="s">
        <v>295</v>
      </c>
      <c r="O3" s="2" t="s">
        <v>416</v>
      </c>
      <c r="P3" s="32">
        <v>-0.25</v>
      </c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32" t="s">
        <v>317</v>
      </c>
      <c r="B4" s="2" t="s">
        <v>17</v>
      </c>
      <c r="C4" s="10">
        <v>9728097</v>
      </c>
      <c r="D4" s="46" t="s">
        <v>502</v>
      </c>
      <c r="E4" s="69">
        <v>-1</v>
      </c>
      <c r="F4" s="69">
        <v>0.05</v>
      </c>
      <c r="G4" s="69">
        <f t="shared" si="2"/>
        <v>3.2500000000000001E-2</v>
      </c>
      <c r="H4" s="70">
        <v>0.20366600000000001</v>
      </c>
      <c r="I4" s="69">
        <f t="shared" si="0"/>
        <v>-0.17734216950000004</v>
      </c>
      <c r="J4" s="79" t="s">
        <v>468</v>
      </c>
      <c r="K4" s="61">
        <f t="shared" si="1"/>
        <v>-2.0366600000000002E-2</v>
      </c>
      <c r="L4" s="61">
        <f t="shared" si="3"/>
        <v>1.1710795000000002E-3</v>
      </c>
      <c r="M4" s="58"/>
      <c r="N4" s="2" t="s">
        <v>303</v>
      </c>
      <c r="O4" s="2" t="s">
        <v>423</v>
      </c>
      <c r="P4" s="32">
        <v>-20.88</v>
      </c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325</v>
      </c>
      <c r="B5" s="10" t="s">
        <v>468</v>
      </c>
      <c r="C5" s="10" t="s">
        <v>468</v>
      </c>
      <c r="D5" s="46" t="s">
        <v>468</v>
      </c>
      <c r="E5" s="46" t="s">
        <v>468</v>
      </c>
      <c r="F5" s="46" t="s">
        <v>468</v>
      </c>
      <c r="G5" s="46" t="s">
        <v>468</v>
      </c>
      <c r="H5" s="81" t="s">
        <v>468</v>
      </c>
      <c r="I5" s="46" t="s">
        <v>468</v>
      </c>
      <c r="J5" s="79" t="s">
        <v>468</v>
      </c>
      <c r="K5" s="82" t="s">
        <v>468</v>
      </c>
      <c r="L5" s="82" t="s">
        <v>468</v>
      </c>
      <c r="M5" s="58"/>
      <c r="N5" s="2" t="s">
        <v>306</v>
      </c>
      <c r="O5" s="2" t="s">
        <v>425</v>
      </c>
      <c r="P5" s="32">
        <v>17.66</v>
      </c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332</v>
      </c>
      <c r="B6" s="10" t="s">
        <v>468</v>
      </c>
      <c r="C6" s="10" t="s">
        <v>468</v>
      </c>
      <c r="D6" s="46" t="s">
        <v>468</v>
      </c>
      <c r="E6" s="46" t="s">
        <v>468</v>
      </c>
      <c r="F6" s="46" t="s">
        <v>468</v>
      </c>
      <c r="G6" s="46" t="s">
        <v>468</v>
      </c>
      <c r="H6" s="81" t="s">
        <v>468</v>
      </c>
      <c r="I6" s="46" t="s">
        <v>468</v>
      </c>
      <c r="J6" s="79" t="s">
        <v>468</v>
      </c>
      <c r="K6" s="82" t="s">
        <v>468</v>
      </c>
      <c r="L6" s="82" t="s">
        <v>468</v>
      </c>
      <c r="M6" s="58"/>
      <c r="N6" s="2" t="s">
        <v>311</v>
      </c>
      <c r="O6" s="2" t="s">
        <v>428</v>
      </c>
      <c r="P6" s="32">
        <v>0.5</v>
      </c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340</v>
      </c>
      <c r="B7" s="32" t="s">
        <v>23</v>
      </c>
      <c r="C7" s="10">
        <v>9020286</v>
      </c>
      <c r="D7" s="2" t="s">
        <v>500</v>
      </c>
      <c r="E7" s="69">
        <v>7945.86</v>
      </c>
      <c r="F7" s="69">
        <v>229.38</v>
      </c>
      <c r="G7" s="69">
        <f>F7*0.7</f>
        <v>160.56599999999997</v>
      </c>
      <c r="H7" s="70">
        <v>0.19841300000000001</v>
      </c>
      <c r="I7" s="69">
        <f t="shared" ref="I7:I11" si="4">(E7+G7)*H7*0.9</f>
        <v>1447.5782717442</v>
      </c>
      <c r="J7" s="79" t="s">
        <v>468</v>
      </c>
      <c r="K7" s="61">
        <f t="shared" ref="K7:K11" si="5">E7*0.1*H7</f>
        <v>157.65619201800001</v>
      </c>
      <c r="L7" s="61">
        <f>G7*0.1*H7</f>
        <v>3.1858381757999998</v>
      </c>
      <c r="M7" s="58"/>
      <c r="N7" s="2" t="s">
        <v>314</v>
      </c>
      <c r="O7" s="83" t="s">
        <v>503</v>
      </c>
      <c r="P7" s="32">
        <v>-26.06</v>
      </c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2" t="s">
        <v>340</v>
      </c>
      <c r="B8" s="2" t="s">
        <v>17</v>
      </c>
      <c r="C8" s="10">
        <v>8778114</v>
      </c>
      <c r="D8" s="46" t="s">
        <v>501</v>
      </c>
      <c r="E8" s="69">
        <v>3157</v>
      </c>
      <c r="F8" s="69">
        <v>657.7</v>
      </c>
      <c r="G8" s="69">
        <f t="shared" ref="G8:G9" si="6">F8*0.65</f>
        <v>427.50500000000005</v>
      </c>
      <c r="H8" s="70">
        <v>0.19841300000000001</v>
      </c>
      <c r="I8" s="69">
        <f t="shared" si="4"/>
        <v>640.09115150850005</v>
      </c>
      <c r="J8" s="79" t="s">
        <v>468</v>
      </c>
      <c r="K8" s="61">
        <f t="shared" si="5"/>
        <v>62.638984100000009</v>
      </c>
      <c r="L8" s="61">
        <f t="shared" ref="L8:L9" si="7">(F8*0.05+G8*0.1)*H8</f>
        <v>15.007066461500003</v>
      </c>
      <c r="M8" s="58"/>
      <c r="N8" s="2" t="s">
        <v>314</v>
      </c>
      <c r="O8" s="2" t="s">
        <v>430</v>
      </c>
      <c r="P8" s="32">
        <v>47.13</v>
      </c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 t="s">
        <v>340</v>
      </c>
      <c r="B9" s="2" t="s">
        <v>17</v>
      </c>
      <c r="C9" s="10">
        <v>9728097</v>
      </c>
      <c r="D9" s="46" t="s">
        <v>502</v>
      </c>
      <c r="E9" s="69">
        <v>-0.15</v>
      </c>
      <c r="F9" s="69">
        <v>0</v>
      </c>
      <c r="G9" s="69">
        <f t="shared" si="6"/>
        <v>0</v>
      </c>
      <c r="H9" s="70">
        <v>0.19841300000000001</v>
      </c>
      <c r="I9" s="69">
        <f t="shared" si="4"/>
        <v>-2.6785754999999998E-2</v>
      </c>
      <c r="J9" s="79" t="s">
        <v>468</v>
      </c>
      <c r="K9" s="61">
        <f t="shared" si="5"/>
        <v>-2.9761950000000001E-3</v>
      </c>
      <c r="L9" s="61">
        <f t="shared" si="7"/>
        <v>0</v>
      </c>
      <c r="M9" s="58"/>
      <c r="N9" s="2" t="s">
        <v>431</v>
      </c>
      <c r="O9" s="2" t="s">
        <v>504</v>
      </c>
      <c r="P9" s="32">
        <v>-21</v>
      </c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 t="s">
        <v>359</v>
      </c>
      <c r="B10" s="32" t="s">
        <v>23</v>
      </c>
      <c r="C10" s="10">
        <v>9020286</v>
      </c>
      <c r="D10" s="2" t="s">
        <v>500</v>
      </c>
      <c r="E10" s="69">
        <v>1989.5</v>
      </c>
      <c r="F10" s="69">
        <v>122.5</v>
      </c>
      <c r="G10" s="69">
        <f>F10*0.7</f>
        <v>85.75</v>
      </c>
      <c r="H10" s="70">
        <v>0.20366600000000001</v>
      </c>
      <c r="I10" s="69">
        <f t="shared" si="4"/>
        <v>380.39207985000002</v>
      </c>
      <c r="J10" s="79" t="s">
        <v>468</v>
      </c>
      <c r="K10" s="61">
        <f t="shared" si="5"/>
        <v>40.519350700000004</v>
      </c>
      <c r="L10" s="61">
        <f>G10*0.1*H10</f>
        <v>1.7464359500000004</v>
      </c>
      <c r="M10" s="58"/>
      <c r="N10" s="2" t="s">
        <v>443</v>
      </c>
      <c r="O10" s="2" t="s">
        <v>505</v>
      </c>
      <c r="P10" s="32">
        <v>-113.14</v>
      </c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 t="s">
        <v>359</v>
      </c>
      <c r="B11" s="2" t="s">
        <v>17</v>
      </c>
      <c r="C11" s="10">
        <v>8778114</v>
      </c>
      <c r="D11" s="46" t="s">
        <v>501</v>
      </c>
      <c r="E11" s="69">
        <v>-12086.9</v>
      </c>
      <c r="F11" s="69">
        <v>577.9</v>
      </c>
      <c r="G11" s="69">
        <f>F11*0.65</f>
        <v>375.63499999999999</v>
      </c>
      <c r="H11" s="70">
        <v>0.20366600000000001</v>
      </c>
      <c r="I11" s="69">
        <f t="shared" si="4"/>
        <v>-2146.6678477410001</v>
      </c>
      <c r="J11" s="79" t="s">
        <v>468</v>
      </c>
      <c r="K11" s="61">
        <f t="shared" si="5"/>
        <v>-246.16905754000004</v>
      </c>
      <c r="L11" s="61">
        <f>(F11*0.05+G11*0.1)*H11</f>
        <v>13.535336861000001</v>
      </c>
      <c r="M11" s="58"/>
      <c r="N11" s="2" t="s">
        <v>443</v>
      </c>
      <c r="O11" s="2" t="s">
        <v>506</v>
      </c>
      <c r="P11" s="32">
        <v>-7</v>
      </c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366</v>
      </c>
      <c r="B12" s="10" t="s">
        <v>468</v>
      </c>
      <c r="C12" s="10" t="s">
        <v>468</v>
      </c>
      <c r="D12" s="46" t="s">
        <v>468</v>
      </c>
      <c r="E12" s="46" t="s">
        <v>468</v>
      </c>
      <c r="F12" s="46" t="s">
        <v>468</v>
      </c>
      <c r="G12" s="46" t="s">
        <v>468</v>
      </c>
      <c r="H12" s="81" t="s">
        <v>468</v>
      </c>
      <c r="I12" s="46" t="s">
        <v>468</v>
      </c>
      <c r="J12" s="79" t="s">
        <v>468</v>
      </c>
      <c r="K12" s="82" t="s">
        <v>468</v>
      </c>
      <c r="L12" s="82" t="s">
        <v>468</v>
      </c>
      <c r="M12" s="58"/>
      <c r="N12" s="2" t="s">
        <v>507</v>
      </c>
      <c r="O12" s="2" t="s">
        <v>473</v>
      </c>
      <c r="P12" s="32">
        <v>-140000</v>
      </c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370</v>
      </c>
      <c r="B13" s="32" t="s">
        <v>23</v>
      </c>
      <c r="C13" s="10">
        <v>9015315</v>
      </c>
      <c r="D13" s="10" t="s">
        <v>508</v>
      </c>
      <c r="E13" s="69">
        <v>-518</v>
      </c>
      <c r="F13" s="69">
        <v>28</v>
      </c>
      <c r="G13" s="69">
        <f t="shared" ref="G13:G16" si="8">F13*0.7</f>
        <v>19.599999999999998</v>
      </c>
      <c r="H13" s="70">
        <v>0.199203187</v>
      </c>
      <c r="I13" s="69">
        <f t="shared" ref="I13:I14" si="9">(E13+G13)*H13*0.9</f>
        <v>-89.354581560720007</v>
      </c>
      <c r="J13" s="79" t="s">
        <v>468</v>
      </c>
      <c r="K13" s="61">
        <f t="shared" ref="K13:K14" si="10">E13*0.1*H13</f>
        <v>-10.318725086600001</v>
      </c>
      <c r="L13" s="61">
        <f t="shared" ref="L13:L14" si="11">G13*0.1*H13</f>
        <v>0.39043824651999998</v>
      </c>
      <c r="M13" s="71"/>
      <c r="N13" s="2"/>
      <c r="O13" s="2"/>
      <c r="P13" s="32"/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 t="s">
        <v>370</v>
      </c>
      <c r="B14" s="32" t="s">
        <v>23</v>
      </c>
      <c r="C14" s="10">
        <v>9020286</v>
      </c>
      <c r="D14" s="2" t="s">
        <v>500</v>
      </c>
      <c r="E14" s="69">
        <v>144</v>
      </c>
      <c r="F14" s="69">
        <v>108.6</v>
      </c>
      <c r="G14" s="69">
        <f t="shared" si="8"/>
        <v>76.02</v>
      </c>
      <c r="H14" s="70">
        <v>0.199203187</v>
      </c>
      <c r="I14" s="69">
        <f t="shared" si="9"/>
        <v>39.445816683365997</v>
      </c>
      <c r="J14" s="79" t="s">
        <v>468</v>
      </c>
      <c r="K14" s="61">
        <f t="shared" si="10"/>
        <v>2.8685258928000001</v>
      </c>
      <c r="L14" s="61">
        <f t="shared" si="11"/>
        <v>1.5143426275740002</v>
      </c>
      <c r="M14" s="71"/>
      <c r="N14" s="2"/>
      <c r="O14" s="2"/>
      <c r="P14" s="32"/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 t="s">
        <v>370</v>
      </c>
      <c r="B15" s="2" t="s">
        <v>30</v>
      </c>
      <c r="C15" s="10">
        <v>8778114</v>
      </c>
      <c r="D15" s="2" t="s">
        <v>501</v>
      </c>
      <c r="E15" s="32">
        <v>4488.7</v>
      </c>
      <c r="F15" s="32">
        <v>1389.6</v>
      </c>
      <c r="G15" s="69">
        <f t="shared" si="8"/>
        <v>972.71999999999991</v>
      </c>
      <c r="H15" s="70">
        <v>0.20039899999999999</v>
      </c>
      <c r="I15" s="69">
        <f t="shared" ref="I15:I16" si="12">(E15+G15)*H15*0.93</f>
        <v>1017.8506891194</v>
      </c>
      <c r="J15" s="79" t="s">
        <v>468</v>
      </c>
      <c r="K15" s="61">
        <f t="shared" ref="K15:K16" si="13">E15*0.07*H15</f>
        <v>62.967169390999999</v>
      </c>
      <c r="L15" s="61">
        <f t="shared" ref="L15:L16" si="14">(F15*0.03+G15*0.07)*H15</f>
        <v>21.999481581600001</v>
      </c>
      <c r="M15" s="58"/>
      <c r="N15" s="2"/>
      <c r="O15" s="2"/>
      <c r="P15" s="32"/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 t="s">
        <v>370</v>
      </c>
      <c r="B16" s="2" t="s">
        <v>30</v>
      </c>
      <c r="C16" s="10">
        <v>9018934</v>
      </c>
      <c r="D16" s="32" t="s">
        <v>509</v>
      </c>
      <c r="E16" s="32">
        <v>1578.1</v>
      </c>
      <c r="F16" s="32">
        <v>273.95</v>
      </c>
      <c r="G16" s="69">
        <f t="shared" si="8"/>
        <v>191.76499999999999</v>
      </c>
      <c r="H16" s="70">
        <v>0.20039899999999999</v>
      </c>
      <c r="I16" s="69">
        <f t="shared" si="12"/>
        <v>329.85163380554997</v>
      </c>
      <c r="J16" s="79" t="s">
        <v>468</v>
      </c>
      <c r="K16" s="61">
        <f t="shared" si="13"/>
        <v>22.137476332999999</v>
      </c>
      <c r="L16" s="61">
        <f t="shared" si="14"/>
        <v>4.3370451779499994</v>
      </c>
      <c r="M16" s="58"/>
      <c r="N16" s="2"/>
      <c r="O16" s="2"/>
      <c r="P16" s="32"/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2" t="s">
        <v>370</v>
      </c>
      <c r="B17" s="32" t="s">
        <v>61</v>
      </c>
      <c r="C17" s="10" t="s">
        <v>510</v>
      </c>
      <c r="D17" s="10" t="s">
        <v>511</v>
      </c>
      <c r="E17" s="32">
        <v>-7334.2</v>
      </c>
      <c r="F17" s="32">
        <v>669.6</v>
      </c>
      <c r="G17" s="69">
        <f>F17*0.6</f>
        <v>401.76</v>
      </c>
      <c r="H17" s="70">
        <v>1.1366099999999999</v>
      </c>
      <c r="I17" s="69">
        <f t="shared" ref="I17:I20" si="15">(E17+G17)*H17*0.9</f>
        <v>-7091.5325655599991</v>
      </c>
      <c r="J17" s="19" t="s">
        <v>468</v>
      </c>
      <c r="K17" s="61">
        <f t="shared" ref="K17:K20" si="16">E17*0.1*H17</f>
        <v>-833.61250619999998</v>
      </c>
      <c r="L17" s="61">
        <f>(F17*0.05+G17*0.1)*H17</f>
        <v>83.718146160000003</v>
      </c>
      <c r="M17" s="58"/>
      <c r="N17" s="2"/>
      <c r="O17" s="2"/>
      <c r="P17" s="32"/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2" t="s">
        <v>370</v>
      </c>
      <c r="B18" s="32" t="s">
        <v>117</v>
      </c>
      <c r="C18" s="10" t="s">
        <v>510</v>
      </c>
      <c r="D18" s="10" t="s">
        <v>511</v>
      </c>
      <c r="E18" s="32">
        <v>726.07</v>
      </c>
      <c r="F18" s="32">
        <v>886.96</v>
      </c>
      <c r="G18" s="69">
        <f>F18*0.77</f>
        <v>682.95920000000001</v>
      </c>
      <c r="H18" s="74">
        <v>1</v>
      </c>
      <c r="I18" s="69">
        <f t="shared" si="15"/>
        <v>1268.12628</v>
      </c>
      <c r="J18" s="19" t="s">
        <v>468</v>
      </c>
      <c r="K18" s="61">
        <f t="shared" si="16"/>
        <v>72.607000000000014</v>
      </c>
      <c r="L18" s="61">
        <f>(F18*0.08+G18*0.1)*H18</f>
        <v>139.25272000000001</v>
      </c>
      <c r="M18" s="71"/>
      <c r="N18" s="2"/>
      <c r="O18" s="2"/>
      <c r="P18" s="32"/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2" t="s">
        <v>372</v>
      </c>
      <c r="B19" s="32" t="s">
        <v>23</v>
      </c>
      <c r="C19" s="10">
        <v>9020286</v>
      </c>
      <c r="D19" s="2" t="s">
        <v>500</v>
      </c>
      <c r="E19" s="69">
        <v>-32246.75</v>
      </c>
      <c r="F19" s="69">
        <v>9538.0499999999993</v>
      </c>
      <c r="G19" s="69">
        <f>F19*0.7</f>
        <v>6676.6349999999993</v>
      </c>
      <c r="H19" s="70">
        <v>0.20366598799999999</v>
      </c>
      <c r="I19" s="69">
        <f t="shared" si="15"/>
        <v>-4686.9864612737583</v>
      </c>
      <c r="J19" s="79" t="s">
        <v>468</v>
      </c>
      <c r="K19" s="61">
        <f t="shared" si="16"/>
        <v>-656.75661985390002</v>
      </c>
      <c r="L19" s="61">
        <f>G19*0.1*H19</f>
        <v>135.980346379038</v>
      </c>
      <c r="M19" s="71"/>
      <c r="N19" s="2"/>
      <c r="O19" s="2"/>
      <c r="P19" s="32"/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 t="s">
        <v>372</v>
      </c>
      <c r="B20" s="32" t="s">
        <v>61</v>
      </c>
      <c r="C20" s="10" t="s">
        <v>510</v>
      </c>
      <c r="D20" s="10" t="s">
        <v>511</v>
      </c>
      <c r="E20" s="32">
        <v>-1449.9</v>
      </c>
      <c r="F20" s="32">
        <v>214.95</v>
      </c>
      <c r="G20" s="69">
        <f>F20*0.6</f>
        <v>128.97</v>
      </c>
      <c r="H20" s="70">
        <v>1.1285700000000001</v>
      </c>
      <c r="I20" s="69">
        <f t="shared" si="15"/>
        <v>-1341.6857730900001</v>
      </c>
      <c r="J20" s="19" t="s">
        <v>468</v>
      </c>
      <c r="K20" s="61">
        <f t="shared" si="16"/>
        <v>-163.63136430000003</v>
      </c>
      <c r="L20" s="61">
        <f>(F20*0.05+G20*0.1)*H20</f>
        <v>26.684473365000002</v>
      </c>
      <c r="M20" s="58"/>
      <c r="N20" s="2"/>
      <c r="O20" s="2"/>
      <c r="P20" s="32"/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 t="s">
        <v>372</v>
      </c>
      <c r="B21" s="2" t="s">
        <v>30</v>
      </c>
      <c r="C21" s="10">
        <v>8778114</v>
      </c>
      <c r="D21" s="2" t="s">
        <v>501</v>
      </c>
      <c r="E21" s="32">
        <v>-609</v>
      </c>
      <c r="F21" s="32">
        <v>21</v>
      </c>
      <c r="G21" s="69">
        <f t="shared" ref="G21:G22" si="17">F21*0.7</f>
        <v>14.7</v>
      </c>
      <c r="H21" s="70">
        <v>0.20230899999999999</v>
      </c>
      <c r="I21" s="69">
        <f t="shared" ref="I21:I22" si="18">(E21+G21)*H21*0.93</f>
        <v>-111.81598199099999</v>
      </c>
      <c r="J21" s="79" t="s">
        <v>468</v>
      </c>
      <c r="K21" s="61">
        <f t="shared" ref="K21:K22" si="19">E21*0.07*H21</f>
        <v>-8.6244326700000009</v>
      </c>
      <c r="L21" s="61">
        <f t="shared" ref="L21:L22" si="20">(F21*0.03+G21*0.07)*H21</f>
        <v>0.33563063100000001</v>
      </c>
      <c r="M21" s="58"/>
      <c r="N21" s="2"/>
      <c r="O21" s="2"/>
      <c r="P21" s="32"/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 t="s">
        <v>372</v>
      </c>
      <c r="B22" s="2" t="s">
        <v>30</v>
      </c>
      <c r="C22" s="10">
        <v>9018934</v>
      </c>
      <c r="D22" s="32" t="s">
        <v>509</v>
      </c>
      <c r="E22" s="32">
        <v>543</v>
      </c>
      <c r="F22" s="32">
        <v>49</v>
      </c>
      <c r="G22" s="69">
        <f t="shared" si="17"/>
        <v>34.299999999999997</v>
      </c>
      <c r="H22" s="70">
        <v>0.20230899999999999</v>
      </c>
      <c r="I22" s="69">
        <f t="shared" si="18"/>
        <v>108.617476701</v>
      </c>
      <c r="J22" s="79" t="s">
        <v>468</v>
      </c>
      <c r="K22" s="61">
        <f t="shared" si="19"/>
        <v>7.6897650900000007</v>
      </c>
      <c r="L22" s="61">
        <f t="shared" si="20"/>
        <v>0.78313813900000007</v>
      </c>
      <c r="M22" s="58"/>
      <c r="N22" s="2"/>
      <c r="O22" s="2"/>
      <c r="P22" s="32"/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 t="s">
        <v>379</v>
      </c>
      <c r="B23" s="10" t="s">
        <v>132</v>
      </c>
      <c r="C23" s="10" t="s">
        <v>512</v>
      </c>
      <c r="D23" s="32" t="s">
        <v>513</v>
      </c>
      <c r="E23" s="32">
        <v>-343.6</v>
      </c>
      <c r="F23" s="32">
        <v>47.88</v>
      </c>
      <c r="G23" s="32">
        <f t="shared" ref="G23:G24" si="21">F23*0.75</f>
        <v>35.910000000000004</v>
      </c>
      <c r="H23" s="75">
        <v>0.27393000000000001</v>
      </c>
      <c r="I23" s="69">
        <f t="shared" ref="I23:I28" si="22">(E23+G23)*H23*0.9</f>
        <v>-75.856969530000001</v>
      </c>
      <c r="J23" s="78">
        <f t="shared" ref="J23:J25" si="23">F23*0.05*H23</f>
        <v>0.65578842000000004</v>
      </c>
      <c r="K23" s="61">
        <f t="shared" ref="K23:K28" si="24">E23*0.1*H23</f>
        <v>-9.412234800000002</v>
      </c>
      <c r="L23" s="61">
        <f t="shared" ref="L23:L24" si="25">(F23*0.05+G23*0.1)*H23</f>
        <v>1.6394710500000003</v>
      </c>
      <c r="M23" s="58"/>
      <c r="N23" s="2"/>
      <c r="O23" s="2"/>
      <c r="P23" s="32"/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 t="s">
        <v>379</v>
      </c>
      <c r="B24" s="10" t="s">
        <v>132</v>
      </c>
      <c r="C24" s="10" t="s">
        <v>510</v>
      </c>
      <c r="D24" s="32" t="s">
        <v>511</v>
      </c>
      <c r="E24" s="32">
        <v>115496.03</v>
      </c>
      <c r="F24" s="32">
        <v>38312.160000000003</v>
      </c>
      <c r="G24" s="32">
        <f t="shared" si="21"/>
        <v>28734.120000000003</v>
      </c>
      <c r="H24" s="75">
        <v>0.27393000000000001</v>
      </c>
      <c r="I24" s="69">
        <f t="shared" si="22"/>
        <v>35558.068490549995</v>
      </c>
      <c r="J24" s="78">
        <f t="shared" si="23"/>
        <v>524.74249944000007</v>
      </c>
      <c r="K24" s="61">
        <f t="shared" si="24"/>
        <v>3163.7827497900003</v>
      </c>
      <c r="L24" s="61">
        <f t="shared" si="25"/>
        <v>1311.8562486000001</v>
      </c>
      <c r="M24" s="58"/>
      <c r="N24" s="2"/>
      <c r="O24" s="2"/>
      <c r="P24" s="32"/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 t="s">
        <v>379</v>
      </c>
      <c r="B25" s="29" t="s">
        <v>35</v>
      </c>
      <c r="C25" s="10" t="s">
        <v>510</v>
      </c>
      <c r="D25" s="10" t="s">
        <v>511</v>
      </c>
      <c r="E25" s="32">
        <v>2158.3000000000002</v>
      </c>
      <c r="F25" s="32">
        <v>1535.94</v>
      </c>
      <c r="G25" s="69">
        <f>F25*0.82</f>
        <v>1259.4708000000001</v>
      </c>
      <c r="H25" s="75">
        <v>0.27393000000000001</v>
      </c>
      <c r="I25" s="69">
        <f t="shared" si="22"/>
        <v>842.60695971960001</v>
      </c>
      <c r="J25" s="78">
        <f t="shared" si="23"/>
        <v>21.037002210000004</v>
      </c>
      <c r="K25" s="61">
        <f t="shared" si="24"/>
        <v>59.122311900000014</v>
      </c>
      <c r="L25" s="61">
        <f>(F25*0.01+G25*0.1)*H25</f>
        <v>38.708084066400005</v>
      </c>
      <c r="M25" s="58"/>
      <c r="N25" s="2"/>
      <c r="O25" s="2"/>
      <c r="P25" s="32"/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 t="s">
        <v>379</v>
      </c>
      <c r="B26" s="32" t="s">
        <v>61</v>
      </c>
      <c r="C26" s="10" t="s">
        <v>510</v>
      </c>
      <c r="D26" s="10" t="s">
        <v>511</v>
      </c>
      <c r="E26" s="32">
        <v>-2492.4</v>
      </c>
      <c r="F26" s="32">
        <v>957.17</v>
      </c>
      <c r="G26" s="69">
        <f t="shared" ref="G26:G28" si="26">F26*0.6</f>
        <v>574.30199999999991</v>
      </c>
      <c r="H26" s="70">
        <v>1.12683</v>
      </c>
      <c r="I26" s="69">
        <f t="shared" si="22"/>
        <v>-1945.2333324060003</v>
      </c>
      <c r="J26" s="19" t="s">
        <v>468</v>
      </c>
      <c r="K26" s="61">
        <f t="shared" si="24"/>
        <v>-280.8511092</v>
      </c>
      <c r="L26" s="61">
        <f t="shared" ref="L26:L28" si="27">(F26*0.05+G26*0.1)*H26</f>
        <v>118.64246582099999</v>
      </c>
      <c r="M26" s="58"/>
      <c r="N26" s="2"/>
      <c r="O26" s="2"/>
      <c r="P26" s="32"/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 t="s">
        <v>379</v>
      </c>
      <c r="B27" s="32" t="s">
        <v>61</v>
      </c>
      <c r="C27" s="10" t="s">
        <v>512</v>
      </c>
      <c r="D27" s="32" t="s">
        <v>513</v>
      </c>
      <c r="E27" s="69">
        <v>65925.56</v>
      </c>
      <c r="F27" s="69">
        <v>14006.49</v>
      </c>
      <c r="G27" s="69">
        <f t="shared" si="26"/>
        <v>8403.8940000000002</v>
      </c>
      <c r="H27" s="70">
        <v>1.12683</v>
      </c>
      <c r="I27" s="69">
        <f t="shared" si="22"/>
        <v>75380.992785737995</v>
      </c>
      <c r="J27" s="19" t="s">
        <v>468</v>
      </c>
      <c r="K27" s="61">
        <f t="shared" si="24"/>
        <v>7428.6898774800002</v>
      </c>
      <c r="L27" s="61">
        <f t="shared" si="27"/>
        <v>1736.1226439370002</v>
      </c>
      <c r="M27" s="58"/>
      <c r="N27" s="2"/>
      <c r="O27" s="2"/>
      <c r="P27" s="32"/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 t="s">
        <v>379</v>
      </c>
      <c r="B28" s="32" t="s">
        <v>61</v>
      </c>
      <c r="C28" s="10" t="s">
        <v>514</v>
      </c>
      <c r="D28" s="10" t="s">
        <v>515</v>
      </c>
      <c r="E28" s="32">
        <v>-15288.02</v>
      </c>
      <c r="F28" s="32">
        <v>3358.29</v>
      </c>
      <c r="G28" s="69">
        <f t="shared" si="26"/>
        <v>2014.9739999999999</v>
      </c>
      <c r="H28" s="70">
        <v>1.12683</v>
      </c>
      <c r="I28" s="69">
        <f t="shared" si="22"/>
        <v>-13460.819781762</v>
      </c>
      <c r="J28" s="19" t="s">
        <v>468</v>
      </c>
      <c r="K28" s="61">
        <f t="shared" si="24"/>
        <v>-1722.6999576600001</v>
      </c>
      <c r="L28" s="61">
        <f t="shared" si="27"/>
        <v>416.26441127700002</v>
      </c>
      <c r="M28" s="58"/>
      <c r="N28" s="2"/>
      <c r="O28" s="2"/>
      <c r="P28" s="32"/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 t="s">
        <v>379</v>
      </c>
      <c r="B29" s="2" t="s">
        <v>30</v>
      </c>
      <c r="C29" s="10">
        <v>8778114</v>
      </c>
      <c r="D29" s="2" t="s">
        <v>501</v>
      </c>
      <c r="E29" s="32">
        <v>15116.1</v>
      </c>
      <c r="F29" s="32">
        <v>853.9</v>
      </c>
      <c r="G29" s="69">
        <f t="shared" ref="G29:G32" si="28">F29*0.7</f>
        <v>597.7299999999999</v>
      </c>
      <c r="H29" s="70">
        <v>0.19900100000000001</v>
      </c>
      <c r="I29" s="69">
        <f t="shared" ref="I29:I32" si="29">(E29+G29)*H29*0.93</f>
        <v>2908.1731319619003</v>
      </c>
      <c r="J29" s="79" t="s">
        <v>468</v>
      </c>
      <c r="K29" s="61">
        <f t="shared" ref="K29:K32" si="30">E29*0.07*H29</f>
        <v>210.56833112700005</v>
      </c>
      <c r="L29" s="61">
        <f t="shared" ref="L29:L32" si="31">(F29*0.03+G29*0.07)*H29</f>
        <v>13.424229358100002</v>
      </c>
      <c r="M29" s="58"/>
      <c r="N29" s="2"/>
      <c r="O29" s="2"/>
      <c r="P29" s="32"/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2" t="s">
        <v>379</v>
      </c>
      <c r="B30" s="2" t="s">
        <v>30</v>
      </c>
      <c r="C30" s="10">
        <v>9018934</v>
      </c>
      <c r="D30" s="32" t="s">
        <v>509</v>
      </c>
      <c r="E30" s="32">
        <v>-29556</v>
      </c>
      <c r="F30" s="32">
        <v>2146.3000000000002</v>
      </c>
      <c r="G30" s="69">
        <f t="shared" si="28"/>
        <v>1502.41</v>
      </c>
      <c r="H30" s="70">
        <v>0.19900100000000001</v>
      </c>
      <c r="I30" s="69">
        <f t="shared" si="29"/>
        <v>-5191.9039911387008</v>
      </c>
      <c r="J30" s="79" t="s">
        <v>468</v>
      </c>
      <c r="K30" s="61">
        <f t="shared" si="30"/>
        <v>-411.71714892000006</v>
      </c>
      <c r="L30" s="61">
        <f t="shared" si="31"/>
        <v>33.742151857700001</v>
      </c>
      <c r="M30" s="58"/>
      <c r="N30" s="2"/>
      <c r="O30" s="2"/>
      <c r="P30" s="32"/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2" t="s">
        <v>379</v>
      </c>
      <c r="B31" s="32" t="s">
        <v>25</v>
      </c>
      <c r="C31" s="10">
        <v>10011481</v>
      </c>
      <c r="D31" s="32" t="s">
        <v>516</v>
      </c>
      <c r="E31" s="32">
        <v>232712.5</v>
      </c>
      <c r="F31" s="32">
        <v>28862.7</v>
      </c>
      <c r="G31" s="69">
        <f t="shared" si="28"/>
        <v>20203.89</v>
      </c>
      <c r="H31" s="70">
        <v>0.200265</v>
      </c>
      <c r="I31" s="69">
        <f t="shared" si="29"/>
        <v>47104.779784315506</v>
      </c>
      <c r="J31" s="79" t="s">
        <v>468</v>
      </c>
      <c r="K31" s="61">
        <f t="shared" si="30"/>
        <v>3262.2918168750002</v>
      </c>
      <c r="L31" s="61">
        <f t="shared" si="31"/>
        <v>456.63490062450001</v>
      </c>
      <c r="M31" s="58"/>
      <c r="N31" s="2"/>
      <c r="O31" s="2"/>
      <c r="P31" s="32"/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2" t="s">
        <v>379</v>
      </c>
      <c r="B32" s="32" t="s">
        <v>25</v>
      </c>
      <c r="C32" s="10">
        <v>10012956</v>
      </c>
      <c r="D32" s="32" t="s">
        <v>517</v>
      </c>
      <c r="E32" s="32">
        <v>109592.9</v>
      </c>
      <c r="F32" s="32">
        <v>11965.35</v>
      </c>
      <c r="G32" s="69">
        <f t="shared" si="28"/>
        <v>8375.744999999999</v>
      </c>
      <c r="H32" s="70">
        <v>0.200265</v>
      </c>
      <c r="I32" s="69">
        <f t="shared" si="29"/>
        <v>21971.24134256025</v>
      </c>
      <c r="J32" s="79" t="s">
        <v>468</v>
      </c>
      <c r="K32" s="61">
        <f t="shared" si="30"/>
        <v>1536.3335482950001</v>
      </c>
      <c r="L32" s="61">
        <f t="shared" si="31"/>
        <v>189.30302460224999</v>
      </c>
      <c r="M32" s="58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32" t="s">
        <v>380</v>
      </c>
      <c r="B33" s="29" t="s">
        <v>35</v>
      </c>
      <c r="C33" s="10" t="s">
        <v>510</v>
      </c>
      <c r="D33" s="32" t="s">
        <v>511</v>
      </c>
      <c r="E33" s="69">
        <v>-7144.64</v>
      </c>
      <c r="F33" s="69">
        <v>5669.47</v>
      </c>
      <c r="G33" s="69">
        <f>F33*0.82</f>
        <v>4648.9654</v>
      </c>
      <c r="H33" s="75">
        <v>0.27349000000000001</v>
      </c>
      <c r="I33" s="69">
        <f t="shared" ref="I33:I35" si="32">(E33+G33)*H33*0.9</f>
        <v>-614.28784171860013</v>
      </c>
      <c r="J33" s="78">
        <f t="shared" ref="J33:J35" si="33">F33*0.05*H33</f>
        <v>77.527167515000002</v>
      </c>
      <c r="K33" s="61">
        <f t="shared" ref="K33:K35" si="34">E33*0.1*H33</f>
        <v>-195.39875936000001</v>
      </c>
      <c r="L33" s="61">
        <f>(F33*0.01+G33*0.1)*H33</f>
        <v>142.64998822760001</v>
      </c>
      <c r="M33" s="58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32" t="s">
        <v>380</v>
      </c>
      <c r="B34" s="10" t="s">
        <v>132</v>
      </c>
      <c r="C34" s="10" t="s">
        <v>512</v>
      </c>
      <c r="D34" s="10" t="s">
        <v>513</v>
      </c>
      <c r="E34" s="32">
        <v>6662.42</v>
      </c>
      <c r="F34" s="32">
        <v>1499.2</v>
      </c>
      <c r="G34" s="32">
        <f t="shared" ref="G34:G35" si="35">F34*0.75</f>
        <v>1124.4000000000001</v>
      </c>
      <c r="H34" s="75">
        <v>0.27349000000000001</v>
      </c>
      <c r="I34" s="69">
        <f t="shared" si="32"/>
        <v>1916.6556616200003</v>
      </c>
      <c r="J34" s="78">
        <f t="shared" si="33"/>
        <v>20.500810400000002</v>
      </c>
      <c r="K34" s="61">
        <f t="shared" si="34"/>
        <v>182.21052458000003</v>
      </c>
      <c r="L34" s="61">
        <f t="shared" ref="L34:L35" si="36">(F34*0.05+G34*0.1)*H34</f>
        <v>51.252026000000008</v>
      </c>
      <c r="M34" s="58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32" t="s">
        <v>380</v>
      </c>
      <c r="B35" s="10" t="s">
        <v>132</v>
      </c>
      <c r="C35" s="10" t="s">
        <v>510</v>
      </c>
      <c r="D35" s="10" t="s">
        <v>511</v>
      </c>
      <c r="E35" s="32">
        <v>-10945.36</v>
      </c>
      <c r="F35" s="32">
        <v>135510.9</v>
      </c>
      <c r="G35" s="32">
        <f t="shared" si="35"/>
        <v>101633.17499999999</v>
      </c>
      <c r="H35" s="75">
        <v>0.27349000000000001</v>
      </c>
      <c r="I35" s="69">
        <f t="shared" si="32"/>
        <v>22321.989471915</v>
      </c>
      <c r="J35" s="78">
        <f t="shared" si="33"/>
        <v>1853.0438020500001</v>
      </c>
      <c r="K35" s="61">
        <f t="shared" si="34"/>
        <v>-299.34465064000005</v>
      </c>
      <c r="L35" s="61">
        <f t="shared" si="36"/>
        <v>4632.6095051250004</v>
      </c>
      <c r="M35" s="58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32" t="s">
        <v>380</v>
      </c>
      <c r="B36" s="2" t="s">
        <v>30</v>
      </c>
      <c r="C36" s="10">
        <v>9018934</v>
      </c>
      <c r="D36" s="10" t="s">
        <v>509</v>
      </c>
      <c r="E36" s="69">
        <v>-2356.1</v>
      </c>
      <c r="F36" s="69">
        <v>676.3</v>
      </c>
      <c r="G36" s="69">
        <f t="shared" ref="G36:G39" si="37">F36*0.7</f>
        <v>473.40999999999991</v>
      </c>
      <c r="H36" s="70">
        <v>0.200848</v>
      </c>
      <c r="I36" s="69">
        <f t="shared" ref="I36:I39" si="38">(E36+G36)*H36*0.93</f>
        <v>-351.66510464160001</v>
      </c>
      <c r="J36" s="79" t="s">
        <v>468</v>
      </c>
      <c r="K36" s="61">
        <f t="shared" ref="K36:K39" si="39">E36*0.07*H36</f>
        <v>-33.125258096000003</v>
      </c>
      <c r="L36" s="61">
        <f t="shared" ref="L36:L39" si="40">(F36*0.03+G36*0.07)*H36</f>
        <v>10.7308466896</v>
      </c>
      <c r="M36" s="58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32" t="s">
        <v>380</v>
      </c>
      <c r="B37" s="2" t="s">
        <v>30</v>
      </c>
      <c r="C37" s="10">
        <v>8778114</v>
      </c>
      <c r="D37" s="46" t="s">
        <v>501</v>
      </c>
      <c r="E37" s="69">
        <v>-19008.849999999999</v>
      </c>
      <c r="F37" s="69">
        <v>11004.05</v>
      </c>
      <c r="G37" s="69">
        <f t="shared" si="37"/>
        <v>7702.8349999999991</v>
      </c>
      <c r="H37" s="70">
        <v>0.200848</v>
      </c>
      <c r="I37" s="69">
        <f t="shared" si="38"/>
        <v>-2111.8351656696</v>
      </c>
      <c r="J37" s="79" t="s">
        <v>468</v>
      </c>
      <c r="K37" s="61">
        <f t="shared" si="39"/>
        <v>-267.25226533599999</v>
      </c>
      <c r="L37" s="61">
        <f t="shared" si="40"/>
        <v>174.6011733176</v>
      </c>
      <c r="M37" s="58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32" t="s">
        <v>380</v>
      </c>
      <c r="B38" s="32" t="s">
        <v>25</v>
      </c>
      <c r="C38" s="10">
        <v>10012956</v>
      </c>
      <c r="D38" s="2" t="s">
        <v>517</v>
      </c>
      <c r="E38" s="69">
        <v>230131</v>
      </c>
      <c r="F38" s="69">
        <v>44553.5</v>
      </c>
      <c r="G38" s="69">
        <f t="shared" si="37"/>
        <v>31187.449999999997</v>
      </c>
      <c r="H38" s="70">
        <v>0.20095099999999999</v>
      </c>
      <c r="I38" s="69">
        <f t="shared" si="38"/>
        <v>48836.349576733497</v>
      </c>
      <c r="J38" s="79" t="s">
        <v>468</v>
      </c>
      <c r="K38" s="61">
        <f t="shared" si="39"/>
        <v>3237.1538206700002</v>
      </c>
      <c r="L38" s="61">
        <f t="shared" si="40"/>
        <v>707.2925599015</v>
      </c>
      <c r="M38" s="58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32" t="s">
        <v>380</v>
      </c>
      <c r="B39" s="32" t="s">
        <v>25</v>
      </c>
      <c r="C39" s="10">
        <v>10011481</v>
      </c>
      <c r="D39" s="2" t="s">
        <v>516</v>
      </c>
      <c r="E39" s="69">
        <v>-29650.5</v>
      </c>
      <c r="F39" s="69">
        <v>18531.75</v>
      </c>
      <c r="G39" s="69">
        <f t="shared" si="37"/>
        <v>12972.224999999999</v>
      </c>
      <c r="H39" s="70">
        <v>0.20095099999999999</v>
      </c>
      <c r="I39" s="69">
        <f t="shared" si="38"/>
        <v>-3116.9099167582503</v>
      </c>
      <c r="J39" s="79" t="s">
        <v>468</v>
      </c>
      <c r="K39" s="61">
        <f t="shared" si="39"/>
        <v>-417.08083378500004</v>
      </c>
      <c r="L39" s="61">
        <f t="shared" si="40"/>
        <v>294.19392184574997</v>
      </c>
      <c r="M39" s="58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32" t="s">
        <v>380</v>
      </c>
      <c r="B40" s="32" t="s">
        <v>61</v>
      </c>
      <c r="C40" s="2" t="s">
        <v>510</v>
      </c>
      <c r="D40" s="32" t="s">
        <v>511</v>
      </c>
      <c r="E40" s="69">
        <v>-25655.93</v>
      </c>
      <c r="F40" s="69">
        <v>2216.27</v>
      </c>
      <c r="G40" s="69">
        <f t="shared" ref="G40:G42" si="41">F40*0.6</f>
        <v>1329.7619999999999</v>
      </c>
      <c r="H40" s="70">
        <v>1.10371</v>
      </c>
      <c r="I40" s="69">
        <f t="shared" ref="I40:I46" si="42">(E40+G40)*H40*0.9</f>
        <v>-24164.131394952001</v>
      </c>
      <c r="J40" s="19" t="s">
        <v>468</v>
      </c>
      <c r="K40" s="61">
        <f t="shared" ref="K40:K46" si="43">E40*0.1*H40</f>
        <v>-2831.6706500300002</v>
      </c>
      <c r="L40" s="61">
        <f t="shared" ref="L40:L43" si="44">(F40*0.05+G40*0.1)*H40</f>
        <v>269.07312978700003</v>
      </c>
      <c r="M40" s="58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32" t="s">
        <v>380</v>
      </c>
      <c r="B41" s="32" t="s">
        <v>61</v>
      </c>
      <c r="C41" s="10" t="s">
        <v>514</v>
      </c>
      <c r="D41" s="10" t="s">
        <v>515</v>
      </c>
      <c r="E41" s="32">
        <v>-23668.46</v>
      </c>
      <c r="F41" s="32">
        <v>7179.88</v>
      </c>
      <c r="G41" s="69">
        <f t="shared" si="41"/>
        <v>4307.9279999999999</v>
      </c>
      <c r="H41" s="70">
        <v>1.10371</v>
      </c>
      <c r="I41" s="69">
        <f t="shared" si="42"/>
        <v>-19231.571496347999</v>
      </c>
      <c r="J41" s="19" t="s">
        <v>468</v>
      </c>
      <c r="K41" s="61">
        <f t="shared" si="43"/>
        <v>-2612.3115986600001</v>
      </c>
      <c r="L41" s="61">
        <f t="shared" si="44"/>
        <v>871.69558902800009</v>
      </c>
      <c r="M41" s="58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32" t="s">
        <v>380</v>
      </c>
      <c r="B42" s="32" t="s">
        <v>61</v>
      </c>
      <c r="C42" s="10" t="s">
        <v>512</v>
      </c>
      <c r="D42" s="10" t="s">
        <v>513</v>
      </c>
      <c r="E42" s="32">
        <v>-6416.54</v>
      </c>
      <c r="F42" s="32">
        <v>1643.19</v>
      </c>
      <c r="G42" s="69">
        <f t="shared" si="41"/>
        <v>985.91399999999999</v>
      </c>
      <c r="H42" s="70">
        <v>1.10371</v>
      </c>
      <c r="I42" s="69">
        <f t="shared" si="42"/>
        <v>-5394.452600214001</v>
      </c>
      <c r="J42" s="19" t="s">
        <v>468</v>
      </c>
      <c r="K42" s="61">
        <f t="shared" si="43"/>
        <v>-708.19993634000002</v>
      </c>
      <c r="L42" s="61">
        <f t="shared" si="44"/>
        <v>199.496575839</v>
      </c>
      <c r="M42" s="58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32" t="s">
        <v>381</v>
      </c>
      <c r="B43" s="10" t="s">
        <v>132</v>
      </c>
      <c r="C43" s="10" t="s">
        <v>512</v>
      </c>
      <c r="D43" s="10" t="s">
        <v>513</v>
      </c>
      <c r="E43" s="32">
        <v>14011.32</v>
      </c>
      <c r="F43" s="32">
        <v>10725.48</v>
      </c>
      <c r="G43" s="32">
        <f>F43*0.75</f>
        <v>8044.11</v>
      </c>
      <c r="H43" s="75">
        <v>0.27132000000000001</v>
      </c>
      <c r="I43" s="69">
        <f t="shared" si="42"/>
        <v>5385.6713408400001</v>
      </c>
      <c r="J43" s="78">
        <f t="shared" ref="J43:J44" si="45">F43*0.05*H43</f>
        <v>145.50186167999999</v>
      </c>
      <c r="K43" s="61">
        <f t="shared" si="43"/>
        <v>380.15513424000005</v>
      </c>
      <c r="L43" s="61">
        <f t="shared" si="44"/>
        <v>363.7546542</v>
      </c>
      <c r="M43" s="58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32" t="s">
        <v>381</v>
      </c>
      <c r="B44" s="29" t="s">
        <v>35</v>
      </c>
      <c r="C44" s="10" t="s">
        <v>510</v>
      </c>
      <c r="D44" s="10" t="s">
        <v>511</v>
      </c>
      <c r="E44" s="32">
        <v>1315.79</v>
      </c>
      <c r="F44" s="32">
        <v>1955.5</v>
      </c>
      <c r="G44" s="69">
        <f>F44*0.82</f>
        <v>1603.51</v>
      </c>
      <c r="H44" s="75">
        <v>0.27132000000000001</v>
      </c>
      <c r="I44" s="69">
        <f t="shared" si="42"/>
        <v>712.85802840000008</v>
      </c>
      <c r="J44" s="78">
        <f t="shared" si="45"/>
        <v>26.528313000000001</v>
      </c>
      <c r="K44" s="61">
        <f t="shared" si="43"/>
        <v>35.700014280000005</v>
      </c>
      <c r="L44" s="61">
        <f>(F44*0.01+G44*0.1)*H44</f>
        <v>48.812095920000004</v>
      </c>
      <c r="M44" s="58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32" t="s">
        <v>381</v>
      </c>
      <c r="B45" s="32" t="s">
        <v>61</v>
      </c>
      <c r="C45" s="10" t="s">
        <v>514</v>
      </c>
      <c r="D45" s="10" t="s">
        <v>515</v>
      </c>
      <c r="E45" s="32">
        <v>2648.2</v>
      </c>
      <c r="F45" s="32">
        <v>693.8</v>
      </c>
      <c r="G45" s="69">
        <f>F45*0.6</f>
        <v>416.28</v>
      </c>
      <c r="H45" s="70">
        <v>1.10571</v>
      </c>
      <c r="I45" s="69">
        <f t="shared" si="42"/>
        <v>3049.5835627199995</v>
      </c>
      <c r="J45" s="19" t="s">
        <v>468</v>
      </c>
      <c r="K45" s="61">
        <f t="shared" si="43"/>
        <v>292.81412219999999</v>
      </c>
      <c r="L45" s="61">
        <f t="shared" ref="L45:L46" si="46">(F45*0.05+G45*0.1)*H45</f>
        <v>84.385575779999996</v>
      </c>
      <c r="M45" s="58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32" t="s">
        <v>381</v>
      </c>
      <c r="B46" s="32" t="s">
        <v>43</v>
      </c>
      <c r="C46" s="10">
        <v>10105355</v>
      </c>
      <c r="D46" s="32" t="s">
        <v>518</v>
      </c>
      <c r="E46" s="69">
        <v>-13488.35</v>
      </c>
      <c r="F46" s="69">
        <v>932.67</v>
      </c>
      <c r="G46" s="32">
        <f t="shared" ref="G46:G50" si="47">F46*0.7</f>
        <v>652.86899999999991</v>
      </c>
      <c r="H46" s="75">
        <v>0.64963899999999997</v>
      </c>
      <c r="I46" s="69">
        <f t="shared" si="42"/>
        <v>-7504.5861372230993</v>
      </c>
      <c r="J46" s="19" t="s">
        <v>468</v>
      </c>
      <c r="K46" s="61">
        <f t="shared" si="43"/>
        <v>-876.25582056500002</v>
      </c>
      <c r="L46" s="61">
        <f t="shared" si="46"/>
        <v>72.707856735599989</v>
      </c>
      <c r="M46" s="58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32" t="s">
        <v>381</v>
      </c>
      <c r="B47" s="2" t="s">
        <v>30</v>
      </c>
      <c r="C47" s="10">
        <v>8778114</v>
      </c>
      <c r="D47" s="10" t="s">
        <v>501</v>
      </c>
      <c r="E47" s="32">
        <v>-13102.4</v>
      </c>
      <c r="F47" s="32">
        <v>673.8</v>
      </c>
      <c r="G47" s="69">
        <f t="shared" si="47"/>
        <v>471.65999999999991</v>
      </c>
      <c r="H47" s="70">
        <v>0.19758700000000001</v>
      </c>
      <c r="I47" s="69">
        <f t="shared" ref="I47:I50" si="48">(E47+G47)*H47*0.93</f>
        <v>-2320.9731226734002</v>
      </c>
      <c r="J47" s="79" t="s">
        <v>468</v>
      </c>
      <c r="K47" s="61">
        <f t="shared" ref="K47:K50" si="49">E47*0.07*H47</f>
        <v>-181.22047361600002</v>
      </c>
      <c r="L47" s="61">
        <f t="shared" ref="L47:L50" si="50">(F47*0.03+G47*0.07)*H47</f>
        <v>10.517595527399999</v>
      </c>
      <c r="M47" s="58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32" t="s">
        <v>381</v>
      </c>
      <c r="B48" s="2" t="s">
        <v>30</v>
      </c>
      <c r="C48" s="10">
        <v>9018934</v>
      </c>
      <c r="D48" s="10" t="s">
        <v>509</v>
      </c>
      <c r="E48" s="32">
        <v>24986.799999999999</v>
      </c>
      <c r="F48" s="32">
        <v>14657.9</v>
      </c>
      <c r="G48" s="69">
        <f t="shared" si="47"/>
        <v>10260.529999999999</v>
      </c>
      <c r="H48" s="70">
        <v>0.19758700000000001</v>
      </c>
      <c r="I48" s="69">
        <f t="shared" si="48"/>
        <v>6476.9051992203013</v>
      </c>
      <c r="J48" s="79" t="s">
        <v>468</v>
      </c>
      <c r="K48" s="61">
        <f t="shared" si="49"/>
        <v>345.59467961200005</v>
      </c>
      <c r="L48" s="61">
        <f t="shared" si="50"/>
        <v>228.8006284967</v>
      </c>
      <c r="M48" s="58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32" t="s">
        <v>381</v>
      </c>
      <c r="B49" s="32" t="s">
        <v>25</v>
      </c>
      <c r="C49" s="10">
        <v>10011481</v>
      </c>
      <c r="D49" s="2" t="s">
        <v>516</v>
      </c>
      <c r="E49" s="69">
        <v>-4799.1499999999996</v>
      </c>
      <c r="F49" s="69">
        <v>1286.6500000000001</v>
      </c>
      <c r="G49" s="69">
        <f t="shared" si="47"/>
        <v>900.65499999999997</v>
      </c>
      <c r="H49" s="70">
        <v>0.19781883</v>
      </c>
      <c r="I49" s="69">
        <f t="shared" si="48"/>
        <v>-717.2120192845905</v>
      </c>
      <c r="J49" s="79" t="s">
        <v>468</v>
      </c>
      <c r="K49" s="61">
        <f t="shared" si="49"/>
        <v>-66.455356659614992</v>
      </c>
      <c r="L49" s="61">
        <f t="shared" si="50"/>
        <v>20.107364211940503</v>
      </c>
      <c r="M49" s="58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32" t="s">
        <v>381</v>
      </c>
      <c r="B50" s="32" t="s">
        <v>25</v>
      </c>
      <c r="C50" s="10">
        <v>10012956</v>
      </c>
      <c r="D50" s="2" t="s">
        <v>517</v>
      </c>
      <c r="E50" s="69">
        <v>9322.7000000000007</v>
      </c>
      <c r="F50" s="69">
        <v>624.95000000000005</v>
      </c>
      <c r="G50" s="69">
        <f t="shared" si="47"/>
        <v>437.46500000000003</v>
      </c>
      <c r="H50" s="70">
        <v>0.19781883</v>
      </c>
      <c r="I50" s="69">
        <f t="shared" si="48"/>
        <v>1795.5923114434638</v>
      </c>
      <c r="J50" s="79" t="s">
        <v>468</v>
      </c>
      <c r="K50" s="61">
        <f t="shared" si="49"/>
        <v>129.09439245087003</v>
      </c>
      <c r="L50" s="61">
        <f t="shared" si="50"/>
        <v>9.7665233468715016</v>
      </c>
      <c r="M50" s="58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32" t="s">
        <v>382</v>
      </c>
      <c r="B51" s="10" t="s">
        <v>132</v>
      </c>
      <c r="C51" s="10" t="s">
        <v>512</v>
      </c>
      <c r="D51" s="10" t="s">
        <v>513</v>
      </c>
      <c r="E51" s="32">
        <v>-11354.77</v>
      </c>
      <c r="F51" s="32">
        <v>9959.94</v>
      </c>
      <c r="G51" s="32">
        <f>F51*0.75</f>
        <v>7469.9549999999999</v>
      </c>
      <c r="H51" s="75">
        <v>0.27182000000000001</v>
      </c>
      <c r="I51" s="69">
        <f t="shared" ref="I51:I53" si="51">(E51+G51)*H51*0.9</f>
        <v>-950.37337197000022</v>
      </c>
      <c r="J51" s="78">
        <f t="shared" ref="J51:J52" si="52">F51*0.05*H51</f>
        <v>135.36554454000003</v>
      </c>
      <c r="K51" s="61">
        <f t="shared" ref="K51:K53" si="53">E51*0.1*H51</f>
        <v>-308.64535814000004</v>
      </c>
      <c r="L51" s="61">
        <f>(F51*0.05+G51*0.1)*H51</f>
        <v>338.41386135000005</v>
      </c>
      <c r="M51" s="58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32" t="s">
        <v>382</v>
      </c>
      <c r="B52" s="29" t="s">
        <v>35</v>
      </c>
      <c r="C52" s="2" t="s">
        <v>510</v>
      </c>
      <c r="D52" s="32" t="s">
        <v>511</v>
      </c>
      <c r="E52" s="69">
        <v>3016</v>
      </c>
      <c r="F52" s="69">
        <v>162</v>
      </c>
      <c r="G52" s="69">
        <f>F52*0.82</f>
        <v>132.84</v>
      </c>
      <c r="H52" s="75">
        <v>0.27182000000000001</v>
      </c>
      <c r="I52" s="69">
        <f t="shared" si="51"/>
        <v>770.32591992000005</v>
      </c>
      <c r="J52" s="78">
        <f t="shared" si="52"/>
        <v>2.2017419999999999</v>
      </c>
      <c r="K52" s="61">
        <f t="shared" si="53"/>
        <v>81.980912000000004</v>
      </c>
      <c r="L52" s="61">
        <f>(F52*0.01+G52*0.1)*H52</f>
        <v>4.0512052800000005</v>
      </c>
      <c r="M52" s="58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32" t="s">
        <v>382</v>
      </c>
      <c r="B53" s="32" t="s">
        <v>43</v>
      </c>
      <c r="C53" s="10">
        <v>10105355</v>
      </c>
      <c r="D53" s="32" t="s">
        <v>518</v>
      </c>
      <c r="E53" s="69">
        <v>-6990.35</v>
      </c>
      <c r="F53" s="69">
        <v>5366.37</v>
      </c>
      <c r="G53" s="32">
        <f t="shared" ref="G53:G67" si="54">F53*0.7</f>
        <v>3756.4589999999998</v>
      </c>
      <c r="H53" s="75">
        <v>0.66093000000000002</v>
      </c>
      <c r="I53" s="69">
        <f t="shared" si="51"/>
        <v>-1923.6380207670004</v>
      </c>
      <c r="J53" s="19" t="s">
        <v>468</v>
      </c>
      <c r="K53" s="61">
        <f t="shared" si="53"/>
        <v>-462.01320255000007</v>
      </c>
      <c r="L53" s="61">
        <f>(F53*0.05+G53*0.1)*H53</f>
        <v>425.61539089200005</v>
      </c>
      <c r="M53" s="58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32" t="s">
        <v>382</v>
      </c>
      <c r="B54" s="2" t="s">
        <v>30</v>
      </c>
      <c r="C54" s="10">
        <v>8778114</v>
      </c>
      <c r="D54" s="10" t="s">
        <v>501</v>
      </c>
      <c r="E54" s="32">
        <v>-450</v>
      </c>
      <c r="F54" s="32">
        <v>12</v>
      </c>
      <c r="G54" s="69">
        <f t="shared" si="54"/>
        <v>8.3999999999999986</v>
      </c>
      <c r="H54" s="70">
        <v>0.198658</v>
      </c>
      <c r="I54" s="69">
        <f t="shared" ref="I54:I57" si="55">(E54+G54)*H54*0.93</f>
        <v>-81.586456704000014</v>
      </c>
      <c r="J54" s="79" t="s">
        <v>468</v>
      </c>
      <c r="K54" s="61">
        <f t="shared" ref="K54:K57" si="56">E54*0.07*H54</f>
        <v>-6.2577270000000009</v>
      </c>
      <c r="L54" s="61">
        <f t="shared" ref="L54:L57" si="57">(F54*0.03+G54*0.07)*H54</f>
        <v>0.188327784</v>
      </c>
      <c r="M54" s="58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32" t="s">
        <v>382</v>
      </c>
      <c r="B55" s="2" t="s">
        <v>30</v>
      </c>
      <c r="C55" s="10">
        <v>9018934</v>
      </c>
      <c r="D55" s="10" t="s">
        <v>509</v>
      </c>
      <c r="E55" s="32">
        <v>35484.9</v>
      </c>
      <c r="F55" s="32">
        <v>1488.9</v>
      </c>
      <c r="G55" s="69">
        <f t="shared" si="54"/>
        <v>1042.23</v>
      </c>
      <c r="H55" s="70">
        <v>0.198658</v>
      </c>
      <c r="I55" s="69">
        <f t="shared" si="55"/>
        <v>6748.4581301322005</v>
      </c>
      <c r="J55" s="79" t="s">
        <v>468</v>
      </c>
      <c r="K55" s="61">
        <f t="shared" si="56"/>
        <v>493.45514849400007</v>
      </c>
      <c r="L55" s="61">
        <f t="shared" si="57"/>
        <v>23.3667697998</v>
      </c>
      <c r="M55" s="58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32" t="s">
        <v>382</v>
      </c>
      <c r="B56" s="32" t="s">
        <v>25</v>
      </c>
      <c r="C56" s="10">
        <v>10011481</v>
      </c>
      <c r="D56" s="2" t="s">
        <v>516</v>
      </c>
      <c r="E56" s="69">
        <v>-117715.05</v>
      </c>
      <c r="F56" s="69">
        <v>15999.25</v>
      </c>
      <c r="G56" s="69">
        <f t="shared" si="54"/>
        <v>11199.474999999999</v>
      </c>
      <c r="H56" s="70">
        <v>0.197327</v>
      </c>
      <c r="I56" s="69">
        <f t="shared" si="55"/>
        <v>-19547.110947263256</v>
      </c>
      <c r="J56" s="79" t="s">
        <v>468</v>
      </c>
      <c r="K56" s="61">
        <f t="shared" si="56"/>
        <v>-1625.9850369945004</v>
      </c>
      <c r="L56" s="61">
        <f t="shared" si="57"/>
        <v>249.40963637524999</v>
      </c>
      <c r="M56" s="58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32" t="s">
        <v>382</v>
      </c>
      <c r="B57" s="32" t="s">
        <v>25</v>
      </c>
      <c r="C57" s="10">
        <v>10012956</v>
      </c>
      <c r="D57" s="2" t="s">
        <v>517</v>
      </c>
      <c r="E57" s="69">
        <v>2603.9</v>
      </c>
      <c r="F57" s="69">
        <v>39331.1</v>
      </c>
      <c r="G57" s="69">
        <f t="shared" si="54"/>
        <v>27531.769999999997</v>
      </c>
      <c r="H57" s="70">
        <v>0.197327</v>
      </c>
      <c r="I57" s="69">
        <f t="shared" si="55"/>
        <v>5530.3206593037003</v>
      </c>
      <c r="J57" s="79" t="s">
        <v>468</v>
      </c>
      <c r="K57" s="61">
        <f t="shared" si="56"/>
        <v>35.967384271000007</v>
      </c>
      <c r="L57" s="61">
        <f t="shared" si="57"/>
        <v>613.12594960629997</v>
      </c>
      <c r="M57" s="58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32" t="s">
        <v>383</v>
      </c>
      <c r="B58" s="32" t="s">
        <v>43</v>
      </c>
      <c r="C58" s="10">
        <v>10105355</v>
      </c>
      <c r="D58" s="32" t="s">
        <v>519</v>
      </c>
      <c r="E58" s="69">
        <v>-3793</v>
      </c>
      <c r="F58" s="32">
        <v>213.68</v>
      </c>
      <c r="G58" s="32">
        <f t="shared" si="54"/>
        <v>149.57599999999999</v>
      </c>
      <c r="H58" s="75">
        <v>0.64132199999999995</v>
      </c>
      <c r="I58" s="69">
        <f>(E58+G58)*H58*0.9</f>
        <v>-2102.9471698752</v>
      </c>
      <c r="J58" s="19" t="s">
        <v>468</v>
      </c>
      <c r="K58" s="61">
        <f>E58*0.1*H58</f>
        <v>-243.25343459999999</v>
      </c>
      <c r="L58" s="61">
        <f>(F58*0.05+G58*0.1)*H58</f>
        <v>16.444522195199998</v>
      </c>
      <c r="M58" s="58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32" t="s">
        <v>383</v>
      </c>
      <c r="B59" s="2" t="s">
        <v>30</v>
      </c>
      <c r="C59" s="10">
        <v>8778114</v>
      </c>
      <c r="D59" s="10" t="s">
        <v>501</v>
      </c>
      <c r="E59" s="32">
        <v>-3147.7</v>
      </c>
      <c r="F59" s="32">
        <v>201.9</v>
      </c>
      <c r="G59" s="69">
        <f t="shared" si="54"/>
        <v>141.32999999999998</v>
      </c>
      <c r="H59" s="70">
        <v>0.19267699999999999</v>
      </c>
      <c r="I59" s="69">
        <f t="shared" ref="I59:I62" si="58">(E59+G59)*H59*0.93</f>
        <v>-538.71026781570004</v>
      </c>
      <c r="J59" s="79" t="s">
        <v>468</v>
      </c>
      <c r="K59" s="61">
        <f t="shared" ref="K59:K62" si="59">E59*0.07*H59</f>
        <v>-42.454257502999994</v>
      </c>
      <c r="L59" s="61">
        <f t="shared" ref="L59:L62" si="60">(F59*0.03+G59*0.07)*H59</f>
        <v>3.0732174177</v>
      </c>
      <c r="M59" s="58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32" t="s">
        <v>383</v>
      </c>
      <c r="B60" s="2" t="s">
        <v>30</v>
      </c>
      <c r="C60" s="10">
        <v>9018934</v>
      </c>
      <c r="D60" s="10" t="s">
        <v>509</v>
      </c>
      <c r="E60" s="32">
        <v>6775.05</v>
      </c>
      <c r="F60" s="32">
        <v>3301.95</v>
      </c>
      <c r="G60" s="69">
        <f t="shared" si="54"/>
        <v>2311.3649999999998</v>
      </c>
      <c r="H60" s="70">
        <v>0.19267699999999999</v>
      </c>
      <c r="I60" s="69">
        <f t="shared" si="58"/>
        <v>1628.1911601481502</v>
      </c>
      <c r="J60" s="79" t="s">
        <v>468</v>
      </c>
      <c r="K60" s="61">
        <f t="shared" si="59"/>
        <v>91.3777416195</v>
      </c>
      <c r="L60" s="61">
        <f t="shared" si="60"/>
        <v>50.260575791849995</v>
      </c>
      <c r="M60" s="58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32" t="s">
        <v>383</v>
      </c>
      <c r="B61" s="32" t="s">
        <v>25</v>
      </c>
      <c r="C61" s="10">
        <v>10011481</v>
      </c>
      <c r="D61" s="2" t="s">
        <v>516</v>
      </c>
      <c r="E61" s="69">
        <v>-92251</v>
      </c>
      <c r="F61" s="69">
        <v>4511.7</v>
      </c>
      <c r="G61" s="69">
        <f t="shared" si="54"/>
        <v>3158.1899999999996</v>
      </c>
      <c r="H61" s="70">
        <v>0.19283007999999999</v>
      </c>
      <c r="I61" s="69">
        <f t="shared" si="58"/>
        <v>-15977.189522144065</v>
      </c>
      <c r="J61" s="79" t="s">
        <v>468</v>
      </c>
      <c r="K61" s="61">
        <f t="shared" si="59"/>
        <v>-1245.2137397056001</v>
      </c>
      <c r="L61" s="61">
        <f t="shared" si="60"/>
        <v>68.729326282944001</v>
      </c>
      <c r="M61" s="58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32" t="s">
        <v>383</v>
      </c>
      <c r="B62" s="32" t="s">
        <v>25</v>
      </c>
      <c r="C62" s="10">
        <v>10012956</v>
      </c>
      <c r="D62" s="2" t="s">
        <v>517</v>
      </c>
      <c r="E62" s="69">
        <v>18008.900000000001</v>
      </c>
      <c r="F62" s="69">
        <v>33421.1</v>
      </c>
      <c r="G62" s="69">
        <f t="shared" si="54"/>
        <v>23394.769999999997</v>
      </c>
      <c r="H62" s="70">
        <v>0.19283007999999999</v>
      </c>
      <c r="I62" s="69">
        <f t="shared" si="58"/>
        <v>7425.0018885060472</v>
      </c>
      <c r="J62" s="79" t="s">
        <v>468</v>
      </c>
      <c r="K62" s="61">
        <f t="shared" si="59"/>
        <v>243.08603393984004</v>
      </c>
      <c r="L62" s="61">
        <f t="shared" si="60"/>
        <v>509.12287754835199</v>
      </c>
      <c r="M62" s="58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32" t="s">
        <v>384</v>
      </c>
      <c r="B63" s="32" t="s">
        <v>43</v>
      </c>
      <c r="C63" s="10">
        <v>10105355</v>
      </c>
      <c r="D63" s="32" t="s">
        <v>519</v>
      </c>
      <c r="E63" s="69">
        <v>1858.5</v>
      </c>
      <c r="F63" s="32">
        <v>24.16</v>
      </c>
      <c r="G63" s="32">
        <f t="shared" si="54"/>
        <v>16.911999999999999</v>
      </c>
      <c r="H63" s="75">
        <v>0.64562200000000003</v>
      </c>
      <c r="I63" s="69">
        <f>(E63+G63)*H63*0.9</f>
        <v>1089.7265216375999</v>
      </c>
      <c r="J63" s="19" t="s">
        <v>468</v>
      </c>
      <c r="K63" s="61">
        <f>E63*0.1*H63</f>
        <v>119.98884870000002</v>
      </c>
      <c r="L63" s="61">
        <f>(F63*0.05+G63*0.1)*H63</f>
        <v>1.8717873024000005</v>
      </c>
      <c r="M63" s="58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32" t="s">
        <v>384</v>
      </c>
      <c r="B64" s="2" t="s">
        <v>30</v>
      </c>
      <c r="C64" s="10">
        <v>8778114</v>
      </c>
      <c r="D64" s="10" t="s">
        <v>501</v>
      </c>
      <c r="E64" s="32">
        <v>-75395.25</v>
      </c>
      <c r="F64" s="32">
        <v>39508.5</v>
      </c>
      <c r="G64" s="69">
        <f t="shared" si="54"/>
        <v>27655.949999999997</v>
      </c>
      <c r="H64" s="70">
        <v>0.19317400000000001</v>
      </c>
      <c r="I64" s="69">
        <f t="shared" ref="I64:I67" si="61">(E64+G64)*H64*0.93</f>
        <v>-8576.4521305260023</v>
      </c>
      <c r="J64" s="79" t="s">
        <v>468</v>
      </c>
      <c r="K64" s="61">
        <f t="shared" ref="K64:K67" si="62">E64*0.07*H64</f>
        <v>-1019.5081416450001</v>
      </c>
      <c r="L64" s="61">
        <f t="shared" ref="L64:L67" si="63">(F64*0.03+G64*0.07)*H64</f>
        <v>602.929183341</v>
      </c>
      <c r="M64" s="58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32" t="s">
        <v>384</v>
      </c>
      <c r="B65" s="2" t="s">
        <v>30</v>
      </c>
      <c r="C65" s="10">
        <v>9018934</v>
      </c>
      <c r="D65" s="10" t="s">
        <v>509</v>
      </c>
      <c r="E65" s="32">
        <v>-61303.75</v>
      </c>
      <c r="F65" s="32">
        <v>49162</v>
      </c>
      <c r="G65" s="69">
        <f t="shared" si="54"/>
        <v>34413.399999999994</v>
      </c>
      <c r="H65" s="70">
        <v>0.19317400000000001</v>
      </c>
      <c r="I65" s="69">
        <f t="shared" si="61"/>
        <v>-4830.900317937002</v>
      </c>
      <c r="J65" s="79" t="s">
        <v>468</v>
      </c>
      <c r="K65" s="61">
        <f t="shared" si="62"/>
        <v>-828.96034217500016</v>
      </c>
      <c r="L65" s="61">
        <f t="shared" si="63"/>
        <v>750.24879485200006</v>
      </c>
      <c r="M65" s="58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32" t="s">
        <v>384</v>
      </c>
      <c r="B66" s="32" t="s">
        <v>25</v>
      </c>
      <c r="C66" s="10">
        <v>10011481</v>
      </c>
      <c r="D66" s="2" t="s">
        <v>516</v>
      </c>
      <c r="E66" s="69">
        <v>-192250.85</v>
      </c>
      <c r="F66" s="69">
        <v>182393.65</v>
      </c>
      <c r="G66" s="69">
        <f t="shared" si="54"/>
        <v>127675.55499999999</v>
      </c>
      <c r="H66" s="70">
        <v>0.19106799999999999</v>
      </c>
      <c r="I66" s="69">
        <f t="shared" si="61"/>
        <v>-11474.593392505802</v>
      </c>
      <c r="J66" s="79" t="s">
        <v>468</v>
      </c>
      <c r="K66" s="61">
        <f t="shared" si="62"/>
        <v>-2571.3089785460002</v>
      </c>
      <c r="L66" s="61">
        <f t="shared" si="63"/>
        <v>2753.1176035377998</v>
      </c>
      <c r="M66" s="58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32" t="s">
        <v>384</v>
      </c>
      <c r="B67" s="32" t="s">
        <v>25</v>
      </c>
      <c r="C67" s="10">
        <v>10012956</v>
      </c>
      <c r="D67" s="2" t="s">
        <v>517</v>
      </c>
      <c r="E67" s="69">
        <v>-343197.6</v>
      </c>
      <c r="F67" s="69">
        <v>52805.75</v>
      </c>
      <c r="G67" s="69">
        <f t="shared" si="54"/>
        <v>36964.024999999994</v>
      </c>
      <c r="H67" s="70">
        <v>0.19106799999999999</v>
      </c>
      <c r="I67" s="69">
        <f t="shared" si="61"/>
        <v>-54415.636138532995</v>
      </c>
      <c r="J67" s="79" t="s">
        <v>468</v>
      </c>
      <c r="K67" s="61">
        <f t="shared" si="62"/>
        <v>-4590.1855325759998</v>
      </c>
      <c r="L67" s="61">
        <f t="shared" si="63"/>
        <v>797.06963423899992</v>
      </c>
      <c r="M67" s="58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32"/>
      <c r="L68" s="69"/>
      <c r="M68" s="32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32"/>
      <c r="L69" s="69"/>
      <c r="M69" s="32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32"/>
      <c r="L70" s="69"/>
      <c r="M70" s="32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84" t="s">
        <v>520</v>
      </c>
      <c r="L71" s="32"/>
      <c r="M71" s="32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80" t="s">
        <v>498</v>
      </c>
      <c r="L72" s="32"/>
      <c r="M72" s="32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32"/>
      <c r="L73" s="69"/>
      <c r="M73" s="32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32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32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32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32"/>
      <c r="L77" s="69"/>
      <c r="M77" s="32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32"/>
      <c r="L78" s="69"/>
      <c r="M78" s="32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32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32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32"/>
      <c r="L81" s="69"/>
      <c r="M81" s="32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32"/>
      <c r="L82" s="69"/>
      <c r="M82" s="32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32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32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32"/>
      <c r="L85" s="69"/>
      <c r="M85" s="32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32"/>
      <c r="L86" s="69"/>
      <c r="M86" s="32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32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32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69"/>
      <c r="M89" s="32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32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32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69"/>
      <c r="M92" s="32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69"/>
      <c r="M93" s="32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32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32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32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69"/>
      <c r="M97" s="32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32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32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69"/>
      <c r="M100" s="32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69"/>
      <c r="M101" s="32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>
        <f>SUM(J2:J100)</f>
        <v>2807.104531255</v>
      </c>
      <c r="K102" s="32"/>
      <c r="L102" s="32"/>
      <c r="M102" s="32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32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32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32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32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32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69"/>
      <c r="M108" s="32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69"/>
      <c r="M109" s="32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32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69"/>
      <c r="M111" s="32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32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69"/>
      <c r="M113" s="32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32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32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69"/>
      <c r="M116" s="32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69"/>
      <c r="M117" s="32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69"/>
      <c r="M118" s="32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32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32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32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69"/>
      <c r="M122" s="32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69"/>
      <c r="M123" s="32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69"/>
      <c r="M124" s="32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32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32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32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69"/>
      <c r="M128" s="32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32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69"/>
      <c r="M130" s="32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69"/>
      <c r="M131" s="32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32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69"/>
      <c r="M133" s="32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32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32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32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32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32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32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32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32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32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32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69"/>
      <c r="M144" s="32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32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69"/>
      <c r="M146" s="32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32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32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32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32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32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32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32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69"/>
      <c r="M154" s="32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32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32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32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32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32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32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32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69"/>
      <c r="M162" s="32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32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32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32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32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32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32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32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32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32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32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32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32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32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32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32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32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32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32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32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69"/>
      <c r="M182" s="32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69"/>
      <c r="M183" s="32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69"/>
      <c r="M184" s="32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69"/>
      <c r="M185" s="32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32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32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32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32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32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32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69"/>
      <c r="M192" s="32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69"/>
      <c r="M193" s="32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32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32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32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32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32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32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69"/>
      <c r="M200" s="32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32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32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32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32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76"/>
      <c r="L205" s="32"/>
      <c r="M205" s="32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76"/>
      <c r="L206" s="32"/>
      <c r="M206" s="32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76"/>
      <c r="L207" s="32"/>
      <c r="M207" s="32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32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32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32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32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32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76"/>
      <c r="L213" s="32"/>
      <c r="M213" s="32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32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32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32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76"/>
      <c r="L217" s="32"/>
      <c r="M217" s="32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76"/>
      <c r="L218" s="32"/>
      <c r="M218" s="32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76"/>
      <c r="L219" s="32"/>
      <c r="M219" s="32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69"/>
      <c r="L220" s="32"/>
      <c r="M220" s="32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69"/>
      <c r="L221" s="32"/>
      <c r="M221" s="32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32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32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32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32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32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76"/>
      <c r="L227" s="32"/>
      <c r="M227" s="32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32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32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69"/>
      <c r="L230" s="32"/>
      <c r="M230" s="32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69"/>
      <c r="L231" s="32"/>
      <c r="M231" s="32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69"/>
      <c r="L232" s="32"/>
      <c r="M232" s="32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76"/>
      <c r="L233" s="32"/>
      <c r="M233" s="32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69"/>
      <c r="M234" s="32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32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69"/>
      <c r="L236" s="32"/>
      <c r="M236" s="32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69"/>
      <c r="L237" s="32"/>
      <c r="M237" s="32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76"/>
      <c r="L238" s="32"/>
      <c r="M238" s="32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69"/>
      <c r="M239" s="32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32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32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69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69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69"/>
      <c r="L245" s="32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76"/>
      <c r="L246" s="32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69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69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69"/>
      <c r="L253" s="32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69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69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69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69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69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O2" sqref="O2"/>
    </sheetView>
  </sheetViews>
  <sheetFormatPr defaultColWidth="12.6640625" defaultRowHeight="15.75" customHeight="1" x14ac:dyDescent="0.25"/>
  <cols>
    <col min="1" max="14" width="12.6640625" customWidth="1"/>
    <col min="15" max="21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521</v>
      </c>
      <c r="D1" s="63" t="s">
        <v>522</v>
      </c>
      <c r="E1" s="63" t="s">
        <v>399</v>
      </c>
      <c r="F1" s="62" t="s">
        <v>400</v>
      </c>
      <c r="G1" s="62" t="s">
        <v>401</v>
      </c>
      <c r="H1" s="62" t="s">
        <v>402</v>
      </c>
      <c r="I1" s="62" t="s">
        <v>403</v>
      </c>
      <c r="J1" s="64" t="s">
        <v>404</v>
      </c>
      <c r="K1" s="62" t="s">
        <v>405</v>
      </c>
      <c r="L1" s="77" t="s">
        <v>464</v>
      </c>
      <c r="M1" s="65" t="s">
        <v>406</v>
      </c>
      <c r="N1" s="65" t="s">
        <v>407</v>
      </c>
      <c r="O1" s="65" t="s">
        <v>408</v>
      </c>
      <c r="P1" s="66" t="s">
        <v>409</v>
      </c>
      <c r="Q1" s="66" t="s">
        <v>294</v>
      </c>
      <c r="R1" s="66" t="s">
        <v>410</v>
      </c>
      <c r="S1" s="67" t="s">
        <v>283</v>
      </c>
      <c r="T1" s="67" t="s">
        <v>284</v>
      </c>
      <c r="U1" s="68" t="s">
        <v>285</v>
      </c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54</v>
      </c>
      <c r="C2" s="2" t="s">
        <v>523</v>
      </c>
      <c r="D2" s="2" t="s">
        <v>524</v>
      </c>
      <c r="E2" s="2" t="s">
        <v>525</v>
      </c>
      <c r="F2" s="32" t="s">
        <v>526</v>
      </c>
      <c r="G2" s="69">
        <v>-757</v>
      </c>
      <c r="H2" s="69">
        <v>165.81</v>
      </c>
      <c r="I2" s="69">
        <f t="shared" ref="I2:I4" si="0">H2*0.77</f>
        <v>127.67370000000001</v>
      </c>
      <c r="J2" s="75">
        <v>0.26985999999999999</v>
      </c>
      <c r="K2" s="69">
        <f t="shared" ref="K2:K4" si="1">(G2+I2)*J2</f>
        <v>-169.82999531799999</v>
      </c>
      <c r="L2" s="78">
        <f t="shared" ref="L2:L4" si="2">H2*0.05*J2</f>
        <v>2.23727433</v>
      </c>
      <c r="M2" s="61">
        <v>0</v>
      </c>
      <c r="N2" s="61">
        <f t="shared" ref="N2:N4" si="3">H2*0.06*J2</f>
        <v>2.6847291959999997</v>
      </c>
      <c r="O2" s="61">
        <f>SUM(M:N)</f>
        <v>113.20058694216</v>
      </c>
      <c r="P2" s="2" t="s">
        <v>412</v>
      </c>
      <c r="Q2" s="2" t="s">
        <v>413</v>
      </c>
      <c r="R2" s="32">
        <v>0.01</v>
      </c>
      <c r="S2" s="32">
        <f>SUM(K:K)</f>
        <v>-940.76923323428002</v>
      </c>
      <c r="T2" s="32">
        <f>SUM(R:R)</f>
        <v>978.43999999999994</v>
      </c>
      <c r="U2" s="32">
        <f>S2+T2</f>
        <v>37.670766765719918</v>
      </c>
      <c r="V2" s="2"/>
      <c r="W2" s="2"/>
      <c r="X2" s="2"/>
      <c r="Y2" s="2"/>
      <c r="Z2" s="2"/>
    </row>
    <row r="3" spans="1:26" ht="15.75" customHeight="1" x14ac:dyDescent="0.3">
      <c r="A3" s="32" t="s">
        <v>317</v>
      </c>
      <c r="B3" s="32" t="s">
        <v>54</v>
      </c>
      <c r="C3" s="10" t="s">
        <v>523</v>
      </c>
      <c r="D3" s="10" t="s">
        <v>524</v>
      </c>
      <c r="E3" s="10" t="s">
        <v>527</v>
      </c>
      <c r="F3" s="46" t="s">
        <v>528</v>
      </c>
      <c r="G3" s="69">
        <v>-2000</v>
      </c>
      <c r="H3" s="69">
        <v>1251.46</v>
      </c>
      <c r="I3" s="69">
        <f t="shared" si="0"/>
        <v>963.62420000000009</v>
      </c>
      <c r="J3" s="75">
        <v>0.26644000000000001</v>
      </c>
      <c r="K3" s="69">
        <f t="shared" si="1"/>
        <v>-276.13196815199996</v>
      </c>
      <c r="L3" s="78">
        <f t="shared" si="2"/>
        <v>16.671950120000002</v>
      </c>
      <c r="M3" s="61">
        <v>0</v>
      </c>
      <c r="N3" s="61">
        <f t="shared" si="3"/>
        <v>20.006340143999999</v>
      </c>
      <c r="O3" s="61"/>
      <c r="P3" s="2" t="s">
        <v>312</v>
      </c>
      <c r="Q3" s="2" t="s">
        <v>529</v>
      </c>
      <c r="R3" s="32">
        <v>169.82</v>
      </c>
      <c r="S3" s="32"/>
      <c r="T3" s="32"/>
      <c r="U3" s="32"/>
      <c r="V3" s="2"/>
      <c r="W3" s="2"/>
      <c r="X3" s="2"/>
      <c r="Y3" s="2"/>
      <c r="Z3" s="2"/>
    </row>
    <row r="4" spans="1:26" ht="15.75" customHeight="1" x14ac:dyDescent="0.3">
      <c r="A4" s="32" t="s">
        <v>325</v>
      </c>
      <c r="B4" s="32" t="s">
        <v>54</v>
      </c>
      <c r="C4" s="10" t="s">
        <v>523</v>
      </c>
      <c r="D4" s="10" t="s">
        <v>524</v>
      </c>
      <c r="E4" s="10" t="s">
        <v>525</v>
      </c>
      <c r="F4" s="46" t="s">
        <v>526</v>
      </c>
      <c r="G4" s="69">
        <v>-503.77</v>
      </c>
      <c r="H4" s="69">
        <v>39.15</v>
      </c>
      <c r="I4" s="69">
        <f t="shared" si="0"/>
        <v>30.145499999999998</v>
      </c>
      <c r="J4" s="75">
        <v>0.26577000000000001</v>
      </c>
      <c r="K4" s="69">
        <f t="shared" si="1"/>
        <v>-125.87518336500001</v>
      </c>
      <c r="L4" s="78">
        <f t="shared" si="2"/>
        <v>0.52024477499999999</v>
      </c>
      <c r="M4" s="61">
        <v>0</v>
      </c>
      <c r="N4" s="61">
        <f t="shared" si="3"/>
        <v>0.62429372999999999</v>
      </c>
      <c r="O4" s="61"/>
      <c r="P4" s="2" t="s">
        <v>530</v>
      </c>
      <c r="Q4" s="2" t="s">
        <v>529</v>
      </c>
      <c r="R4" s="32">
        <v>402.01</v>
      </c>
      <c r="S4" s="32"/>
      <c r="T4" s="32"/>
      <c r="U4" s="32"/>
      <c r="V4" s="2"/>
      <c r="W4" s="2"/>
      <c r="X4" s="2"/>
      <c r="Y4" s="2"/>
      <c r="Z4" s="2"/>
    </row>
    <row r="5" spans="1:26" ht="15.75" customHeight="1" x14ac:dyDescent="0.3">
      <c r="A5" s="2" t="s">
        <v>332</v>
      </c>
      <c r="B5" s="46" t="s">
        <v>468</v>
      </c>
      <c r="C5" s="10" t="s">
        <v>468</v>
      </c>
      <c r="D5" s="10" t="s">
        <v>468</v>
      </c>
      <c r="E5" s="10" t="s">
        <v>468</v>
      </c>
      <c r="F5" s="46" t="s">
        <v>468</v>
      </c>
      <c r="G5" s="46" t="s">
        <v>468</v>
      </c>
      <c r="H5" s="46" t="s">
        <v>468</v>
      </c>
      <c r="I5" s="46" t="s">
        <v>468</v>
      </c>
      <c r="J5" s="85" t="s">
        <v>468</v>
      </c>
      <c r="K5" s="46" t="s">
        <v>468</v>
      </c>
      <c r="L5" s="79" t="s">
        <v>468</v>
      </c>
      <c r="M5" s="82" t="s">
        <v>468</v>
      </c>
      <c r="N5" s="82" t="s">
        <v>468</v>
      </c>
      <c r="O5" s="61"/>
      <c r="P5" s="32" t="s">
        <v>531</v>
      </c>
      <c r="Q5" s="32" t="s">
        <v>529</v>
      </c>
      <c r="R5" s="69">
        <v>406.6</v>
      </c>
      <c r="S5" s="32"/>
      <c r="T5" s="32"/>
      <c r="U5" s="32"/>
      <c r="V5" s="2"/>
      <c r="W5" s="2"/>
      <c r="X5" s="2"/>
      <c r="Y5" s="2"/>
      <c r="Z5" s="2"/>
    </row>
    <row r="6" spans="1:26" ht="15.75" customHeight="1" x14ac:dyDescent="0.3">
      <c r="A6" s="2" t="s">
        <v>340</v>
      </c>
      <c r="B6" s="46" t="s">
        <v>468</v>
      </c>
      <c r="C6" s="10" t="s">
        <v>468</v>
      </c>
      <c r="D6" s="10" t="s">
        <v>468</v>
      </c>
      <c r="E6" s="10" t="s">
        <v>468</v>
      </c>
      <c r="F6" s="46" t="s">
        <v>468</v>
      </c>
      <c r="G6" s="46" t="s">
        <v>468</v>
      </c>
      <c r="H6" s="46" t="s">
        <v>468</v>
      </c>
      <c r="I6" s="46" t="s">
        <v>468</v>
      </c>
      <c r="J6" s="85" t="s">
        <v>468</v>
      </c>
      <c r="K6" s="46" t="s">
        <v>468</v>
      </c>
      <c r="L6" s="79" t="s">
        <v>468</v>
      </c>
      <c r="M6" s="82" t="s">
        <v>468</v>
      </c>
      <c r="N6" s="82" t="s">
        <v>468</v>
      </c>
      <c r="O6" s="61"/>
      <c r="P6" s="32"/>
      <c r="Q6" s="32"/>
      <c r="R6" s="69"/>
      <c r="S6" s="32"/>
      <c r="T6" s="32"/>
      <c r="U6" s="32"/>
      <c r="V6" s="2"/>
      <c r="W6" s="2"/>
      <c r="X6" s="2"/>
      <c r="Y6" s="2"/>
      <c r="Z6" s="2"/>
    </row>
    <row r="7" spans="1:26" ht="15.75" customHeight="1" x14ac:dyDescent="0.3">
      <c r="A7" s="32" t="s">
        <v>359</v>
      </c>
      <c r="B7" s="46" t="s">
        <v>468</v>
      </c>
      <c r="C7" s="10" t="s">
        <v>468</v>
      </c>
      <c r="D7" s="10" t="s">
        <v>468</v>
      </c>
      <c r="E7" s="10" t="s">
        <v>468</v>
      </c>
      <c r="F7" s="46" t="s">
        <v>468</v>
      </c>
      <c r="G7" s="46" t="s">
        <v>468</v>
      </c>
      <c r="H7" s="46" t="s">
        <v>468</v>
      </c>
      <c r="I7" s="46" t="s">
        <v>468</v>
      </c>
      <c r="J7" s="85" t="s">
        <v>468</v>
      </c>
      <c r="K7" s="46" t="s">
        <v>468</v>
      </c>
      <c r="L7" s="79" t="s">
        <v>468</v>
      </c>
      <c r="M7" s="82" t="s">
        <v>468</v>
      </c>
      <c r="N7" s="82" t="s">
        <v>468</v>
      </c>
      <c r="O7" s="61"/>
      <c r="P7" s="2"/>
      <c r="Q7" s="2"/>
      <c r="R7" s="32"/>
      <c r="S7" s="32"/>
      <c r="T7" s="32"/>
      <c r="U7" s="32"/>
      <c r="V7" s="2"/>
      <c r="W7" s="2"/>
      <c r="X7" s="2"/>
      <c r="Y7" s="2"/>
      <c r="Z7" s="2"/>
    </row>
    <row r="8" spans="1:26" ht="15.75" customHeight="1" x14ac:dyDescent="0.3">
      <c r="A8" s="2" t="s">
        <v>366</v>
      </c>
      <c r="B8" s="46" t="s">
        <v>468</v>
      </c>
      <c r="C8" s="10" t="s">
        <v>468</v>
      </c>
      <c r="D8" s="10" t="s">
        <v>468</v>
      </c>
      <c r="E8" s="10" t="s">
        <v>468</v>
      </c>
      <c r="F8" s="46" t="s">
        <v>468</v>
      </c>
      <c r="G8" s="46" t="s">
        <v>468</v>
      </c>
      <c r="H8" s="46" t="s">
        <v>468</v>
      </c>
      <c r="I8" s="46" t="s">
        <v>468</v>
      </c>
      <c r="J8" s="85" t="s">
        <v>468</v>
      </c>
      <c r="K8" s="46" t="s">
        <v>468</v>
      </c>
      <c r="L8" s="79" t="s">
        <v>468</v>
      </c>
      <c r="M8" s="82" t="s">
        <v>468</v>
      </c>
      <c r="N8" s="82" t="s">
        <v>468</v>
      </c>
      <c r="O8" s="61"/>
      <c r="P8" s="2"/>
      <c r="Q8" s="2"/>
      <c r="R8" s="32"/>
      <c r="S8" s="32"/>
      <c r="T8" s="32"/>
      <c r="U8" s="32"/>
      <c r="V8" s="2"/>
      <c r="W8" s="2"/>
      <c r="X8" s="2"/>
      <c r="Y8" s="2"/>
      <c r="Z8" s="2"/>
    </row>
    <row r="9" spans="1:26" ht="15.75" customHeight="1" x14ac:dyDescent="0.3">
      <c r="A9" s="2" t="s">
        <v>370</v>
      </c>
      <c r="B9" s="46" t="s">
        <v>468</v>
      </c>
      <c r="C9" s="10" t="s">
        <v>468</v>
      </c>
      <c r="D9" s="10" t="s">
        <v>468</v>
      </c>
      <c r="E9" s="10" t="s">
        <v>468</v>
      </c>
      <c r="F9" s="46" t="s">
        <v>468</v>
      </c>
      <c r="G9" s="46" t="s">
        <v>468</v>
      </c>
      <c r="H9" s="46" t="s">
        <v>468</v>
      </c>
      <c r="I9" s="46" t="s">
        <v>468</v>
      </c>
      <c r="J9" s="85" t="s">
        <v>468</v>
      </c>
      <c r="K9" s="46" t="s">
        <v>468</v>
      </c>
      <c r="L9" s="79" t="s">
        <v>468</v>
      </c>
      <c r="M9" s="82" t="s">
        <v>468</v>
      </c>
      <c r="N9" s="82" t="s">
        <v>468</v>
      </c>
      <c r="O9" s="61"/>
      <c r="P9" s="2"/>
      <c r="Q9" s="2"/>
      <c r="R9" s="32"/>
      <c r="S9" s="32"/>
      <c r="T9" s="32"/>
      <c r="U9" s="32"/>
      <c r="V9" s="2"/>
      <c r="W9" s="2"/>
      <c r="X9" s="2"/>
      <c r="Y9" s="2"/>
      <c r="Z9" s="2"/>
    </row>
    <row r="10" spans="1:26" ht="15.75" customHeight="1" x14ac:dyDescent="0.3">
      <c r="A10" s="2" t="s">
        <v>372</v>
      </c>
      <c r="B10" s="46" t="s">
        <v>468</v>
      </c>
      <c r="C10" s="10" t="s">
        <v>468</v>
      </c>
      <c r="D10" s="10" t="s">
        <v>468</v>
      </c>
      <c r="E10" s="10" t="s">
        <v>468</v>
      </c>
      <c r="F10" s="46" t="s">
        <v>468</v>
      </c>
      <c r="G10" s="46" t="s">
        <v>468</v>
      </c>
      <c r="H10" s="46" t="s">
        <v>468</v>
      </c>
      <c r="I10" s="46" t="s">
        <v>468</v>
      </c>
      <c r="J10" s="85" t="s">
        <v>468</v>
      </c>
      <c r="K10" s="46" t="s">
        <v>468</v>
      </c>
      <c r="L10" s="79" t="s">
        <v>468</v>
      </c>
      <c r="M10" s="82" t="s">
        <v>468</v>
      </c>
      <c r="N10" s="82" t="s">
        <v>468</v>
      </c>
      <c r="O10" s="61"/>
      <c r="P10" s="2"/>
      <c r="Q10" s="2"/>
      <c r="R10" s="32"/>
      <c r="S10" s="32"/>
      <c r="T10" s="32"/>
      <c r="U10" s="32"/>
      <c r="V10" s="2"/>
      <c r="W10" s="2"/>
      <c r="X10" s="2"/>
      <c r="Y10" s="2"/>
      <c r="Z10" s="2"/>
    </row>
    <row r="11" spans="1:26" ht="15.75" customHeight="1" x14ac:dyDescent="0.3">
      <c r="A11" s="2" t="s">
        <v>377</v>
      </c>
      <c r="B11" s="32" t="s">
        <v>54</v>
      </c>
      <c r="C11" s="10" t="s">
        <v>523</v>
      </c>
      <c r="D11" s="10" t="s">
        <v>524</v>
      </c>
      <c r="E11" s="10" t="s">
        <v>527</v>
      </c>
      <c r="F11" s="46" t="s">
        <v>528</v>
      </c>
      <c r="G11" s="69">
        <v>106.28</v>
      </c>
      <c r="H11" s="69">
        <v>364.58</v>
      </c>
      <c r="I11" s="69">
        <f t="shared" ref="I11:I12" si="4">H11*0.77</f>
        <v>280.72660000000002</v>
      </c>
      <c r="J11" s="75">
        <v>0.27564</v>
      </c>
      <c r="K11" s="69">
        <f t="shared" ref="K11:K12" si="5">(G11+I11)*J11</f>
        <v>106.67449922400002</v>
      </c>
      <c r="L11" s="78">
        <f t="shared" ref="L11:L12" si="6">H11*0.05*J11</f>
        <v>5.0246415600000001</v>
      </c>
      <c r="M11" s="61">
        <v>0</v>
      </c>
      <c r="N11" s="61">
        <f t="shared" ref="N11:N12" si="7">H11*0.06*J11</f>
        <v>6.0295698719999988</v>
      </c>
      <c r="O11" s="61"/>
      <c r="P11" s="2"/>
      <c r="Q11" s="2"/>
      <c r="R11" s="32"/>
      <c r="S11" s="32"/>
      <c r="T11" s="32"/>
      <c r="U11" s="32"/>
      <c r="V11" s="2"/>
      <c r="W11" s="2"/>
      <c r="X11" s="2"/>
      <c r="Y11" s="2"/>
      <c r="Z11" s="2"/>
    </row>
    <row r="12" spans="1:26" ht="15.75" customHeight="1" x14ac:dyDescent="0.3">
      <c r="A12" s="2" t="s">
        <v>379</v>
      </c>
      <c r="B12" s="32" t="s">
        <v>54</v>
      </c>
      <c r="C12" s="10" t="s">
        <v>523</v>
      </c>
      <c r="D12" s="10" t="s">
        <v>524</v>
      </c>
      <c r="E12" s="10" t="s">
        <v>527</v>
      </c>
      <c r="F12" s="86" t="s">
        <v>528</v>
      </c>
      <c r="G12" s="69">
        <v>-2106.2800000000002</v>
      </c>
      <c r="H12" s="69">
        <v>322.57</v>
      </c>
      <c r="I12" s="69">
        <f t="shared" si="4"/>
        <v>248.37889999999999</v>
      </c>
      <c r="J12" s="75">
        <v>0.27393000000000001</v>
      </c>
      <c r="K12" s="69">
        <f t="shared" si="5"/>
        <v>-508.9348483230001</v>
      </c>
      <c r="L12" s="78">
        <f t="shared" si="6"/>
        <v>4.4180800050000002</v>
      </c>
      <c r="M12" s="61">
        <v>0</v>
      </c>
      <c r="N12" s="61">
        <f t="shared" si="7"/>
        <v>5.3016960059999994</v>
      </c>
      <c r="O12" s="61"/>
      <c r="P12" s="2"/>
      <c r="Q12" s="2"/>
      <c r="R12" s="32"/>
      <c r="S12" s="32"/>
      <c r="T12" s="32"/>
      <c r="U12" s="32"/>
      <c r="V12" s="2"/>
      <c r="W12" s="2"/>
      <c r="X12" s="2"/>
      <c r="Y12" s="2"/>
      <c r="Z12" s="2"/>
    </row>
    <row r="13" spans="1:26" ht="15.75" customHeight="1" x14ac:dyDescent="0.3">
      <c r="A13" s="32" t="s">
        <v>380</v>
      </c>
      <c r="B13" s="46" t="s">
        <v>468</v>
      </c>
      <c r="C13" s="10" t="s">
        <v>468</v>
      </c>
      <c r="D13" s="10" t="s">
        <v>468</v>
      </c>
      <c r="E13" s="10" t="s">
        <v>468</v>
      </c>
      <c r="F13" s="46" t="s">
        <v>468</v>
      </c>
      <c r="G13" s="46" t="s">
        <v>468</v>
      </c>
      <c r="H13" s="46" t="s">
        <v>468</v>
      </c>
      <c r="I13" s="46" t="s">
        <v>468</v>
      </c>
      <c r="J13" s="85" t="s">
        <v>468</v>
      </c>
      <c r="K13" s="46" t="s">
        <v>468</v>
      </c>
      <c r="L13" s="79" t="s">
        <v>468</v>
      </c>
      <c r="M13" s="82" t="s">
        <v>468</v>
      </c>
      <c r="N13" s="82" t="s">
        <v>468</v>
      </c>
      <c r="O13" s="61"/>
      <c r="P13" s="2"/>
      <c r="Q13" s="2"/>
      <c r="R13" s="32"/>
      <c r="S13" s="32"/>
      <c r="T13" s="32"/>
      <c r="U13" s="32"/>
      <c r="V13" s="2"/>
      <c r="W13" s="2"/>
      <c r="X13" s="2"/>
      <c r="Y13" s="2"/>
      <c r="Z13" s="2"/>
    </row>
    <row r="14" spans="1:26" ht="15.75" customHeight="1" x14ac:dyDescent="0.3">
      <c r="A14" s="32" t="s">
        <v>381</v>
      </c>
      <c r="B14" s="32" t="s">
        <v>54</v>
      </c>
      <c r="C14" s="10" t="s">
        <v>523</v>
      </c>
      <c r="D14" s="10" t="s">
        <v>524</v>
      </c>
      <c r="E14" s="10" t="s">
        <v>525</v>
      </c>
      <c r="F14" s="86" t="s">
        <v>526</v>
      </c>
      <c r="G14" s="69">
        <v>-44.51</v>
      </c>
      <c r="H14" s="69">
        <v>37.03</v>
      </c>
      <c r="I14" s="69">
        <f t="shared" ref="I14:I22" si="8">H14*0.77</f>
        <v>28.513100000000001</v>
      </c>
      <c r="J14" s="75">
        <v>0.27132000000000001</v>
      </c>
      <c r="K14" s="69">
        <f t="shared" ref="K14:K17" si="9">(G14+I14)*J14</f>
        <v>-4.3402789079999993</v>
      </c>
      <c r="L14" s="78">
        <f t="shared" ref="L14:L17" si="10">H14*0.05*J14</f>
        <v>0.50234898000000006</v>
      </c>
      <c r="M14" s="61">
        <v>0</v>
      </c>
      <c r="N14" s="61">
        <f t="shared" ref="N14:N17" si="11">H14*0.06*J14</f>
        <v>0.602818776</v>
      </c>
      <c r="O14" s="61"/>
      <c r="P14" s="2"/>
      <c r="Q14" s="2"/>
      <c r="R14" s="32"/>
      <c r="S14" s="32"/>
      <c r="T14" s="32"/>
      <c r="U14" s="32"/>
      <c r="V14" s="2"/>
      <c r="W14" s="2"/>
      <c r="X14" s="2"/>
      <c r="Y14" s="2"/>
      <c r="Z14" s="2"/>
    </row>
    <row r="15" spans="1:26" ht="15.75" customHeight="1" x14ac:dyDescent="0.3">
      <c r="A15" s="32" t="s">
        <v>382</v>
      </c>
      <c r="B15" s="32" t="s">
        <v>54</v>
      </c>
      <c r="C15" s="10" t="s">
        <v>523</v>
      </c>
      <c r="D15" s="10" t="s">
        <v>524</v>
      </c>
      <c r="E15" s="10" t="s">
        <v>527</v>
      </c>
      <c r="F15" s="10" t="s">
        <v>528</v>
      </c>
      <c r="G15" s="69">
        <v>2036.87</v>
      </c>
      <c r="H15" s="69">
        <v>84.91</v>
      </c>
      <c r="I15" s="69">
        <f t="shared" si="8"/>
        <v>65.380700000000004</v>
      </c>
      <c r="J15" s="75">
        <v>0.27182000000000001</v>
      </c>
      <c r="K15" s="69">
        <f t="shared" si="9"/>
        <v>571.433785274</v>
      </c>
      <c r="L15" s="78">
        <f t="shared" si="10"/>
        <v>1.1540118100000001</v>
      </c>
      <c r="M15" s="61">
        <v>0</v>
      </c>
      <c r="N15" s="61">
        <f t="shared" si="11"/>
        <v>1.384814172</v>
      </c>
      <c r="O15" s="61"/>
      <c r="P15" s="2"/>
      <c r="Q15" s="2"/>
      <c r="R15" s="32"/>
      <c r="S15" s="32"/>
      <c r="T15" s="32"/>
      <c r="U15" s="32"/>
      <c r="V15" s="2"/>
      <c r="W15" s="2"/>
      <c r="X15" s="2"/>
      <c r="Y15" s="2"/>
      <c r="Z15" s="2"/>
    </row>
    <row r="16" spans="1:26" ht="15.75" customHeight="1" x14ac:dyDescent="0.3">
      <c r="A16" s="32" t="s">
        <v>382</v>
      </c>
      <c r="B16" s="32" t="s">
        <v>54</v>
      </c>
      <c r="C16" s="10" t="s">
        <v>523</v>
      </c>
      <c r="D16" s="10" t="s">
        <v>524</v>
      </c>
      <c r="E16" s="10" t="s">
        <v>525</v>
      </c>
      <c r="F16" s="10" t="s">
        <v>526</v>
      </c>
      <c r="G16" s="69">
        <v>-63.89</v>
      </c>
      <c r="H16" s="69">
        <v>27.6</v>
      </c>
      <c r="I16" s="69">
        <f t="shared" si="8"/>
        <v>21.252000000000002</v>
      </c>
      <c r="J16" s="75">
        <v>0.27182000000000001</v>
      </c>
      <c r="K16" s="69">
        <f t="shared" si="9"/>
        <v>-11.58986116</v>
      </c>
      <c r="L16" s="78">
        <f t="shared" si="10"/>
        <v>0.37511160000000004</v>
      </c>
      <c r="M16" s="61">
        <v>0</v>
      </c>
      <c r="N16" s="61">
        <f t="shared" si="11"/>
        <v>0.45013391999999997</v>
      </c>
      <c r="O16" s="61"/>
      <c r="P16" s="2"/>
      <c r="Q16" s="2"/>
      <c r="R16" s="32"/>
      <c r="S16" s="32"/>
      <c r="T16" s="32"/>
      <c r="U16" s="32"/>
      <c r="V16" s="2"/>
      <c r="W16" s="2"/>
      <c r="X16" s="2"/>
      <c r="Y16" s="2"/>
      <c r="Z16" s="2"/>
    </row>
    <row r="17" spans="1:26" ht="15.75" customHeight="1" x14ac:dyDescent="0.3">
      <c r="A17" s="32" t="s">
        <v>382</v>
      </c>
      <c r="B17" s="32" t="s">
        <v>54</v>
      </c>
      <c r="C17" s="10" t="s">
        <v>523</v>
      </c>
      <c r="D17" s="10" t="s">
        <v>524</v>
      </c>
      <c r="E17" s="10" t="s">
        <v>532</v>
      </c>
      <c r="F17" s="10" t="s">
        <v>533</v>
      </c>
      <c r="G17" s="69">
        <v>-3000</v>
      </c>
      <c r="H17" s="69">
        <v>976.96</v>
      </c>
      <c r="I17" s="69">
        <f t="shared" si="8"/>
        <v>752.25920000000008</v>
      </c>
      <c r="J17" s="75">
        <v>0.27182000000000001</v>
      </c>
      <c r="K17" s="69">
        <f t="shared" si="9"/>
        <v>-610.98090425600003</v>
      </c>
      <c r="L17" s="78">
        <f t="shared" si="10"/>
        <v>13.277863360000001</v>
      </c>
      <c r="M17" s="61">
        <v>0</v>
      </c>
      <c r="N17" s="61">
        <f t="shared" si="11"/>
        <v>15.933436032000001</v>
      </c>
      <c r="O17" s="61"/>
      <c r="P17" s="2"/>
      <c r="Q17" s="2"/>
      <c r="R17" s="32"/>
      <c r="S17" s="32"/>
      <c r="T17" s="32"/>
      <c r="U17" s="32"/>
      <c r="V17" s="2"/>
      <c r="W17" s="2"/>
      <c r="X17" s="2"/>
      <c r="Y17" s="2"/>
      <c r="Z17" s="2"/>
    </row>
    <row r="18" spans="1:26" ht="15.75" customHeight="1" x14ac:dyDescent="0.3">
      <c r="A18" s="32" t="s">
        <v>383</v>
      </c>
      <c r="B18" s="32" t="s">
        <v>54</v>
      </c>
      <c r="C18" s="10" t="s">
        <v>523</v>
      </c>
      <c r="D18" s="10" t="s">
        <v>524</v>
      </c>
      <c r="E18" s="10" t="s">
        <v>525</v>
      </c>
      <c r="F18" s="86" t="s">
        <v>526</v>
      </c>
      <c r="G18" s="69">
        <v>-23.95</v>
      </c>
      <c r="H18" s="69">
        <v>54.28</v>
      </c>
      <c r="I18" s="69">
        <f t="shared" si="8"/>
        <v>41.7956</v>
      </c>
      <c r="J18" s="75">
        <v>0.26668999999999998</v>
      </c>
      <c r="K18" s="69">
        <f t="shared" ref="K18:K22" si="12">(G18+I18)*J18*0.87</f>
        <v>4.1405414656799993</v>
      </c>
      <c r="L18" s="78">
        <f t="shared" ref="L18:L22" si="13">H18*0.05*J18*0.87</f>
        <v>0.62970309420000004</v>
      </c>
      <c r="M18" s="61">
        <v>0</v>
      </c>
      <c r="N18" s="61">
        <f t="shared" ref="N18:N22" si="14">H18*0.06*J18*0.87</f>
        <v>0.75564371304</v>
      </c>
      <c r="O18" s="61"/>
      <c r="P18" s="2"/>
      <c r="Q18" s="2"/>
      <c r="R18" s="32"/>
      <c r="S18" s="32"/>
      <c r="T18" s="32"/>
      <c r="U18" s="32"/>
      <c r="V18" s="2"/>
      <c r="W18" s="2"/>
      <c r="X18" s="2"/>
      <c r="Y18" s="2"/>
      <c r="Z18" s="2"/>
    </row>
    <row r="19" spans="1:26" ht="15.75" customHeight="1" x14ac:dyDescent="0.3">
      <c r="A19" s="32" t="s">
        <v>383</v>
      </c>
      <c r="B19" s="32" t="s">
        <v>54</v>
      </c>
      <c r="C19" s="10" t="s">
        <v>523</v>
      </c>
      <c r="D19" s="10" t="s">
        <v>524</v>
      </c>
      <c r="E19" s="10" t="s">
        <v>532</v>
      </c>
      <c r="F19" s="86" t="s">
        <v>533</v>
      </c>
      <c r="G19" s="69">
        <v>8.2100000000000009</v>
      </c>
      <c r="H19" s="69">
        <v>1312.92</v>
      </c>
      <c r="I19" s="69">
        <f t="shared" si="8"/>
        <v>1010.9484000000001</v>
      </c>
      <c r="J19" s="75">
        <v>0.26668999999999998</v>
      </c>
      <c r="K19" s="69">
        <f t="shared" si="12"/>
        <v>236.46543771552001</v>
      </c>
      <c r="L19" s="78">
        <f t="shared" si="13"/>
        <v>15.231204613799999</v>
      </c>
      <c r="M19" s="61">
        <v>0</v>
      </c>
      <c r="N19" s="61">
        <f t="shared" si="14"/>
        <v>18.277445536559998</v>
      </c>
      <c r="O19" s="61"/>
      <c r="P19" s="2"/>
      <c r="Q19" s="2"/>
      <c r="R19" s="32"/>
      <c r="S19" s="32"/>
      <c r="T19" s="32"/>
      <c r="U19" s="32"/>
      <c r="V19" s="2"/>
      <c r="W19" s="2"/>
      <c r="X19" s="2"/>
      <c r="Y19" s="2"/>
      <c r="Z19" s="2"/>
    </row>
    <row r="20" spans="1:26" ht="15.75" customHeight="1" x14ac:dyDescent="0.3">
      <c r="A20" s="32" t="s">
        <v>384</v>
      </c>
      <c r="B20" s="32" t="s">
        <v>54</v>
      </c>
      <c r="C20" s="10" t="s">
        <v>523</v>
      </c>
      <c r="D20" s="10" t="s">
        <v>524</v>
      </c>
      <c r="E20" s="10" t="s">
        <v>527</v>
      </c>
      <c r="F20" s="46" t="s">
        <v>528</v>
      </c>
      <c r="G20" s="69">
        <v>-2000.87</v>
      </c>
      <c r="H20" s="69">
        <v>293.73</v>
      </c>
      <c r="I20" s="69">
        <f t="shared" si="8"/>
        <v>226.17210000000003</v>
      </c>
      <c r="J20" s="75">
        <v>0.26494000000000001</v>
      </c>
      <c r="K20" s="69">
        <f t="shared" si="12"/>
        <v>-409.06396161461998</v>
      </c>
      <c r="L20" s="78">
        <f t="shared" si="13"/>
        <v>3.3852059397000005</v>
      </c>
      <c r="M20" s="61">
        <v>0</v>
      </c>
      <c r="N20" s="61">
        <f t="shared" si="14"/>
        <v>4.0622471276400001</v>
      </c>
      <c r="O20" s="61"/>
      <c r="P20" s="2"/>
      <c r="Q20" s="2"/>
      <c r="R20" s="32"/>
      <c r="S20" s="32"/>
      <c r="T20" s="32"/>
      <c r="U20" s="32"/>
      <c r="V20" s="2"/>
      <c r="W20" s="2"/>
      <c r="X20" s="2"/>
      <c r="Y20" s="2"/>
      <c r="Z20" s="2"/>
    </row>
    <row r="21" spans="1:26" ht="15.75" customHeight="1" x14ac:dyDescent="0.3">
      <c r="A21" s="32" t="s">
        <v>384</v>
      </c>
      <c r="B21" s="32" t="s">
        <v>54</v>
      </c>
      <c r="C21" s="10" t="s">
        <v>523</v>
      </c>
      <c r="D21" s="10" t="s">
        <v>524</v>
      </c>
      <c r="E21" s="10" t="s">
        <v>525</v>
      </c>
      <c r="F21" s="86" t="s">
        <v>526</v>
      </c>
      <c r="G21" s="69">
        <v>-453.27</v>
      </c>
      <c r="H21" s="69">
        <v>113.15</v>
      </c>
      <c r="I21" s="69">
        <f t="shared" si="8"/>
        <v>87.125500000000002</v>
      </c>
      <c r="J21" s="75">
        <v>0.26494000000000001</v>
      </c>
      <c r="K21" s="69">
        <f t="shared" si="12"/>
        <v>-84.395501732100001</v>
      </c>
      <c r="L21" s="78">
        <f t="shared" si="13"/>
        <v>1.3040413035000002</v>
      </c>
      <c r="M21" s="61">
        <v>0</v>
      </c>
      <c r="N21" s="61">
        <f t="shared" si="14"/>
        <v>1.5648495642</v>
      </c>
      <c r="O21" s="61"/>
      <c r="P21" s="2"/>
      <c r="Q21" s="2"/>
      <c r="R21" s="32"/>
      <c r="S21" s="32"/>
      <c r="T21" s="32"/>
      <c r="U21" s="32"/>
      <c r="V21" s="2"/>
      <c r="W21" s="2"/>
      <c r="X21" s="2"/>
      <c r="Y21" s="2"/>
      <c r="Z21" s="2"/>
    </row>
    <row r="22" spans="1:26" ht="15.75" customHeight="1" x14ac:dyDescent="0.3">
      <c r="A22" s="32" t="s">
        <v>384</v>
      </c>
      <c r="B22" s="32" t="s">
        <v>54</v>
      </c>
      <c r="C22" s="10" t="s">
        <v>523</v>
      </c>
      <c r="D22" s="10" t="s">
        <v>524</v>
      </c>
      <c r="E22" s="10" t="s">
        <v>532</v>
      </c>
      <c r="F22" s="86" t="s">
        <v>533</v>
      </c>
      <c r="G22" s="69">
        <v>-495.51</v>
      </c>
      <c r="H22" s="69">
        <v>2568.54</v>
      </c>
      <c r="I22" s="69">
        <f t="shared" si="8"/>
        <v>1977.7758000000001</v>
      </c>
      <c r="J22" s="75">
        <v>0.26494000000000001</v>
      </c>
      <c r="K22" s="69">
        <f t="shared" si="12"/>
        <v>341.65900591524007</v>
      </c>
      <c r="L22" s="78">
        <f t="shared" si="13"/>
        <v>29.602140960599996</v>
      </c>
      <c r="M22" s="61">
        <v>0</v>
      </c>
      <c r="N22" s="61">
        <f t="shared" si="14"/>
        <v>35.522569152719996</v>
      </c>
      <c r="O22" s="61"/>
      <c r="P22" s="2"/>
      <c r="Q22" s="2"/>
      <c r="R22" s="32"/>
      <c r="S22" s="32"/>
      <c r="T22" s="32"/>
      <c r="U22" s="32"/>
      <c r="V22" s="2"/>
      <c r="W22" s="2"/>
      <c r="X22" s="2"/>
      <c r="Y22" s="2"/>
      <c r="Z22" s="2"/>
    </row>
    <row r="23" spans="1:26" ht="15.75" customHeight="1" x14ac:dyDescent="0.3">
      <c r="A23" s="32"/>
      <c r="B23" s="2"/>
      <c r="C23" s="10"/>
      <c r="D23" s="10"/>
      <c r="E23" s="10"/>
      <c r="F23" s="86"/>
      <c r="G23" s="69"/>
      <c r="H23" s="69"/>
      <c r="I23" s="69"/>
      <c r="J23" s="70"/>
      <c r="K23" s="69"/>
      <c r="L23" s="69"/>
      <c r="M23" s="69"/>
      <c r="N23" s="69"/>
      <c r="O23" s="69"/>
      <c r="P23" s="2"/>
      <c r="Q23" s="2"/>
      <c r="R23" s="32"/>
      <c r="S23" s="32"/>
      <c r="T23" s="32"/>
      <c r="U23" s="32"/>
      <c r="V23" s="2"/>
      <c r="W23" s="2"/>
      <c r="X23" s="2"/>
      <c r="Y23" s="2"/>
      <c r="Z23" s="2"/>
    </row>
    <row r="24" spans="1:26" ht="15.75" customHeight="1" x14ac:dyDescent="0.3">
      <c r="A24" s="32"/>
      <c r="B24" s="2"/>
      <c r="C24" s="10"/>
      <c r="D24" s="10"/>
      <c r="E24" s="10"/>
      <c r="F24" s="86"/>
      <c r="G24" s="69"/>
      <c r="H24" s="69"/>
      <c r="I24" s="69"/>
      <c r="J24" s="70"/>
      <c r="K24" s="69"/>
      <c r="L24" s="69"/>
      <c r="M24" s="69"/>
      <c r="N24" s="69"/>
      <c r="O24" s="69"/>
      <c r="P24" s="2"/>
      <c r="Q24" s="2"/>
      <c r="R24" s="32"/>
      <c r="S24" s="32"/>
      <c r="T24" s="32"/>
      <c r="U24" s="32"/>
      <c r="V24" s="2"/>
      <c r="W24" s="2"/>
      <c r="X24" s="2"/>
      <c r="Y24" s="2"/>
      <c r="Z24" s="2"/>
    </row>
    <row r="25" spans="1:26" ht="15.75" customHeight="1" x14ac:dyDescent="0.3">
      <c r="A25" s="32"/>
      <c r="B25" s="2"/>
      <c r="C25" s="10"/>
      <c r="D25" s="10"/>
      <c r="E25" s="10"/>
      <c r="F25" s="86"/>
      <c r="G25" s="69"/>
      <c r="H25" s="69"/>
      <c r="I25" s="69"/>
      <c r="J25" s="70"/>
      <c r="K25" s="69"/>
      <c r="L25" s="69"/>
      <c r="M25" s="69"/>
      <c r="N25" s="69"/>
      <c r="O25" s="69"/>
      <c r="P25" s="2"/>
      <c r="Q25" s="2"/>
      <c r="R25" s="32"/>
      <c r="S25" s="32"/>
      <c r="T25" s="32"/>
      <c r="U25" s="32"/>
      <c r="V25" s="2"/>
      <c r="W25" s="2"/>
      <c r="X25" s="2"/>
      <c r="Y25" s="2"/>
      <c r="Z25" s="2"/>
    </row>
    <row r="26" spans="1:26" ht="15.75" customHeight="1" x14ac:dyDescent="0.3">
      <c r="A26" s="32"/>
      <c r="B26" s="2"/>
      <c r="C26" s="10"/>
      <c r="D26" s="10"/>
      <c r="E26" s="10"/>
      <c r="F26" s="86"/>
      <c r="G26" s="69"/>
      <c r="H26" s="69"/>
      <c r="I26" s="69"/>
      <c r="J26" s="70"/>
      <c r="K26" s="69"/>
      <c r="L26" s="69"/>
      <c r="M26" s="69"/>
      <c r="N26" s="69"/>
      <c r="O26" s="69"/>
      <c r="P26" s="2"/>
      <c r="Q26" s="2"/>
      <c r="R26" s="32"/>
      <c r="S26" s="32"/>
      <c r="T26" s="32"/>
      <c r="U26" s="32"/>
      <c r="V26" s="2"/>
      <c r="W26" s="2"/>
      <c r="X26" s="2"/>
      <c r="Y26" s="2"/>
      <c r="Z26" s="2"/>
    </row>
    <row r="27" spans="1:26" ht="15.75" customHeight="1" x14ac:dyDescent="0.3">
      <c r="A27" s="32"/>
      <c r="B27" s="2"/>
      <c r="C27" s="10"/>
      <c r="D27" s="10"/>
      <c r="E27" s="10"/>
      <c r="F27" s="86"/>
      <c r="G27" s="69"/>
      <c r="H27" s="69"/>
      <c r="I27" s="69"/>
      <c r="J27" s="70"/>
      <c r="K27" s="69"/>
      <c r="L27" s="69"/>
      <c r="M27" s="69"/>
      <c r="N27" s="69"/>
      <c r="O27" s="69"/>
      <c r="P27" s="2"/>
      <c r="Q27" s="2"/>
      <c r="R27" s="32"/>
      <c r="S27" s="32"/>
      <c r="T27" s="32"/>
      <c r="U27" s="32"/>
      <c r="V27" s="2"/>
      <c r="W27" s="2"/>
      <c r="X27" s="2"/>
      <c r="Y27" s="2"/>
      <c r="Z27" s="2"/>
    </row>
    <row r="28" spans="1:26" ht="15.75" customHeight="1" x14ac:dyDescent="0.3">
      <c r="A28" s="32"/>
      <c r="B28" s="2"/>
      <c r="C28" s="10"/>
      <c r="D28" s="10"/>
      <c r="E28" s="10"/>
      <c r="F28" s="86"/>
      <c r="G28" s="69"/>
      <c r="H28" s="69"/>
      <c r="I28" s="69"/>
      <c r="J28" s="70"/>
      <c r="K28" s="69"/>
      <c r="L28" s="69"/>
      <c r="M28" s="69"/>
      <c r="N28" s="69"/>
      <c r="O28" s="69"/>
      <c r="P28" s="2"/>
      <c r="Q28" s="2"/>
      <c r="R28" s="32"/>
      <c r="S28" s="32"/>
      <c r="T28" s="32"/>
      <c r="U28" s="32"/>
      <c r="V28" s="2"/>
      <c r="W28" s="2"/>
      <c r="X28" s="2"/>
      <c r="Y28" s="2"/>
      <c r="Z28" s="2"/>
    </row>
    <row r="29" spans="1:26" ht="15.75" customHeight="1" x14ac:dyDescent="0.3">
      <c r="A29" s="32"/>
      <c r="B29" s="2"/>
      <c r="C29" s="10"/>
      <c r="D29" s="10"/>
      <c r="E29" s="10"/>
      <c r="F29" s="46"/>
      <c r="G29" s="69"/>
      <c r="H29" s="69"/>
      <c r="I29" s="69"/>
      <c r="J29" s="70"/>
      <c r="K29" s="69"/>
      <c r="L29" s="69"/>
      <c r="M29" s="69"/>
      <c r="N29" s="69"/>
      <c r="O29" s="69"/>
      <c r="P29" s="2"/>
      <c r="Q29" s="2"/>
      <c r="R29" s="32"/>
      <c r="S29" s="32"/>
      <c r="T29" s="32"/>
      <c r="U29" s="32"/>
      <c r="V29" s="2"/>
      <c r="W29" s="2"/>
      <c r="X29" s="2"/>
      <c r="Y29" s="2"/>
      <c r="Z29" s="2"/>
    </row>
    <row r="30" spans="1:26" ht="13.8" x14ac:dyDescent="0.3">
      <c r="A30" s="32"/>
      <c r="B30" s="2"/>
      <c r="C30" s="10"/>
      <c r="D30" s="10"/>
      <c r="E30" s="10"/>
      <c r="F30" s="86"/>
      <c r="G30" s="69"/>
      <c r="H30" s="69"/>
      <c r="I30" s="69"/>
      <c r="J30" s="70"/>
      <c r="K30" s="69"/>
      <c r="L30" s="69"/>
      <c r="M30" s="69"/>
      <c r="N30" s="69"/>
      <c r="O30" s="69"/>
      <c r="P30" s="2"/>
      <c r="Q30" s="2"/>
      <c r="R30" s="32"/>
      <c r="S30" s="32"/>
      <c r="T30" s="32"/>
      <c r="U30" s="32"/>
      <c r="V30" s="2"/>
      <c r="W30" s="2"/>
      <c r="X30" s="2"/>
      <c r="Y30" s="2"/>
      <c r="Z30" s="2"/>
    </row>
    <row r="31" spans="1:26" ht="13.8" x14ac:dyDescent="0.3">
      <c r="A31" s="32"/>
      <c r="B31" s="2"/>
      <c r="C31" s="10"/>
      <c r="D31" s="10"/>
      <c r="E31" s="10"/>
      <c r="F31" s="86"/>
      <c r="G31" s="69"/>
      <c r="H31" s="69"/>
      <c r="I31" s="69"/>
      <c r="J31" s="70"/>
      <c r="K31" s="69"/>
      <c r="L31" s="69"/>
      <c r="M31" s="69"/>
      <c r="N31" s="69"/>
      <c r="O31" s="69"/>
      <c r="P31" s="2"/>
      <c r="Q31" s="2"/>
      <c r="R31" s="32"/>
      <c r="S31" s="32"/>
      <c r="T31" s="32"/>
      <c r="U31" s="32"/>
      <c r="V31" s="2"/>
      <c r="W31" s="2"/>
      <c r="X31" s="2"/>
      <c r="Y31" s="2"/>
      <c r="Z31" s="2"/>
    </row>
    <row r="32" spans="1:26" ht="13.8" x14ac:dyDescent="0.3">
      <c r="A32" s="32"/>
      <c r="B32" s="2"/>
      <c r="C32" s="10"/>
      <c r="D32" s="10"/>
      <c r="E32" s="10"/>
      <c r="F32" s="86"/>
      <c r="G32" s="69"/>
      <c r="H32" s="69"/>
      <c r="I32" s="69"/>
      <c r="J32" s="70"/>
      <c r="K32" s="69"/>
      <c r="L32" s="69"/>
      <c r="M32" s="69"/>
      <c r="N32" s="69"/>
      <c r="O32" s="69"/>
      <c r="P32" s="2"/>
      <c r="Q32" s="2"/>
      <c r="R32" s="32"/>
      <c r="S32" s="32"/>
      <c r="T32" s="32"/>
      <c r="U32" s="32"/>
      <c r="V32" s="2"/>
      <c r="W32" s="2"/>
      <c r="X32" s="2"/>
      <c r="Y32" s="2"/>
      <c r="Z32" s="2"/>
    </row>
    <row r="33" spans="1:26" ht="13.8" x14ac:dyDescent="0.3">
      <c r="A33" s="32"/>
      <c r="B33" s="2"/>
      <c r="C33" s="10"/>
      <c r="D33" s="10"/>
      <c r="E33" s="10"/>
      <c r="F33" s="86"/>
      <c r="G33" s="69"/>
      <c r="H33" s="69"/>
      <c r="I33" s="69"/>
      <c r="J33" s="70"/>
      <c r="K33" s="69"/>
      <c r="L33" s="69"/>
      <c r="M33" s="69"/>
      <c r="N33" s="69"/>
      <c r="O33" s="69"/>
      <c r="P33" s="2"/>
      <c r="Q33" s="2"/>
      <c r="R33" s="32"/>
      <c r="S33" s="32"/>
      <c r="T33" s="32"/>
      <c r="U33" s="32"/>
      <c r="V33" s="2"/>
      <c r="W33" s="2"/>
      <c r="X33" s="2"/>
      <c r="Y33" s="2"/>
      <c r="Z33" s="2"/>
    </row>
    <row r="34" spans="1:26" ht="13.8" x14ac:dyDescent="0.3">
      <c r="A34" s="32"/>
      <c r="B34" s="2"/>
      <c r="C34" s="10"/>
      <c r="D34" s="10"/>
      <c r="E34" s="10"/>
      <c r="F34" s="86"/>
      <c r="G34" s="69"/>
      <c r="H34" s="69"/>
      <c r="I34" s="69"/>
      <c r="J34" s="70"/>
      <c r="K34" s="69"/>
      <c r="L34" s="69"/>
      <c r="M34" s="69"/>
      <c r="N34" s="69"/>
      <c r="O34" s="69"/>
      <c r="P34" s="2"/>
      <c r="Q34" s="2"/>
      <c r="R34" s="32"/>
      <c r="S34" s="32"/>
      <c r="T34" s="32"/>
      <c r="U34" s="32"/>
      <c r="V34" s="2"/>
      <c r="W34" s="2"/>
      <c r="X34" s="2"/>
      <c r="Y34" s="2"/>
      <c r="Z34" s="2"/>
    </row>
    <row r="35" spans="1:26" ht="13.8" x14ac:dyDescent="0.3">
      <c r="A35" s="32"/>
      <c r="B35" s="2"/>
      <c r="C35" s="10"/>
      <c r="D35" s="10"/>
      <c r="E35" s="10"/>
      <c r="F35" s="86"/>
      <c r="G35" s="69"/>
      <c r="H35" s="69"/>
      <c r="I35" s="69"/>
      <c r="J35" s="70"/>
      <c r="K35" s="69"/>
      <c r="L35" s="69"/>
      <c r="M35" s="69"/>
      <c r="N35" s="69"/>
      <c r="O35" s="69"/>
      <c r="P35" s="2"/>
      <c r="Q35" s="2"/>
      <c r="R35" s="32"/>
      <c r="S35" s="32"/>
      <c r="T35" s="32"/>
      <c r="U35" s="32"/>
      <c r="V35" s="2"/>
      <c r="W35" s="2"/>
      <c r="X35" s="2"/>
      <c r="Y35" s="2"/>
      <c r="Z35" s="2"/>
    </row>
    <row r="36" spans="1:26" ht="13.8" x14ac:dyDescent="0.3">
      <c r="A36" s="32"/>
      <c r="B36" s="2"/>
      <c r="C36" s="10"/>
      <c r="D36" s="10"/>
      <c r="E36" s="10"/>
      <c r="F36" s="86"/>
      <c r="G36" s="69"/>
      <c r="H36" s="69"/>
      <c r="I36" s="69"/>
      <c r="J36" s="70"/>
      <c r="K36" s="69"/>
      <c r="L36" s="69"/>
      <c r="M36" s="69"/>
      <c r="N36" s="69"/>
      <c r="O36" s="69"/>
      <c r="P36" s="2"/>
      <c r="Q36" s="2"/>
      <c r="R36" s="32"/>
      <c r="S36" s="32"/>
      <c r="T36" s="32"/>
      <c r="U36" s="32"/>
      <c r="V36" s="2"/>
      <c r="W36" s="2"/>
      <c r="X36" s="2"/>
      <c r="Y36" s="2"/>
      <c r="Z36" s="2"/>
    </row>
    <row r="37" spans="1:26" ht="13.8" x14ac:dyDescent="0.3">
      <c r="A37" s="32"/>
      <c r="B37" s="2"/>
      <c r="C37" s="10"/>
      <c r="D37" s="10"/>
      <c r="E37" s="10"/>
      <c r="F37" s="86"/>
      <c r="G37" s="69"/>
      <c r="H37" s="69"/>
      <c r="I37" s="69"/>
      <c r="J37" s="70"/>
      <c r="K37" s="69"/>
      <c r="L37" s="69"/>
      <c r="M37" s="69"/>
      <c r="N37" s="69"/>
      <c r="O37" s="69"/>
      <c r="P37" s="2"/>
      <c r="Q37" s="2"/>
      <c r="R37" s="32"/>
      <c r="S37" s="32"/>
      <c r="T37" s="32"/>
      <c r="U37" s="32"/>
      <c r="V37" s="2"/>
      <c r="W37" s="2"/>
      <c r="X37" s="2"/>
      <c r="Y37" s="2"/>
      <c r="Z37" s="2"/>
    </row>
    <row r="38" spans="1:26" ht="13.8" x14ac:dyDescent="0.3">
      <c r="A38" s="32"/>
      <c r="B38" s="2"/>
      <c r="C38" s="10"/>
      <c r="D38" s="10"/>
      <c r="E38" s="10"/>
      <c r="F38" s="46"/>
      <c r="G38" s="69"/>
      <c r="H38" s="69"/>
      <c r="I38" s="69"/>
      <c r="J38" s="70"/>
      <c r="K38" s="69"/>
      <c r="L38" s="69"/>
      <c r="M38" s="69"/>
      <c r="N38" s="69"/>
      <c r="O38" s="69"/>
      <c r="P38" s="2"/>
      <c r="Q38" s="2"/>
      <c r="R38" s="32"/>
      <c r="S38" s="32"/>
      <c r="T38" s="32"/>
      <c r="U38" s="32"/>
      <c r="V38" s="2"/>
      <c r="W38" s="2"/>
      <c r="X38" s="2"/>
      <c r="Y38" s="2"/>
      <c r="Z38" s="2"/>
    </row>
    <row r="39" spans="1:26" ht="13.8" x14ac:dyDescent="0.3">
      <c r="A39" s="2"/>
      <c r="B39" s="2"/>
      <c r="C39" s="10"/>
      <c r="D39" s="10"/>
      <c r="E39" s="10"/>
      <c r="F39" s="86"/>
      <c r="G39" s="69"/>
      <c r="H39" s="69"/>
      <c r="I39" s="69"/>
      <c r="J39" s="70"/>
      <c r="K39" s="69"/>
      <c r="L39" s="69"/>
      <c r="M39" s="69"/>
      <c r="N39" s="69"/>
      <c r="O39" s="69"/>
      <c r="P39" s="2"/>
      <c r="Q39" s="2"/>
      <c r="R39" s="32"/>
      <c r="S39" s="32"/>
      <c r="T39" s="32"/>
      <c r="U39" s="32"/>
      <c r="V39" s="2"/>
      <c r="W39" s="2"/>
      <c r="X39" s="2"/>
      <c r="Y39" s="2"/>
      <c r="Z39" s="2"/>
    </row>
    <row r="40" spans="1:26" ht="13.8" x14ac:dyDescent="0.3">
      <c r="A40" s="32"/>
      <c r="B40" s="2"/>
      <c r="C40" s="10"/>
      <c r="D40" s="10"/>
      <c r="E40" s="10"/>
      <c r="F40" s="86"/>
      <c r="G40" s="69"/>
      <c r="H40" s="69"/>
      <c r="I40" s="69"/>
      <c r="J40" s="70"/>
      <c r="K40" s="69"/>
      <c r="L40" s="69"/>
      <c r="M40" s="69"/>
      <c r="N40" s="69"/>
      <c r="O40" s="69"/>
      <c r="P40" s="2"/>
      <c r="Q40" s="2"/>
      <c r="R40" s="32"/>
      <c r="S40" s="32"/>
      <c r="T40" s="32"/>
      <c r="U40" s="32"/>
      <c r="V40" s="2"/>
      <c r="W40" s="2"/>
      <c r="X40" s="2"/>
      <c r="Y40" s="2"/>
      <c r="Z40" s="2"/>
    </row>
    <row r="41" spans="1:26" ht="13.8" x14ac:dyDescent="0.3">
      <c r="A41" s="32"/>
      <c r="B41" s="2"/>
      <c r="C41" s="10"/>
      <c r="D41" s="10"/>
      <c r="E41" s="10"/>
      <c r="F41" s="86"/>
      <c r="G41" s="69"/>
      <c r="H41" s="69"/>
      <c r="I41" s="69"/>
      <c r="J41" s="70"/>
      <c r="K41" s="69"/>
      <c r="L41" s="69"/>
      <c r="M41" s="69"/>
      <c r="N41" s="69"/>
      <c r="O41" s="69"/>
      <c r="P41" s="2"/>
      <c r="Q41" s="2"/>
      <c r="R41" s="32"/>
      <c r="S41" s="32"/>
      <c r="T41" s="32"/>
      <c r="U41" s="32"/>
      <c r="V41" s="2"/>
      <c r="W41" s="2"/>
      <c r="X41" s="2"/>
      <c r="Y41" s="2"/>
      <c r="Z41" s="2"/>
    </row>
    <row r="42" spans="1:26" ht="13.8" x14ac:dyDescent="0.3">
      <c r="A42" s="32"/>
      <c r="B42" s="2"/>
      <c r="C42" s="10"/>
      <c r="D42" s="10"/>
      <c r="E42" s="10"/>
      <c r="F42" s="86"/>
      <c r="G42" s="69"/>
      <c r="H42" s="69"/>
      <c r="I42" s="69"/>
      <c r="J42" s="70"/>
      <c r="K42" s="69"/>
      <c r="L42" s="69"/>
      <c r="M42" s="69"/>
      <c r="N42" s="69"/>
      <c r="O42" s="69"/>
      <c r="P42" s="2"/>
      <c r="Q42" s="2"/>
      <c r="R42" s="32"/>
      <c r="S42" s="32"/>
      <c r="T42" s="32"/>
      <c r="U42" s="32"/>
      <c r="V42" s="2"/>
      <c r="W42" s="2"/>
      <c r="X42" s="2"/>
      <c r="Y42" s="2"/>
      <c r="Z42" s="2"/>
    </row>
    <row r="43" spans="1:26" ht="13.8" x14ac:dyDescent="0.3">
      <c r="A43" s="32"/>
      <c r="B43" s="2"/>
      <c r="C43" s="10"/>
      <c r="D43" s="10"/>
      <c r="E43" s="10"/>
      <c r="F43" s="86"/>
      <c r="G43" s="69"/>
      <c r="H43" s="69"/>
      <c r="I43" s="69"/>
      <c r="J43" s="70"/>
      <c r="K43" s="69"/>
      <c r="L43" s="69"/>
      <c r="M43" s="69"/>
      <c r="N43" s="69"/>
      <c r="O43" s="69"/>
      <c r="P43" s="2"/>
      <c r="Q43" s="2"/>
      <c r="R43" s="32"/>
      <c r="S43" s="32"/>
      <c r="T43" s="32"/>
      <c r="U43" s="32"/>
      <c r="V43" s="2"/>
      <c r="W43" s="2"/>
      <c r="X43" s="2"/>
      <c r="Y43" s="2"/>
      <c r="Z43" s="2"/>
    </row>
    <row r="44" spans="1:26" ht="13.8" x14ac:dyDescent="0.3">
      <c r="A44" s="32"/>
      <c r="B44" s="2"/>
      <c r="C44" s="10"/>
      <c r="D44" s="10"/>
      <c r="E44" s="10"/>
      <c r="F44" s="86"/>
      <c r="G44" s="69"/>
      <c r="H44" s="69"/>
      <c r="I44" s="69"/>
      <c r="J44" s="70"/>
      <c r="K44" s="69"/>
      <c r="L44" s="69"/>
      <c r="M44" s="69"/>
      <c r="N44" s="69"/>
      <c r="O44" s="69"/>
      <c r="P44" s="2"/>
      <c r="Q44" s="2"/>
      <c r="R44" s="32"/>
      <c r="S44" s="32"/>
      <c r="T44" s="32"/>
      <c r="U44" s="32"/>
      <c r="V44" s="2"/>
      <c r="W44" s="2"/>
      <c r="X44" s="2"/>
      <c r="Y44" s="2"/>
      <c r="Z44" s="2"/>
    </row>
    <row r="45" spans="1:26" ht="13.8" x14ac:dyDescent="0.3">
      <c r="A45" s="32"/>
      <c r="B45" s="2"/>
      <c r="C45" s="10"/>
      <c r="D45" s="10"/>
      <c r="E45" s="10"/>
      <c r="F45" s="86"/>
      <c r="G45" s="69"/>
      <c r="H45" s="69"/>
      <c r="I45" s="69"/>
      <c r="J45" s="70"/>
      <c r="K45" s="69"/>
      <c r="L45" s="69"/>
      <c r="M45" s="69"/>
      <c r="N45" s="69"/>
      <c r="O45" s="69"/>
      <c r="P45" s="2"/>
      <c r="Q45" s="2"/>
      <c r="R45" s="32"/>
      <c r="S45" s="32"/>
      <c r="T45" s="32"/>
      <c r="U45" s="32"/>
      <c r="V45" s="2"/>
      <c r="W45" s="2"/>
      <c r="X45" s="2"/>
      <c r="Y45" s="2"/>
      <c r="Z45" s="2"/>
    </row>
    <row r="46" spans="1:26" ht="13.8" x14ac:dyDescent="0.3">
      <c r="A46" s="32"/>
      <c r="B46" s="2"/>
      <c r="C46" s="10"/>
      <c r="D46" s="10"/>
      <c r="E46" s="10"/>
      <c r="F46" s="46"/>
      <c r="G46" s="69"/>
      <c r="H46" s="69"/>
      <c r="I46" s="69"/>
      <c r="J46" s="70"/>
      <c r="K46" s="69"/>
      <c r="L46" s="69"/>
      <c r="M46" s="69"/>
      <c r="N46" s="69"/>
      <c r="O46" s="69"/>
      <c r="P46" s="2"/>
      <c r="Q46" s="2"/>
      <c r="R46" s="32"/>
      <c r="S46" s="32"/>
      <c r="T46" s="32"/>
      <c r="U46" s="32"/>
      <c r="V46" s="2"/>
      <c r="W46" s="2"/>
      <c r="X46" s="2"/>
      <c r="Y46" s="2"/>
      <c r="Z46" s="2"/>
    </row>
    <row r="47" spans="1:26" ht="13.8" x14ac:dyDescent="0.3">
      <c r="A47" s="32"/>
      <c r="B47" s="2"/>
      <c r="C47" s="10"/>
      <c r="D47" s="10"/>
      <c r="E47" s="10"/>
      <c r="F47" s="86"/>
      <c r="G47" s="69"/>
      <c r="H47" s="69"/>
      <c r="I47" s="69"/>
      <c r="J47" s="70"/>
      <c r="K47" s="69"/>
      <c r="L47" s="69"/>
      <c r="M47" s="69"/>
      <c r="N47" s="69"/>
      <c r="O47" s="69"/>
      <c r="P47" s="2"/>
      <c r="Q47" s="2"/>
      <c r="R47" s="32"/>
      <c r="S47" s="32"/>
      <c r="T47" s="32"/>
      <c r="U47" s="32"/>
      <c r="V47" s="2"/>
      <c r="W47" s="2"/>
      <c r="X47" s="2"/>
      <c r="Y47" s="2"/>
      <c r="Z47" s="2"/>
    </row>
    <row r="48" spans="1:26" ht="13.8" x14ac:dyDescent="0.3">
      <c r="A48" s="32"/>
      <c r="B48" s="2"/>
      <c r="C48" s="10"/>
      <c r="D48" s="10"/>
      <c r="E48" s="10"/>
      <c r="F48" s="46"/>
      <c r="G48" s="69"/>
      <c r="H48" s="69"/>
      <c r="I48" s="69"/>
      <c r="J48" s="70"/>
      <c r="K48" s="69"/>
      <c r="L48" s="69"/>
      <c r="M48" s="69"/>
      <c r="N48" s="69"/>
      <c r="O48" s="69"/>
      <c r="P48" s="2"/>
      <c r="Q48" s="2"/>
      <c r="R48" s="32"/>
      <c r="S48" s="32"/>
      <c r="T48" s="32"/>
      <c r="U48" s="32"/>
      <c r="V48" s="2"/>
      <c r="W48" s="2"/>
      <c r="X48" s="2"/>
      <c r="Y48" s="2"/>
      <c r="Z48" s="2"/>
    </row>
    <row r="49" spans="1:26" ht="13.8" x14ac:dyDescent="0.3">
      <c r="A49" s="32"/>
      <c r="B49" s="2"/>
      <c r="C49" s="10"/>
      <c r="D49" s="10"/>
      <c r="E49" s="10"/>
      <c r="F49" s="86"/>
      <c r="G49" s="69"/>
      <c r="H49" s="69"/>
      <c r="I49" s="69"/>
      <c r="J49" s="70"/>
      <c r="K49" s="69"/>
      <c r="L49" s="69"/>
      <c r="M49" s="69"/>
      <c r="N49" s="69"/>
      <c r="O49" s="69"/>
      <c r="P49" s="2"/>
      <c r="Q49" s="2"/>
      <c r="R49" s="32"/>
      <c r="S49" s="32"/>
      <c r="T49" s="32"/>
      <c r="U49" s="32"/>
      <c r="V49" s="2"/>
      <c r="W49" s="2"/>
      <c r="X49" s="2"/>
      <c r="Y49" s="2"/>
      <c r="Z49" s="2"/>
    </row>
    <row r="50" spans="1:26" ht="13.8" x14ac:dyDescent="0.3">
      <c r="A50" s="32"/>
      <c r="B50" s="2"/>
      <c r="C50" s="10"/>
      <c r="D50" s="10"/>
      <c r="E50" s="10"/>
      <c r="F50" s="86"/>
      <c r="G50" s="69"/>
      <c r="H50" s="69"/>
      <c r="I50" s="69"/>
      <c r="J50" s="70"/>
      <c r="K50" s="69"/>
      <c r="L50" s="69"/>
      <c r="M50" s="69"/>
      <c r="N50" s="69"/>
      <c r="O50" s="69"/>
      <c r="P50" s="2"/>
      <c r="Q50" s="2"/>
      <c r="R50" s="32"/>
      <c r="S50" s="32"/>
      <c r="T50" s="32"/>
      <c r="U50" s="32"/>
      <c r="V50" s="2"/>
      <c r="W50" s="2"/>
      <c r="X50" s="2"/>
      <c r="Y50" s="2"/>
      <c r="Z50" s="2"/>
    </row>
    <row r="51" spans="1:26" ht="13.8" x14ac:dyDescent="0.3">
      <c r="A51" s="32"/>
      <c r="B51" s="2"/>
      <c r="C51" s="10"/>
      <c r="D51" s="10"/>
      <c r="E51" s="10"/>
      <c r="F51" s="86"/>
      <c r="G51" s="69"/>
      <c r="H51" s="69"/>
      <c r="I51" s="69"/>
      <c r="J51" s="70"/>
      <c r="K51" s="69"/>
      <c r="L51" s="69"/>
      <c r="M51" s="69"/>
      <c r="N51" s="69"/>
      <c r="O51" s="69"/>
      <c r="P51" s="2"/>
      <c r="Q51" s="2"/>
      <c r="R51" s="32"/>
      <c r="S51" s="32"/>
      <c r="T51" s="32"/>
      <c r="U51" s="32"/>
      <c r="V51" s="2"/>
      <c r="W51" s="2"/>
      <c r="X51" s="2"/>
      <c r="Y51" s="2"/>
      <c r="Z51" s="2"/>
    </row>
    <row r="52" spans="1:26" ht="13.8" x14ac:dyDescent="0.3">
      <c r="A52" s="32"/>
      <c r="B52" s="2"/>
      <c r="C52" s="10"/>
      <c r="D52" s="10"/>
      <c r="E52" s="10"/>
      <c r="F52" s="46"/>
      <c r="G52" s="69"/>
      <c r="H52" s="69"/>
      <c r="I52" s="69"/>
      <c r="J52" s="70"/>
      <c r="K52" s="69"/>
      <c r="L52" s="69"/>
      <c r="M52" s="69"/>
      <c r="N52" s="69"/>
      <c r="O52" s="69"/>
      <c r="P52" s="2"/>
      <c r="Q52" s="2"/>
      <c r="R52" s="32"/>
      <c r="S52" s="32"/>
      <c r="T52" s="32"/>
      <c r="U52" s="32"/>
      <c r="V52" s="2"/>
      <c r="W52" s="2"/>
      <c r="X52" s="2"/>
      <c r="Y52" s="2"/>
      <c r="Z52" s="2"/>
    </row>
    <row r="53" spans="1:26" ht="13.8" x14ac:dyDescent="0.3">
      <c r="A53" s="32"/>
      <c r="B53" s="2"/>
      <c r="C53" s="10"/>
      <c r="D53" s="10"/>
      <c r="E53" s="10"/>
      <c r="F53" s="10"/>
      <c r="G53" s="69"/>
      <c r="H53" s="69"/>
      <c r="I53" s="69"/>
      <c r="J53" s="70"/>
      <c r="K53" s="69"/>
      <c r="L53" s="69"/>
      <c r="M53" s="69"/>
      <c r="N53" s="69"/>
      <c r="O53" s="69"/>
      <c r="P53" s="2"/>
      <c r="Q53" s="2"/>
      <c r="R53" s="32"/>
      <c r="S53" s="32"/>
      <c r="T53" s="32"/>
      <c r="U53" s="3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10"/>
      <c r="F54" s="10"/>
      <c r="G54" s="69"/>
      <c r="H54" s="69"/>
      <c r="I54" s="69"/>
      <c r="J54" s="70"/>
      <c r="K54" s="69"/>
      <c r="L54" s="69"/>
      <c r="M54" s="69"/>
      <c r="N54" s="69"/>
      <c r="O54" s="69"/>
      <c r="P54" s="2"/>
      <c r="Q54" s="2"/>
      <c r="R54" s="32"/>
      <c r="S54" s="32"/>
      <c r="T54" s="32"/>
      <c r="U54" s="3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10"/>
      <c r="F55" s="10"/>
      <c r="G55" s="69"/>
      <c r="H55" s="69"/>
      <c r="I55" s="69"/>
      <c r="J55" s="70"/>
      <c r="K55" s="69"/>
      <c r="L55" s="69"/>
      <c r="M55" s="69"/>
      <c r="N55" s="69"/>
      <c r="O55" s="69"/>
      <c r="P55" s="2"/>
      <c r="Q55" s="2"/>
      <c r="R55" s="32"/>
      <c r="S55" s="32"/>
      <c r="T55" s="32"/>
      <c r="U55" s="32"/>
      <c r="V55" s="2"/>
      <c r="W55" s="2"/>
      <c r="X55" s="2"/>
      <c r="Y55" s="2"/>
      <c r="Z55" s="2"/>
    </row>
    <row r="56" spans="1:26" ht="13.8" x14ac:dyDescent="0.3">
      <c r="A56" s="32"/>
      <c r="B56" s="2"/>
      <c r="C56" s="10"/>
      <c r="D56" s="10"/>
      <c r="E56" s="10"/>
      <c r="F56" s="10"/>
      <c r="G56" s="69"/>
      <c r="H56" s="69"/>
      <c r="I56" s="69"/>
      <c r="J56" s="70"/>
      <c r="K56" s="69"/>
      <c r="L56" s="69"/>
      <c r="M56" s="69"/>
      <c r="N56" s="69"/>
      <c r="O56" s="69"/>
      <c r="P56" s="2"/>
      <c r="Q56" s="2"/>
      <c r="R56" s="32"/>
      <c r="S56" s="32"/>
      <c r="T56" s="32"/>
      <c r="U56" s="3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10"/>
      <c r="F57" s="10"/>
      <c r="G57" s="69"/>
      <c r="H57" s="69"/>
      <c r="I57" s="69"/>
      <c r="J57" s="70"/>
      <c r="K57" s="69"/>
      <c r="L57" s="69"/>
      <c r="M57" s="69"/>
      <c r="N57" s="69"/>
      <c r="O57" s="69"/>
      <c r="P57" s="2"/>
      <c r="Q57" s="2"/>
      <c r="R57" s="32"/>
      <c r="S57" s="32"/>
      <c r="T57" s="32"/>
      <c r="U57" s="3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10"/>
      <c r="F58" s="10"/>
      <c r="G58" s="69"/>
      <c r="H58" s="69"/>
      <c r="I58" s="69"/>
      <c r="J58" s="70"/>
      <c r="K58" s="69"/>
      <c r="L58" s="69"/>
      <c r="M58" s="69"/>
      <c r="N58" s="69"/>
      <c r="O58" s="69"/>
      <c r="P58" s="2"/>
      <c r="Q58" s="2"/>
      <c r="R58" s="32"/>
      <c r="S58" s="32"/>
      <c r="T58" s="32"/>
      <c r="U58" s="3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10"/>
      <c r="F59" s="10"/>
      <c r="G59" s="69"/>
      <c r="H59" s="69"/>
      <c r="I59" s="69"/>
      <c r="J59" s="70"/>
      <c r="K59" s="69"/>
      <c r="L59" s="69"/>
      <c r="M59" s="69"/>
      <c r="N59" s="69"/>
      <c r="O59" s="69"/>
      <c r="P59" s="2"/>
      <c r="Q59" s="2"/>
      <c r="R59" s="32"/>
      <c r="S59" s="32"/>
      <c r="T59" s="32"/>
      <c r="U59" s="32"/>
      <c r="V59" s="2"/>
      <c r="W59" s="2"/>
      <c r="X59" s="2"/>
      <c r="Y59" s="2"/>
      <c r="Z59" s="2"/>
    </row>
    <row r="60" spans="1:26" ht="13.8" x14ac:dyDescent="0.3">
      <c r="A60" s="32"/>
      <c r="B60" s="2"/>
      <c r="C60" s="10"/>
      <c r="D60" s="10"/>
      <c r="E60" s="10"/>
      <c r="F60" s="10"/>
      <c r="G60" s="69"/>
      <c r="H60" s="69"/>
      <c r="I60" s="69"/>
      <c r="J60" s="70"/>
      <c r="K60" s="69"/>
      <c r="L60" s="69"/>
      <c r="M60" s="69"/>
      <c r="N60" s="69"/>
      <c r="O60" s="69"/>
      <c r="P60" s="2"/>
      <c r="Q60" s="2"/>
      <c r="R60" s="32"/>
      <c r="S60" s="32"/>
      <c r="T60" s="32"/>
      <c r="U60" s="32"/>
      <c r="V60" s="2"/>
      <c r="W60" s="2"/>
      <c r="X60" s="2"/>
      <c r="Y60" s="2"/>
      <c r="Z60" s="2"/>
    </row>
    <row r="61" spans="1:26" ht="13.8" x14ac:dyDescent="0.3">
      <c r="A61" s="32"/>
      <c r="B61" s="2"/>
      <c r="C61" s="10"/>
      <c r="D61" s="10"/>
      <c r="E61" s="10"/>
      <c r="F61" s="46"/>
      <c r="G61" s="69"/>
      <c r="H61" s="69"/>
      <c r="I61" s="69"/>
      <c r="J61" s="70"/>
      <c r="K61" s="69"/>
      <c r="L61" s="69"/>
      <c r="M61" s="69"/>
      <c r="N61" s="69"/>
      <c r="O61" s="69"/>
      <c r="P61" s="2"/>
      <c r="Q61" s="2"/>
      <c r="R61" s="32"/>
      <c r="S61" s="32"/>
      <c r="T61" s="32"/>
      <c r="U61" s="3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10"/>
      <c r="F62" s="86"/>
      <c r="G62" s="69"/>
      <c r="H62" s="69"/>
      <c r="I62" s="69"/>
      <c r="J62" s="70"/>
      <c r="K62" s="69"/>
      <c r="L62" s="69"/>
      <c r="M62" s="69"/>
      <c r="N62" s="69"/>
      <c r="O62" s="69"/>
      <c r="P62" s="2"/>
      <c r="Q62" s="2"/>
      <c r="R62" s="32"/>
      <c r="S62" s="32"/>
      <c r="T62" s="32"/>
      <c r="U62" s="3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10"/>
      <c r="F63" s="86"/>
      <c r="G63" s="69"/>
      <c r="H63" s="69"/>
      <c r="I63" s="69"/>
      <c r="J63" s="70"/>
      <c r="K63" s="69"/>
      <c r="L63" s="69"/>
      <c r="M63" s="69"/>
      <c r="N63" s="69"/>
      <c r="O63" s="69"/>
      <c r="P63" s="2"/>
      <c r="Q63" s="2"/>
      <c r="R63" s="32"/>
      <c r="S63" s="32"/>
      <c r="T63" s="32"/>
      <c r="U63" s="32"/>
      <c r="V63" s="2"/>
      <c r="W63" s="2"/>
      <c r="X63" s="2"/>
      <c r="Y63" s="2"/>
      <c r="Z63" s="2"/>
    </row>
    <row r="64" spans="1:26" ht="13.8" x14ac:dyDescent="0.3">
      <c r="A64" s="32"/>
      <c r="B64" s="2"/>
      <c r="C64" s="10"/>
      <c r="D64" s="10"/>
      <c r="E64" s="10"/>
      <c r="F64" s="86"/>
      <c r="G64" s="69"/>
      <c r="H64" s="69"/>
      <c r="I64" s="69"/>
      <c r="J64" s="70"/>
      <c r="K64" s="69"/>
      <c r="L64" s="69"/>
      <c r="M64" s="69"/>
      <c r="N64" s="69"/>
      <c r="O64" s="69"/>
      <c r="P64" s="2"/>
      <c r="Q64" s="2"/>
      <c r="R64" s="32"/>
      <c r="S64" s="32"/>
      <c r="T64" s="32"/>
      <c r="U64" s="32"/>
      <c r="V64" s="2"/>
      <c r="W64" s="2"/>
      <c r="X64" s="2"/>
      <c r="Y64" s="2"/>
      <c r="Z64" s="2"/>
    </row>
    <row r="65" spans="1:26" ht="13.8" x14ac:dyDescent="0.3">
      <c r="A65" s="32"/>
      <c r="B65" s="2"/>
      <c r="C65" s="10"/>
      <c r="D65" s="10"/>
      <c r="E65" s="10"/>
      <c r="F65" s="86"/>
      <c r="G65" s="69"/>
      <c r="H65" s="69"/>
      <c r="I65" s="69"/>
      <c r="J65" s="70"/>
      <c r="K65" s="69"/>
      <c r="L65" s="69"/>
      <c r="M65" s="69"/>
      <c r="N65" s="69"/>
      <c r="O65" s="69"/>
      <c r="P65" s="2"/>
      <c r="Q65" s="2"/>
      <c r="R65" s="32"/>
      <c r="S65" s="32"/>
      <c r="T65" s="32"/>
      <c r="U65" s="32"/>
      <c r="V65" s="2"/>
      <c r="W65" s="2"/>
      <c r="X65" s="2"/>
      <c r="Y65" s="2"/>
      <c r="Z65" s="2"/>
    </row>
    <row r="66" spans="1:26" ht="13.8" x14ac:dyDescent="0.3">
      <c r="A66" s="32"/>
      <c r="B66" s="2"/>
      <c r="C66" s="10"/>
      <c r="D66" s="10"/>
      <c r="E66" s="10"/>
      <c r="F66" s="86"/>
      <c r="G66" s="69"/>
      <c r="H66" s="69"/>
      <c r="I66" s="69"/>
      <c r="J66" s="70"/>
      <c r="K66" s="69"/>
      <c r="L66" s="69"/>
      <c r="M66" s="69"/>
      <c r="N66" s="69"/>
      <c r="O66" s="69"/>
      <c r="P66" s="2"/>
      <c r="Q66" s="2"/>
      <c r="R66" s="32"/>
      <c r="S66" s="32"/>
      <c r="T66" s="32"/>
      <c r="U66" s="32"/>
      <c r="V66" s="2"/>
      <c r="W66" s="2"/>
      <c r="X66" s="2"/>
      <c r="Y66" s="2"/>
      <c r="Z66" s="2"/>
    </row>
    <row r="67" spans="1:26" ht="13.8" x14ac:dyDescent="0.3">
      <c r="A67" s="32"/>
      <c r="B67" s="2"/>
      <c r="C67" s="10"/>
      <c r="D67" s="10"/>
      <c r="E67" s="10"/>
      <c r="F67" s="86"/>
      <c r="G67" s="69"/>
      <c r="H67" s="69"/>
      <c r="I67" s="69"/>
      <c r="J67" s="70"/>
      <c r="K67" s="69"/>
      <c r="L67" s="69"/>
      <c r="M67" s="69"/>
      <c r="N67" s="69"/>
      <c r="O67" s="69"/>
      <c r="P67" s="2"/>
      <c r="Q67" s="2"/>
      <c r="R67" s="32"/>
      <c r="S67" s="32"/>
      <c r="T67" s="32"/>
      <c r="U67" s="3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10"/>
      <c r="F68" s="86"/>
      <c r="G68" s="69"/>
      <c r="H68" s="69"/>
      <c r="I68" s="69"/>
      <c r="J68" s="70"/>
      <c r="K68" s="69"/>
      <c r="L68" s="69"/>
      <c r="M68" s="69"/>
      <c r="N68" s="69"/>
      <c r="O68" s="69"/>
      <c r="P68" s="2"/>
      <c r="Q68" s="2"/>
      <c r="R68" s="32"/>
      <c r="S68" s="32"/>
      <c r="T68" s="32"/>
      <c r="U68" s="3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10"/>
      <c r="F69" s="86"/>
      <c r="G69" s="69"/>
      <c r="H69" s="69"/>
      <c r="I69" s="69"/>
      <c r="J69" s="70"/>
      <c r="K69" s="69"/>
      <c r="L69" s="69"/>
      <c r="M69" s="69"/>
      <c r="N69" s="69"/>
      <c r="O69" s="69"/>
      <c r="P69" s="2"/>
      <c r="Q69" s="2"/>
      <c r="R69" s="32"/>
      <c r="S69" s="32"/>
      <c r="T69" s="32"/>
      <c r="U69" s="32"/>
      <c r="V69" s="2"/>
      <c r="W69" s="2"/>
      <c r="X69" s="2"/>
      <c r="Y69" s="2"/>
      <c r="Z69" s="2"/>
    </row>
    <row r="70" spans="1:26" ht="13.8" x14ac:dyDescent="0.3">
      <c r="A70" s="32"/>
      <c r="B70" s="2"/>
      <c r="C70" s="10"/>
      <c r="D70" s="10"/>
      <c r="E70" s="10"/>
      <c r="F70" s="86"/>
      <c r="G70" s="69"/>
      <c r="H70" s="69"/>
      <c r="I70" s="69"/>
      <c r="J70" s="70"/>
      <c r="K70" s="69"/>
      <c r="L70" s="69"/>
      <c r="M70" s="69"/>
      <c r="N70" s="69"/>
      <c r="O70" s="69"/>
      <c r="P70" s="2"/>
      <c r="Q70" s="2"/>
      <c r="R70" s="32"/>
      <c r="S70" s="32"/>
      <c r="T70" s="32"/>
      <c r="U70" s="32"/>
      <c r="V70" s="2"/>
      <c r="W70" s="2"/>
      <c r="X70" s="2"/>
      <c r="Y70" s="2"/>
      <c r="Z70" s="2"/>
    </row>
    <row r="71" spans="1:26" ht="13.8" x14ac:dyDescent="0.3">
      <c r="A71" s="2"/>
      <c r="B71" s="2"/>
      <c r="C71" s="10"/>
      <c r="D71" s="10"/>
      <c r="E71" s="10"/>
      <c r="F71" s="10"/>
      <c r="G71" s="32"/>
      <c r="H71" s="32"/>
      <c r="I71" s="32"/>
      <c r="J71" s="73"/>
      <c r="K71" s="32"/>
      <c r="L71" s="32"/>
      <c r="M71" s="32"/>
      <c r="N71" s="32"/>
      <c r="O71" s="32"/>
      <c r="P71" s="2"/>
      <c r="Q71" s="2"/>
      <c r="R71" s="32"/>
      <c r="S71" s="32"/>
      <c r="T71" s="32"/>
      <c r="U71" s="32"/>
      <c r="V71" s="2"/>
      <c r="W71" s="2"/>
      <c r="X71" s="2"/>
      <c r="Y71" s="2"/>
      <c r="Z71" s="2"/>
    </row>
    <row r="72" spans="1:26" ht="13.8" x14ac:dyDescent="0.3">
      <c r="A72" s="2"/>
      <c r="B72" s="2"/>
      <c r="C72" s="10"/>
      <c r="D72" s="10"/>
      <c r="E72" s="10"/>
      <c r="F72" s="46"/>
      <c r="G72" s="69"/>
      <c r="H72" s="69"/>
      <c r="I72" s="69"/>
      <c r="J72" s="70"/>
      <c r="K72" s="69"/>
      <c r="L72" s="69"/>
      <c r="M72" s="69"/>
      <c r="N72" s="69"/>
      <c r="O72" s="69"/>
      <c r="P72" s="2"/>
      <c r="Q72" s="2"/>
      <c r="R72" s="32"/>
      <c r="S72" s="32"/>
      <c r="T72" s="32"/>
      <c r="U72" s="32"/>
      <c r="V72" s="2"/>
      <c r="W72" s="2"/>
      <c r="X72" s="2"/>
      <c r="Y72" s="2"/>
      <c r="Z72" s="2"/>
    </row>
    <row r="73" spans="1:26" ht="13.8" x14ac:dyDescent="0.3">
      <c r="A73" s="2"/>
      <c r="B73" s="2"/>
      <c r="C73" s="10"/>
      <c r="D73" s="10"/>
      <c r="E73" s="10"/>
      <c r="F73" s="10"/>
      <c r="G73" s="32"/>
      <c r="H73" s="32"/>
      <c r="I73" s="32"/>
      <c r="J73" s="73"/>
      <c r="K73" s="32"/>
      <c r="L73" s="32"/>
      <c r="M73" s="32"/>
      <c r="N73" s="32"/>
      <c r="O73" s="32"/>
      <c r="P73" s="2"/>
      <c r="Q73" s="2"/>
      <c r="R73" s="32"/>
      <c r="S73" s="32"/>
      <c r="T73" s="32"/>
      <c r="U73" s="32"/>
      <c r="V73" s="2"/>
      <c r="W73" s="2"/>
      <c r="X73" s="2"/>
      <c r="Y73" s="2"/>
      <c r="Z73" s="2"/>
    </row>
    <row r="74" spans="1:26" ht="13.8" x14ac:dyDescent="0.3">
      <c r="A74" s="32"/>
      <c r="B74" s="2"/>
      <c r="C74" s="10"/>
      <c r="D74" s="10"/>
      <c r="E74" s="10"/>
      <c r="F74" s="86"/>
      <c r="G74" s="69"/>
      <c r="H74" s="69"/>
      <c r="I74" s="69"/>
      <c r="J74" s="70"/>
      <c r="K74" s="69"/>
      <c r="L74" s="69"/>
      <c r="M74" s="69"/>
      <c r="N74" s="69"/>
      <c r="O74" s="69"/>
      <c r="P74" s="2"/>
      <c r="Q74" s="2"/>
      <c r="R74" s="32"/>
      <c r="S74" s="32"/>
      <c r="T74" s="32"/>
      <c r="U74" s="32"/>
      <c r="V74" s="2"/>
      <c r="W74" s="2"/>
      <c r="X74" s="2"/>
      <c r="Y74" s="2"/>
      <c r="Z74" s="2"/>
    </row>
    <row r="75" spans="1:26" ht="13.8" x14ac:dyDescent="0.3">
      <c r="A75" s="32"/>
      <c r="B75" s="2"/>
      <c r="C75" s="10"/>
      <c r="D75" s="10"/>
      <c r="E75" s="10"/>
      <c r="F75" s="86"/>
      <c r="G75" s="69"/>
      <c r="H75" s="69"/>
      <c r="I75" s="69"/>
      <c r="J75" s="70"/>
      <c r="K75" s="69"/>
      <c r="L75" s="69"/>
      <c r="M75" s="69"/>
      <c r="N75" s="69"/>
      <c r="O75" s="69"/>
      <c r="P75" s="2"/>
      <c r="Q75" s="2"/>
      <c r="R75" s="32"/>
      <c r="S75" s="32"/>
      <c r="T75" s="32"/>
      <c r="U75" s="32"/>
      <c r="V75" s="2"/>
      <c r="W75" s="2"/>
      <c r="X75" s="2"/>
      <c r="Y75" s="2"/>
      <c r="Z75" s="2"/>
    </row>
    <row r="76" spans="1:26" ht="13.8" x14ac:dyDescent="0.3">
      <c r="A76" s="32"/>
      <c r="B76" s="2"/>
      <c r="C76" s="10"/>
      <c r="D76" s="10"/>
      <c r="E76" s="10"/>
      <c r="F76" s="86"/>
      <c r="G76" s="69"/>
      <c r="H76" s="69"/>
      <c r="I76" s="69"/>
      <c r="J76" s="70"/>
      <c r="K76" s="69"/>
      <c r="L76" s="69"/>
      <c r="M76" s="69"/>
      <c r="N76" s="69"/>
      <c r="O76" s="69"/>
      <c r="P76" s="2"/>
      <c r="Q76" s="2"/>
      <c r="R76" s="32"/>
      <c r="S76" s="32"/>
      <c r="T76" s="32"/>
      <c r="U76" s="3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10"/>
      <c r="F77" s="86"/>
      <c r="G77" s="69"/>
      <c r="H77" s="69"/>
      <c r="I77" s="69"/>
      <c r="J77" s="70"/>
      <c r="K77" s="69"/>
      <c r="L77" s="69"/>
      <c r="M77" s="69"/>
      <c r="N77" s="69"/>
      <c r="O77" s="69"/>
      <c r="P77" s="2"/>
      <c r="Q77" s="2"/>
      <c r="R77" s="32"/>
      <c r="S77" s="32"/>
      <c r="T77" s="32"/>
      <c r="U77" s="3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10"/>
      <c r="F78" s="86"/>
      <c r="G78" s="69"/>
      <c r="H78" s="69"/>
      <c r="I78" s="69"/>
      <c r="J78" s="70"/>
      <c r="K78" s="69"/>
      <c r="L78" s="69"/>
      <c r="M78" s="69"/>
      <c r="N78" s="69"/>
      <c r="O78" s="69"/>
      <c r="P78" s="2"/>
      <c r="Q78" s="2"/>
      <c r="R78" s="32"/>
      <c r="S78" s="32"/>
      <c r="T78" s="32"/>
      <c r="U78" s="32"/>
      <c r="V78" s="2"/>
      <c r="W78" s="2"/>
      <c r="X78" s="2"/>
      <c r="Y78" s="2"/>
      <c r="Z78" s="2"/>
    </row>
    <row r="79" spans="1:26" ht="13.8" x14ac:dyDescent="0.3">
      <c r="A79" s="32"/>
      <c r="B79" s="2"/>
      <c r="C79" s="10"/>
      <c r="D79" s="10"/>
      <c r="E79" s="10"/>
      <c r="F79" s="86"/>
      <c r="G79" s="69"/>
      <c r="H79" s="69"/>
      <c r="I79" s="69"/>
      <c r="J79" s="70"/>
      <c r="K79" s="69"/>
      <c r="L79" s="69"/>
      <c r="M79" s="69"/>
      <c r="N79" s="69"/>
      <c r="O79" s="69"/>
      <c r="P79" s="2"/>
      <c r="Q79" s="2"/>
      <c r="R79" s="32"/>
      <c r="S79" s="32"/>
      <c r="T79" s="32"/>
      <c r="U79" s="32"/>
      <c r="V79" s="2"/>
      <c r="W79" s="2"/>
      <c r="X79" s="2"/>
      <c r="Y79" s="2"/>
      <c r="Z79" s="2"/>
    </row>
    <row r="80" spans="1:26" ht="13.8" x14ac:dyDescent="0.3">
      <c r="A80" s="32"/>
      <c r="B80" s="2"/>
      <c r="C80" s="10"/>
      <c r="D80" s="10"/>
      <c r="E80" s="10"/>
      <c r="F80" s="86"/>
      <c r="G80" s="69"/>
      <c r="H80" s="69"/>
      <c r="I80" s="69"/>
      <c r="J80" s="70"/>
      <c r="K80" s="69"/>
      <c r="L80" s="69"/>
      <c r="M80" s="69"/>
      <c r="N80" s="69"/>
      <c r="O80" s="69"/>
      <c r="P80" s="2"/>
      <c r="Q80" s="2"/>
      <c r="R80" s="32"/>
      <c r="S80" s="32"/>
      <c r="T80" s="32"/>
      <c r="U80" s="32"/>
      <c r="V80" s="2"/>
      <c r="W80" s="2"/>
      <c r="X80" s="2"/>
      <c r="Y80" s="2"/>
      <c r="Z80" s="2"/>
    </row>
    <row r="81" spans="1:26" ht="13.8" x14ac:dyDescent="0.3">
      <c r="A81" s="32"/>
      <c r="B81" s="2"/>
      <c r="C81" s="10"/>
      <c r="D81" s="10"/>
      <c r="E81" s="10"/>
      <c r="F81" s="86"/>
      <c r="G81" s="69"/>
      <c r="H81" s="69"/>
      <c r="I81" s="69"/>
      <c r="J81" s="70"/>
      <c r="K81" s="69"/>
      <c r="L81" s="69"/>
      <c r="M81" s="69"/>
      <c r="N81" s="69"/>
      <c r="O81" s="69"/>
      <c r="P81" s="2"/>
      <c r="Q81" s="2"/>
      <c r="R81" s="32"/>
      <c r="S81" s="32"/>
      <c r="T81" s="32"/>
      <c r="U81" s="32"/>
      <c r="V81" s="2"/>
      <c r="W81" s="2"/>
      <c r="X81" s="2"/>
      <c r="Y81" s="2"/>
      <c r="Z81" s="2"/>
    </row>
    <row r="82" spans="1:26" ht="13.8" x14ac:dyDescent="0.3">
      <c r="A82" s="32"/>
      <c r="B82" s="10"/>
      <c r="C82" s="10"/>
      <c r="D82" s="10"/>
      <c r="E82" s="10"/>
      <c r="F82" s="46"/>
      <c r="G82" s="69"/>
      <c r="H82" s="69"/>
      <c r="I82" s="69"/>
      <c r="J82" s="70"/>
      <c r="K82" s="69"/>
      <c r="L82" s="69"/>
      <c r="M82" s="69"/>
      <c r="N82" s="69"/>
      <c r="O82" s="69"/>
      <c r="P82" s="2"/>
      <c r="Q82" s="2"/>
      <c r="R82" s="32"/>
      <c r="S82" s="32"/>
      <c r="T82" s="32"/>
      <c r="U82" s="32"/>
      <c r="V82" s="2"/>
      <c r="W82" s="2"/>
      <c r="X82" s="2"/>
      <c r="Y82" s="2"/>
      <c r="Z82" s="2"/>
    </row>
    <row r="83" spans="1:26" ht="13.8" x14ac:dyDescent="0.3">
      <c r="A83" s="32"/>
      <c r="B83" s="10"/>
      <c r="C83" s="10"/>
      <c r="D83" s="10"/>
      <c r="E83" s="10"/>
      <c r="F83" s="10"/>
      <c r="G83" s="32"/>
      <c r="H83" s="32"/>
      <c r="I83" s="32"/>
      <c r="J83" s="73"/>
      <c r="K83" s="32"/>
      <c r="L83" s="32"/>
      <c r="M83" s="32"/>
      <c r="N83" s="32"/>
      <c r="O83" s="32"/>
      <c r="P83" s="2"/>
      <c r="Q83" s="2"/>
      <c r="R83" s="32"/>
      <c r="S83" s="32"/>
      <c r="T83" s="32"/>
      <c r="U83" s="32"/>
      <c r="V83" s="2"/>
      <c r="W83" s="2"/>
      <c r="X83" s="2"/>
      <c r="Y83" s="2"/>
      <c r="Z83" s="2"/>
    </row>
    <row r="84" spans="1:26" ht="13.8" x14ac:dyDescent="0.3">
      <c r="A84" s="32"/>
      <c r="B84" s="10"/>
      <c r="C84" s="10"/>
      <c r="D84" s="10"/>
      <c r="E84" s="10"/>
      <c r="F84" s="86"/>
      <c r="G84" s="69"/>
      <c r="H84" s="69"/>
      <c r="I84" s="69"/>
      <c r="J84" s="70"/>
      <c r="K84" s="69"/>
      <c r="L84" s="69"/>
      <c r="M84" s="69"/>
      <c r="N84" s="69"/>
      <c r="O84" s="69"/>
      <c r="P84" s="2"/>
      <c r="Q84" s="2"/>
      <c r="R84" s="32"/>
      <c r="S84" s="32"/>
      <c r="T84" s="32"/>
      <c r="U84" s="32"/>
      <c r="V84" s="2"/>
      <c r="W84" s="2"/>
      <c r="X84" s="2"/>
      <c r="Y84" s="2"/>
      <c r="Z84" s="2"/>
    </row>
    <row r="85" spans="1:26" ht="13.8" x14ac:dyDescent="0.3">
      <c r="A85" s="32"/>
      <c r="B85" s="10"/>
      <c r="C85" s="10"/>
      <c r="D85" s="10"/>
      <c r="E85" s="10"/>
      <c r="F85" s="86"/>
      <c r="G85" s="69"/>
      <c r="H85" s="69"/>
      <c r="I85" s="69"/>
      <c r="J85" s="70"/>
      <c r="K85" s="69"/>
      <c r="L85" s="69"/>
      <c r="M85" s="69"/>
      <c r="N85" s="69"/>
      <c r="O85" s="69"/>
      <c r="P85" s="2"/>
      <c r="Q85" s="2"/>
      <c r="R85" s="32"/>
      <c r="S85" s="32"/>
      <c r="T85" s="32"/>
      <c r="U85" s="32"/>
      <c r="V85" s="2"/>
      <c r="W85" s="2"/>
      <c r="X85" s="2"/>
      <c r="Y85" s="2"/>
      <c r="Z85" s="2"/>
    </row>
    <row r="86" spans="1:26" ht="13.8" x14ac:dyDescent="0.3">
      <c r="A86" s="32"/>
      <c r="B86" s="10"/>
      <c r="C86" s="10"/>
      <c r="D86" s="10"/>
      <c r="E86" s="10"/>
      <c r="F86" s="86"/>
      <c r="G86" s="69"/>
      <c r="H86" s="69"/>
      <c r="I86" s="69"/>
      <c r="J86" s="70"/>
      <c r="K86" s="69"/>
      <c r="L86" s="69"/>
      <c r="M86" s="69"/>
      <c r="N86" s="69"/>
      <c r="O86" s="69"/>
      <c r="P86" s="2"/>
      <c r="Q86" s="2"/>
      <c r="R86" s="32"/>
      <c r="S86" s="32"/>
      <c r="T86" s="32"/>
      <c r="U86" s="32"/>
      <c r="V86" s="2"/>
      <c r="W86" s="2"/>
      <c r="X86" s="2"/>
      <c r="Y86" s="2"/>
      <c r="Z86" s="2"/>
    </row>
    <row r="87" spans="1:26" ht="13.8" x14ac:dyDescent="0.3">
      <c r="A87" s="32"/>
      <c r="B87" s="10"/>
      <c r="C87" s="10"/>
      <c r="D87" s="10"/>
      <c r="E87" s="10"/>
      <c r="F87" s="86"/>
      <c r="G87" s="69"/>
      <c r="H87" s="69"/>
      <c r="I87" s="69"/>
      <c r="J87" s="70"/>
      <c r="K87" s="69"/>
      <c r="L87" s="69"/>
      <c r="M87" s="69"/>
      <c r="N87" s="69"/>
      <c r="O87" s="69"/>
      <c r="P87" s="2"/>
      <c r="Q87" s="2"/>
      <c r="R87" s="32"/>
      <c r="S87" s="32"/>
      <c r="T87" s="32"/>
      <c r="U87" s="32"/>
      <c r="V87" s="2"/>
      <c r="W87" s="2"/>
      <c r="X87" s="2"/>
      <c r="Y87" s="2"/>
      <c r="Z87" s="2"/>
    </row>
    <row r="88" spans="1:26" ht="13.8" x14ac:dyDescent="0.3">
      <c r="A88" s="32"/>
      <c r="B88" s="10"/>
      <c r="C88" s="10"/>
      <c r="D88" s="10"/>
      <c r="E88" s="10"/>
      <c r="F88" s="86"/>
      <c r="G88" s="69"/>
      <c r="H88" s="69"/>
      <c r="I88" s="69"/>
      <c r="J88" s="70"/>
      <c r="K88" s="69"/>
      <c r="L88" s="69"/>
      <c r="M88" s="69"/>
      <c r="N88" s="69"/>
      <c r="O88" s="69"/>
      <c r="P88" s="2"/>
      <c r="Q88" s="2"/>
      <c r="R88" s="32"/>
      <c r="S88" s="32"/>
      <c r="T88" s="32"/>
      <c r="U88" s="32"/>
      <c r="V88" s="2"/>
      <c r="W88" s="2"/>
      <c r="X88" s="2"/>
      <c r="Y88" s="2"/>
      <c r="Z88" s="2"/>
    </row>
    <row r="89" spans="1:26" ht="13.8" x14ac:dyDescent="0.3">
      <c r="A89" s="32"/>
      <c r="B89" s="10"/>
      <c r="C89" s="10"/>
      <c r="D89" s="10"/>
      <c r="E89" s="10"/>
      <c r="F89" s="86"/>
      <c r="G89" s="69"/>
      <c r="H89" s="69"/>
      <c r="I89" s="69"/>
      <c r="J89" s="70"/>
      <c r="K89" s="69"/>
      <c r="L89" s="69"/>
      <c r="M89" s="69"/>
      <c r="N89" s="69"/>
      <c r="O89" s="69"/>
      <c r="P89" s="2"/>
      <c r="Q89" s="2"/>
      <c r="R89" s="32"/>
      <c r="S89" s="32"/>
      <c r="T89" s="32"/>
      <c r="U89" s="32"/>
      <c r="V89" s="2"/>
      <c r="W89" s="2"/>
      <c r="X89" s="2"/>
      <c r="Y89" s="2"/>
      <c r="Z89" s="2"/>
    </row>
    <row r="90" spans="1:26" ht="13.8" x14ac:dyDescent="0.3">
      <c r="A90" s="32"/>
      <c r="B90" s="10"/>
      <c r="C90" s="10"/>
      <c r="D90" s="10"/>
      <c r="E90" s="10"/>
      <c r="F90" s="86"/>
      <c r="G90" s="69"/>
      <c r="H90" s="69"/>
      <c r="I90" s="69"/>
      <c r="J90" s="70"/>
      <c r="K90" s="69"/>
      <c r="L90" s="69"/>
      <c r="M90" s="69"/>
      <c r="N90" s="69"/>
      <c r="O90" s="69"/>
      <c r="P90" s="2"/>
      <c r="Q90" s="2"/>
      <c r="R90" s="32"/>
      <c r="S90" s="32"/>
      <c r="T90" s="32"/>
      <c r="U90" s="32"/>
      <c r="V90" s="2"/>
      <c r="W90" s="2"/>
      <c r="X90" s="2"/>
      <c r="Y90" s="2"/>
      <c r="Z90" s="2"/>
    </row>
    <row r="91" spans="1:26" ht="13.8" x14ac:dyDescent="0.3">
      <c r="A91" s="32"/>
      <c r="B91" s="10"/>
      <c r="C91" s="10"/>
      <c r="D91" s="10"/>
      <c r="E91" s="10"/>
      <c r="F91" s="86"/>
      <c r="G91" s="69"/>
      <c r="H91" s="69"/>
      <c r="I91" s="69"/>
      <c r="J91" s="70"/>
      <c r="K91" s="69"/>
      <c r="L91" s="69"/>
      <c r="M91" s="69"/>
      <c r="N91" s="69"/>
      <c r="O91" s="69"/>
      <c r="P91" s="2"/>
      <c r="Q91" s="2"/>
      <c r="R91" s="32"/>
      <c r="S91" s="32"/>
      <c r="T91" s="32"/>
      <c r="U91" s="32"/>
      <c r="V91" s="2"/>
      <c r="W91" s="2"/>
      <c r="X91" s="2"/>
      <c r="Y91" s="2"/>
      <c r="Z91" s="2"/>
    </row>
    <row r="92" spans="1:26" ht="13.8" x14ac:dyDescent="0.3">
      <c r="A92" s="29"/>
      <c r="B92" s="10"/>
      <c r="C92" s="10"/>
      <c r="D92" s="10"/>
      <c r="E92" s="10"/>
      <c r="F92" s="10"/>
      <c r="G92" s="32"/>
      <c r="H92" s="32"/>
      <c r="I92" s="32"/>
      <c r="J92" s="73"/>
      <c r="K92" s="32"/>
      <c r="L92" s="32"/>
      <c r="M92" s="32"/>
      <c r="N92" s="32"/>
      <c r="O92" s="32"/>
      <c r="P92" s="2"/>
      <c r="Q92" s="2"/>
      <c r="R92" s="32"/>
      <c r="S92" s="32"/>
      <c r="T92" s="32"/>
      <c r="U92" s="32"/>
      <c r="V92" s="2"/>
      <c r="W92" s="2"/>
      <c r="X92" s="2"/>
      <c r="Y92" s="2"/>
      <c r="Z92" s="2"/>
    </row>
    <row r="93" spans="1:26" ht="13.8" x14ac:dyDescent="0.3">
      <c r="A93" s="2"/>
      <c r="B93" s="2"/>
      <c r="C93" s="10"/>
      <c r="D93" s="10"/>
      <c r="E93" s="10"/>
      <c r="F93" s="86"/>
      <c r="G93" s="69"/>
      <c r="H93" s="69"/>
      <c r="I93" s="69"/>
      <c r="J93" s="70"/>
      <c r="K93" s="69"/>
      <c r="L93" s="69"/>
      <c r="M93" s="69"/>
      <c r="N93" s="69"/>
      <c r="O93" s="69"/>
      <c r="P93" s="2"/>
      <c r="Q93" s="2"/>
      <c r="R93" s="32"/>
      <c r="S93" s="32"/>
      <c r="T93" s="32"/>
      <c r="U93" s="32"/>
      <c r="V93" s="2"/>
      <c r="W93" s="2"/>
      <c r="X93" s="2"/>
      <c r="Y93" s="2"/>
      <c r="Z93" s="2"/>
    </row>
    <row r="94" spans="1:26" ht="13.8" x14ac:dyDescent="0.3">
      <c r="A94" s="2"/>
      <c r="B94" s="2"/>
      <c r="C94" s="10"/>
      <c r="D94" s="10"/>
      <c r="E94" s="10"/>
      <c r="F94" s="86"/>
      <c r="G94" s="69"/>
      <c r="H94" s="69"/>
      <c r="I94" s="69"/>
      <c r="J94" s="70"/>
      <c r="K94" s="69"/>
      <c r="L94" s="69"/>
      <c r="M94" s="69"/>
      <c r="N94" s="69"/>
      <c r="O94" s="69"/>
      <c r="P94" s="2"/>
      <c r="Q94" s="2"/>
      <c r="R94" s="32"/>
      <c r="S94" s="32"/>
      <c r="T94" s="32"/>
      <c r="U94" s="32"/>
      <c r="V94" s="2"/>
      <c r="W94" s="2"/>
      <c r="X94" s="2"/>
      <c r="Y94" s="2"/>
      <c r="Z94" s="2"/>
    </row>
    <row r="95" spans="1:26" ht="13.8" x14ac:dyDescent="0.3">
      <c r="A95" s="2"/>
      <c r="B95" s="2"/>
      <c r="C95" s="10"/>
      <c r="D95" s="10"/>
      <c r="E95" s="10"/>
      <c r="F95" s="86"/>
      <c r="G95" s="69"/>
      <c r="H95" s="69"/>
      <c r="I95" s="69"/>
      <c r="J95" s="70"/>
      <c r="K95" s="69"/>
      <c r="L95" s="69"/>
      <c r="M95" s="69"/>
      <c r="N95" s="69"/>
      <c r="O95" s="69"/>
      <c r="P95" s="2"/>
      <c r="Q95" s="2"/>
      <c r="R95" s="32"/>
      <c r="S95" s="32"/>
      <c r="T95" s="32"/>
      <c r="U95" s="32"/>
      <c r="V95" s="2"/>
      <c r="W95" s="2"/>
      <c r="X95" s="2"/>
      <c r="Y95" s="2"/>
      <c r="Z95" s="2"/>
    </row>
    <row r="96" spans="1:26" ht="13.8" x14ac:dyDescent="0.3">
      <c r="A96" s="2"/>
      <c r="B96" s="2"/>
      <c r="C96" s="10"/>
      <c r="D96" s="10"/>
      <c r="E96" s="10"/>
      <c r="F96" s="10"/>
      <c r="G96" s="69"/>
      <c r="H96" s="69"/>
      <c r="I96" s="69"/>
      <c r="J96" s="70"/>
      <c r="K96" s="69"/>
      <c r="L96" s="69"/>
      <c r="M96" s="69"/>
      <c r="N96" s="69"/>
      <c r="O96" s="69"/>
      <c r="P96" s="2"/>
      <c r="Q96" s="2"/>
      <c r="R96" s="32"/>
      <c r="S96" s="32"/>
      <c r="T96" s="32"/>
      <c r="U96" s="3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10"/>
      <c r="F97" s="10"/>
      <c r="G97" s="69"/>
      <c r="H97" s="69"/>
      <c r="I97" s="69"/>
      <c r="J97" s="70"/>
      <c r="K97" s="69"/>
      <c r="L97" s="69"/>
      <c r="M97" s="69"/>
      <c r="N97" s="69"/>
      <c r="O97" s="69"/>
      <c r="P97" s="2"/>
      <c r="Q97" s="2"/>
      <c r="R97" s="32"/>
      <c r="S97" s="32"/>
      <c r="T97" s="32"/>
      <c r="U97" s="3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10"/>
      <c r="F98" s="10"/>
      <c r="G98" s="69"/>
      <c r="H98" s="69"/>
      <c r="I98" s="69"/>
      <c r="J98" s="70"/>
      <c r="K98" s="69"/>
      <c r="L98" s="69"/>
      <c r="M98" s="69"/>
      <c r="N98" s="69"/>
      <c r="O98" s="69"/>
      <c r="P98" s="2"/>
      <c r="Q98" s="2"/>
      <c r="R98" s="32"/>
      <c r="S98" s="32"/>
      <c r="T98" s="32"/>
      <c r="U98" s="32"/>
      <c r="V98" s="2"/>
      <c r="W98" s="2"/>
      <c r="X98" s="2"/>
      <c r="Y98" s="2"/>
      <c r="Z98" s="2"/>
    </row>
    <row r="99" spans="1:26" ht="13.8" x14ac:dyDescent="0.3">
      <c r="A99" s="2"/>
      <c r="B99" s="2"/>
      <c r="C99" s="10"/>
      <c r="D99" s="10"/>
      <c r="E99" s="10"/>
      <c r="F99" s="10"/>
      <c r="G99" s="69"/>
      <c r="H99" s="69"/>
      <c r="I99" s="69"/>
      <c r="J99" s="70"/>
      <c r="K99" s="69"/>
      <c r="L99" s="69"/>
      <c r="M99" s="69"/>
      <c r="N99" s="69"/>
      <c r="O99" s="69"/>
      <c r="P99" s="2"/>
      <c r="Q99" s="2"/>
      <c r="R99" s="32"/>
      <c r="S99" s="32"/>
      <c r="T99" s="32"/>
      <c r="U99" s="32"/>
      <c r="V99" s="2"/>
      <c r="W99" s="2"/>
      <c r="X99" s="2"/>
      <c r="Y99" s="2"/>
      <c r="Z99" s="2"/>
    </row>
    <row r="100" spans="1:26" ht="13.8" x14ac:dyDescent="0.3">
      <c r="A100" s="2"/>
      <c r="B100" s="2"/>
      <c r="C100" s="10"/>
      <c r="D100" s="10"/>
      <c r="E100" s="10"/>
      <c r="F100" s="10"/>
      <c r="G100" s="69"/>
      <c r="H100" s="69"/>
      <c r="I100" s="69"/>
      <c r="J100" s="70"/>
      <c r="K100" s="69"/>
      <c r="L100" s="69"/>
      <c r="M100" s="69"/>
      <c r="N100" s="69"/>
      <c r="O100" s="69"/>
      <c r="P100" s="2"/>
      <c r="Q100" s="2"/>
      <c r="R100" s="32"/>
      <c r="S100" s="32"/>
      <c r="T100" s="32"/>
      <c r="U100" s="3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10"/>
      <c r="F101" s="10"/>
      <c r="G101" s="32"/>
      <c r="H101" s="32"/>
      <c r="I101" s="32"/>
      <c r="J101" s="73"/>
      <c r="K101" s="32"/>
      <c r="L101" s="32"/>
      <c r="M101" s="32"/>
      <c r="N101" s="32"/>
      <c r="O101" s="32"/>
      <c r="P101" s="2"/>
      <c r="Q101" s="2"/>
      <c r="R101" s="32"/>
      <c r="S101" s="32"/>
      <c r="T101" s="32"/>
      <c r="U101" s="32"/>
      <c r="V101" s="2"/>
      <c r="W101" s="2"/>
      <c r="X101" s="2"/>
      <c r="Y101" s="2"/>
      <c r="Z101" s="2"/>
    </row>
    <row r="102" spans="1:26" ht="13.8" x14ac:dyDescent="0.3">
      <c r="A102" s="2"/>
      <c r="B102" s="2"/>
      <c r="C102" s="10"/>
      <c r="D102" s="10"/>
      <c r="E102" s="10"/>
      <c r="F102" s="10"/>
      <c r="G102" s="69"/>
      <c r="H102" s="69"/>
      <c r="I102" s="69"/>
      <c r="J102" s="70"/>
      <c r="K102" s="69"/>
      <c r="L102" s="69">
        <f>SUM(L2:L100)</f>
        <v>94.333822451800003</v>
      </c>
      <c r="M102" s="69"/>
      <c r="N102" s="69"/>
      <c r="O102" s="69"/>
      <c r="P102" s="2"/>
      <c r="Q102" s="2"/>
      <c r="R102" s="32"/>
      <c r="S102" s="32"/>
      <c r="T102" s="32"/>
      <c r="U102" s="3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10"/>
      <c r="F103" s="10"/>
      <c r="G103" s="69"/>
      <c r="H103" s="69"/>
      <c r="I103" s="69"/>
      <c r="J103" s="70"/>
      <c r="K103" s="69"/>
      <c r="L103" s="69"/>
      <c r="M103" s="69"/>
      <c r="N103" s="69"/>
      <c r="O103" s="69"/>
      <c r="P103" s="2"/>
      <c r="Q103" s="2"/>
      <c r="R103" s="32"/>
      <c r="S103" s="32"/>
      <c r="T103" s="32"/>
      <c r="U103" s="32"/>
      <c r="V103" s="2"/>
      <c r="W103" s="2"/>
      <c r="X103" s="2"/>
      <c r="Y103" s="2"/>
      <c r="Z103" s="2"/>
    </row>
    <row r="104" spans="1:26" ht="13.8" x14ac:dyDescent="0.3">
      <c r="A104" s="2"/>
      <c r="B104" s="2"/>
      <c r="C104" s="10"/>
      <c r="D104" s="10"/>
      <c r="E104" s="10"/>
      <c r="F104" s="10"/>
      <c r="G104" s="69"/>
      <c r="H104" s="69"/>
      <c r="I104" s="69"/>
      <c r="J104" s="70"/>
      <c r="K104" s="69"/>
      <c r="L104" s="69"/>
      <c r="M104" s="69"/>
      <c r="N104" s="69"/>
      <c r="O104" s="69"/>
      <c r="P104" s="2"/>
      <c r="Q104" s="2"/>
      <c r="R104" s="32"/>
      <c r="S104" s="32"/>
      <c r="T104" s="32"/>
      <c r="U104" s="32"/>
      <c r="V104" s="2"/>
      <c r="W104" s="2"/>
      <c r="X104" s="2"/>
      <c r="Y104" s="2"/>
      <c r="Z104" s="2"/>
    </row>
    <row r="105" spans="1:26" ht="13.8" x14ac:dyDescent="0.3">
      <c r="A105" s="2"/>
      <c r="B105" s="2"/>
      <c r="C105" s="10"/>
      <c r="D105" s="10"/>
      <c r="E105" s="10"/>
      <c r="F105" s="10"/>
      <c r="G105" s="69"/>
      <c r="H105" s="69"/>
      <c r="I105" s="69"/>
      <c r="J105" s="70"/>
      <c r="K105" s="69"/>
      <c r="L105" s="69"/>
      <c r="M105" s="69"/>
      <c r="N105" s="69"/>
      <c r="O105" s="69"/>
      <c r="P105" s="2"/>
      <c r="Q105" s="2"/>
      <c r="R105" s="32"/>
      <c r="S105" s="32"/>
      <c r="T105" s="32"/>
      <c r="U105" s="3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10"/>
      <c r="F106" s="10"/>
      <c r="G106" s="69"/>
      <c r="H106" s="69"/>
      <c r="I106" s="69"/>
      <c r="J106" s="70"/>
      <c r="K106" s="69"/>
      <c r="L106" s="69"/>
      <c r="M106" s="69"/>
      <c r="N106" s="69"/>
      <c r="O106" s="69"/>
      <c r="P106" s="2"/>
      <c r="Q106" s="2"/>
      <c r="R106" s="32"/>
      <c r="S106" s="32"/>
      <c r="T106" s="32"/>
      <c r="U106" s="32"/>
      <c r="V106" s="2"/>
      <c r="W106" s="2"/>
      <c r="X106" s="2"/>
      <c r="Y106" s="2"/>
      <c r="Z106" s="2"/>
    </row>
    <row r="107" spans="1:26" ht="13.8" x14ac:dyDescent="0.3">
      <c r="A107" s="2"/>
      <c r="B107" s="2"/>
      <c r="C107" s="10"/>
      <c r="D107" s="10"/>
      <c r="E107" s="10"/>
      <c r="F107" s="10"/>
      <c r="G107" s="69"/>
      <c r="H107" s="69"/>
      <c r="I107" s="69"/>
      <c r="J107" s="70"/>
      <c r="K107" s="69"/>
      <c r="L107" s="69"/>
      <c r="M107" s="69"/>
      <c r="N107" s="69"/>
      <c r="O107" s="69"/>
      <c r="P107" s="2"/>
      <c r="Q107" s="2"/>
      <c r="R107" s="32"/>
      <c r="S107" s="32"/>
      <c r="T107" s="32"/>
      <c r="U107" s="32"/>
      <c r="V107" s="2"/>
      <c r="W107" s="2"/>
      <c r="X107" s="2"/>
      <c r="Y107" s="2"/>
      <c r="Z107" s="2"/>
    </row>
    <row r="108" spans="1:26" ht="13.8" x14ac:dyDescent="0.3">
      <c r="A108" s="2"/>
      <c r="B108" s="2"/>
      <c r="C108" s="10"/>
      <c r="D108" s="10"/>
      <c r="E108" s="10"/>
      <c r="F108" s="10"/>
      <c r="G108" s="69"/>
      <c r="H108" s="69"/>
      <c r="I108" s="69"/>
      <c r="J108" s="70"/>
      <c r="K108" s="69"/>
      <c r="L108" s="69"/>
      <c r="M108" s="69"/>
      <c r="N108" s="69"/>
      <c r="O108" s="69"/>
      <c r="P108" s="2"/>
      <c r="Q108" s="2"/>
      <c r="R108" s="32"/>
      <c r="S108" s="32"/>
      <c r="T108" s="32"/>
      <c r="U108" s="32"/>
      <c r="V108" s="2"/>
      <c r="W108" s="2"/>
      <c r="X108" s="2"/>
      <c r="Y108" s="2"/>
      <c r="Z108" s="2"/>
    </row>
    <row r="109" spans="1:26" ht="13.8" x14ac:dyDescent="0.3">
      <c r="A109" s="2"/>
      <c r="B109" s="2"/>
      <c r="C109" s="10"/>
      <c r="D109" s="10"/>
      <c r="E109" s="10"/>
      <c r="F109" s="10"/>
      <c r="G109" s="69"/>
      <c r="H109" s="69"/>
      <c r="I109" s="69"/>
      <c r="J109" s="70"/>
      <c r="K109" s="69"/>
      <c r="L109" s="69"/>
      <c r="M109" s="69"/>
      <c r="N109" s="69"/>
      <c r="O109" s="69"/>
      <c r="P109" s="2"/>
      <c r="Q109" s="2"/>
      <c r="R109" s="32"/>
      <c r="S109" s="32"/>
      <c r="T109" s="32"/>
      <c r="U109" s="32"/>
      <c r="V109" s="2"/>
      <c r="W109" s="2"/>
      <c r="X109" s="2"/>
      <c r="Y109" s="2"/>
      <c r="Z109" s="2"/>
    </row>
    <row r="110" spans="1:26" ht="13.8" x14ac:dyDescent="0.3">
      <c r="A110" s="2"/>
      <c r="B110" s="2"/>
      <c r="C110" s="10"/>
      <c r="D110" s="10"/>
      <c r="E110" s="10"/>
      <c r="F110" s="10"/>
      <c r="G110" s="69"/>
      <c r="H110" s="69"/>
      <c r="I110" s="69"/>
      <c r="J110" s="70"/>
      <c r="K110" s="69"/>
      <c r="L110" s="69"/>
      <c r="M110" s="69"/>
      <c r="N110" s="69"/>
      <c r="O110" s="69"/>
      <c r="P110" s="2"/>
      <c r="Q110" s="2"/>
      <c r="R110" s="32"/>
      <c r="S110" s="32"/>
      <c r="T110" s="32"/>
      <c r="U110" s="32"/>
      <c r="V110" s="2"/>
      <c r="W110" s="2"/>
      <c r="X110" s="2"/>
      <c r="Y110" s="2"/>
      <c r="Z110" s="2"/>
    </row>
    <row r="111" spans="1:26" ht="13.8" x14ac:dyDescent="0.3">
      <c r="A111" s="2"/>
      <c r="B111" s="10"/>
      <c r="C111" s="10"/>
      <c r="D111" s="10"/>
      <c r="E111" s="10"/>
      <c r="F111" s="10"/>
      <c r="G111" s="32"/>
      <c r="H111" s="32"/>
      <c r="I111" s="32"/>
      <c r="J111" s="73"/>
      <c r="K111" s="32"/>
      <c r="L111" s="32"/>
      <c r="M111" s="32"/>
      <c r="N111" s="32"/>
      <c r="O111" s="32"/>
      <c r="P111" s="2"/>
      <c r="Q111" s="2"/>
      <c r="R111" s="32"/>
      <c r="S111" s="32"/>
      <c r="T111" s="32"/>
      <c r="U111" s="32"/>
      <c r="V111" s="2"/>
      <c r="W111" s="2"/>
      <c r="X111" s="2"/>
      <c r="Y111" s="2"/>
      <c r="Z111" s="2"/>
    </row>
    <row r="112" spans="1:26" ht="13.8" x14ac:dyDescent="0.3">
      <c r="A112" s="32"/>
      <c r="B112" s="2"/>
      <c r="C112" s="10"/>
      <c r="D112" s="10"/>
      <c r="E112" s="10"/>
      <c r="F112" s="10"/>
      <c r="G112" s="69"/>
      <c r="H112" s="69"/>
      <c r="I112" s="69"/>
      <c r="J112" s="70"/>
      <c r="K112" s="69"/>
      <c r="L112" s="69"/>
      <c r="M112" s="69"/>
      <c r="N112" s="69"/>
      <c r="O112" s="69"/>
      <c r="P112" s="2"/>
      <c r="Q112" s="2"/>
      <c r="R112" s="32"/>
      <c r="S112" s="32"/>
      <c r="T112" s="32"/>
      <c r="U112" s="32"/>
      <c r="V112" s="2"/>
      <c r="W112" s="2"/>
      <c r="X112" s="2"/>
      <c r="Y112" s="2"/>
      <c r="Z112" s="2"/>
    </row>
    <row r="113" spans="1:26" ht="13.8" x14ac:dyDescent="0.3">
      <c r="A113" s="32"/>
      <c r="B113" s="2"/>
      <c r="C113" s="10"/>
      <c r="D113" s="10"/>
      <c r="E113" s="10"/>
      <c r="F113" s="10"/>
      <c r="G113" s="69"/>
      <c r="H113" s="69"/>
      <c r="I113" s="69"/>
      <c r="J113" s="70"/>
      <c r="K113" s="69"/>
      <c r="L113" s="69"/>
      <c r="M113" s="69"/>
      <c r="N113" s="69"/>
      <c r="O113" s="69"/>
      <c r="P113" s="2"/>
      <c r="Q113" s="2"/>
      <c r="R113" s="32"/>
      <c r="S113" s="32"/>
      <c r="T113" s="32"/>
      <c r="U113" s="32"/>
      <c r="V113" s="2"/>
      <c r="W113" s="2"/>
      <c r="X113" s="2"/>
      <c r="Y113" s="2"/>
      <c r="Z113" s="2"/>
    </row>
    <row r="114" spans="1:26" ht="13.8" x14ac:dyDescent="0.3">
      <c r="A114" s="32"/>
      <c r="B114" s="2"/>
      <c r="C114" s="10"/>
      <c r="D114" s="10"/>
      <c r="E114" s="10"/>
      <c r="F114" s="10"/>
      <c r="G114" s="69"/>
      <c r="H114" s="69"/>
      <c r="I114" s="69"/>
      <c r="J114" s="70"/>
      <c r="K114" s="69"/>
      <c r="L114" s="69"/>
      <c r="M114" s="69"/>
      <c r="N114" s="69"/>
      <c r="O114" s="69"/>
      <c r="P114" s="2"/>
      <c r="Q114" s="2"/>
      <c r="R114" s="32"/>
      <c r="S114" s="32"/>
      <c r="T114" s="32"/>
      <c r="U114" s="32"/>
      <c r="V114" s="2"/>
      <c r="W114" s="2"/>
      <c r="X114" s="2"/>
      <c r="Y114" s="2"/>
      <c r="Z114" s="2"/>
    </row>
    <row r="115" spans="1:26" ht="13.8" x14ac:dyDescent="0.3">
      <c r="A115" s="32"/>
      <c r="B115" s="2"/>
      <c r="C115" s="10"/>
      <c r="D115" s="10"/>
      <c r="E115" s="10"/>
      <c r="F115" s="10"/>
      <c r="G115" s="69"/>
      <c r="H115" s="69"/>
      <c r="I115" s="69"/>
      <c r="J115" s="70"/>
      <c r="K115" s="69"/>
      <c r="L115" s="69"/>
      <c r="M115" s="69"/>
      <c r="N115" s="69"/>
      <c r="O115" s="69"/>
      <c r="P115" s="2"/>
      <c r="Q115" s="2"/>
      <c r="R115" s="32"/>
      <c r="S115" s="32"/>
      <c r="T115" s="32"/>
      <c r="U115" s="32"/>
      <c r="V115" s="2"/>
      <c r="W115" s="2"/>
      <c r="X115" s="2"/>
      <c r="Y115" s="2"/>
      <c r="Z115" s="2"/>
    </row>
    <row r="116" spans="1:26" ht="13.8" x14ac:dyDescent="0.3">
      <c r="A116" s="32"/>
      <c r="B116" s="2"/>
      <c r="C116" s="10"/>
      <c r="D116" s="10"/>
      <c r="E116" s="10"/>
      <c r="F116" s="10"/>
      <c r="G116" s="69"/>
      <c r="H116" s="69"/>
      <c r="I116" s="69"/>
      <c r="J116" s="70"/>
      <c r="K116" s="69"/>
      <c r="L116" s="69"/>
      <c r="M116" s="69"/>
      <c r="N116" s="69"/>
      <c r="O116" s="69"/>
      <c r="P116" s="2"/>
      <c r="Q116" s="2"/>
      <c r="R116" s="32"/>
      <c r="S116" s="32"/>
      <c r="T116" s="32"/>
      <c r="U116" s="32"/>
      <c r="V116" s="2"/>
      <c r="W116" s="2"/>
      <c r="X116" s="2"/>
      <c r="Y116" s="2"/>
      <c r="Z116" s="2"/>
    </row>
    <row r="117" spans="1:26" ht="13.8" x14ac:dyDescent="0.3">
      <c r="A117" s="32"/>
      <c r="B117" s="2"/>
      <c r="C117" s="10"/>
      <c r="D117" s="10"/>
      <c r="E117" s="10"/>
      <c r="F117" s="10"/>
      <c r="G117" s="69"/>
      <c r="H117" s="69"/>
      <c r="I117" s="69"/>
      <c r="J117" s="70"/>
      <c r="K117" s="69"/>
      <c r="L117" s="69"/>
      <c r="M117" s="69"/>
      <c r="N117" s="69"/>
      <c r="O117" s="69"/>
      <c r="P117" s="2"/>
      <c r="Q117" s="2"/>
      <c r="R117" s="32"/>
      <c r="S117" s="32"/>
      <c r="T117" s="32"/>
      <c r="U117" s="32"/>
      <c r="V117" s="2"/>
      <c r="W117" s="2"/>
      <c r="X117" s="2"/>
      <c r="Y117" s="2"/>
      <c r="Z117" s="2"/>
    </row>
    <row r="118" spans="1:26" ht="13.8" x14ac:dyDescent="0.3">
      <c r="A118" s="32"/>
      <c r="B118" s="2"/>
      <c r="C118" s="10"/>
      <c r="D118" s="10"/>
      <c r="E118" s="10"/>
      <c r="F118" s="10"/>
      <c r="G118" s="69"/>
      <c r="H118" s="69"/>
      <c r="I118" s="69"/>
      <c r="J118" s="70"/>
      <c r="K118" s="69"/>
      <c r="L118" s="69"/>
      <c r="M118" s="69"/>
      <c r="N118" s="69"/>
      <c r="O118" s="69"/>
      <c r="P118" s="2"/>
      <c r="Q118" s="2"/>
      <c r="R118" s="32"/>
      <c r="S118" s="32"/>
      <c r="T118" s="32"/>
      <c r="U118" s="32"/>
      <c r="V118" s="2"/>
      <c r="W118" s="2"/>
      <c r="X118" s="2"/>
      <c r="Y118" s="2"/>
      <c r="Z118" s="2"/>
    </row>
    <row r="119" spans="1:26" ht="13.8" x14ac:dyDescent="0.3">
      <c r="A119" s="32"/>
      <c r="B119" s="2"/>
      <c r="C119" s="10"/>
      <c r="D119" s="10"/>
      <c r="E119" s="10"/>
      <c r="F119" s="10"/>
      <c r="G119" s="69"/>
      <c r="H119" s="69"/>
      <c r="I119" s="69"/>
      <c r="J119" s="70"/>
      <c r="K119" s="69"/>
      <c r="L119" s="69"/>
      <c r="M119" s="69"/>
      <c r="N119" s="69"/>
      <c r="O119" s="69"/>
      <c r="P119" s="2"/>
      <c r="Q119" s="2"/>
      <c r="R119" s="32"/>
      <c r="S119" s="32"/>
      <c r="T119" s="32"/>
      <c r="U119" s="32"/>
      <c r="V119" s="2"/>
      <c r="W119" s="2"/>
      <c r="X119" s="2"/>
      <c r="Y119" s="2"/>
      <c r="Z119" s="2"/>
    </row>
    <row r="120" spans="1:26" ht="13.8" x14ac:dyDescent="0.3">
      <c r="A120" s="32"/>
      <c r="B120" s="2"/>
      <c r="C120" s="10"/>
      <c r="D120" s="10"/>
      <c r="E120" s="10"/>
      <c r="F120" s="10"/>
      <c r="G120" s="69"/>
      <c r="H120" s="69"/>
      <c r="I120" s="69"/>
      <c r="J120" s="70"/>
      <c r="K120" s="69"/>
      <c r="L120" s="69"/>
      <c r="M120" s="69"/>
      <c r="N120" s="69"/>
      <c r="O120" s="69"/>
      <c r="P120" s="2"/>
      <c r="Q120" s="2"/>
      <c r="R120" s="32"/>
      <c r="S120" s="32"/>
      <c r="T120" s="32"/>
      <c r="U120" s="32"/>
      <c r="V120" s="2"/>
      <c r="W120" s="2"/>
      <c r="X120" s="2"/>
      <c r="Y120" s="2"/>
      <c r="Z120" s="2"/>
    </row>
    <row r="121" spans="1:26" ht="13.8" x14ac:dyDescent="0.3">
      <c r="A121" s="32"/>
      <c r="B121" s="2"/>
      <c r="C121" s="10"/>
      <c r="D121" s="10"/>
      <c r="E121" s="10"/>
      <c r="F121" s="10"/>
      <c r="G121" s="69"/>
      <c r="H121" s="69"/>
      <c r="I121" s="69"/>
      <c r="J121" s="70"/>
      <c r="K121" s="69"/>
      <c r="L121" s="69"/>
      <c r="M121" s="69"/>
      <c r="N121" s="69"/>
      <c r="O121" s="69"/>
      <c r="P121" s="2"/>
      <c r="Q121" s="2"/>
      <c r="R121" s="32"/>
      <c r="S121" s="32"/>
      <c r="T121" s="32"/>
      <c r="U121" s="32"/>
      <c r="V121" s="2"/>
      <c r="W121" s="2"/>
      <c r="X121" s="2"/>
      <c r="Y121" s="2"/>
      <c r="Z121" s="2"/>
    </row>
    <row r="122" spans="1:26" ht="13.8" x14ac:dyDescent="0.3">
      <c r="A122" s="32"/>
      <c r="B122" s="2"/>
      <c r="C122" s="10"/>
      <c r="D122" s="10"/>
      <c r="E122" s="10"/>
      <c r="F122" s="10"/>
      <c r="G122" s="69"/>
      <c r="H122" s="69"/>
      <c r="I122" s="69"/>
      <c r="J122" s="70"/>
      <c r="K122" s="69"/>
      <c r="L122" s="69"/>
      <c r="M122" s="69"/>
      <c r="N122" s="69"/>
      <c r="O122" s="69"/>
      <c r="P122" s="2"/>
      <c r="Q122" s="2"/>
      <c r="R122" s="32"/>
      <c r="S122" s="32"/>
      <c r="T122" s="32"/>
      <c r="U122" s="32"/>
      <c r="V122" s="2"/>
      <c r="W122" s="2"/>
      <c r="X122" s="2"/>
      <c r="Y122" s="2"/>
      <c r="Z122" s="2"/>
    </row>
    <row r="123" spans="1:26" ht="13.8" x14ac:dyDescent="0.3">
      <c r="A123" s="32"/>
      <c r="B123" s="2"/>
      <c r="C123" s="10"/>
      <c r="D123" s="10"/>
      <c r="E123" s="10"/>
      <c r="F123" s="10"/>
      <c r="G123" s="69"/>
      <c r="H123" s="69"/>
      <c r="I123" s="69"/>
      <c r="J123" s="70"/>
      <c r="K123" s="69"/>
      <c r="L123" s="69"/>
      <c r="M123" s="69"/>
      <c r="N123" s="69"/>
      <c r="O123" s="69"/>
      <c r="P123" s="2"/>
      <c r="Q123" s="2"/>
      <c r="R123" s="32"/>
      <c r="S123" s="32"/>
      <c r="T123" s="32"/>
      <c r="U123" s="32"/>
      <c r="V123" s="2"/>
      <c r="W123" s="2"/>
      <c r="X123" s="2"/>
      <c r="Y123" s="2"/>
      <c r="Z123" s="2"/>
    </row>
    <row r="124" spans="1:26" ht="13.8" x14ac:dyDescent="0.3">
      <c r="A124" s="32"/>
      <c r="B124" s="2"/>
      <c r="C124" s="10"/>
      <c r="D124" s="10"/>
      <c r="E124" s="10"/>
      <c r="F124" s="10"/>
      <c r="G124" s="69"/>
      <c r="H124" s="69"/>
      <c r="I124" s="69"/>
      <c r="J124" s="70"/>
      <c r="K124" s="69"/>
      <c r="L124" s="69"/>
      <c r="M124" s="69"/>
      <c r="N124" s="69"/>
      <c r="O124" s="69"/>
      <c r="P124" s="2"/>
      <c r="Q124" s="2"/>
      <c r="R124" s="32"/>
      <c r="S124" s="32"/>
      <c r="T124" s="32"/>
      <c r="U124" s="32"/>
      <c r="V124" s="2"/>
      <c r="W124" s="2"/>
      <c r="X124" s="2"/>
      <c r="Y124" s="2"/>
      <c r="Z124" s="2"/>
    </row>
    <row r="125" spans="1:26" ht="13.8" x14ac:dyDescent="0.3">
      <c r="A125" s="32"/>
      <c r="B125" s="2"/>
      <c r="C125" s="10"/>
      <c r="D125" s="10"/>
      <c r="E125" s="10"/>
      <c r="F125" s="10"/>
      <c r="G125" s="69"/>
      <c r="H125" s="69"/>
      <c r="I125" s="69"/>
      <c r="J125" s="70"/>
      <c r="K125" s="69"/>
      <c r="L125" s="69"/>
      <c r="M125" s="69"/>
      <c r="N125" s="69"/>
      <c r="O125" s="69"/>
      <c r="P125" s="2"/>
      <c r="Q125" s="2"/>
      <c r="R125" s="32"/>
      <c r="S125" s="32"/>
      <c r="T125" s="32"/>
      <c r="U125" s="32"/>
      <c r="V125" s="2"/>
      <c r="W125" s="2"/>
      <c r="X125" s="2"/>
      <c r="Y125" s="2"/>
      <c r="Z125" s="2"/>
    </row>
    <row r="126" spans="1:26" ht="13.8" x14ac:dyDescent="0.3">
      <c r="A126" s="32"/>
      <c r="B126" s="2"/>
      <c r="C126" s="10"/>
      <c r="D126" s="10"/>
      <c r="E126" s="10"/>
      <c r="F126" s="10"/>
      <c r="G126" s="69"/>
      <c r="H126" s="69"/>
      <c r="I126" s="69"/>
      <c r="J126" s="70"/>
      <c r="K126" s="69"/>
      <c r="L126" s="69"/>
      <c r="M126" s="69"/>
      <c r="N126" s="69"/>
      <c r="O126" s="69"/>
      <c r="P126" s="2"/>
      <c r="Q126" s="2"/>
      <c r="R126" s="32"/>
      <c r="S126" s="32"/>
      <c r="T126" s="32"/>
      <c r="U126" s="32"/>
      <c r="V126" s="2"/>
      <c r="W126" s="2"/>
      <c r="X126" s="2"/>
      <c r="Y126" s="2"/>
      <c r="Z126" s="2"/>
    </row>
    <row r="127" spans="1:26" ht="13.8" x14ac:dyDescent="0.3">
      <c r="A127" s="32"/>
      <c r="B127" s="2"/>
      <c r="C127" s="10"/>
      <c r="D127" s="10"/>
      <c r="E127" s="10"/>
      <c r="F127" s="10"/>
      <c r="G127" s="69"/>
      <c r="H127" s="69"/>
      <c r="I127" s="69"/>
      <c r="J127" s="70"/>
      <c r="K127" s="69"/>
      <c r="L127" s="69"/>
      <c r="M127" s="69"/>
      <c r="N127" s="69"/>
      <c r="O127" s="69"/>
      <c r="P127" s="2"/>
      <c r="Q127" s="2"/>
      <c r="R127" s="32"/>
      <c r="S127" s="32"/>
      <c r="T127" s="32"/>
      <c r="U127" s="32"/>
      <c r="V127" s="2"/>
      <c r="W127" s="2"/>
      <c r="X127" s="2"/>
      <c r="Y127" s="2"/>
      <c r="Z127" s="2"/>
    </row>
    <row r="128" spans="1:26" ht="13.8" x14ac:dyDescent="0.3">
      <c r="A128" s="32"/>
      <c r="B128" s="2"/>
      <c r="C128" s="10"/>
      <c r="D128" s="10"/>
      <c r="E128" s="10"/>
      <c r="F128" s="10"/>
      <c r="G128" s="69"/>
      <c r="H128" s="69"/>
      <c r="I128" s="69"/>
      <c r="J128" s="70"/>
      <c r="K128" s="69"/>
      <c r="L128" s="69"/>
      <c r="M128" s="69"/>
      <c r="N128" s="69"/>
      <c r="O128" s="69"/>
      <c r="P128" s="2"/>
      <c r="Q128" s="2"/>
      <c r="R128" s="32"/>
      <c r="S128" s="32"/>
      <c r="T128" s="32"/>
      <c r="U128" s="32"/>
      <c r="V128" s="2"/>
      <c r="W128" s="2"/>
      <c r="X128" s="2"/>
      <c r="Y128" s="2"/>
      <c r="Z128" s="2"/>
    </row>
    <row r="129" spans="1:26" ht="13.8" x14ac:dyDescent="0.3">
      <c r="A129" s="2"/>
      <c r="B129" s="2"/>
      <c r="C129" s="10"/>
      <c r="D129" s="10"/>
      <c r="E129" s="10"/>
      <c r="F129" s="10"/>
      <c r="G129" s="69"/>
      <c r="H129" s="69"/>
      <c r="I129" s="69"/>
      <c r="J129" s="70"/>
      <c r="K129" s="69"/>
      <c r="L129" s="69"/>
      <c r="M129" s="69"/>
      <c r="N129" s="69"/>
      <c r="O129" s="69"/>
      <c r="P129" s="2"/>
      <c r="Q129" s="2"/>
      <c r="R129" s="32"/>
      <c r="S129" s="32"/>
      <c r="T129" s="32"/>
      <c r="U129" s="32"/>
      <c r="V129" s="2"/>
      <c r="W129" s="2"/>
      <c r="X129" s="2"/>
      <c r="Y129" s="2"/>
      <c r="Z129" s="2"/>
    </row>
    <row r="130" spans="1:26" ht="13.8" x14ac:dyDescent="0.3">
      <c r="A130" s="2"/>
      <c r="B130" s="2"/>
      <c r="C130" s="10"/>
      <c r="D130" s="10"/>
      <c r="E130" s="10"/>
      <c r="F130" s="10"/>
      <c r="G130" s="69"/>
      <c r="H130" s="69"/>
      <c r="I130" s="69"/>
      <c r="J130" s="70"/>
      <c r="K130" s="69"/>
      <c r="L130" s="69"/>
      <c r="M130" s="69"/>
      <c r="N130" s="69"/>
      <c r="O130" s="69"/>
      <c r="P130" s="2"/>
      <c r="Q130" s="2"/>
      <c r="R130" s="32"/>
      <c r="S130" s="32"/>
      <c r="T130" s="32"/>
      <c r="U130" s="32"/>
      <c r="V130" s="2"/>
      <c r="W130" s="2"/>
      <c r="X130" s="2"/>
      <c r="Y130" s="2"/>
      <c r="Z130" s="2"/>
    </row>
    <row r="131" spans="1:26" ht="13.8" x14ac:dyDescent="0.3">
      <c r="A131" s="2"/>
      <c r="B131" s="10"/>
      <c r="C131" s="10"/>
      <c r="D131" s="10"/>
      <c r="E131" s="10"/>
      <c r="F131" s="10"/>
      <c r="G131" s="32"/>
      <c r="H131" s="32"/>
      <c r="I131" s="32"/>
      <c r="J131" s="73"/>
      <c r="K131" s="32"/>
      <c r="L131" s="32"/>
      <c r="M131" s="32"/>
      <c r="N131" s="32"/>
      <c r="O131" s="32"/>
      <c r="P131" s="2"/>
      <c r="Q131" s="2"/>
      <c r="R131" s="32"/>
      <c r="S131" s="32"/>
      <c r="T131" s="32"/>
      <c r="U131" s="32"/>
      <c r="V131" s="2"/>
      <c r="W131" s="2"/>
      <c r="X131" s="2"/>
      <c r="Y131" s="2"/>
      <c r="Z131" s="2"/>
    </row>
    <row r="132" spans="1:26" ht="13.8" x14ac:dyDescent="0.3">
      <c r="A132" s="2"/>
      <c r="B132" s="2"/>
      <c r="C132" s="2"/>
      <c r="D132" s="2"/>
      <c r="E132" s="10"/>
      <c r="F132" s="32"/>
      <c r="G132" s="69"/>
      <c r="H132" s="69"/>
      <c r="I132" s="32"/>
      <c r="J132" s="70"/>
      <c r="K132" s="32"/>
      <c r="L132" s="32"/>
      <c r="M132" s="32"/>
      <c r="N132" s="32"/>
      <c r="O132" s="32"/>
      <c r="P132" s="2"/>
      <c r="Q132" s="2"/>
      <c r="R132" s="32"/>
      <c r="S132" s="32"/>
      <c r="T132" s="32"/>
      <c r="U132" s="32"/>
      <c r="V132" s="2"/>
      <c r="W132" s="2"/>
      <c r="X132" s="2"/>
      <c r="Y132" s="2"/>
      <c r="Z132" s="2"/>
    </row>
    <row r="133" spans="1:26" ht="13.8" x14ac:dyDescent="0.3">
      <c r="A133" s="32"/>
      <c r="B133" s="10"/>
      <c r="C133" s="10"/>
      <c r="D133" s="10"/>
      <c r="E133" s="10"/>
      <c r="F133" s="10"/>
      <c r="G133" s="32"/>
      <c r="H133" s="32"/>
      <c r="I133" s="32"/>
      <c r="J133" s="73"/>
      <c r="K133" s="32"/>
      <c r="L133" s="32"/>
      <c r="M133" s="32"/>
      <c r="N133" s="32"/>
      <c r="O133" s="32"/>
      <c r="P133" s="2"/>
      <c r="Q133" s="2"/>
      <c r="R133" s="32"/>
      <c r="S133" s="32"/>
      <c r="T133" s="32"/>
      <c r="U133" s="32"/>
      <c r="V133" s="2"/>
      <c r="W133" s="2"/>
      <c r="X133" s="2"/>
      <c r="Y133" s="2"/>
      <c r="Z133" s="2"/>
    </row>
    <row r="134" spans="1:26" ht="13.8" x14ac:dyDescent="0.3">
      <c r="A134" s="32"/>
      <c r="B134" s="2"/>
      <c r="C134" s="2"/>
      <c r="D134" s="2"/>
      <c r="E134" s="10"/>
      <c r="F134" s="32"/>
      <c r="G134" s="69"/>
      <c r="H134" s="69"/>
      <c r="I134" s="32"/>
      <c r="J134" s="87"/>
      <c r="K134" s="32"/>
      <c r="L134" s="32"/>
      <c r="M134" s="32"/>
      <c r="N134" s="32"/>
      <c r="O134" s="32"/>
      <c r="P134" s="2"/>
      <c r="Q134" s="2"/>
      <c r="R134" s="32"/>
      <c r="S134" s="32"/>
      <c r="T134" s="32"/>
      <c r="U134" s="32"/>
      <c r="V134" s="2"/>
      <c r="W134" s="2"/>
      <c r="X134" s="2"/>
      <c r="Y134" s="2"/>
      <c r="Z134" s="2"/>
    </row>
    <row r="135" spans="1:26" ht="13.8" x14ac:dyDescent="0.3">
      <c r="A135" s="2"/>
      <c r="B135" s="2"/>
      <c r="C135" s="10"/>
      <c r="D135" s="10"/>
      <c r="E135" s="10"/>
      <c r="F135" s="10"/>
      <c r="G135" s="69"/>
      <c r="H135" s="69"/>
      <c r="I135" s="69"/>
      <c r="J135" s="70"/>
      <c r="K135" s="69"/>
      <c r="L135" s="69"/>
      <c r="M135" s="69"/>
      <c r="N135" s="69"/>
      <c r="O135" s="69"/>
      <c r="P135" s="2"/>
      <c r="Q135" s="2"/>
      <c r="R135" s="32"/>
      <c r="S135" s="32"/>
      <c r="T135" s="32"/>
      <c r="U135" s="32"/>
      <c r="V135" s="2"/>
      <c r="W135" s="2"/>
      <c r="X135" s="2"/>
      <c r="Y135" s="2"/>
      <c r="Z135" s="2"/>
    </row>
    <row r="136" spans="1:26" ht="13.8" x14ac:dyDescent="0.3">
      <c r="A136" s="32"/>
      <c r="B136" s="2"/>
      <c r="C136" s="10"/>
      <c r="D136" s="10"/>
      <c r="E136" s="10"/>
      <c r="F136" s="10"/>
      <c r="G136" s="69"/>
      <c r="H136" s="69"/>
      <c r="I136" s="69"/>
      <c r="J136" s="70"/>
      <c r="K136" s="69"/>
      <c r="L136" s="69"/>
      <c r="M136" s="69"/>
      <c r="N136" s="69"/>
      <c r="O136" s="69"/>
      <c r="P136" s="2"/>
      <c r="Q136" s="2"/>
      <c r="R136" s="32"/>
      <c r="S136" s="32"/>
      <c r="T136" s="32"/>
      <c r="U136" s="32"/>
      <c r="V136" s="2"/>
      <c r="W136" s="2"/>
      <c r="X136" s="2"/>
      <c r="Y136" s="2"/>
      <c r="Z136" s="2"/>
    </row>
    <row r="137" spans="1:26" ht="13.8" x14ac:dyDescent="0.3">
      <c r="A137" s="32"/>
      <c r="B137" s="2"/>
      <c r="C137" s="10"/>
      <c r="D137" s="10"/>
      <c r="E137" s="10"/>
      <c r="F137" s="10"/>
      <c r="G137" s="69"/>
      <c r="H137" s="69"/>
      <c r="I137" s="69"/>
      <c r="J137" s="70"/>
      <c r="K137" s="69"/>
      <c r="L137" s="69"/>
      <c r="M137" s="69"/>
      <c r="N137" s="69"/>
      <c r="O137" s="69"/>
      <c r="P137" s="2"/>
      <c r="Q137" s="2"/>
      <c r="R137" s="32"/>
      <c r="S137" s="32"/>
      <c r="T137" s="32"/>
      <c r="U137" s="32"/>
      <c r="V137" s="2"/>
      <c r="W137" s="2"/>
      <c r="X137" s="2"/>
      <c r="Y137" s="2"/>
      <c r="Z137" s="2"/>
    </row>
    <row r="138" spans="1:26" ht="13.8" x14ac:dyDescent="0.3">
      <c r="A138" s="32"/>
      <c r="B138" s="2"/>
      <c r="C138" s="10"/>
      <c r="D138" s="10"/>
      <c r="E138" s="10"/>
      <c r="F138" s="10"/>
      <c r="G138" s="69"/>
      <c r="H138" s="69"/>
      <c r="I138" s="69"/>
      <c r="J138" s="70"/>
      <c r="K138" s="69"/>
      <c r="L138" s="69"/>
      <c r="M138" s="69"/>
      <c r="N138" s="69"/>
      <c r="O138" s="69"/>
      <c r="P138" s="2"/>
      <c r="Q138" s="2"/>
      <c r="R138" s="32"/>
      <c r="S138" s="32"/>
      <c r="T138" s="32"/>
      <c r="U138" s="32"/>
      <c r="V138" s="2"/>
      <c r="W138" s="2"/>
      <c r="X138" s="2"/>
      <c r="Y138" s="2"/>
      <c r="Z138" s="2"/>
    </row>
    <row r="139" spans="1:26" ht="13.8" x14ac:dyDescent="0.3">
      <c r="A139" s="32"/>
      <c r="B139" s="2"/>
      <c r="C139" s="10"/>
      <c r="D139" s="10"/>
      <c r="E139" s="10"/>
      <c r="F139" s="10"/>
      <c r="G139" s="69"/>
      <c r="H139" s="69"/>
      <c r="I139" s="69"/>
      <c r="J139" s="70"/>
      <c r="K139" s="69"/>
      <c r="L139" s="69"/>
      <c r="M139" s="69"/>
      <c r="N139" s="69"/>
      <c r="O139" s="69"/>
      <c r="P139" s="2"/>
      <c r="Q139" s="2"/>
      <c r="R139" s="32"/>
      <c r="S139" s="32"/>
      <c r="T139" s="32"/>
      <c r="U139" s="32"/>
      <c r="V139" s="2"/>
      <c r="W139" s="2"/>
      <c r="X139" s="2"/>
      <c r="Y139" s="2"/>
      <c r="Z139" s="2"/>
    </row>
    <row r="140" spans="1:26" ht="13.8" x14ac:dyDescent="0.3">
      <c r="A140" s="32"/>
      <c r="B140" s="2"/>
      <c r="C140" s="10"/>
      <c r="D140" s="10"/>
      <c r="E140" s="10"/>
      <c r="F140" s="10"/>
      <c r="G140" s="69"/>
      <c r="H140" s="69"/>
      <c r="I140" s="69"/>
      <c r="J140" s="70"/>
      <c r="K140" s="69"/>
      <c r="L140" s="69"/>
      <c r="M140" s="69"/>
      <c r="N140" s="69"/>
      <c r="O140" s="69"/>
      <c r="P140" s="2"/>
      <c r="Q140" s="2"/>
      <c r="R140" s="32"/>
      <c r="S140" s="32"/>
      <c r="T140" s="32"/>
      <c r="U140" s="32"/>
      <c r="V140" s="2"/>
      <c r="W140" s="2"/>
      <c r="X140" s="2"/>
      <c r="Y140" s="2"/>
      <c r="Z140" s="2"/>
    </row>
    <row r="141" spans="1:26" ht="13.8" x14ac:dyDescent="0.3">
      <c r="A141" s="32"/>
      <c r="B141" s="2"/>
      <c r="C141" s="10"/>
      <c r="D141" s="10"/>
      <c r="E141" s="10"/>
      <c r="F141" s="10"/>
      <c r="G141" s="69"/>
      <c r="H141" s="69"/>
      <c r="I141" s="69"/>
      <c r="J141" s="70"/>
      <c r="K141" s="69"/>
      <c r="L141" s="69"/>
      <c r="M141" s="69"/>
      <c r="N141" s="69"/>
      <c r="O141" s="69"/>
      <c r="P141" s="2"/>
      <c r="Q141" s="2"/>
      <c r="R141" s="32"/>
      <c r="S141" s="32"/>
      <c r="T141" s="32"/>
      <c r="U141" s="32"/>
      <c r="V141" s="2"/>
      <c r="W141" s="2"/>
      <c r="X141" s="2"/>
      <c r="Y141" s="2"/>
      <c r="Z141" s="2"/>
    </row>
    <row r="142" spans="1:26" ht="13.8" x14ac:dyDescent="0.3">
      <c r="A142" s="32"/>
      <c r="B142" s="2"/>
      <c r="C142" s="10"/>
      <c r="D142" s="10"/>
      <c r="E142" s="10"/>
      <c r="F142" s="2"/>
      <c r="G142" s="69"/>
      <c r="H142" s="69"/>
      <c r="I142" s="69"/>
      <c r="J142" s="70"/>
      <c r="K142" s="69"/>
      <c r="L142" s="69"/>
      <c r="M142" s="69"/>
      <c r="N142" s="69"/>
      <c r="O142" s="69"/>
      <c r="P142" s="2"/>
      <c r="Q142" s="2"/>
      <c r="R142" s="32"/>
      <c r="S142" s="32"/>
      <c r="T142" s="32"/>
      <c r="U142" s="32"/>
      <c r="V142" s="2"/>
      <c r="W142" s="2"/>
      <c r="X142" s="2"/>
      <c r="Y142" s="2"/>
      <c r="Z142" s="2"/>
    </row>
    <row r="143" spans="1:26" ht="13.8" x14ac:dyDescent="0.3">
      <c r="A143" s="32"/>
      <c r="B143" s="2"/>
      <c r="C143" s="10"/>
      <c r="D143" s="10"/>
      <c r="E143" s="10"/>
      <c r="F143" s="2"/>
      <c r="G143" s="69"/>
      <c r="H143" s="69"/>
      <c r="I143" s="69"/>
      <c r="J143" s="70"/>
      <c r="K143" s="69"/>
      <c r="L143" s="69"/>
      <c r="M143" s="69"/>
      <c r="N143" s="69"/>
      <c r="O143" s="69"/>
      <c r="P143" s="2"/>
      <c r="Q143" s="2"/>
      <c r="R143" s="32"/>
      <c r="S143" s="32"/>
      <c r="T143" s="32"/>
      <c r="U143" s="3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10"/>
      <c r="F144" s="2"/>
      <c r="G144" s="69"/>
      <c r="H144" s="69"/>
      <c r="I144" s="69"/>
      <c r="J144" s="70"/>
      <c r="K144" s="69"/>
      <c r="L144" s="69"/>
      <c r="M144" s="69"/>
      <c r="N144" s="69"/>
      <c r="O144" s="69"/>
      <c r="P144" s="2"/>
      <c r="Q144" s="2"/>
      <c r="R144" s="32"/>
      <c r="S144" s="32"/>
      <c r="T144" s="32"/>
      <c r="U144" s="32"/>
      <c r="V144" s="2"/>
      <c r="W144" s="2"/>
      <c r="X144" s="2"/>
      <c r="Y144" s="2"/>
      <c r="Z144" s="2"/>
    </row>
    <row r="145" spans="1:26" ht="13.8" x14ac:dyDescent="0.3">
      <c r="A145" s="2"/>
      <c r="B145" s="2"/>
      <c r="C145" s="10"/>
      <c r="D145" s="10"/>
      <c r="E145" s="10"/>
      <c r="F145" s="2"/>
      <c r="G145" s="69"/>
      <c r="H145" s="69"/>
      <c r="I145" s="69"/>
      <c r="J145" s="70"/>
      <c r="K145" s="69"/>
      <c r="L145" s="69"/>
      <c r="M145" s="69"/>
      <c r="N145" s="69"/>
      <c r="O145" s="69"/>
      <c r="P145" s="2"/>
      <c r="Q145" s="2"/>
      <c r="R145" s="32"/>
      <c r="S145" s="32"/>
      <c r="T145" s="32"/>
      <c r="U145" s="3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10"/>
      <c r="F146" s="2"/>
      <c r="G146" s="69"/>
      <c r="H146" s="69"/>
      <c r="I146" s="69"/>
      <c r="J146" s="70"/>
      <c r="K146" s="69"/>
      <c r="L146" s="69"/>
      <c r="M146" s="69"/>
      <c r="N146" s="69"/>
      <c r="O146" s="69"/>
      <c r="P146" s="2"/>
      <c r="Q146" s="2"/>
      <c r="R146" s="32"/>
      <c r="S146" s="32"/>
      <c r="T146" s="32"/>
      <c r="U146" s="32"/>
      <c r="V146" s="2"/>
      <c r="W146" s="2"/>
      <c r="X146" s="2"/>
      <c r="Y146" s="2"/>
      <c r="Z146" s="2"/>
    </row>
    <row r="147" spans="1:26" ht="13.8" x14ac:dyDescent="0.3">
      <c r="A147" s="2"/>
      <c r="B147" s="2"/>
      <c r="C147" s="10"/>
      <c r="D147" s="10"/>
      <c r="E147" s="10"/>
      <c r="F147" s="2"/>
      <c r="G147" s="69"/>
      <c r="H147" s="69"/>
      <c r="I147" s="69"/>
      <c r="J147" s="70"/>
      <c r="K147" s="69"/>
      <c r="L147" s="69"/>
      <c r="M147" s="69"/>
      <c r="N147" s="69"/>
      <c r="O147" s="69"/>
      <c r="P147" s="2"/>
      <c r="Q147" s="2"/>
      <c r="R147" s="32"/>
      <c r="S147" s="32"/>
      <c r="T147" s="32"/>
      <c r="U147" s="3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10"/>
      <c r="F148" s="10"/>
      <c r="G148" s="32"/>
      <c r="H148" s="32"/>
      <c r="I148" s="32"/>
      <c r="J148" s="73"/>
      <c r="K148" s="32"/>
      <c r="L148" s="32"/>
      <c r="M148" s="32"/>
      <c r="N148" s="32"/>
      <c r="O148" s="32"/>
      <c r="P148" s="2"/>
      <c r="Q148" s="2"/>
      <c r="R148" s="32"/>
      <c r="S148" s="32"/>
      <c r="T148" s="32"/>
      <c r="U148" s="32"/>
      <c r="V148" s="2"/>
      <c r="W148" s="2"/>
      <c r="X148" s="2"/>
      <c r="Y148" s="2"/>
      <c r="Z148" s="2"/>
    </row>
    <row r="149" spans="1:26" ht="13.8" x14ac:dyDescent="0.3">
      <c r="A149" s="2"/>
      <c r="B149" s="2"/>
      <c r="C149" s="2"/>
      <c r="D149" s="2"/>
      <c r="E149" s="10"/>
      <c r="F149" s="32"/>
      <c r="G149" s="69"/>
      <c r="H149" s="69"/>
      <c r="I149" s="32"/>
      <c r="J149" s="87"/>
      <c r="K149" s="32"/>
      <c r="L149" s="32"/>
      <c r="M149" s="32"/>
      <c r="N149" s="32"/>
      <c r="O149" s="32"/>
      <c r="P149" s="2"/>
      <c r="Q149" s="2"/>
      <c r="R149" s="32"/>
      <c r="S149" s="32"/>
      <c r="T149" s="32"/>
      <c r="U149" s="32"/>
      <c r="V149" s="2"/>
      <c r="W149" s="2"/>
      <c r="X149" s="2"/>
      <c r="Y149" s="2"/>
      <c r="Z149" s="2"/>
    </row>
    <row r="150" spans="1:26" ht="13.8" x14ac:dyDescent="0.3">
      <c r="A150" s="2"/>
      <c r="B150" s="2"/>
      <c r="C150" s="10"/>
      <c r="D150" s="10"/>
      <c r="E150" s="10"/>
      <c r="F150" s="10"/>
      <c r="G150" s="69"/>
      <c r="H150" s="69"/>
      <c r="I150" s="69"/>
      <c r="J150" s="70"/>
      <c r="K150" s="69"/>
      <c r="L150" s="69"/>
      <c r="M150" s="69"/>
      <c r="N150" s="69"/>
      <c r="O150" s="69"/>
      <c r="P150" s="2"/>
      <c r="Q150" s="2"/>
      <c r="R150" s="32"/>
      <c r="S150" s="32"/>
      <c r="T150" s="32"/>
      <c r="U150" s="32"/>
      <c r="V150" s="2"/>
      <c r="W150" s="2"/>
      <c r="X150" s="2"/>
      <c r="Y150" s="2"/>
      <c r="Z150" s="2"/>
    </row>
    <row r="151" spans="1:26" ht="13.8" x14ac:dyDescent="0.3">
      <c r="A151" s="2"/>
      <c r="B151" s="2"/>
      <c r="C151" s="10"/>
      <c r="D151" s="10"/>
      <c r="E151" s="10"/>
      <c r="F151" s="10"/>
      <c r="G151" s="69"/>
      <c r="H151" s="69"/>
      <c r="I151" s="69"/>
      <c r="J151" s="70"/>
      <c r="K151" s="69"/>
      <c r="L151" s="69"/>
      <c r="M151" s="69"/>
      <c r="N151" s="69"/>
      <c r="O151" s="69"/>
      <c r="P151" s="2"/>
      <c r="Q151" s="2"/>
      <c r="R151" s="32"/>
      <c r="S151" s="32"/>
      <c r="T151" s="32"/>
      <c r="U151" s="32"/>
      <c r="V151" s="2"/>
      <c r="W151" s="2"/>
      <c r="X151" s="2"/>
      <c r="Y151" s="2"/>
      <c r="Z151" s="2"/>
    </row>
    <row r="152" spans="1:26" ht="13.8" x14ac:dyDescent="0.3">
      <c r="A152" s="32"/>
      <c r="B152" s="2"/>
      <c r="C152" s="10"/>
      <c r="D152" s="10"/>
      <c r="E152" s="10"/>
      <c r="F152" s="10"/>
      <c r="G152" s="69"/>
      <c r="H152" s="69"/>
      <c r="I152" s="69"/>
      <c r="J152" s="70"/>
      <c r="K152" s="69"/>
      <c r="L152" s="69"/>
      <c r="M152" s="69"/>
      <c r="N152" s="69"/>
      <c r="O152" s="69"/>
      <c r="P152" s="2"/>
      <c r="Q152" s="2"/>
      <c r="R152" s="32"/>
      <c r="S152" s="32"/>
      <c r="T152" s="32"/>
      <c r="U152" s="32"/>
      <c r="V152" s="2"/>
      <c r="W152" s="2"/>
      <c r="X152" s="2"/>
      <c r="Y152" s="2"/>
      <c r="Z152" s="2"/>
    </row>
    <row r="153" spans="1:26" ht="13.8" x14ac:dyDescent="0.3">
      <c r="A153" s="32"/>
      <c r="B153" s="2"/>
      <c r="C153" s="10"/>
      <c r="D153" s="10"/>
      <c r="E153" s="10"/>
      <c r="F153" s="10"/>
      <c r="G153" s="69"/>
      <c r="H153" s="69"/>
      <c r="I153" s="69"/>
      <c r="J153" s="70"/>
      <c r="K153" s="69"/>
      <c r="L153" s="69"/>
      <c r="M153" s="69"/>
      <c r="N153" s="69"/>
      <c r="O153" s="69"/>
      <c r="P153" s="2"/>
      <c r="Q153" s="2"/>
      <c r="R153" s="32"/>
      <c r="S153" s="32"/>
      <c r="T153" s="32"/>
      <c r="U153" s="32"/>
      <c r="V153" s="2"/>
      <c r="W153" s="2"/>
      <c r="X153" s="2"/>
      <c r="Y153" s="2"/>
      <c r="Z153" s="2"/>
    </row>
    <row r="154" spans="1:26" ht="13.8" x14ac:dyDescent="0.3">
      <c r="A154" s="32"/>
      <c r="B154" s="2"/>
      <c r="C154" s="10"/>
      <c r="D154" s="10"/>
      <c r="E154" s="10"/>
      <c r="F154" s="10"/>
      <c r="G154" s="69"/>
      <c r="H154" s="69"/>
      <c r="I154" s="69"/>
      <c r="J154" s="70"/>
      <c r="K154" s="69"/>
      <c r="L154" s="69"/>
      <c r="M154" s="69"/>
      <c r="N154" s="69"/>
      <c r="O154" s="69"/>
      <c r="P154" s="2"/>
      <c r="Q154" s="2"/>
      <c r="R154" s="32"/>
      <c r="S154" s="32"/>
      <c r="T154" s="32"/>
      <c r="U154" s="32"/>
      <c r="V154" s="2"/>
      <c r="W154" s="2"/>
      <c r="X154" s="2"/>
      <c r="Y154" s="2"/>
      <c r="Z154" s="2"/>
    </row>
    <row r="155" spans="1:26" ht="13.8" x14ac:dyDescent="0.3">
      <c r="A155" s="32"/>
      <c r="B155" s="2"/>
      <c r="C155" s="10"/>
      <c r="D155" s="10"/>
      <c r="E155" s="10"/>
      <c r="F155" s="10"/>
      <c r="G155" s="69"/>
      <c r="H155" s="69"/>
      <c r="I155" s="69"/>
      <c r="J155" s="70"/>
      <c r="K155" s="69"/>
      <c r="L155" s="69"/>
      <c r="M155" s="69"/>
      <c r="N155" s="69"/>
      <c r="O155" s="69"/>
      <c r="P155" s="2"/>
      <c r="Q155" s="2"/>
      <c r="R155" s="32"/>
      <c r="S155" s="32"/>
      <c r="T155" s="32"/>
      <c r="U155" s="32"/>
      <c r="V155" s="2"/>
      <c r="W155" s="2"/>
      <c r="X155" s="2"/>
      <c r="Y155" s="2"/>
      <c r="Z155" s="2"/>
    </row>
    <row r="156" spans="1:26" ht="13.8" x14ac:dyDescent="0.3">
      <c r="A156" s="32"/>
      <c r="B156" s="2"/>
      <c r="C156" s="10"/>
      <c r="D156" s="10"/>
      <c r="E156" s="10"/>
      <c r="F156" s="10"/>
      <c r="G156" s="69"/>
      <c r="H156" s="69"/>
      <c r="I156" s="69"/>
      <c r="J156" s="70"/>
      <c r="K156" s="69"/>
      <c r="L156" s="69"/>
      <c r="M156" s="69"/>
      <c r="N156" s="69"/>
      <c r="O156" s="69"/>
      <c r="P156" s="2"/>
      <c r="Q156" s="2"/>
      <c r="R156" s="32"/>
      <c r="S156" s="32"/>
      <c r="T156" s="32"/>
      <c r="U156" s="32"/>
      <c r="V156" s="2"/>
      <c r="W156" s="2"/>
      <c r="X156" s="2"/>
      <c r="Y156" s="2"/>
      <c r="Z156" s="2"/>
    </row>
    <row r="157" spans="1:26" ht="13.8" x14ac:dyDescent="0.3">
      <c r="A157" s="32"/>
      <c r="B157" s="2"/>
      <c r="C157" s="10"/>
      <c r="D157" s="10"/>
      <c r="E157" s="10"/>
      <c r="F157" s="10"/>
      <c r="G157" s="69"/>
      <c r="H157" s="69"/>
      <c r="I157" s="69"/>
      <c r="J157" s="70"/>
      <c r="K157" s="69"/>
      <c r="L157" s="69"/>
      <c r="M157" s="69"/>
      <c r="N157" s="69"/>
      <c r="O157" s="69"/>
      <c r="P157" s="2"/>
      <c r="Q157" s="2"/>
      <c r="R157" s="32"/>
      <c r="S157" s="32"/>
      <c r="T157" s="32"/>
      <c r="U157" s="32"/>
      <c r="V157" s="2"/>
      <c r="W157" s="2"/>
      <c r="X157" s="2"/>
      <c r="Y157" s="2"/>
      <c r="Z157" s="2"/>
    </row>
    <row r="158" spans="1:26" ht="13.8" x14ac:dyDescent="0.3">
      <c r="A158" s="32"/>
      <c r="B158" s="2"/>
      <c r="C158" s="10"/>
      <c r="D158" s="10"/>
      <c r="E158" s="10"/>
      <c r="F158" s="10"/>
      <c r="G158" s="69"/>
      <c r="H158" s="69"/>
      <c r="I158" s="69"/>
      <c r="J158" s="70"/>
      <c r="K158" s="69"/>
      <c r="L158" s="69"/>
      <c r="M158" s="69"/>
      <c r="N158" s="69"/>
      <c r="O158" s="69"/>
      <c r="P158" s="2"/>
      <c r="Q158" s="2"/>
      <c r="R158" s="32"/>
      <c r="S158" s="32"/>
      <c r="T158" s="32"/>
      <c r="U158" s="32"/>
      <c r="V158" s="2"/>
      <c r="W158" s="2"/>
      <c r="X158" s="2"/>
      <c r="Y158" s="2"/>
      <c r="Z158" s="2"/>
    </row>
    <row r="159" spans="1:26" ht="13.8" x14ac:dyDescent="0.3">
      <c r="A159" s="32"/>
      <c r="B159" s="2"/>
      <c r="C159" s="10"/>
      <c r="D159" s="10"/>
      <c r="E159" s="10"/>
      <c r="F159" s="10"/>
      <c r="G159" s="69"/>
      <c r="H159" s="69"/>
      <c r="I159" s="69"/>
      <c r="J159" s="70"/>
      <c r="K159" s="69"/>
      <c r="L159" s="69"/>
      <c r="M159" s="69"/>
      <c r="N159" s="69"/>
      <c r="O159" s="69"/>
      <c r="P159" s="2"/>
      <c r="Q159" s="2"/>
      <c r="R159" s="32"/>
      <c r="S159" s="32"/>
      <c r="T159" s="32"/>
      <c r="U159" s="32"/>
      <c r="V159" s="2"/>
      <c r="W159" s="2"/>
      <c r="X159" s="2"/>
      <c r="Y159" s="2"/>
      <c r="Z159" s="2"/>
    </row>
    <row r="160" spans="1:26" ht="13.8" x14ac:dyDescent="0.3">
      <c r="A160" s="32"/>
      <c r="B160" s="2"/>
      <c r="C160" s="10"/>
      <c r="D160" s="10"/>
      <c r="E160" s="10"/>
      <c r="F160" s="10"/>
      <c r="G160" s="69"/>
      <c r="H160" s="69"/>
      <c r="I160" s="69"/>
      <c r="J160" s="70"/>
      <c r="K160" s="69"/>
      <c r="L160" s="69"/>
      <c r="M160" s="69"/>
      <c r="N160" s="69"/>
      <c r="O160" s="69"/>
      <c r="P160" s="2"/>
      <c r="Q160" s="2"/>
      <c r="R160" s="32"/>
      <c r="S160" s="32"/>
      <c r="T160" s="32"/>
      <c r="U160" s="32"/>
      <c r="V160" s="2"/>
      <c r="W160" s="2"/>
      <c r="X160" s="2"/>
      <c r="Y160" s="2"/>
      <c r="Z160" s="2"/>
    </row>
    <row r="161" spans="1:26" ht="13.8" x14ac:dyDescent="0.3">
      <c r="A161" s="32"/>
      <c r="B161" s="2"/>
      <c r="C161" s="10"/>
      <c r="D161" s="10"/>
      <c r="E161" s="10"/>
      <c r="F161" s="10"/>
      <c r="G161" s="69"/>
      <c r="H161" s="69"/>
      <c r="I161" s="69"/>
      <c r="J161" s="70"/>
      <c r="K161" s="69"/>
      <c r="L161" s="69"/>
      <c r="M161" s="69"/>
      <c r="N161" s="69"/>
      <c r="O161" s="69"/>
      <c r="P161" s="2"/>
      <c r="Q161" s="2"/>
      <c r="R161" s="32"/>
      <c r="S161" s="32"/>
      <c r="T161" s="32"/>
      <c r="U161" s="32"/>
      <c r="V161" s="2"/>
      <c r="W161" s="2"/>
      <c r="X161" s="2"/>
      <c r="Y161" s="2"/>
      <c r="Z161" s="2"/>
    </row>
    <row r="162" spans="1:26" ht="13.8" x14ac:dyDescent="0.3">
      <c r="A162" s="32"/>
      <c r="B162" s="2"/>
      <c r="C162" s="10"/>
      <c r="D162" s="10"/>
      <c r="E162" s="10"/>
      <c r="F162" s="10"/>
      <c r="G162" s="69"/>
      <c r="H162" s="69"/>
      <c r="I162" s="69"/>
      <c r="J162" s="70"/>
      <c r="K162" s="69"/>
      <c r="L162" s="69"/>
      <c r="M162" s="69"/>
      <c r="N162" s="69"/>
      <c r="O162" s="69"/>
      <c r="P162" s="2"/>
      <c r="Q162" s="2"/>
      <c r="R162" s="32"/>
      <c r="S162" s="32"/>
      <c r="T162" s="32"/>
      <c r="U162" s="32"/>
      <c r="V162" s="2"/>
      <c r="W162" s="2"/>
      <c r="X162" s="2"/>
      <c r="Y162" s="2"/>
      <c r="Z162" s="2"/>
    </row>
    <row r="163" spans="1:26" ht="13.8" x14ac:dyDescent="0.3">
      <c r="A163" s="32"/>
      <c r="B163" s="2"/>
      <c r="C163" s="10"/>
      <c r="D163" s="10"/>
      <c r="E163" s="10"/>
      <c r="F163" s="10"/>
      <c r="G163" s="69"/>
      <c r="H163" s="69"/>
      <c r="I163" s="69"/>
      <c r="J163" s="70"/>
      <c r="K163" s="69"/>
      <c r="L163" s="69"/>
      <c r="M163" s="69"/>
      <c r="N163" s="69"/>
      <c r="O163" s="69"/>
      <c r="P163" s="2"/>
      <c r="Q163" s="2"/>
      <c r="R163" s="32"/>
      <c r="S163" s="32"/>
      <c r="T163" s="32"/>
      <c r="U163" s="32"/>
      <c r="V163" s="2"/>
      <c r="W163" s="2"/>
      <c r="X163" s="2"/>
      <c r="Y163" s="2"/>
      <c r="Z163" s="2"/>
    </row>
    <row r="164" spans="1:26" ht="13.8" x14ac:dyDescent="0.3">
      <c r="A164" s="32"/>
      <c r="B164" s="2"/>
      <c r="C164" s="10"/>
      <c r="D164" s="10"/>
      <c r="E164" s="10"/>
      <c r="F164" s="10"/>
      <c r="G164" s="69"/>
      <c r="H164" s="69"/>
      <c r="I164" s="69"/>
      <c r="J164" s="70"/>
      <c r="K164" s="69"/>
      <c r="L164" s="69"/>
      <c r="M164" s="69"/>
      <c r="N164" s="69"/>
      <c r="O164" s="69"/>
      <c r="P164" s="2"/>
      <c r="Q164" s="2"/>
      <c r="R164" s="32"/>
      <c r="S164" s="32"/>
      <c r="T164" s="32"/>
      <c r="U164" s="32"/>
      <c r="V164" s="2"/>
      <c r="W164" s="2"/>
      <c r="X164" s="2"/>
      <c r="Y164" s="2"/>
      <c r="Z164" s="2"/>
    </row>
    <row r="165" spans="1:26" ht="13.8" x14ac:dyDescent="0.3">
      <c r="A165" s="32"/>
      <c r="B165" s="2"/>
      <c r="C165" s="10"/>
      <c r="D165" s="10"/>
      <c r="E165" s="10"/>
      <c r="F165" s="10"/>
      <c r="G165" s="69"/>
      <c r="H165" s="69"/>
      <c r="I165" s="69"/>
      <c r="J165" s="70"/>
      <c r="K165" s="69"/>
      <c r="L165" s="69"/>
      <c r="M165" s="69"/>
      <c r="N165" s="69"/>
      <c r="O165" s="69"/>
      <c r="P165" s="2"/>
      <c r="Q165" s="2"/>
      <c r="R165" s="32"/>
      <c r="S165" s="32"/>
      <c r="T165" s="32"/>
      <c r="U165" s="32"/>
      <c r="V165" s="2"/>
      <c r="W165" s="2"/>
      <c r="X165" s="2"/>
      <c r="Y165" s="2"/>
      <c r="Z165" s="2"/>
    </row>
    <row r="166" spans="1:26" ht="13.8" x14ac:dyDescent="0.3">
      <c r="A166" s="32"/>
      <c r="B166" s="2"/>
      <c r="C166" s="10"/>
      <c r="D166" s="10"/>
      <c r="E166" s="10"/>
      <c r="F166" s="10"/>
      <c r="G166" s="69"/>
      <c r="H166" s="69"/>
      <c r="I166" s="69"/>
      <c r="J166" s="70"/>
      <c r="K166" s="69"/>
      <c r="L166" s="69"/>
      <c r="M166" s="69"/>
      <c r="N166" s="69"/>
      <c r="O166" s="69"/>
      <c r="P166" s="2"/>
      <c r="Q166" s="2"/>
      <c r="R166" s="32"/>
      <c r="S166" s="32"/>
      <c r="T166" s="32"/>
      <c r="U166" s="32"/>
      <c r="V166" s="2"/>
      <c r="W166" s="2"/>
      <c r="X166" s="2"/>
      <c r="Y166" s="2"/>
      <c r="Z166" s="2"/>
    </row>
    <row r="167" spans="1:26" ht="13.8" x14ac:dyDescent="0.3">
      <c r="A167" s="32"/>
      <c r="B167" s="2"/>
      <c r="C167" s="10"/>
      <c r="D167" s="10"/>
      <c r="E167" s="10"/>
      <c r="F167" s="10"/>
      <c r="G167" s="69"/>
      <c r="H167" s="69"/>
      <c r="I167" s="69"/>
      <c r="J167" s="70"/>
      <c r="K167" s="69"/>
      <c r="L167" s="69"/>
      <c r="M167" s="69"/>
      <c r="N167" s="69"/>
      <c r="O167" s="69"/>
      <c r="P167" s="2"/>
      <c r="Q167" s="2"/>
      <c r="R167" s="32"/>
      <c r="S167" s="32"/>
      <c r="T167" s="32"/>
      <c r="U167" s="32"/>
      <c r="V167" s="2"/>
      <c r="W167" s="2"/>
      <c r="X167" s="2"/>
      <c r="Y167" s="2"/>
      <c r="Z167" s="2"/>
    </row>
    <row r="168" spans="1:26" ht="13.8" x14ac:dyDescent="0.3">
      <c r="A168" s="32"/>
      <c r="B168" s="2"/>
      <c r="C168" s="10"/>
      <c r="D168" s="10"/>
      <c r="E168" s="10"/>
      <c r="F168" s="10"/>
      <c r="G168" s="69"/>
      <c r="H168" s="69"/>
      <c r="I168" s="69"/>
      <c r="J168" s="70"/>
      <c r="K168" s="69"/>
      <c r="L168" s="69"/>
      <c r="M168" s="69"/>
      <c r="N168" s="69"/>
      <c r="O168" s="69"/>
      <c r="P168" s="2"/>
      <c r="Q168" s="2"/>
      <c r="R168" s="32"/>
      <c r="S168" s="32"/>
      <c r="T168" s="32"/>
      <c r="U168" s="32"/>
      <c r="V168" s="2"/>
      <c r="W168" s="2"/>
      <c r="X168" s="2"/>
      <c r="Y168" s="2"/>
      <c r="Z168" s="2"/>
    </row>
    <row r="169" spans="1:26" ht="13.8" x14ac:dyDescent="0.3">
      <c r="A169" s="32"/>
      <c r="B169" s="2"/>
      <c r="C169" s="10"/>
      <c r="D169" s="10"/>
      <c r="E169" s="10"/>
      <c r="F169" s="10"/>
      <c r="G169" s="69"/>
      <c r="H169" s="69"/>
      <c r="I169" s="69"/>
      <c r="J169" s="70"/>
      <c r="K169" s="69"/>
      <c r="L169" s="69"/>
      <c r="M169" s="69"/>
      <c r="N169" s="69"/>
      <c r="O169" s="69"/>
      <c r="P169" s="2"/>
      <c r="Q169" s="2"/>
      <c r="R169" s="32"/>
      <c r="S169" s="32"/>
      <c r="T169" s="32"/>
      <c r="U169" s="32"/>
      <c r="V169" s="2"/>
      <c r="W169" s="2"/>
      <c r="X169" s="2"/>
      <c r="Y169" s="2"/>
      <c r="Z169" s="2"/>
    </row>
    <row r="170" spans="1:26" ht="13.8" x14ac:dyDescent="0.3">
      <c r="A170" s="32"/>
      <c r="B170" s="2"/>
      <c r="C170" s="10"/>
      <c r="D170" s="10"/>
      <c r="E170" s="10"/>
      <c r="F170" s="10"/>
      <c r="G170" s="69"/>
      <c r="H170" s="69"/>
      <c r="I170" s="69"/>
      <c r="J170" s="70"/>
      <c r="K170" s="69"/>
      <c r="L170" s="69"/>
      <c r="M170" s="69"/>
      <c r="N170" s="69"/>
      <c r="O170" s="69"/>
      <c r="P170" s="2"/>
      <c r="Q170" s="2"/>
      <c r="R170" s="32"/>
      <c r="S170" s="32"/>
      <c r="T170" s="32"/>
      <c r="U170" s="32"/>
      <c r="V170" s="2"/>
      <c r="W170" s="2"/>
      <c r="X170" s="2"/>
      <c r="Y170" s="2"/>
      <c r="Z170" s="2"/>
    </row>
    <row r="171" spans="1:26" ht="13.8" x14ac:dyDescent="0.3">
      <c r="A171" s="32"/>
      <c r="B171" s="2"/>
      <c r="C171" s="10"/>
      <c r="D171" s="10"/>
      <c r="E171" s="10"/>
      <c r="F171" s="10"/>
      <c r="G171" s="69"/>
      <c r="H171" s="69"/>
      <c r="I171" s="69"/>
      <c r="J171" s="70"/>
      <c r="K171" s="69"/>
      <c r="L171" s="69"/>
      <c r="M171" s="69"/>
      <c r="N171" s="69"/>
      <c r="O171" s="69"/>
      <c r="P171" s="2"/>
      <c r="Q171" s="2"/>
      <c r="R171" s="32"/>
      <c r="S171" s="32"/>
      <c r="T171" s="32"/>
      <c r="U171" s="32"/>
      <c r="V171" s="2"/>
      <c r="W171" s="2"/>
      <c r="X171" s="2"/>
      <c r="Y171" s="2"/>
      <c r="Z171" s="2"/>
    </row>
    <row r="172" spans="1:26" ht="13.8" x14ac:dyDescent="0.3">
      <c r="A172" s="32"/>
      <c r="B172" s="2"/>
      <c r="C172" s="10"/>
      <c r="D172" s="10"/>
      <c r="E172" s="10"/>
      <c r="F172" s="10"/>
      <c r="G172" s="69"/>
      <c r="H172" s="69"/>
      <c r="I172" s="69"/>
      <c r="J172" s="70"/>
      <c r="K172" s="69"/>
      <c r="L172" s="69"/>
      <c r="M172" s="69"/>
      <c r="N172" s="69"/>
      <c r="O172" s="69"/>
      <c r="P172" s="2"/>
      <c r="Q172" s="2"/>
      <c r="R172" s="32"/>
      <c r="S172" s="32"/>
      <c r="T172" s="32"/>
      <c r="U172" s="32"/>
      <c r="V172" s="2"/>
      <c r="W172" s="2"/>
      <c r="X172" s="2"/>
      <c r="Y172" s="2"/>
      <c r="Z172" s="2"/>
    </row>
    <row r="173" spans="1:26" ht="13.8" x14ac:dyDescent="0.3">
      <c r="A173" s="32"/>
      <c r="B173" s="2"/>
      <c r="C173" s="10"/>
      <c r="D173" s="10"/>
      <c r="E173" s="10"/>
      <c r="F173" s="10"/>
      <c r="G173" s="69"/>
      <c r="H173" s="69"/>
      <c r="I173" s="69"/>
      <c r="J173" s="70"/>
      <c r="K173" s="69"/>
      <c r="L173" s="69"/>
      <c r="M173" s="69"/>
      <c r="N173" s="69"/>
      <c r="O173" s="69"/>
      <c r="P173" s="2"/>
      <c r="Q173" s="2"/>
      <c r="R173" s="32"/>
      <c r="S173" s="32"/>
      <c r="T173" s="32"/>
      <c r="U173" s="32"/>
      <c r="V173" s="2"/>
      <c r="W173" s="2"/>
      <c r="X173" s="2"/>
      <c r="Y173" s="2"/>
      <c r="Z173" s="2"/>
    </row>
    <row r="174" spans="1:26" ht="13.8" x14ac:dyDescent="0.3">
      <c r="A174" s="32"/>
      <c r="B174" s="2"/>
      <c r="C174" s="10"/>
      <c r="D174" s="10"/>
      <c r="E174" s="10"/>
      <c r="F174" s="10"/>
      <c r="G174" s="69"/>
      <c r="H174" s="69"/>
      <c r="I174" s="69"/>
      <c r="J174" s="70"/>
      <c r="K174" s="69"/>
      <c r="L174" s="69"/>
      <c r="M174" s="69"/>
      <c r="N174" s="69"/>
      <c r="O174" s="69"/>
      <c r="P174" s="2"/>
      <c r="Q174" s="2"/>
      <c r="R174" s="32"/>
      <c r="S174" s="32"/>
      <c r="T174" s="32"/>
      <c r="U174" s="32"/>
      <c r="V174" s="2"/>
      <c r="W174" s="2"/>
      <c r="X174" s="2"/>
      <c r="Y174" s="2"/>
      <c r="Z174" s="2"/>
    </row>
    <row r="175" spans="1:26" ht="13.8" x14ac:dyDescent="0.3">
      <c r="A175" s="32"/>
      <c r="B175" s="2"/>
      <c r="C175" s="10"/>
      <c r="D175" s="10"/>
      <c r="E175" s="10"/>
      <c r="F175" s="10"/>
      <c r="G175" s="69"/>
      <c r="H175" s="69"/>
      <c r="I175" s="69"/>
      <c r="J175" s="70"/>
      <c r="K175" s="69"/>
      <c r="L175" s="69"/>
      <c r="M175" s="69"/>
      <c r="N175" s="69"/>
      <c r="O175" s="69"/>
      <c r="P175" s="2"/>
      <c r="Q175" s="2"/>
      <c r="R175" s="32"/>
      <c r="S175" s="32"/>
      <c r="T175" s="32"/>
      <c r="U175" s="32"/>
      <c r="V175" s="2"/>
      <c r="W175" s="2"/>
      <c r="X175" s="2"/>
      <c r="Y175" s="2"/>
      <c r="Z175" s="2"/>
    </row>
    <row r="176" spans="1:26" ht="13.8" x14ac:dyDescent="0.3">
      <c r="A176" s="2"/>
      <c r="B176" s="2"/>
      <c r="C176" s="10"/>
      <c r="D176" s="10"/>
      <c r="E176" s="10"/>
      <c r="F176" s="10"/>
      <c r="G176" s="69"/>
      <c r="H176" s="69"/>
      <c r="I176" s="69"/>
      <c r="J176" s="70"/>
      <c r="K176" s="69"/>
      <c r="L176" s="69"/>
      <c r="M176" s="69"/>
      <c r="N176" s="69"/>
      <c r="O176" s="69"/>
      <c r="P176" s="2"/>
      <c r="Q176" s="2"/>
      <c r="R176" s="32"/>
      <c r="S176" s="32"/>
      <c r="T176" s="32"/>
      <c r="U176" s="32"/>
      <c r="V176" s="2"/>
      <c r="W176" s="2"/>
      <c r="X176" s="2"/>
      <c r="Y176" s="2"/>
      <c r="Z176" s="2"/>
    </row>
    <row r="177" spans="1:26" ht="13.8" x14ac:dyDescent="0.3">
      <c r="A177" s="2"/>
      <c r="B177" s="2"/>
      <c r="C177" s="10"/>
      <c r="D177" s="10"/>
      <c r="E177" s="10"/>
      <c r="F177" s="10"/>
      <c r="G177" s="69"/>
      <c r="H177" s="69"/>
      <c r="I177" s="69"/>
      <c r="J177" s="70"/>
      <c r="K177" s="69"/>
      <c r="L177" s="69"/>
      <c r="M177" s="69"/>
      <c r="N177" s="69"/>
      <c r="O177" s="69"/>
      <c r="P177" s="2"/>
      <c r="Q177" s="2"/>
      <c r="R177" s="32"/>
      <c r="S177" s="32"/>
      <c r="T177" s="32"/>
      <c r="U177" s="32"/>
      <c r="V177" s="2"/>
      <c r="W177" s="2"/>
      <c r="X177" s="2"/>
      <c r="Y177" s="2"/>
      <c r="Z177" s="2"/>
    </row>
    <row r="178" spans="1:26" ht="13.8" x14ac:dyDescent="0.3">
      <c r="A178" s="2"/>
      <c r="B178" s="2"/>
      <c r="C178" s="10"/>
      <c r="D178" s="10"/>
      <c r="E178" s="10"/>
      <c r="F178" s="10"/>
      <c r="G178" s="69"/>
      <c r="H178" s="69"/>
      <c r="I178" s="69"/>
      <c r="J178" s="70"/>
      <c r="K178" s="69"/>
      <c r="L178" s="69"/>
      <c r="M178" s="69"/>
      <c r="N178" s="69"/>
      <c r="O178" s="69"/>
      <c r="P178" s="2"/>
      <c r="Q178" s="2"/>
      <c r="R178" s="32"/>
      <c r="S178" s="32"/>
      <c r="T178" s="32"/>
      <c r="U178" s="32"/>
      <c r="V178" s="2"/>
      <c r="W178" s="2"/>
      <c r="X178" s="2"/>
      <c r="Y178" s="2"/>
      <c r="Z178" s="2"/>
    </row>
    <row r="179" spans="1:26" ht="13.8" x14ac:dyDescent="0.3">
      <c r="A179" s="2"/>
      <c r="B179" s="2"/>
      <c r="C179" s="10"/>
      <c r="D179" s="10"/>
      <c r="E179" s="10"/>
      <c r="F179" s="10"/>
      <c r="G179" s="69"/>
      <c r="H179" s="69"/>
      <c r="I179" s="69"/>
      <c r="J179" s="70"/>
      <c r="K179" s="69"/>
      <c r="L179" s="69"/>
      <c r="M179" s="69"/>
      <c r="N179" s="69"/>
      <c r="O179" s="69"/>
      <c r="P179" s="2"/>
      <c r="Q179" s="2"/>
      <c r="R179" s="32"/>
      <c r="S179" s="32"/>
      <c r="T179" s="32"/>
      <c r="U179" s="32"/>
      <c r="V179" s="2"/>
      <c r="W179" s="2"/>
      <c r="X179" s="2"/>
      <c r="Y179" s="2"/>
      <c r="Z179" s="2"/>
    </row>
    <row r="180" spans="1:26" ht="13.8" x14ac:dyDescent="0.3">
      <c r="A180" s="2"/>
      <c r="B180" s="2"/>
      <c r="C180" s="10"/>
      <c r="D180" s="10"/>
      <c r="E180" s="10"/>
      <c r="F180" s="10"/>
      <c r="G180" s="69"/>
      <c r="H180" s="69"/>
      <c r="I180" s="69"/>
      <c r="J180" s="70"/>
      <c r="K180" s="69"/>
      <c r="L180" s="69"/>
      <c r="M180" s="69"/>
      <c r="N180" s="69"/>
      <c r="O180" s="69"/>
      <c r="P180" s="2"/>
      <c r="Q180" s="2"/>
      <c r="R180" s="32"/>
      <c r="S180" s="32"/>
      <c r="T180" s="32"/>
      <c r="U180" s="32"/>
      <c r="V180" s="2"/>
      <c r="W180" s="2"/>
      <c r="X180" s="2"/>
      <c r="Y180" s="2"/>
      <c r="Z180" s="2"/>
    </row>
    <row r="181" spans="1:26" ht="13.8" x14ac:dyDescent="0.3">
      <c r="A181" s="2"/>
      <c r="B181" s="2"/>
      <c r="C181" s="10"/>
      <c r="D181" s="10"/>
      <c r="E181" s="10"/>
      <c r="F181" s="10"/>
      <c r="G181" s="69"/>
      <c r="H181" s="69"/>
      <c r="I181" s="69"/>
      <c r="J181" s="70"/>
      <c r="K181" s="69"/>
      <c r="L181" s="69"/>
      <c r="M181" s="69"/>
      <c r="N181" s="69"/>
      <c r="O181" s="69"/>
      <c r="P181" s="2"/>
      <c r="Q181" s="2"/>
      <c r="R181" s="32"/>
      <c r="S181" s="32"/>
      <c r="T181" s="32"/>
      <c r="U181" s="32"/>
      <c r="V181" s="2"/>
      <c r="W181" s="2"/>
      <c r="X181" s="2"/>
      <c r="Y181" s="2"/>
      <c r="Z181" s="2"/>
    </row>
    <row r="182" spans="1:26" ht="13.8" x14ac:dyDescent="0.3">
      <c r="A182" s="2"/>
      <c r="B182" s="2"/>
      <c r="C182" s="10"/>
      <c r="D182" s="10"/>
      <c r="E182" s="10"/>
      <c r="F182" s="10"/>
      <c r="G182" s="69"/>
      <c r="H182" s="69"/>
      <c r="I182" s="69"/>
      <c r="J182" s="70"/>
      <c r="K182" s="69"/>
      <c r="L182" s="69"/>
      <c r="M182" s="69"/>
      <c r="N182" s="69"/>
      <c r="O182" s="69"/>
      <c r="P182" s="2"/>
      <c r="Q182" s="2"/>
      <c r="R182" s="32"/>
      <c r="S182" s="32"/>
      <c r="T182" s="32"/>
      <c r="U182" s="32"/>
      <c r="V182" s="2"/>
      <c r="W182" s="2"/>
      <c r="X182" s="2"/>
      <c r="Y182" s="2"/>
      <c r="Z182" s="2"/>
    </row>
    <row r="183" spans="1:26" ht="13.8" x14ac:dyDescent="0.3">
      <c r="A183" s="2"/>
      <c r="B183" s="2"/>
      <c r="C183" s="10"/>
      <c r="D183" s="10"/>
      <c r="E183" s="10"/>
      <c r="F183" s="10"/>
      <c r="G183" s="69"/>
      <c r="H183" s="69"/>
      <c r="I183" s="69"/>
      <c r="J183" s="70"/>
      <c r="K183" s="69"/>
      <c r="L183" s="69"/>
      <c r="M183" s="69"/>
      <c r="N183" s="69"/>
      <c r="O183" s="69"/>
      <c r="P183" s="2"/>
      <c r="Q183" s="2"/>
      <c r="R183" s="32"/>
      <c r="S183" s="32"/>
      <c r="T183" s="32"/>
      <c r="U183" s="32"/>
      <c r="V183" s="2"/>
      <c r="W183" s="2"/>
      <c r="X183" s="2"/>
      <c r="Y183" s="2"/>
      <c r="Z183" s="2"/>
    </row>
    <row r="184" spans="1:26" ht="13.8" x14ac:dyDescent="0.3">
      <c r="A184" s="2"/>
      <c r="B184" s="2"/>
      <c r="C184" s="10"/>
      <c r="D184" s="10"/>
      <c r="E184" s="10"/>
      <c r="F184" s="10"/>
      <c r="G184" s="69"/>
      <c r="H184" s="69"/>
      <c r="I184" s="69"/>
      <c r="J184" s="70"/>
      <c r="K184" s="69"/>
      <c r="L184" s="69"/>
      <c r="M184" s="69"/>
      <c r="N184" s="69"/>
      <c r="O184" s="69"/>
      <c r="P184" s="2"/>
      <c r="Q184" s="2"/>
      <c r="R184" s="32"/>
      <c r="S184" s="32"/>
      <c r="T184" s="32"/>
      <c r="U184" s="32"/>
      <c r="V184" s="2"/>
      <c r="W184" s="2"/>
      <c r="X184" s="2"/>
      <c r="Y184" s="2"/>
      <c r="Z184" s="2"/>
    </row>
    <row r="185" spans="1:26" ht="13.8" x14ac:dyDescent="0.3">
      <c r="A185" s="2"/>
      <c r="B185" s="2"/>
      <c r="C185" s="10"/>
      <c r="D185" s="10"/>
      <c r="E185" s="10"/>
      <c r="F185" s="10"/>
      <c r="G185" s="69"/>
      <c r="H185" s="69"/>
      <c r="I185" s="69"/>
      <c r="J185" s="70"/>
      <c r="K185" s="69"/>
      <c r="L185" s="69"/>
      <c r="M185" s="69"/>
      <c r="N185" s="69"/>
      <c r="O185" s="69"/>
      <c r="P185" s="2"/>
      <c r="Q185" s="2"/>
      <c r="R185" s="32"/>
      <c r="S185" s="32"/>
      <c r="T185" s="32"/>
      <c r="U185" s="32"/>
      <c r="V185" s="2"/>
      <c r="W185" s="2"/>
      <c r="X185" s="2"/>
      <c r="Y185" s="2"/>
      <c r="Z185" s="2"/>
    </row>
    <row r="186" spans="1:26" ht="13.8" x14ac:dyDescent="0.3">
      <c r="A186" s="2"/>
      <c r="B186" s="2"/>
      <c r="C186" s="10"/>
      <c r="D186" s="10"/>
      <c r="E186" s="10"/>
      <c r="F186" s="10"/>
      <c r="G186" s="69"/>
      <c r="H186" s="69"/>
      <c r="I186" s="69"/>
      <c r="J186" s="70"/>
      <c r="K186" s="69"/>
      <c r="L186" s="69"/>
      <c r="M186" s="69"/>
      <c r="N186" s="69"/>
      <c r="O186" s="69"/>
      <c r="P186" s="2"/>
      <c r="Q186" s="2"/>
      <c r="R186" s="32"/>
      <c r="S186" s="32"/>
      <c r="T186" s="32"/>
      <c r="U186" s="32"/>
      <c r="V186" s="2"/>
      <c r="W186" s="2"/>
      <c r="X186" s="2"/>
      <c r="Y186" s="2"/>
      <c r="Z186" s="2"/>
    </row>
    <row r="187" spans="1:26" ht="13.8" x14ac:dyDescent="0.3">
      <c r="A187" s="2"/>
      <c r="B187" s="2"/>
      <c r="C187" s="10"/>
      <c r="D187" s="10"/>
      <c r="E187" s="10"/>
      <c r="F187" s="10"/>
      <c r="G187" s="69"/>
      <c r="H187" s="69"/>
      <c r="I187" s="69"/>
      <c r="J187" s="70"/>
      <c r="K187" s="69"/>
      <c r="L187" s="69"/>
      <c r="M187" s="69"/>
      <c r="N187" s="69"/>
      <c r="O187" s="69"/>
      <c r="P187" s="2"/>
      <c r="Q187" s="2"/>
      <c r="R187" s="32"/>
      <c r="S187" s="32"/>
      <c r="T187" s="32"/>
      <c r="U187" s="32"/>
      <c r="V187" s="2"/>
      <c r="W187" s="2"/>
      <c r="X187" s="2"/>
      <c r="Y187" s="2"/>
      <c r="Z187" s="2"/>
    </row>
    <row r="188" spans="1:26" ht="13.8" x14ac:dyDescent="0.3">
      <c r="A188" s="2"/>
      <c r="B188" s="2"/>
      <c r="C188" s="10"/>
      <c r="D188" s="10"/>
      <c r="E188" s="10"/>
      <c r="F188" s="10"/>
      <c r="G188" s="69"/>
      <c r="H188" s="69"/>
      <c r="I188" s="69"/>
      <c r="J188" s="70"/>
      <c r="K188" s="69"/>
      <c r="L188" s="69"/>
      <c r="M188" s="69"/>
      <c r="N188" s="69"/>
      <c r="O188" s="69"/>
      <c r="P188" s="2"/>
      <c r="Q188" s="2"/>
      <c r="R188" s="32"/>
      <c r="S188" s="32"/>
      <c r="T188" s="32"/>
      <c r="U188" s="32"/>
      <c r="V188" s="2"/>
      <c r="W188" s="2"/>
      <c r="X188" s="2"/>
      <c r="Y188" s="2"/>
      <c r="Z188" s="2"/>
    </row>
    <row r="189" spans="1:26" ht="13.8" x14ac:dyDescent="0.3">
      <c r="A189" s="2"/>
      <c r="B189" s="2"/>
      <c r="C189" s="10"/>
      <c r="D189" s="10"/>
      <c r="E189" s="10"/>
      <c r="F189" s="10"/>
      <c r="G189" s="69"/>
      <c r="H189" s="69"/>
      <c r="I189" s="69"/>
      <c r="J189" s="70"/>
      <c r="K189" s="69"/>
      <c r="L189" s="69"/>
      <c r="M189" s="69"/>
      <c r="N189" s="69"/>
      <c r="O189" s="69"/>
      <c r="P189" s="2"/>
      <c r="Q189" s="2"/>
      <c r="R189" s="32"/>
      <c r="S189" s="32"/>
      <c r="T189" s="32"/>
      <c r="U189" s="32"/>
      <c r="V189" s="2"/>
      <c r="W189" s="2"/>
      <c r="X189" s="2"/>
      <c r="Y189" s="2"/>
      <c r="Z189" s="2"/>
    </row>
    <row r="190" spans="1:26" ht="13.8" x14ac:dyDescent="0.3">
      <c r="A190" s="2"/>
      <c r="B190" s="2"/>
      <c r="C190" s="10"/>
      <c r="D190" s="10"/>
      <c r="E190" s="10"/>
      <c r="F190" s="10"/>
      <c r="G190" s="69"/>
      <c r="H190" s="69"/>
      <c r="I190" s="69"/>
      <c r="J190" s="70"/>
      <c r="K190" s="69"/>
      <c r="L190" s="69"/>
      <c r="M190" s="69"/>
      <c r="N190" s="69"/>
      <c r="O190" s="69"/>
      <c r="P190" s="2"/>
      <c r="Q190" s="2"/>
      <c r="R190" s="32"/>
      <c r="S190" s="32"/>
      <c r="T190" s="32"/>
      <c r="U190" s="32"/>
      <c r="V190" s="2"/>
      <c r="W190" s="2"/>
      <c r="X190" s="2"/>
      <c r="Y190" s="2"/>
      <c r="Z190" s="2"/>
    </row>
    <row r="191" spans="1:26" ht="13.8" x14ac:dyDescent="0.3">
      <c r="A191" s="2"/>
      <c r="B191" s="2"/>
      <c r="C191" s="10"/>
      <c r="D191" s="10"/>
      <c r="E191" s="10"/>
      <c r="F191" s="10"/>
      <c r="G191" s="69"/>
      <c r="H191" s="69"/>
      <c r="I191" s="69"/>
      <c r="J191" s="70"/>
      <c r="K191" s="69"/>
      <c r="L191" s="69"/>
      <c r="M191" s="69"/>
      <c r="N191" s="69"/>
      <c r="O191" s="69"/>
      <c r="P191" s="2"/>
      <c r="Q191" s="2"/>
      <c r="R191" s="32"/>
      <c r="S191" s="32"/>
      <c r="T191" s="32"/>
      <c r="U191" s="32"/>
      <c r="V191" s="2"/>
      <c r="W191" s="2"/>
      <c r="X191" s="2"/>
      <c r="Y191" s="2"/>
      <c r="Z191" s="2"/>
    </row>
    <row r="192" spans="1:26" ht="13.8" x14ac:dyDescent="0.3">
      <c r="A192" s="2"/>
      <c r="B192" s="2"/>
      <c r="C192" s="10"/>
      <c r="D192" s="10"/>
      <c r="E192" s="10"/>
      <c r="F192" s="10"/>
      <c r="G192" s="69"/>
      <c r="H192" s="69"/>
      <c r="I192" s="69"/>
      <c r="J192" s="70"/>
      <c r="K192" s="69"/>
      <c r="L192" s="69"/>
      <c r="M192" s="69"/>
      <c r="N192" s="69"/>
      <c r="O192" s="69"/>
      <c r="P192" s="2"/>
      <c r="Q192" s="2"/>
      <c r="R192" s="32"/>
      <c r="S192" s="32"/>
      <c r="T192" s="32"/>
      <c r="U192" s="32"/>
      <c r="V192" s="2"/>
      <c r="W192" s="2"/>
      <c r="X192" s="2"/>
      <c r="Y192" s="2"/>
      <c r="Z192" s="2"/>
    </row>
    <row r="193" spans="1:26" ht="13.8" x14ac:dyDescent="0.3">
      <c r="A193" s="2"/>
      <c r="B193" s="2"/>
      <c r="C193" s="10"/>
      <c r="D193" s="10"/>
      <c r="E193" s="10"/>
      <c r="F193" s="10"/>
      <c r="G193" s="69"/>
      <c r="H193" s="69"/>
      <c r="I193" s="69"/>
      <c r="J193" s="70"/>
      <c r="K193" s="69"/>
      <c r="L193" s="69"/>
      <c r="M193" s="69"/>
      <c r="N193" s="69"/>
      <c r="O193" s="69"/>
      <c r="P193" s="2"/>
      <c r="Q193" s="2"/>
      <c r="R193" s="32"/>
      <c r="S193" s="32"/>
      <c r="T193" s="32"/>
      <c r="U193" s="32"/>
      <c r="V193" s="2"/>
      <c r="W193" s="2"/>
      <c r="X193" s="2"/>
      <c r="Y193" s="2"/>
      <c r="Z193" s="2"/>
    </row>
    <row r="194" spans="1:26" ht="13.8" x14ac:dyDescent="0.3">
      <c r="A194" s="2"/>
      <c r="B194" s="2"/>
      <c r="C194" s="10"/>
      <c r="D194" s="10"/>
      <c r="E194" s="10"/>
      <c r="F194" s="10"/>
      <c r="G194" s="69"/>
      <c r="H194" s="69"/>
      <c r="I194" s="69"/>
      <c r="J194" s="70"/>
      <c r="K194" s="69"/>
      <c r="L194" s="69"/>
      <c r="M194" s="69"/>
      <c r="N194" s="69"/>
      <c r="O194" s="69"/>
      <c r="P194" s="2"/>
      <c r="Q194" s="2"/>
      <c r="R194" s="32"/>
      <c r="S194" s="32"/>
      <c r="T194" s="32"/>
      <c r="U194" s="32"/>
      <c r="V194" s="2"/>
      <c r="W194" s="2"/>
      <c r="X194" s="2"/>
      <c r="Y194" s="2"/>
      <c r="Z194" s="2"/>
    </row>
    <row r="195" spans="1:26" ht="13.8" x14ac:dyDescent="0.3">
      <c r="A195" s="2"/>
      <c r="B195" s="2"/>
      <c r="C195" s="10"/>
      <c r="D195" s="10"/>
      <c r="E195" s="10"/>
      <c r="F195" s="10"/>
      <c r="G195" s="69"/>
      <c r="H195" s="69"/>
      <c r="I195" s="69"/>
      <c r="J195" s="70"/>
      <c r="K195" s="69"/>
      <c r="L195" s="69"/>
      <c r="M195" s="69"/>
      <c r="N195" s="69"/>
      <c r="O195" s="69"/>
      <c r="P195" s="2"/>
      <c r="Q195" s="2"/>
      <c r="R195" s="32"/>
      <c r="S195" s="32"/>
      <c r="T195" s="32"/>
      <c r="U195" s="32"/>
      <c r="V195" s="2"/>
      <c r="W195" s="2"/>
      <c r="X195" s="2"/>
      <c r="Y195" s="2"/>
      <c r="Z195" s="2"/>
    </row>
    <row r="196" spans="1:26" ht="13.8" x14ac:dyDescent="0.3">
      <c r="A196" s="2"/>
      <c r="B196" s="2"/>
      <c r="C196" s="10"/>
      <c r="D196" s="10"/>
      <c r="E196" s="10"/>
      <c r="F196" s="10"/>
      <c r="G196" s="69"/>
      <c r="H196" s="69"/>
      <c r="I196" s="69"/>
      <c r="J196" s="70"/>
      <c r="K196" s="69"/>
      <c r="L196" s="69"/>
      <c r="M196" s="69"/>
      <c r="N196" s="69"/>
      <c r="O196" s="69"/>
      <c r="P196" s="2"/>
      <c r="Q196" s="2"/>
      <c r="R196" s="32"/>
      <c r="S196" s="32"/>
      <c r="T196" s="32"/>
      <c r="U196" s="32"/>
      <c r="V196" s="2"/>
      <c r="W196" s="2"/>
      <c r="X196" s="2"/>
      <c r="Y196" s="2"/>
      <c r="Z196" s="2"/>
    </row>
    <row r="197" spans="1:26" ht="13.8" x14ac:dyDescent="0.3">
      <c r="A197" s="2"/>
      <c r="B197" s="2"/>
      <c r="C197" s="10"/>
      <c r="D197" s="10"/>
      <c r="E197" s="10"/>
      <c r="F197" s="10"/>
      <c r="G197" s="69"/>
      <c r="H197" s="69"/>
      <c r="I197" s="69"/>
      <c r="J197" s="70"/>
      <c r="K197" s="69"/>
      <c r="L197" s="69"/>
      <c r="M197" s="69"/>
      <c r="N197" s="69"/>
      <c r="O197" s="69"/>
      <c r="P197" s="2"/>
      <c r="Q197" s="2"/>
      <c r="R197" s="32"/>
      <c r="S197" s="32"/>
      <c r="T197" s="32"/>
      <c r="U197" s="32"/>
      <c r="V197" s="2"/>
      <c r="W197" s="2"/>
      <c r="X197" s="2"/>
      <c r="Y197" s="2"/>
      <c r="Z197" s="2"/>
    </row>
    <row r="198" spans="1:26" ht="13.8" x14ac:dyDescent="0.3">
      <c r="A198" s="2"/>
      <c r="B198" s="2"/>
      <c r="C198" s="10"/>
      <c r="D198" s="10"/>
      <c r="E198" s="10"/>
      <c r="F198" s="10"/>
      <c r="G198" s="69"/>
      <c r="H198" s="69"/>
      <c r="I198" s="69"/>
      <c r="J198" s="70"/>
      <c r="K198" s="69"/>
      <c r="L198" s="69"/>
      <c r="M198" s="69"/>
      <c r="N198" s="69"/>
      <c r="O198" s="69"/>
      <c r="P198" s="2"/>
      <c r="Q198" s="2"/>
      <c r="R198" s="32"/>
      <c r="S198" s="32"/>
      <c r="T198" s="32"/>
      <c r="U198" s="32"/>
      <c r="V198" s="2"/>
      <c r="W198" s="2"/>
      <c r="X198" s="2"/>
      <c r="Y198" s="2"/>
      <c r="Z198" s="2"/>
    </row>
    <row r="199" spans="1:26" ht="13.8" x14ac:dyDescent="0.3">
      <c r="A199" s="2"/>
      <c r="B199" s="2"/>
      <c r="C199" s="10"/>
      <c r="D199" s="10"/>
      <c r="E199" s="10"/>
      <c r="F199" s="10"/>
      <c r="G199" s="69"/>
      <c r="H199" s="69"/>
      <c r="I199" s="69"/>
      <c r="J199" s="70"/>
      <c r="K199" s="69"/>
      <c r="L199" s="69"/>
      <c r="M199" s="69"/>
      <c r="N199" s="69"/>
      <c r="O199" s="69"/>
      <c r="P199" s="2"/>
      <c r="Q199" s="2"/>
      <c r="R199" s="32"/>
      <c r="S199" s="32"/>
      <c r="T199" s="32"/>
      <c r="U199" s="32"/>
      <c r="V199" s="2"/>
      <c r="W199" s="2"/>
      <c r="X199" s="2"/>
      <c r="Y199" s="2"/>
      <c r="Z199" s="2"/>
    </row>
    <row r="200" spans="1:26" ht="13.8" x14ac:dyDescent="0.3">
      <c r="A200" s="2"/>
      <c r="B200" s="2"/>
      <c r="C200" s="10"/>
      <c r="D200" s="10"/>
      <c r="E200" s="10"/>
      <c r="F200" s="10"/>
      <c r="G200" s="69"/>
      <c r="H200" s="69"/>
      <c r="I200" s="69"/>
      <c r="J200" s="70"/>
      <c r="K200" s="69"/>
      <c r="L200" s="69"/>
      <c r="M200" s="69"/>
      <c r="N200" s="69"/>
      <c r="O200" s="69"/>
      <c r="P200" s="2"/>
      <c r="Q200" s="2"/>
      <c r="R200" s="32"/>
      <c r="S200" s="32"/>
      <c r="T200" s="32"/>
      <c r="U200" s="32"/>
      <c r="V200" s="2"/>
      <c r="W200" s="2"/>
      <c r="X200" s="2"/>
      <c r="Y200" s="2"/>
      <c r="Z200" s="2"/>
    </row>
    <row r="201" spans="1:26" ht="13.8" x14ac:dyDescent="0.3">
      <c r="A201" s="2"/>
      <c r="B201" s="2"/>
      <c r="C201" s="10"/>
      <c r="D201" s="10"/>
      <c r="E201" s="10"/>
      <c r="F201" s="10"/>
      <c r="G201" s="69"/>
      <c r="H201" s="69"/>
      <c r="I201" s="69"/>
      <c r="J201" s="70"/>
      <c r="K201" s="69"/>
      <c r="L201" s="69"/>
      <c r="M201" s="69"/>
      <c r="N201" s="69"/>
      <c r="O201" s="69"/>
      <c r="P201" s="2"/>
      <c r="Q201" s="2"/>
      <c r="R201" s="32"/>
      <c r="S201" s="32"/>
      <c r="T201" s="32"/>
      <c r="U201" s="32"/>
      <c r="V201" s="2"/>
      <c r="W201" s="2"/>
      <c r="X201" s="2"/>
      <c r="Y201" s="2"/>
      <c r="Z201" s="2"/>
    </row>
    <row r="202" spans="1:26" ht="13.8" x14ac:dyDescent="0.3">
      <c r="A202" s="2"/>
      <c r="B202" s="2"/>
      <c r="C202" s="10"/>
      <c r="D202" s="10"/>
      <c r="E202" s="10"/>
      <c r="F202" s="10"/>
      <c r="G202" s="69"/>
      <c r="H202" s="69"/>
      <c r="I202" s="69"/>
      <c r="J202" s="70"/>
      <c r="K202" s="69"/>
      <c r="L202" s="69"/>
      <c r="M202" s="69"/>
      <c r="N202" s="69"/>
      <c r="O202" s="69"/>
      <c r="P202" s="2"/>
      <c r="Q202" s="2"/>
      <c r="R202" s="32"/>
      <c r="S202" s="32"/>
      <c r="T202" s="32"/>
      <c r="U202" s="32"/>
      <c r="V202" s="2"/>
      <c r="W202" s="2"/>
      <c r="X202" s="2"/>
      <c r="Y202" s="2"/>
      <c r="Z202" s="2"/>
    </row>
    <row r="203" spans="1:26" ht="13.8" x14ac:dyDescent="0.3">
      <c r="A203" s="2"/>
      <c r="B203" s="2"/>
      <c r="C203" s="10"/>
      <c r="D203" s="10"/>
      <c r="E203" s="10"/>
      <c r="F203" s="10"/>
      <c r="G203" s="69"/>
      <c r="H203" s="69"/>
      <c r="I203" s="69"/>
      <c r="J203" s="70"/>
      <c r="K203" s="69"/>
      <c r="L203" s="69"/>
      <c r="M203" s="69"/>
      <c r="N203" s="69"/>
      <c r="O203" s="69"/>
      <c r="P203" s="2"/>
      <c r="Q203" s="2"/>
      <c r="R203" s="32"/>
      <c r="S203" s="32"/>
      <c r="T203" s="32"/>
      <c r="U203" s="32"/>
      <c r="V203" s="2"/>
      <c r="W203" s="2"/>
      <c r="X203" s="2"/>
      <c r="Y203" s="2"/>
      <c r="Z203" s="2"/>
    </row>
    <row r="204" spans="1:26" ht="13.8" x14ac:dyDescent="0.3">
      <c r="A204" s="2"/>
      <c r="B204" s="2"/>
      <c r="C204" s="10"/>
      <c r="D204" s="10"/>
      <c r="E204" s="10"/>
      <c r="F204" s="10"/>
      <c r="G204" s="69"/>
      <c r="H204" s="69"/>
      <c r="I204" s="69"/>
      <c r="J204" s="70"/>
      <c r="K204" s="69"/>
      <c r="L204" s="69"/>
      <c r="M204" s="69"/>
      <c r="N204" s="69"/>
      <c r="O204" s="69"/>
      <c r="P204" s="2"/>
      <c r="Q204" s="2"/>
      <c r="R204" s="32"/>
      <c r="S204" s="32"/>
      <c r="T204" s="32"/>
      <c r="U204" s="32"/>
      <c r="V204" s="2"/>
      <c r="W204" s="2"/>
      <c r="X204" s="2"/>
      <c r="Y204" s="2"/>
      <c r="Z204" s="2"/>
    </row>
    <row r="205" spans="1:26" ht="13.8" x14ac:dyDescent="0.3">
      <c r="A205" s="2"/>
      <c r="B205" s="2"/>
      <c r="C205" s="10"/>
      <c r="D205" s="10"/>
      <c r="E205" s="10"/>
      <c r="F205" s="10"/>
      <c r="G205" s="69"/>
      <c r="H205" s="69"/>
      <c r="I205" s="69"/>
      <c r="J205" s="70"/>
      <c r="K205" s="69"/>
      <c r="L205" s="69"/>
      <c r="M205" s="69"/>
      <c r="N205" s="69"/>
      <c r="O205" s="69"/>
      <c r="P205" s="2"/>
      <c r="Q205" s="2"/>
      <c r="R205" s="32"/>
      <c r="S205" s="32"/>
      <c r="T205" s="32"/>
      <c r="U205" s="32"/>
      <c r="V205" s="2"/>
      <c r="W205" s="2"/>
      <c r="X205" s="2"/>
      <c r="Y205" s="2"/>
      <c r="Z205" s="2"/>
    </row>
    <row r="206" spans="1:26" ht="13.8" x14ac:dyDescent="0.3">
      <c r="A206" s="2"/>
      <c r="B206" s="2"/>
      <c r="C206" s="10"/>
      <c r="D206" s="10"/>
      <c r="E206" s="10"/>
      <c r="F206" s="10"/>
      <c r="G206" s="69"/>
      <c r="H206" s="69"/>
      <c r="I206" s="69"/>
      <c r="J206" s="70"/>
      <c r="K206" s="69"/>
      <c r="L206" s="69"/>
      <c r="M206" s="69"/>
      <c r="N206" s="69"/>
      <c r="O206" s="69"/>
      <c r="P206" s="2"/>
      <c r="Q206" s="2"/>
      <c r="R206" s="32"/>
      <c r="S206" s="32"/>
      <c r="T206" s="32"/>
      <c r="U206" s="32"/>
      <c r="V206" s="2"/>
      <c r="W206" s="2"/>
      <c r="X206" s="2"/>
      <c r="Y206" s="2"/>
      <c r="Z206" s="2"/>
    </row>
    <row r="207" spans="1:26" ht="13.8" x14ac:dyDescent="0.3">
      <c r="A207" s="2"/>
      <c r="B207" s="2"/>
      <c r="C207" s="10"/>
      <c r="D207" s="10"/>
      <c r="E207" s="10"/>
      <c r="F207" s="10"/>
      <c r="G207" s="69"/>
      <c r="H207" s="69"/>
      <c r="I207" s="69"/>
      <c r="J207" s="70"/>
      <c r="K207" s="69"/>
      <c r="L207" s="69"/>
      <c r="M207" s="69"/>
      <c r="N207" s="69"/>
      <c r="O207" s="69"/>
      <c r="P207" s="2"/>
      <c r="Q207" s="2"/>
      <c r="R207" s="32"/>
      <c r="S207" s="32"/>
      <c r="T207" s="32"/>
      <c r="U207" s="32"/>
      <c r="V207" s="2"/>
      <c r="W207" s="2"/>
      <c r="X207" s="2"/>
      <c r="Y207" s="2"/>
      <c r="Z207" s="2"/>
    </row>
    <row r="208" spans="1:26" ht="13.8" x14ac:dyDescent="0.3">
      <c r="A208" s="2"/>
      <c r="B208" s="2"/>
      <c r="C208" s="10"/>
      <c r="D208" s="10"/>
      <c r="E208" s="10"/>
      <c r="F208" s="10"/>
      <c r="G208" s="69"/>
      <c r="H208" s="69"/>
      <c r="I208" s="69"/>
      <c r="J208" s="70"/>
      <c r="K208" s="69"/>
      <c r="L208" s="69"/>
      <c r="M208" s="69"/>
      <c r="N208" s="69"/>
      <c r="O208" s="69"/>
      <c r="P208" s="2"/>
      <c r="Q208" s="2"/>
      <c r="R208" s="32"/>
      <c r="S208" s="32"/>
      <c r="T208" s="32"/>
      <c r="U208" s="32"/>
      <c r="V208" s="2"/>
      <c r="W208" s="2"/>
      <c r="X208" s="2"/>
      <c r="Y208" s="2"/>
      <c r="Z208" s="2"/>
    </row>
    <row r="209" spans="1:26" ht="13.8" x14ac:dyDescent="0.3">
      <c r="A209" s="2"/>
      <c r="B209" s="2"/>
      <c r="C209" s="10"/>
      <c r="D209" s="10"/>
      <c r="E209" s="10"/>
      <c r="F209" s="10"/>
      <c r="G209" s="69"/>
      <c r="H209" s="69"/>
      <c r="I209" s="69"/>
      <c r="J209" s="70"/>
      <c r="K209" s="69"/>
      <c r="L209" s="69"/>
      <c r="M209" s="69"/>
      <c r="N209" s="69"/>
      <c r="O209" s="69"/>
      <c r="P209" s="2"/>
      <c r="Q209" s="2"/>
      <c r="R209" s="32"/>
      <c r="S209" s="32"/>
      <c r="T209" s="32"/>
      <c r="U209" s="32"/>
      <c r="V209" s="2"/>
      <c r="W209" s="2"/>
      <c r="X209" s="2"/>
      <c r="Y209" s="2"/>
      <c r="Z209" s="2"/>
    </row>
    <row r="210" spans="1:26" ht="13.8" x14ac:dyDescent="0.3">
      <c r="A210" s="2"/>
      <c r="B210" s="2"/>
      <c r="C210" s="10"/>
      <c r="D210" s="10"/>
      <c r="E210" s="10"/>
      <c r="F210" s="10"/>
      <c r="G210" s="69"/>
      <c r="H210" s="69"/>
      <c r="I210" s="69"/>
      <c r="J210" s="70"/>
      <c r="K210" s="69"/>
      <c r="L210" s="69"/>
      <c r="M210" s="69"/>
      <c r="N210" s="69"/>
      <c r="O210" s="69"/>
      <c r="P210" s="2"/>
      <c r="Q210" s="2"/>
      <c r="R210" s="32"/>
      <c r="S210" s="32"/>
      <c r="T210" s="32"/>
      <c r="U210" s="32"/>
      <c r="V210" s="2"/>
      <c r="W210" s="2"/>
      <c r="X210" s="2"/>
      <c r="Y210" s="2"/>
      <c r="Z210" s="2"/>
    </row>
    <row r="211" spans="1:26" ht="13.8" x14ac:dyDescent="0.3">
      <c r="A211" s="2"/>
      <c r="B211" s="2"/>
      <c r="C211" s="10"/>
      <c r="D211" s="10"/>
      <c r="E211" s="10"/>
      <c r="F211" s="10"/>
      <c r="G211" s="69"/>
      <c r="H211" s="69"/>
      <c r="I211" s="69"/>
      <c r="J211" s="70"/>
      <c r="K211" s="69"/>
      <c r="L211" s="69"/>
      <c r="M211" s="69"/>
      <c r="N211" s="69"/>
      <c r="O211" s="69"/>
      <c r="P211" s="2"/>
      <c r="Q211" s="2"/>
      <c r="R211" s="32"/>
      <c r="S211" s="32"/>
      <c r="T211" s="32"/>
      <c r="U211" s="32"/>
      <c r="V211" s="2"/>
      <c r="W211" s="2"/>
      <c r="X211" s="2"/>
      <c r="Y211" s="2"/>
      <c r="Z211" s="2"/>
    </row>
    <row r="212" spans="1:26" ht="13.8" x14ac:dyDescent="0.3">
      <c r="A212" s="2"/>
      <c r="B212" s="2"/>
      <c r="C212" s="10"/>
      <c r="D212" s="10"/>
      <c r="E212" s="10"/>
      <c r="F212" s="10"/>
      <c r="G212" s="69"/>
      <c r="H212" s="69"/>
      <c r="I212" s="69"/>
      <c r="J212" s="70"/>
      <c r="K212" s="69"/>
      <c r="L212" s="69"/>
      <c r="M212" s="69"/>
      <c r="N212" s="69"/>
      <c r="O212" s="69"/>
      <c r="P212" s="2"/>
      <c r="Q212" s="2"/>
      <c r="R212" s="32"/>
      <c r="S212" s="32"/>
      <c r="T212" s="32"/>
      <c r="U212" s="32"/>
      <c r="V212" s="2"/>
      <c r="W212" s="2"/>
      <c r="X212" s="2"/>
      <c r="Y212" s="2"/>
      <c r="Z212" s="2"/>
    </row>
    <row r="213" spans="1:26" ht="13.8" x14ac:dyDescent="0.3">
      <c r="A213" s="2"/>
      <c r="B213" s="2"/>
      <c r="C213" s="10"/>
      <c r="D213" s="10"/>
      <c r="E213" s="10"/>
      <c r="F213" s="10"/>
      <c r="G213" s="69"/>
      <c r="H213" s="69"/>
      <c r="I213" s="69"/>
      <c r="J213" s="70"/>
      <c r="K213" s="69"/>
      <c r="L213" s="69"/>
      <c r="M213" s="69"/>
      <c r="N213" s="69"/>
      <c r="O213" s="69"/>
      <c r="P213" s="2"/>
      <c r="Q213" s="2"/>
      <c r="R213" s="32"/>
      <c r="S213" s="32"/>
      <c r="T213" s="32"/>
      <c r="U213" s="32"/>
      <c r="V213" s="2"/>
      <c r="W213" s="2"/>
      <c r="X213" s="2"/>
      <c r="Y213" s="2"/>
      <c r="Z213" s="2"/>
    </row>
    <row r="214" spans="1:26" ht="13.8" x14ac:dyDescent="0.3">
      <c r="A214" s="2"/>
      <c r="B214" s="2"/>
      <c r="C214" s="10"/>
      <c r="D214" s="10"/>
      <c r="E214" s="10"/>
      <c r="F214" s="10"/>
      <c r="G214" s="69"/>
      <c r="H214" s="69"/>
      <c r="I214" s="69"/>
      <c r="J214" s="70"/>
      <c r="K214" s="69"/>
      <c r="L214" s="69"/>
      <c r="M214" s="69"/>
      <c r="N214" s="69"/>
      <c r="O214" s="69"/>
      <c r="P214" s="2"/>
      <c r="Q214" s="2"/>
      <c r="R214" s="32"/>
      <c r="S214" s="32"/>
      <c r="T214" s="32"/>
      <c r="U214" s="32"/>
      <c r="V214" s="2"/>
      <c r="W214" s="2"/>
      <c r="X214" s="2"/>
      <c r="Y214" s="2"/>
      <c r="Z214" s="2"/>
    </row>
    <row r="215" spans="1:26" ht="13.8" x14ac:dyDescent="0.3">
      <c r="A215" s="2"/>
      <c r="B215" s="2"/>
      <c r="C215" s="10"/>
      <c r="D215" s="10"/>
      <c r="E215" s="10"/>
      <c r="F215" s="10"/>
      <c r="G215" s="69"/>
      <c r="H215" s="69"/>
      <c r="I215" s="69"/>
      <c r="J215" s="70"/>
      <c r="K215" s="69"/>
      <c r="L215" s="69"/>
      <c r="M215" s="69"/>
      <c r="N215" s="69"/>
      <c r="O215" s="69"/>
      <c r="P215" s="2"/>
      <c r="Q215" s="2"/>
      <c r="R215" s="32"/>
      <c r="S215" s="32"/>
      <c r="T215" s="32"/>
      <c r="U215" s="32"/>
      <c r="V215" s="2"/>
      <c r="W215" s="2"/>
      <c r="X215" s="2"/>
      <c r="Y215" s="2"/>
      <c r="Z215" s="2"/>
    </row>
    <row r="216" spans="1:26" ht="13.8" x14ac:dyDescent="0.3">
      <c r="A216" s="2"/>
      <c r="B216" s="2"/>
      <c r="C216" s="10"/>
      <c r="D216" s="10"/>
      <c r="E216" s="10"/>
      <c r="F216" s="10"/>
      <c r="G216" s="69"/>
      <c r="H216" s="69"/>
      <c r="I216" s="69"/>
      <c r="J216" s="70"/>
      <c r="K216" s="69"/>
      <c r="L216" s="69"/>
      <c r="M216" s="69"/>
      <c r="N216" s="69"/>
      <c r="O216" s="69"/>
      <c r="P216" s="2"/>
      <c r="Q216" s="2"/>
      <c r="R216" s="32"/>
      <c r="S216" s="32"/>
      <c r="T216" s="32"/>
      <c r="U216" s="32"/>
      <c r="V216" s="2"/>
      <c r="W216" s="2"/>
      <c r="X216" s="2"/>
      <c r="Y216" s="2"/>
      <c r="Z216" s="2"/>
    </row>
    <row r="217" spans="1:26" ht="13.8" x14ac:dyDescent="0.3">
      <c r="A217" s="2"/>
      <c r="B217" s="2"/>
      <c r="C217" s="10"/>
      <c r="D217" s="10"/>
      <c r="E217" s="10"/>
      <c r="F217" s="10"/>
      <c r="G217" s="69"/>
      <c r="H217" s="69"/>
      <c r="I217" s="69"/>
      <c r="J217" s="70"/>
      <c r="K217" s="69"/>
      <c r="L217" s="69"/>
      <c r="M217" s="69"/>
      <c r="N217" s="69"/>
      <c r="O217" s="69"/>
      <c r="P217" s="2"/>
      <c r="Q217" s="2"/>
      <c r="R217" s="32"/>
      <c r="S217" s="32"/>
      <c r="T217" s="32"/>
      <c r="U217" s="32"/>
      <c r="V217" s="2"/>
      <c r="W217" s="2"/>
      <c r="X217" s="2"/>
      <c r="Y217" s="2"/>
      <c r="Z217" s="2"/>
    </row>
    <row r="218" spans="1:26" ht="13.8" x14ac:dyDescent="0.3">
      <c r="A218" s="2"/>
      <c r="B218" s="2"/>
      <c r="C218" s="10"/>
      <c r="D218" s="10"/>
      <c r="E218" s="10"/>
      <c r="F218" s="10"/>
      <c r="G218" s="69"/>
      <c r="H218" s="69"/>
      <c r="I218" s="69"/>
      <c r="J218" s="70"/>
      <c r="K218" s="69"/>
      <c r="L218" s="69"/>
      <c r="M218" s="69"/>
      <c r="N218" s="69"/>
      <c r="O218" s="69"/>
      <c r="P218" s="2"/>
      <c r="Q218" s="2"/>
      <c r="R218" s="32"/>
      <c r="S218" s="32"/>
      <c r="T218" s="32"/>
      <c r="U218" s="32"/>
      <c r="V218" s="2"/>
      <c r="W218" s="2"/>
      <c r="X218" s="2"/>
      <c r="Y218" s="2"/>
      <c r="Z218" s="2"/>
    </row>
    <row r="219" spans="1:26" ht="13.8" x14ac:dyDescent="0.3">
      <c r="A219" s="2"/>
      <c r="B219" s="2"/>
      <c r="C219" s="10"/>
      <c r="D219" s="10"/>
      <c r="E219" s="10"/>
      <c r="F219" s="10"/>
      <c r="G219" s="69"/>
      <c r="H219" s="69"/>
      <c r="I219" s="69"/>
      <c r="J219" s="70"/>
      <c r="K219" s="69"/>
      <c r="L219" s="69"/>
      <c r="M219" s="69"/>
      <c r="N219" s="69"/>
      <c r="O219" s="69"/>
      <c r="P219" s="2"/>
      <c r="Q219" s="2"/>
      <c r="R219" s="32"/>
      <c r="S219" s="32"/>
      <c r="T219" s="32"/>
      <c r="U219" s="32"/>
      <c r="V219" s="2"/>
      <c r="W219" s="2"/>
      <c r="X219" s="2"/>
      <c r="Y219" s="2"/>
      <c r="Z219" s="2"/>
    </row>
    <row r="220" spans="1:26" ht="13.8" x14ac:dyDescent="0.3">
      <c r="A220" s="2"/>
      <c r="B220" s="2"/>
      <c r="C220" s="10"/>
      <c r="D220" s="10"/>
      <c r="E220" s="10"/>
      <c r="F220" s="10"/>
      <c r="G220" s="69"/>
      <c r="H220" s="69"/>
      <c r="I220" s="69"/>
      <c r="J220" s="70"/>
      <c r="K220" s="69"/>
      <c r="L220" s="69"/>
      <c r="M220" s="69"/>
      <c r="N220" s="69"/>
      <c r="O220" s="69"/>
      <c r="P220" s="2"/>
      <c r="Q220" s="2"/>
      <c r="R220" s="32"/>
      <c r="S220" s="32"/>
      <c r="T220" s="32"/>
      <c r="U220" s="32"/>
      <c r="V220" s="2"/>
      <c r="W220" s="2"/>
      <c r="X220" s="2"/>
      <c r="Y220" s="2"/>
      <c r="Z220" s="2"/>
    </row>
    <row r="221" spans="1:26" ht="13.8" x14ac:dyDescent="0.3">
      <c r="A221" s="2"/>
      <c r="B221" s="2"/>
      <c r="C221" s="10"/>
      <c r="D221" s="10"/>
      <c r="E221" s="10"/>
      <c r="F221" s="10"/>
      <c r="G221" s="69"/>
      <c r="H221" s="69"/>
      <c r="I221" s="69"/>
      <c r="J221" s="70"/>
      <c r="K221" s="69"/>
      <c r="L221" s="69"/>
      <c r="M221" s="69"/>
      <c r="N221" s="69"/>
      <c r="O221" s="69"/>
      <c r="P221" s="2"/>
      <c r="Q221" s="2"/>
      <c r="R221" s="32"/>
      <c r="S221" s="32"/>
      <c r="T221" s="32"/>
      <c r="U221" s="32"/>
      <c r="V221" s="2"/>
      <c r="W221" s="2"/>
      <c r="X221" s="2"/>
      <c r="Y221" s="2"/>
      <c r="Z221" s="2"/>
    </row>
    <row r="222" spans="1:26" ht="13.8" x14ac:dyDescent="0.3">
      <c r="A222" s="2"/>
      <c r="B222" s="2"/>
      <c r="C222" s="10"/>
      <c r="D222" s="10"/>
      <c r="E222" s="10"/>
      <c r="F222" s="10"/>
      <c r="G222" s="69"/>
      <c r="H222" s="69"/>
      <c r="I222" s="69"/>
      <c r="J222" s="70"/>
      <c r="K222" s="69"/>
      <c r="L222" s="69"/>
      <c r="M222" s="69"/>
      <c r="N222" s="69"/>
      <c r="O222" s="69"/>
      <c r="P222" s="2"/>
      <c r="Q222" s="2"/>
      <c r="R222" s="32"/>
      <c r="S222" s="32"/>
      <c r="T222" s="32"/>
      <c r="U222" s="32"/>
      <c r="V222" s="2"/>
      <c r="W222" s="2"/>
      <c r="X222" s="2"/>
      <c r="Y222" s="2"/>
      <c r="Z222" s="2"/>
    </row>
    <row r="223" spans="1:26" ht="13.8" x14ac:dyDescent="0.3">
      <c r="A223" s="2"/>
      <c r="B223" s="2"/>
      <c r="C223" s="10"/>
      <c r="D223" s="10"/>
      <c r="E223" s="10"/>
      <c r="F223" s="10"/>
      <c r="G223" s="69"/>
      <c r="H223" s="69"/>
      <c r="I223" s="69"/>
      <c r="J223" s="70"/>
      <c r="K223" s="69"/>
      <c r="L223" s="69"/>
      <c r="M223" s="69"/>
      <c r="N223" s="69"/>
      <c r="O223" s="69"/>
      <c r="P223" s="2"/>
      <c r="Q223" s="2"/>
      <c r="R223" s="32"/>
      <c r="S223" s="32"/>
      <c r="T223" s="32"/>
      <c r="U223" s="32"/>
      <c r="V223" s="2"/>
      <c r="W223" s="2"/>
      <c r="X223" s="2"/>
      <c r="Y223" s="2"/>
      <c r="Z223" s="2"/>
    </row>
    <row r="224" spans="1:26" ht="13.8" x14ac:dyDescent="0.3">
      <c r="A224" s="2"/>
      <c r="B224" s="2"/>
      <c r="C224" s="10"/>
      <c r="D224" s="10"/>
      <c r="E224" s="10"/>
      <c r="F224" s="10"/>
      <c r="G224" s="69"/>
      <c r="H224" s="69"/>
      <c r="I224" s="69"/>
      <c r="J224" s="70"/>
      <c r="K224" s="69"/>
      <c r="L224" s="69"/>
      <c r="M224" s="69"/>
      <c r="N224" s="69"/>
      <c r="O224" s="69"/>
      <c r="P224" s="2"/>
      <c r="Q224" s="2"/>
      <c r="R224" s="32"/>
      <c r="S224" s="32"/>
      <c r="T224" s="32"/>
      <c r="U224" s="32"/>
      <c r="V224" s="2"/>
      <c r="W224" s="2"/>
      <c r="X224" s="2"/>
      <c r="Y224" s="2"/>
      <c r="Z224" s="2"/>
    </row>
    <row r="225" spans="1:26" ht="13.8" x14ac:dyDescent="0.3">
      <c r="A225" s="2"/>
      <c r="B225" s="2"/>
      <c r="C225" s="10"/>
      <c r="D225" s="10"/>
      <c r="E225" s="10"/>
      <c r="F225" s="10"/>
      <c r="G225" s="69"/>
      <c r="H225" s="69"/>
      <c r="I225" s="69"/>
      <c r="J225" s="70"/>
      <c r="K225" s="69"/>
      <c r="L225" s="69"/>
      <c r="M225" s="69"/>
      <c r="N225" s="69"/>
      <c r="O225" s="69"/>
      <c r="P225" s="2"/>
      <c r="Q225" s="2"/>
      <c r="R225" s="32"/>
      <c r="S225" s="32"/>
      <c r="T225" s="32"/>
      <c r="U225" s="32"/>
      <c r="V225" s="2"/>
      <c r="W225" s="2"/>
      <c r="X225" s="2"/>
      <c r="Y225" s="2"/>
      <c r="Z225" s="2"/>
    </row>
    <row r="226" spans="1:26" ht="13.8" x14ac:dyDescent="0.3">
      <c r="A226" s="2"/>
      <c r="B226" s="2"/>
      <c r="C226" s="10"/>
      <c r="D226" s="10"/>
      <c r="E226" s="10"/>
      <c r="F226" s="10"/>
      <c r="G226" s="69"/>
      <c r="H226" s="69"/>
      <c r="I226" s="69"/>
      <c r="J226" s="70"/>
      <c r="K226" s="69"/>
      <c r="L226" s="69"/>
      <c r="M226" s="69"/>
      <c r="N226" s="69"/>
      <c r="O226" s="69"/>
      <c r="P226" s="2"/>
      <c r="Q226" s="2"/>
      <c r="R226" s="32"/>
      <c r="S226" s="32"/>
      <c r="T226" s="32"/>
      <c r="U226" s="32"/>
      <c r="V226" s="2"/>
      <c r="W226" s="2"/>
      <c r="X226" s="2"/>
      <c r="Y226" s="2"/>
      <c r="Z226" s="2"/>
    </row>
    <row r="227" spans="1:26" ht="13.8" x14ac:dyDescent="0.3">
      <c r="A227" s="2"/>
      <c r="B227" s="2"/>
      <c r="C227" s="10"/>
      <c r="D227" s="10"/>
      <c r="E227" s="10"/>
      <c r="F227" s="10"/>
      <c r="G227" s="69"/>
      <c r="H227" s="69"/>
      <c r="I227" s="69"/>
      <c r="J227" s="70"/>
      <c r="K227" s="69"/>
      <c r="L227" s="69"/>
      <c r="M227" s="69"/>
      <c r="N227" s="69"/>
      <c r="O227" s="69"/>
      <c r="P227" s="2"/>
      <c r="Q227" s="2"/>
      <c r="R227" s="32"/>
      <c r="S227" s="32"/>
      <c r="T227" s="32"/>
      <c r="U227" s="32"/>
      <c r="V227" s="2"/>
      <c r="W227" s="2"/>
      <c r="X227" s="2"/>
      <c r="Y227" s="2"/>
      <c r="Z227" s="2"/>
    </row>
    <row r="228" spans="1:26" ht="13.8" x14ac:dyDescent="0.3">
      <c r="A228" s="2"/>
      <c r="B228" s="2"/>
      <c r="C228" s="10"/>
      <c r="D228" s="10"/>
      <c r="E228" s="10"/>
      <c r="F228" s="10"/>
      <c r="G228" s="69"/>
      <c r="H228" s="69"/>
      <c r="I228" s="69"/>
      <c r="J228" s="70"/>
      <c r="K228" s="69"/>
      <c r="L228" s="69"/>
      <c r="M228" s="69"/>
      <c r="N228" s="69"/>
      <c r="O228" s="69"/>
      <c r="P228" s="2"/>
      <c r="Q228" s="2"/>
      <c r="R228" s="32"/>
      <c r="S228" s="32"/>
      <c r="T228" s="32"/>
      <c r="U228" s="32"/>
      <c r="V228" s="2"/>
      <c r="W228" s="2"/>
      <c r="X228" s="2"/>
      <c r="Y228" s="2"/>
      <c r="Z228" s="2"/>
    </row>
    <row r="229" spans="1:26" ht="13.8" x14ac:dyDescent="0.3">
      <c r="A229" s="2"/>
      <c r="B229" s="2"/>
      <c r="C229" s="10"/>
      <c r="D229" s="10"/>
      <c r="E229" s="10"/>
      <c r="F229" s="10"/>
      <c r="G229" s="69"/>
      <c r="H229" s="69"/>
      <c r="I229" s="69"/>
      <c r="J229" s="70"/>
      <c r="K229" s="69"/>
      <c r="L229" s="69"/>
      <c r="M229" s="69"/>
      <c r="N229" s="69"/>
      <c r="O229" s="69"/>
      <c r="P229" s="2"/>
      <c r="Q229" s="2"/>
      <c r="R229" s="32"/>
      <c r="S229" s="32"/>
      <c r="T229" s="32"/>
      <c r="U229" s="32"/>
      <c r="V229" s="2"/>
      <c r="W229" s="2"/>
      <c r="X229" s="2"/>
      <c r="Y229" s="2"/>
      <c r="Z229" s="2"/>
    </row>
    <row r="230" spans="1:26" ht="13.8" x14ac:dyDescent="0.3">
      <c r="A230" s="2"/>
      <c r="B230" s="2"/>
      <c r="C230" s="10"/>
      <c r="D230" s="10"/>
      <c r="E230" s="10"/>
      <c r="F230" s="10"/>
      <c r="G230" s="69"/>
      <c r="H230" s="69"/>
      <c r="I230" s="69"/>
      <c r="J230" s="70"/>
      <c r="K230" s="69"/>
      <c r="L230" s="69"/>
      <c r="M230" s="69"/>
      <c r="N230" s="69"/>
      <c r="O230" s="69"/>
      <c r="P230" s="2"/>
      <c r="Q230" s="2"/>
      <c r="R230" s="32"/>
      <c r="S230" s="32"/>
      <c r="T230" s="32"/>
      <c r="U230" s="32"/>
      <c r="V230" s="2"/>
      <c r="W230" s="2"/>
      <c r="X230" s="2"/>
      <c r="Y230" s="2"/>
      <c r="Z230" s="2"/>
    </row>
    <row r="231" spans="1:26" ht="13.8" x14ac:dyDescent="0.3">
      <c r="A231" s="2"/>
      <c r="B231" s="2"/>
      <c r="C231" s="10"/>
      <c r="D231" s="10"/>
      <c r="E231" s="10"/>
      <c r="F231" s="10"/>
      <c r="G231" s="69"/>
      <c r="H231" s="69"/>
      <c r="I231" s="69"/>
      <c r="J231" s="70"/>
      <c r="K231" s="69"/>
      <c r="L231" s="69"/>
      <c r="M231" s="69"/>
      <c r="N231" s="69"/>
      <c r="O231" s="69"/>
      <c r="P231" s="2"/>
      <c r="Q231" s="2"/>
      <c r="R231" s="32"/>
      <c r="S231" s="32"/>
      <c r="T231" s="32"/>
      <c r="U231" s="32"/>
      <c r="V231" s="2"/>
      <c r="W231" s="2"/>
      <c r="X231" s="2"/>
      <c r="Y231" s="2"/>
      <c r="Z231" s="2"/>
    </row>
    <row r="232" spans="1:26" ht="13.8" x14ac:dyDescent="0.3">
      <c r="A232" s="2"/>
      <c r="B232" s="2"/>
      <c r="C232" s="10"/>
      <c r="D232" s="10"/>
      <c r="E232" s="10"/>
      <c r="F232" s="10"/>
      <c r="G232" s="69"/>
      <c r="H232" s="69"/>
      <c r="I232" s="69"/>
      <c r="J232" s="70"/>
      <c r="K232" s="69"/>
      <c r="L232" s="69"/>
      <c r="M232" s="69"/>
      <c r="N232" s="69"/>
      <c r="O232" s="69"/>
      <c r="P232" s="2"/>
      <c r="Q232" s="2"/>
      <c r="R232" s="32"/>
      <c r="S232" s="32"/>
      <c r="T232" s="32"/>
      <c r="U232" s="32"/>
      <c r="V232" s="2"/>
      <c r="W232" s="2"/>
      <c r="X232" s="2"/>
      <c r="Y232" s="2"/>
      <c r="Z232" s="2"/>
    </row>
    <row r="233" spans="1:26" ht="13.8" x14ac:dyDescent="0.3">
      <c r="A233" s="2"/>
      <c r="B233" s="2"/>
      <c r="C233" s="10"/>
      <c r="D233" s="10"/>
      <c r="E233" s="10"/>
      <c r="F233" s="10"/>
      <c r="G233" s="69"/>
      <c r="H233" s="69"/>
      <c r="I233" s="69"/>
      <c r="J233" s="70"/>
      <c r="K233" s="69"/>
      <c r="L233" s="69"/>
      <c r="M233" s="69"/>
      <c r="N233" s="69"/>
      <c r="O233" s="69"/>
      <c r="P233" s="2"/>
      <c r="Q233" s="2"/>
      <c r="R233" s="32"/>
      <c r="S233" s="32"/>
      <c r="T233" s="32"/>
      <c r="U233" s="3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10"/>
      <c r="F234" s="10"/>
      <c r="G234" s="69"/>
      <c r="H234" s="69"/>
      <c r="I234" s="69"/>
      <c r="J234" s="70"/>
      <c r="K234" s="69"/>
      <c r="L234" s="69"/>
      <c r="M234" s="69"/>
      <c r="N234" s="69"/>
      <c r="O234" s="69"/>
      <c r="P234" s="2"/>
      <c r="Q234" s="2"/>
      <c r="R234" s="32"/>
      <c r="S234" s="32"/>
      <c r="T234" s="32"/>
      <c r="U234" s="32"/>
      <c r="V234" s="2"/>
      <c r="W234" s="2"/>
      <c r="X234" s="2"/>
      <c r="Y234" s="2"/>
      <c r="Z234" s="2"/>
    </row>
    <row r="235" spans="1:26" ht="13.8" x14ac:dyDescent="0.3">
      <c r="A235" s="2"/>
      <c r="B235" s="2"/>
      <c r="C235" s="10"/>
      <c r="D235" s="10"/>
      <c r="E235" s="10"/>
      <c r="F235" s="10"/>
      <c r="G235" s="69"/>
      <c r="H235" s="69"/>
      <c r="I235" s="69"/>
      <c r="J235" s="70"/>
      <c r="K235" s="69"/>
      <c r="L235" s="69"/>
      <c r="M235" s="69"/>
      <c r="N235" s="69"/>
      <c r="O235" s="69"/>
      <c r="P235" s="2"/>
      <c r="Q235" s="2"/>
      <c r="R235" s="32"/>
      <c r="S235" s="32"/>
      <c r="T235" s="32"/>
      <c r="U235" s="32"/>
      <c r="V235" s="2"/>
      <c r="W235" s="2"/>
      <c r="X235" s="2"/>
      <c r="Y235" s="2"/>
      <c r="Z235" s="2"/>
    </row>
    <row r="236" spans="1:26" ht="13.8" x14ac:dyDescent="0.3">
      <c r="A236" s="2"/>
      <c r="B236" s="2"/>
      <c r="C236" s="10"/>
      <c r="D236" s="10"/>
      <c r="E236" s="10"/>
      <c r="F236" s="10"/>
      <c r="G236" s="69"/>
      <c r="H236" s="69"/>
      <c r="I236" s="69"/>
      <c r="J236" s="70"/>
      <c r="K236" s="69"/>
      <c r="L236" s="69"/>
      <c r="M236" s="69"/>
      <c r="N236" s="69"/>
      <c r="O236" s="69"/>
      <c r="P236" s="2"/>
      <c r="Q236" s="2"/>
      <c r="R236" s="32"/>
      <c r="S236" s="32"/>
      <c r="T236" s="32"/>
      <c r="U236" s="32"/>
      <c r="V236" s="2"/>
      <c r="W236" s="2"/>
      <c r="X236" s="2"/>
      <c r="Y236" s="2"/>
      <c r="Z236" s="2"/>
    </row>
    <row r="237" spans="1:26" ht="13.8" x14ac:dyDescent="0.3">
      <c r="A237" s="2"/>
      <c r="B237" s="2"/>
      <c r="C237" s="10"/>
      <c r="D237" s="10"/>
      <c r="E237" s="10"/>
      <c r="F237" s="10"/>
      <c r="G237" s="69"/>
      <c r="H237" s="69"/>
      <c r="I237" s="69"/>
      <c r="J237" s="70"/>
      <c r="K237" s="69"/>
      <c r="L237" s="69"/>
      <c r="M237" s="69"/>
      <c r="N237" s="69"/>
      <c r="O237" s="69"/>
      <c r="P237" s="2"/>
      <c r="Q237" s="2"/>
      <c r="R237" s="32"/>
      <c r="S237" s="32"/>
      <c r="T237" s="32"/>
      <c r="U237" s="32"/>
      <c r="V237" s="2"/>
      <c r="W237" s="2"/>
      <c r="X237" s="2"/>
      <c r="Y237" s="2"/>
      <c r="Z237" s="2"/>
    </row>
    <row r="238" spans="1:26" ht="13.8" x14ac:dyDescent="0.3">
      <c r="A238" s="2"/>
      <c r="B238" s="2"/>
      <c r="C238" s="10"/>
      <c r="D238" s="10"/>
      <c r="E238" s="10"/>
      <c r="F238" s="10"/>
      <c r="G238" s="69"/>
      <c r="H238" s="69"/>
      <c r="I238" s="69"/>
      <c r="J238" s="70"/>
      <c r="K238" s="69"/>
      <c r="L238" s="69"/>
      <c r="M238" s="69"/>
      <c r="N238" s="69"/>
      <c r="O238" s="69"/>
      <c r="P238" s="2"/>
      <c r="Q238" s="2"/>
      <c r="R238" s="32"/>
      <c r="S238" s="32"/>
      <c r="T238" s="32"/>
      <c r="U238" s="3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10"/>
      <c r="F239" s="10"/>
      <c r="G239" s="69"/>
      <c r="H239" s="69"/>
      <c r="I239" s="69"/>
      <c r="J239" s="70"/>
      <c r="K239" s="69"/>
      <c r="L239" s="69"/>
      <c r="M239" s="69"/>
      <c r="N239" s="69"/>
      <c r="O239" s="69"/>
      <c r="P239" s="2"/>
      <c r="Q239" s="2"/>
      <c r="R239" s="32"/>
      <c r="S239" s="32"/>
      <c r="T239" s="32"/>
      <c r="U239" s="32"/>
      <c r="V239" s="2"/>
      <c r="W239" s="2"/>
      <c r="X239" s="2"/>
      <c r="Y239" s="2"/>
      <c r="Z239" s="2"/>
    </row>
    <row r="240" spans="1:26" ht="13.8" x14ac:dyDescent="0.3">
      <c r="A240" s="2"/>
      <c r="B240" s="2"/>
      <c r="C240" s="10"/>
      <c r="D240" s="10"/>
      <c r="E240" s="10"/>
      <c r="F240" s="10"/>
      <c r="G240" s="69"/>
      <c r="H240" s="69"/>
      <c r="I240" s="69"/>
      <c r="J240" s="70"/>
      <c r="K240" s="69"/>
      <c r="L240" s="69"/>
      <c r="M240" s="69"/>
      <c r="N240" s="69"/>
      <c r="O240" s="69"/>
      <c r="P240" s="2"/>
      <c r="Q240" s="2"/>
      <c r="R240" s="32"/>
      <c r="S240" s="32"/>
      <c r="T240" s="32"/>
      <c r="U240" s="32"/>
      <c r="V240" s="2"/>
      <c r="W240" s="2"/>
      <c r="X240" s="2"/>
      <c r="Y240" s="2"/>
      <c r="Z240" s="2"/>
    </row>
    <row r="241" spans="1:26" ht="13.8" x14ac:dyDescent="0.3">
      <c r="A241" s="2"/>
      <c r="B241" s="2"/>
      <c r="C241" s="10"/>
      <c r="D241" s="10"/>
      <c r="E241" s="10"/>
      <c r="F241" s="10"/>
      <c r="G241" s="69"/>
      <c r="H241" s="69"/>
      <c r="I241" s="69"/>
      <c r="J241" s="70"/>
      <c r="K241" s="69"/>
      <c r="L241" s="69"/>
      <c r="M241" s="69"/>
      <c r="N241" s="69"/>
      <c r="O241" s="69"/>
      <c r="P241" s="2"/>
      <c r="Q241" s="2"/>
      <c r="R241" s="32"/>
      <c r="S241" s="32"/>
      <c r="T241" s="32"/>
      <c r="U241" s="32"/>
      <c r="V241" s="2"/>
      <c r="W241" s="2"/>
      <c r="X241" s="2"/>
      <c r="Y241" s="2"/>
      <c r="Z241" s="2"/>
    </row>
    <row r="242" spans="1:26" ht="13.8" x14ac:dyDescent="0.3">
      <c r="A242" s="2"/>
      <c r="B242" s="2"/>
      <c r="C242" s="10"/>
      <c r="D242" s="10"/>
      <c r="E242" s="10"/>
      <c r="F242" s="10"/>
      <c r="G242" s="69"/>
      <c r="H242" s="69"/>
      <c r="I242" s="69"/>
      <c r="J242" s="70"/>
      <c r="K242" s="69"/>
      <c r="L242" s="69"/>
      <c r="M242" s="69"/>
      <c r="N242" s="69"/>
      <c r="O242" s="69"/>
      <c r="P242" s="2"/>
      <c r="Q242" s="2"/>
      <c r="R242" s="32"/>
      <c r="S242" s="32"/>
      <c r="T242" s="32"/>
      <c r="U242" s="32"/>
      <c r="V242" s="2"/>
      <c r="W242" s="2"/>
      <c r="X242" s="2"/>
      <c r="Y242" s="2"/>
      <c r="Z242" s="2"/>
    </row>
    <row r="243" spans="1:26" ht="13.8" x14ac:dyDescent="0.3">
      <c r="A243" s="2"/>
      <c r="B243" s="2"/>
      <c r="C243" s="10"/>
      <c r="D243" s="10"/>
      <c r="E243" s="10"/>
      <c r="F243" s="10"/>
      <c r="G243" s="69"/>
      <c r="H243" s="69"/>
      <c r="I243" s="69"/>
      <c r="J243" s="70"/>
      <c r="K243" s="69"/>
      <c r="L243" s="69"/>
      <c r="M243" s="69"/>
      <c r="N243" s="69"/>
      <c r="O243" s="69"/>
      <c r="P243" s="2"/>
      <c r="Q243" s="2"/>
      <c r="R243" s="32"/>
      <c r="S243" s="32"/>
      <c r="T243" s="32"/>
      <c r="U243" s="32"/>
      <c r="V243" s="2"/>
      <c r="W243" s="2"/>
      <c r="X243" s="2"/>
      <c r="Y243" s="2"/>
      <c r="Z243" s="2"/>
    </row>
    <row r="244" spans="1:26" ht="13.8" x14ac:dyDescent="0.3">
      <c r="A244" s="2"/>
      <c r="B244" s="2"/>
      <c r="C244" s="10"/>
      <c r="D244" s="10"/>
      <c r="E244" s="10"/>
      <c r="F244" s="10"/>
      <c r="G244" s="69"/>
      <c r="H244" s="69"/>
      <c r="I244" s="69"/>
      <c r="J244" s="70"/>
      <c r="K244" s="69"/>
      <c r="L244" s="69"/>
      <c r="M244" s="69"/>
      <c r="N244" s="69"/>
      <c r="O244" s="69"/>
      <c r="P244" s="2"/>
      <c r="Q244" s="2"/>
      <c r="R244" s="32"/>
      <c r="S244" s="32"/>
      <c r="T244" s="32"/>
      <c r="U244" s="32"/>
      <c r="V244" s="2"/>
      <c r="W244" s="2"/>
      <c r="X244" s="2"/>
      <c r="Y244" s="2"/>
      <c r="Z244" s="2"/>
    </row>
    <row r="245" spans="1:26" ht="13.8" x14ac:dyDescent="0.3">
      <c r="A245" s="2"/>
      <c r="B245" s="2"/>
      <c r="C245" s="10"/>
      <c r="D245" s="10"/>
      <c r="E245" s="10"/>
      <c r="F245" s="10"/>
      <c r="G245" s="69"/>
      <c r="H245" s="69"/>
      <c r="I245" s="69"/>
      <c r="J245" s="70"/>
      <c r="K245" s="69"/>
      <c r="L245" s="69"/>
      <c r="M245" s="69"/>
      <c r="N245" s="69"/>
      <c r="O245" s="69"/>
      <c r="P245" s="2"/>
      <c r="Q245" s="2"/>
      <c r="R245" s="32"/>
      <c r="S245" s="32"/>
      <c r="T245" s="32"/>
      <c r="U245" s="32"/>
      <c r="V245" s="2"/>
      <c r="W245" s="2"/>
      <c r="X245" s="2"/>
      <c r="Y245" s="2"/>
      <c r="Z245" s="2"/>
    </row>
    <row r="246" spans="1:26" ht="13.8" x14ac:dyDescent="0.3">
      <c r="A246" s="2"/>
      <c r="B246" s="2"/>
      <c r="C246" s="10"/>
      <c r="D246" s="10"/>
      <c r="E246" s="10"/>
      <c r="F246" s="10"/>
      <c r="G246" s="69"/>
      <c r="H246" s="69"/>
      <c r="I246" s="69"/>
      <c r="J246" s="70"/>
      <c r="K246" s="69"/>
      <c r="L246" s="69"/>
      <c r="M246" s="69"/>
      <c r="N246" s="69"/>
      <c r="O246" s="69"/>
      <c r="P246" s="2"/>
      <c r="Q246" s="2"/>
      <c r="R246" s="32"/>
      <c r="S246" s="32"/>
      <c r="T246" s="32"/>
      <c r="U246" s="3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10"/>
      <c r="F247" s="10"/>
      <c r="G247" s="69"/>
      <c r="H247" s="69"/>
      <c r="I247" s="69"/>
      <c r="J247" s="70"/>
      <c r="K247" s="69"/>
      <c r="L247" s="69"/>
      <c r="M247" s="69"/>
      <c r="N247" s="69"/>
      <c r="O247" s="69"/>
      <c r="P247" s="2"/>
      <c r="Q247" s="2"/>
      <c r="R247" s="32"/>
      <c r="S247" s="32"/>
      <c r="T247" s="32"/>
      <c r="U247" s="32"/>
      <c r="V247" s="2"/>
      <c r="W247" s="2"/>
      <c r="X247" s="2"/>
      <c r="Y247" s="2"/>
      <c r="Z247" s="2"/>
    </row>
    <row r="248" spans="1:26" ht="13.8" x14ac:dyDescent="0.3">
      <c r="A248" s="2"/>
      <c r="B248" s="2"/>
      <c r="C248" s="10"/>
      <c r="D248" s="10"/>
      <c r="E248" s="10"/>
      <c r="F248" s="10"/>
      <c r="G248" s="69"/>
      <c r="H248" s="69"/>
      <c r="I248" s="69"/>
      <c r="J248" s="70"/>
      <c r="K248" s="69"/>
      <c r="L248" s="69"/>
      <c r="M248" s="69"/>
      <c r="N248" s="69"/>
      <c r="O248" s="69"/>
      <c r="P248" s="2"/>
      <c r="Q248" s="2"/>
      <c r="R248" s="32"/>
      <c r="S248" s="32"/>
      <c r="T248" s="32"/>
      <c r="U248" s="32"/>
      <c r="V248" s="2"/>
      <c r="W248" s="2"/>
      <c r="X248" s="2"/>
      <c r="Y248" s="2"/>
      <c r="Z248" s="2"/>
    </row>
    <row r="249" spans="1:26" ht="13.8" x14ac:dyDescent="0.3">
      <c r="A249" s="2"/>
      <c r="B249" s="2"/>
      <c r="C249" s="10"/>
      <c r="D249" s="10"/>
      <c r="E249" s="10"/>
      <c r="F249" s="10"/>
      <c r="G249" s="69"/>
      <c r="H249" s="69"/>
      <c r="I249" s="69"/>
      <c r="J249" s="70"/>
      <c r="K249" s="69"/>
      <c r="L249" s="69"/>
      <c r="M249" s="69"/>
      <c r="N249" s="69"/>
      <c r="O249" s="69"/>
      <c r="P249" s="2"/>
      <c r="Q249" s="2"/>
      <c r="R249" s="32"/>
      <c r="S249" s="32"/>
      <c r="T249" s="32"/>
      <c r="U249" s="32"/>
      <c r="V249" s="2"/>
      <c r="W249" s="2"/>
      <c r="X249" s="2"/>
      <c r="Y249" s="2"/>
      <c r="Z249" s="2"/>
    </row>
    <row r="250" spans="1:26" ht="13.8" x14ac:dyDescent="0.3">
      <c r="A250" s="2"/>
      <c r="B250" s="2"/>
      <c r="C250" s="10"/>
      <c r="D250" s="10"/>
      <c r="E250" s="10"/>
      <c r="F250" s="10"/>
      <c r="G250" s="69"/>
      <c r="H250" s="69"/>
      <c r="I250" s="69"/>
      <c r="J250" s="70"/>
      <c r="K250" s="69"/>
      <c r="L250" s="69"/>
      <c r="M250" s="69"/>
      <c r="N250" s="69"/>
      <c r="O250" s="69"/>
      <c r="P250" s="2"/>
      <c r="Q250" s="2"/>
      <c r="R250" s="32"/>
      <c r="S250" s="32"/>
      <c r="T250" s="32"/>
      <c r="U250" s="32"/>
      <c r="V250" s="2"/>
      <c r="W250" s="2"/>
      <c r="X250" s="2"/>
      <c r="Y250" s="2"/>
      <c r="Z250" s="2"/>
    </row>
    <row r="251" spans="1:26" ht="13.8" x14ac:dyDescent="0.3">
      <c r="A251" s="2"/>
      <c r="B251" s="2"/>
      <c r="C251" s="10"/>
      <c r="D251" s="10"/>
      <c r="E251" s="10"/>
      <c r="F251" s="10"/>
      <c r="G251" s="69"/>
      <c r="H251" s="69"/>
      <c r="I251" s="69"/>
      <c r="J251" s="70"/>
      <c r="K251" s="69"/>
      <c r="L251" s="69"/>
      <c r="M251" s="69"/>
      <c r="N251" s="69"/>
      <c r="O251" s="69"/>
      <c r="P251" s="2"/>
      <c r="Q251" s="2"/>
      <c r="R251" s="32"/>
      <c r="S251" s="32"/>
      <c r="T251" s="32"/>
      <c r="U251" s="3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10"/>
      <c r="F252" s="10"/>
      <c r="G252" s="69"/>
      <c r="H252" s="69"/>
      <c r="I252" s="69"/>
      <c r="J252" s="70"/>
      <c r="K252" s="69"/>
      <c r="L252" s="69"/>
      <c r="M252" s="69"/>
      <c r="N252" s="69"/>
      <c r="O252" s="69"/>
      <c r="P252" s="2"/>
      <c r="Q252" s="2"/>
      <c r="R252" s="32"/>
      <c r="S252" s="32"/>
      <c r="T252" s="32"/>
      <c r="U252" s="32"/>
      <c r="V252" s="2"/>
      <c r="W252" s="2"/>
      <c r="X252" s="2"/>
      <c r="Y252" s="2"/>
      <c r="Z252" s="2"/>
    </row>
    <row r="253" spans="1:26" ht="13.8" x14ac:dyDescent="0.3">
      <c r="A253" s="2"/>
      <c r="B253" s="2"/>
      <c r="C253" s="10"/>
      <c r="D253" s="10"/>
      <c r="E253" s="10"/>
      <c r="F253" s="10"/>
      <c r="G253" s="69"/>
      <c r="H253" s="69"/>
      <c r="I253" s="69"/>
      <c r="J253" s="70"/>
      <c r="K253" s="69"/>
      <c r="L253" s="69"/>
      <c r="M253" s="69"/>
      <c r="N253" s="69"/>
      <c r="O253" s="69"/>
      <c r="P253" s="2"/>
      <c r="Q253" s="2"/>
      <c r="R253" s="32"/>
      <c r="S253" s="32"/>
      <c r="T253" s="32"/>
      <c r="U253" s="32"/>
      <c r="V253" s="2"/>
      <c r="W253" s="2"/>
      <c r="X253" s="2"/>
      <c r="Y253" s="2"/>
      <c r="Z253" s="2"/>
    </row>
    <row r="254" spans="1:26" ht="13.8" x14ac:dyDescent="0.3">
      <c r="A254" s="2"/>
      <c r="B254" s="2"/>
      <c r="C254" s="10"/>
      <c r="D254" s="10"/>
      <c r="E254" s="10"/>
      <c r="F254" s="10"/>
      <c r="G254" s="69"/>
      <c r="H254" s="69"/>
      <c r="I254" s="69"/>
      <c r="J254" s="70"/>
      <c r="K254" s="69"/>
      <c r="L254" s="69"/>
      <c r="M254" s="69"/>
      <c r="N254" s="69"/>
      <c r="O254" s="69"/>
      <c r="P254" s="2"/>
      <c r="Q254" s="2"/>
      <c r="R254" s="32"/>
      <c r="S254" s="32"/>
      <c r="T254" s="32"/>
      <c r="U254" s="32"/>
      <c r="V254" s="2"/>
      <c r="W254" s="2"/>
      <c r="X254" s="2"/>
      <c r="Y254" s="2"/>
      <c r="Z254" s="2"/>
    </row>
    <row r="255" spans="1:26" ht="13.8" x14ac:dyDescent="0.3">
      <c r="A255" s="2"/>
      <c r="B255" s="2"/>
      <c r="C255" s="10"/>
      <c r="D255" s="10"/>
      <c r="E255" s="10"/>
      <c r="F255" s="10"/>
      <c r="G255" s="69"/>
      <c r="H255" s="69"/>
      <c r="I255" s="69"/>
      <c r="J255" s="70"/>
      <c r="K255" s="69"/>
      <c r="L255" s="69"/>
      <c r="M255" s="69"/>
      <c r="N255" s="69"/>
      <c r="O255" s="69"/>
      <c r="P255" s="2"/>
      <c r="Q255" s="2"/>
      <c r="R255" s="32"/>
      <c r="S255" s="32"/>
      <c r="T255" s="32"/>
      <c r="U255" s="32"/>
      <c r="V255" s="2"/>
      <c r="W255" s="2"/>
      <c r="X255" s="2"/>
      <c r="Y255" s="2"/>
      <c r="Z255" s="2"/>
    </row>
    <row r="256" spans="1:26" ht="13.8" x14ac:dyDescent="0.3">
      <c r="A256" s="2"/>
      <c r="B256" s="2"/>
      <c r="C256" s="10"/>
      <c r="D256" s="10"/>
      <c r="E256" s="10"/>
      <c r="F256" s="10"/>
      <c r="G256" s="69"/>
      <c r="H256" s="69"/>
      <c r="I256" s="69"/>
      <c r="J256" s="70"/>
      <c r="K256" s="69"/>
      <c r="L256" s="69"/>
      <c r="M256" s="69"/>
      <c r="N256" s="69"/>
      <c r="O256" s="69"/>
      <c r="P256" s="2"/>
      <c r="Q256" s="2"/>
      <c r="R256" s="32"/>
      <c r="S256" s="32"/>
      <c r="T256" s="32"/>
      <c r="U256" s="32"/>
      <c r="V256" s="2"/>
      <c r="W256" s="2"/>
      <c r="X256" s="2"/>
      <c r="Y256" s="2"/>
      <c r="Z256" s="2"/>
    </row>
    <row r="257" spans="1:26" ht="13.8" x14ac:dyDescent="0.3">
      <c r="A257" s="2"/>
      <c r="B257" s="2"/>
      <c r="C257" s="10"/>
      <c r="D257" s="10"/>
      <c r="E257" s="10"/>
      <c r="F257" s="10"/>
      <c r="G257" s="69"/>
      <c r="H257" s="69"/>
      <c r="I257" s="69"/>
      <c r="J257" s="70"/>
      <c r="K257" s="69"/>
      <c r="L257" s="69"/>
      <c r="M257" s="69"/>
      <c r="N257" s="69"/>
      <c r="O257" s="69"/>
      <c r="P257" s="2"/>
      <c r="Q257" s="2"/>
      <c r="R257" s="32"/>
      <c r="S257" s="32"/>
      <c r="T257" s="32"/>
      <c r="U257" s="32"/>
      <c r="V257" s="2"/>
      <c r="W257" s="2"/>
      <c r="X257" s="2"/>
      <c r="Y257" s="2"/>
      <c r="Z257" s="2"/>
    </row>
    <row r="258" spans="1:26" ht="13.8" x14ac:dyDescent="0.3">
      <c r="A258" s="2"/>
      <c r="B258" s="2"/>
      <c r="C258" s="10"/>
      <c r="D258" s="10"/>
      <c r="E258" s="10"/>
      <c r="F258" s="10"/>
      <c r="G258" s="69"/>
      <c r="H258" s="69"/>
      <c r="I258" s="69"/>
      <c r="J258" s="70"/>
      <c r="K258" s="69"/>
      <c r="L258" s="69"/>
      <c r="M258" s="69"/>
      <c r="N258" s="69"/>
      <c r="O258" s="69"/>
      <c r="P258" s="2"/>
      <c r="Q258" s="2"/>
      <c r="R258" s="32"/>
      <c r="S258" s="32"/>
      <c r="T258" s="32"/>
      <c r="U258" s="32"/>
      <c r="V258" s="2"/>
      <c r="W258" s="2"/>
      <c r="X258" s="2"/>
      <c r="Y258" s="2"/>
      <c r="Z258" s="2"/>
    </row>
    <row r="259" spans="1:26" ht="13.8" x14ac:dyDescent="0.3">
      <c r="A259" s="2"/>
      <c r="B259" s="2"/>
      <c r="C259" s="10"/>
      <c r="D259" s="10"/>
      <c r="E259" s="10"/>
      <c r="F259" s="10"/>
      <c r="G259" s="69"/>
      <c r="H259" s="69"/>
      <c r="I259" s="69"/>
      <c r="J259" s="70"/>
      <c r="K259" s="69"/>
      <c r="L259" s="69"/>
      <c r="M259" s="69"/>
      <c r="N259" s="69"/>
      <c r="O259" s="69"/>
      <c r="P259" s="2"/>
      <c r="Q259" s="2"/>
      <c r="R259" s="32"/>
      <c r="S259" s="32"/>
      <c r="T259" s="32"/>
      <c r="U259" s="32"/>
      <c r="V259" s="2"/>
      <c r="W259" s="2"/>
      <c r="X259" s="2"/>
      <c r="Y259" s="2"/>
      <c r="Z259" s="2"/>
    </row>
    <row r="260" spans="1:26" ht="13.8" x14ac:dyDescent="0.3">
      <c r="A260" s="2"/>
      <c r="B260" s="2"/>
      <c r="C260" s="10"/>
      <c r="D260" s="10"/>
      <c r="E260" s="10"/>
      <c r="F260" s="10"/>
      <c r="G260" s="69"/>
      <c r="H260" s="69"/>
      <c r="I260" s="69"/>
      <c r="J260" s="70"/>
      <c r="K260" s="69"/>
      <c r="L260" s="69"/>
      <c r="M260" s="69"/>
      <c r="N260" s="69"/>
      <c r="O260" s="69"/>
      <c r="P260" s="2"/>
      <c r="Q260" s="2"/>
      <c r="R260" s="32"/>
      <c r="S260" s="32"/>
      <c r="T260" s="32"/>
      <c r="U260" s="32"/>
      <c r="V260" s="2"/>
      <c r="W260" s="2"/>
      <c r="X260" s="2"/>
      <c r="Y260" s="2"/>
      <c r="Z260" s="2"/>
    </row>
    <row r="261" spans="1:26" ht="13.8" x14ac:dyDescent="0.3">
      <c r="A261" s="2"/>
      <c r="B261" s="2"/>
      <c r="C261" s="10"/>
      <c r="D261" s="10"/>
      <c r="E261" s="10"/>
      <c r="F261" s="10"/>
      <c r="G261" s="69"/>
      <c r="H261" s="69"/>
      <c r="I261" s="69"/>
      <c r="J261" s="70"/>
      <c r="K261" s="69"/>
      <c r="L261" s="69"/>
      <c r="M261" s="69"/>
      <c r="N261" s="69"/>
      <c r="O261" s="69"/>
      <c r="P261" s="2"/>
      <c r="Q261" s="2"/>
      <c r="R261" s="32"/>
      <c r="S261" s="32"/>
      <c r="T261" s="32"/>
      <c r="U261" s="32"/>
      <c r="V261" s="2"/>
      <c r="W261" s="2"/>
      <c r="X261" s="2"/>
      <c r="Y261" s="2"/>
      <c r="Z261" s="2"/>
    </row>
    <row r="262" spans="1:26" ht="13.8" x14ac:dyDescent="0.3">
      <c r="A262" s="2"/>
      <c r="B262" s="2"/>
      <c r="C262" s="10"/>
      <c r="D262" s="10"/>
      <c r="E262" s="10"/>
      <c r="F262" s="10"/>
      <c r="G262" s="69"/>
      <c r="H262" s="69"/>
      <c r="I262" s="69"/>
      <c r="J262" s="70"/>
      <c r="K262" s="69"/>
      <c r="L262" s="69"/>
      <c r="M262" s="69"/>
      <c r="N262" s="69"/>
      <c r="O262" s="69"/>
      <c r="P262" s="2"/>
      <c r="Q262" s="2"/>
      <c r="R262" s="32"/>
      <c r="S262" s="32"/>
      <c r="T262" s="32"/>
      <c r="U262" s="32"/>
      <c r="V262" s="2"/>
      <c r="W262" s="2"/>
      <c r="X262" s="2"/>
      <c r="Y262" s="2"/>
      <c r="Z262" s="2"/>
    </row>
    <row r="263" spans="1:26" ht="13.8" x14ac:dyDescent="0.3">
      <c r="A263" s="2"/>
      <c r="B263" s="2"/>
      <c r="C263" s="10"/>
      <c r="D263" s="10"/>
      <c r="E263" s="10"/>
      <c r="F263" s="10"/>
      <c r="G263" s="69"/>
      <c r="H263" s="69"/>
      <c r="I263" s="69"/>
      <c r="J263" s="70"/>
      <c r="K263" s="69"/>
      <c r="L263" s="69"/>
      <c r="M263" s="69"/>
      <c r="N263" s="69"/>
      <c r="O263" s="69"/>
      <c r="P263" s="2"/>
      <c r="Q263" s="2"/>
      <c r="R263" s="32"/>
      <c r="S263" s="32"/>
      <c r="T263" s="32"/>
      <c r="U263" s="32"/>
      <c r="V263" s="2"/>
      <c r="W263" s="2"/>
      <c r="X263" s="2"/>
      <c r="Y263" s="2"/>
      <c r="Z263" s="2"/>
    </row>
    <row r="264" spans="1:26" ht="13.8" x14ac:dyDescent="0.3">
      <c r="A264" s="2"/>
      <c r="B264" s="2"/>
      <c r="C264" s="10"/>
      <c r="D264" s="10"/>
      <c r="E264" s="10"/>
      <c r="F264" s="10"/>
      <c r="G264" s="69"/>
      <c r="H264" s="69"/>
      <c r="I264" s="69"/>
      <c r="J264" s="70"/>
      <c r="K264" s="69"/>
      <c r="L264" s="69"/>
      <c r="M264" s="69"/>
      <c r="N264" s="69"/>
      <c r="O264" s="69"/>
      <c r="P264" s="2"/>
      <c r="Q264" s="2"/>
      <c r="R264" s="32"/>
      <c r="S264" s="32"/>
      <c r="T264" s="32"/>
      <c r="U264" s="32"/>
      <c r="V264" s="2"/>
      <c r="W264" s="2"/>
      <c r="X264" s="2"/>
      <c r="Y264" s="2"/>
      <c r="Z264" s="2"/>
    </row>
    <row r="265" spans="1:26" ht="13.8" x14ac:dyDescent="0.3">
      <c r="A265" s="2"/>
      <c r="B265" s="2"/>
      <c r="C265" s="10"/>
      <c r="D265" s="10"/>
      <c r="E265" s="10"/>
      <c r="F265" s="10"/>
      <c r="G265" s="69"/>
      <c r="H265" s="69"/>
      <c r="I265" s="69"/>
      <c r="J265" s="70"/>
      <c r="K265" s="69"/>
      <c r="L265" s="69"/>
      <c r="M265" s="69"/>
      <c r="N265" s="69"/>
      <c r="O265" s="69"/>
      <c r="P265" s="2"/>
      <c r="Q265" s="2"/>
      <c r="R265" s="32"/>
      <c r="S265" s="32"/>
      <c r="T265" s="32"/>
      <c r="U265" s="32"/>
      <c r="V265" s="2"/>
      <c r="W265" s="2"/>
      <c r="X265" s="2"/>
      <c r="Y265" s="2"/>
      <c r="Z265" s="2"/>
    </row>
    <row r="266" spans="1:26" ht="13.8" x14ac:dyDescent="0.3">
      <c r="A266" s="2"/>
      <c r="B266" s="2"/>
      <c r="C266" s="10"/>
      <c r="D266" s="10"/>
      <c r="E266" s="10"/>
      <c r="F266" s="10"/>
      <c r="G266" s="69"/>
      <c r="H266" s="69"/>
      <c r="I266" s="69"/>
      <c r="J266" s="70"/>
      <c r="K266" s="69"/>
      <c r="L266" s="69"/>
      <c r="M266" s="69"/>
      <c r="N266" s="69"/>
      <c r="O266" s="69"/>
      <c r="P266" s="2"/>
      <c r="Q266" s="2"/>
      <c r="R266" s="32"/>
      <c r="S266" s="32"/>
      <c r="T266" s="32"/>
      <c r="U266" s="32"/>
      <c r="V266" s="2"/>
      <c r="W266" s="2"/>
      <c r="X266" s="2"/>
      <c r="Y266" s="2"/>
      <c r="Z266" s="2"/>
    </row>
    <row r="267" spans="1:26" ht="13.8" x14ac:dyDescent="0.3">
      <c r="A267" s="2"/>
      <c r="B267" s="2"/>
      <c r="C267" s="10"/>
      <c r="D267" s="10"/>
      <c r="E267" s="10"/>
      <c r="F267" s="10"/>
      <c r="G267" s="69"/>
      <c r="H267" s="69"/>
      <c r="I267" s="69"/>
      <c r="J267" s="70"/>
      <c r="K267" s="69"/>
      <c r="L267" s="69"/>
      <c r="M267" s="69"/>
      <c r="N267" s="69"/>
      <c r="O267" s="69"/>
      <c r="P267" s="2"/>
      <c r="Q267" s="2"/>
      <c r="R267" s="32"/>
      <c r="S267" s="32"/>
      <c r="T267" s="32"/>
      <c r="U267" s="32"/>
      <c r="V267" s="2"/>
      <c r="W267" s="2"/>
      <c r="X267" s="2"/>
      <c r="Y267" s="2"/>
      <c r="Z267" s="2"/>
    </row>
    <row r="268" spans="1:26" ht="13.8" x14ac:dyDescent="0.3">
      <c r="A268" s="2"/>
      <c r="B268" s="2"/>
      <c r="C268" s="10"/>
      <c r="D268" s="10"/>
      <c r="E268" s="10"/>
      <c r="F268" s="10"/>
      <c r="G268" s="69"/>
      <c r="H268" s="69"/>
      <c r="I268" s="69"/>
      <c r="J268" s="70"/>
      <c r="K268" s="69"/>
      <c r="L268" s="69"/>
      <c r="M268" s="69"/>
      <c r="N268" s="69"/>
      <c r="O268" s="69"/>
      <c r="P268" s="2"/>
      <c r="Q268" s="2"/>
      <c r="R268" s="32"/>
      <c r="S268" s="32"/>
      <c r="T268" s="32"/>
      <c r="U268" s="32"/>
      <c r="V268" s="2"/>
      <c r="W268" s="2"/>
      <c r="X268" s="2"/>
      <c r="Y268" s="2"/>
      <c r="Z268" s="2"/>
    </row>
    <row r="269" spans="1:26" ht="13.8" x14ac:dyDescent="0.3">
      <c r="A269" s="2"/>
      <c r="B269" s="2"/>
      <c r="C269" s="10"/>
      <c r="D269" s="10"/>
      <c r="E269" s="10"/>
      <c r="F269" s="10"/>
      <c r="G269" s="69"/>
      <c r="H269" s="69"/>
      <c r="I269" s="69"/>
      <c r="J269" s="70"/>
      <c r="K269" s="69"/>
      <c r="L269" s="69"/>
      <c r="M269" s="69"/>
      <c r="N269" s="69"/>
      <c r="O269" s="69"/>
      <c r="P269" s="2"/>
      <c r="Q269" s="2"/>
      <c r="R269" s="32"/>
      <c r="S269" s="32"/>
      <c r="T269" s="32"/>
      <c r="U269" s="32"/>
      <c r="V269" s="2"/>
      <c r="W269" s="2"/>
      <c r="X269" s="2"/>
      <c r="Y269" s="2"/>
      <c r="Z269" s="2"/>
    </row>
    <row r="270" spans="1:26" ht="13.8" x14ac:dyDescent="0.3">
      <c r="A270" s="2"/>
      <c r="B270" s="2"/>
      <c r="C270" s="10"/>
      <c r="D270" s="10"/>
      <c r="E270" s="10"/>
      <c r="F270" s="10"/>
      <c r="G270" s="69"/>
      <c r="H270" s="69"/>
      <c r="I270" s="69"/>
      <c r="J270" s="70"/>
      <c r="K270" s="69"/>
      <c r="L270" s="69"/>
      <c r="M270" s="69"/>
      <c r="N270" s="69"/>
      <c r="O270" s="69"/>
      <c r="P270" s="2"/>
      <c r="Q270" s="2"/>
      <c r="R270" s="32"/>
      <c r="S270" s="32"/>
      <c r="T270" s="32"/>
      <c r="U270" s="32"/>
      <c r="V270" s="2"/>
      <c r="W270" s="2"/>
      <c r="X270" s="2"/>
      <c r="Y270" s="2"/>
      <c r="Z270" s="2"/>
    </row>
    <row r="271" spans="1:26" ht="13.8" x14ac:dyDescent="0.3">
      <c r="A271" s="2"/>
      <c r="B271" s="2"/>
      <c r="C271" s="10"/>
      <c r="D271" s="10"/>
      <c r="E271" s="10"/>
      <c r="F271" s="10"/>
      <c r="G271" s="69"/>
      <c r="H271" s="69"/>
      <c r="I271" s="69"/>
      <c r="J271" s="70"/>
      <c r="K271" s="69"/>
      <c r="L271" s="69"/>
      <c r="M271" s="69"/>
      <c r="N271" s="69"/>
      <c r="O271" s="69"/>
      <c r="P271" s="2"/>
      <c r="Q271" s="2"/>
      <c r="R271" s="32"/>
      <c r="S271" s="32"/>
      <c r="T271" s="32"/>
      <c r="U271" s="32"/>
      <c r="V271" s="2"/>
      <c r="W271" s="2"/>
      <c r="X271" s="2"/>
      <c r="Y271" s="2"/>
      <c r="Z271" s="2"/>
    </row>
    <row r="272" spans="1:26" ht="13.8" x14ac:dyDescent="0.3">
      <c r="A272" s="2"/>
      <c r="B272" s="2"/>
      <c r="C272" s="10"/>
      <c r="D272" s="10"/>
      <c r="E272" s="10"/>
      <c r="F272" s="10"/>
      <c r="G272" s="69"/>
      <c r="H272" s="69"/>
      <c r="I272" s="69"/>
      <c r="J272" s="70"/>
      <c r="K272" s="69"/>
      <c r="L272" s="69"/>
      <c r="M272" s="69"/>
      <c r="N272" s="69"/>
      <c r="O272" s="69"/>
      <c r="P272" s="2"/>
      <c r="Q272" s="2"/>
      <c r="R272" s="32"/>
      <c r="S272" s="32"/>
      <c r="T272" s="32"/>
      <c r="U272" s="32"/>
      <c r="V272" s="2"/>
      <c r="W272" s="2"/>
      <c r="X272" s="2"/>
      <c r="Y272" s="2"/>
      <c r="Z272" s="2"/>
    </row>
    <row r="273" spans="1:26" ht="13.8" x14ac:dyDescent="0.3">
      <c r="A273" s="2"/>
      <c r="B273" s="2"/>
      <c r="C273" s="10"/>
      <c r="D273" s="10"/>
      <c r="E273" s="10"/>
      <c r="F273" s="10"/>
      <c r="G273" s="69"/>
      <c r="H273" s="69"/>
      <c r="I273" s="69"/>
      <c r="J273" s="70"/>
      <c r="K273" s="69"/>
      <c r="L273" s="69"/>
      <c r="M273" s="69"/>
      <c r="N273" s="69"/>
      <c r="O273" s="69"/>
      <c r="P273" s="2"/>
      <c r="Q273" s="2"/>
      <c r="R273" s="32"/>
      <c r="S273" s="32"/>
      <c r="T273" s="32"/>
      <c r="U273" s="32"/>
      <c r="V273" s="2"/>
      <c r="W273" s="2"/>
      <c r="X273" s="2"/>
      <c r="Y273" s="2"/>
      <c r="Z273" s="2"/>
    </row>
    <row r="274" spans="1:26" ht="13.8" x14ac:dyDescent="0.3">
      <c r="A274" s="2"/>
      <c r="B274" s="2"/>
      <c r="C274" s="10"/>
      <c r="D274" s="10"/>
      <c r="E274" s="10"/>
      <c r="F274" s="10"/>
      <c r="G274" s="69"/>
      <c r="H274" s="69"/>
      <c r="I274" s="69"/>
      <c r="J274" s="70"/>
      <c r="K274" s="69"/>
      <c r="L274" s="69"/>
      <c r="M274" s="69"/>
      <c r="N274" s="69"/>
      <c r="O274" s="69"/>
      <c r="P274" s="2"/>
      <c r="Q274" s="2"/>
      <c r="R274" s="32"/>
      <c r="S274" s="32"/>
      <c r="T274" s="32"/>
      <c r="U274" s="32"/>
      <c r="V274" s="2"/>
      <c r="W274" s="2"/>
      <c r="X274" s="2"/>
      <c r="Y274" s="2"/>
      <c r="Z274" s="2"/>
    </row>
    <row r="275" spans="1:26" ht="13.8" x14ac:dyDescent="0.3">
      <c r="A275" s="2"/>
      <c r="B275" s="2"/>
      <c r="C275" s="10"/>
      <c r="D275" s="10"/>
      <c r="E275" s="10"/>
      <c r="F275" s="10"/>
      <c r="G275" s="69"/>
      <c r="H275" s="69"/>
      <c r="I275" s="69"/>
      <c r="J275" s="70"/>
      <c r="K275" s="69"/>
      <c r="L275" s="69"/>
      <c r="M275" s="69"/>
      <c r="N275" s="69"/>
      <c r="O275" s="69"/>
      <c r="P275" s="2"/>
      <c r="Q275" s="2"/>
      <c r="R275" s="32"/>
      <c r="S275" s="32"/>
      <c r="T275" s="32"/>
      <c r="U275" s="32"/>
      <c r="V275" s="2"/>
      <c r="W275" s="2"/>
      <c r="X275" s="2"/>
      <c r="Y275" s="2"/>
      <c r="Z275" s="2"/>
    </row>
    <row r="276" spans="1:26" ht="13.8" x14ac:dyDescent="0.3">
      <c r="A276" s="2"/>
      <c r="B276" s="2"/>
      <c r="C276" s="10"/>
      <c r="D276" s="10"/>
      <c r="E276" s="10"/>
      <c r="F276" s="10"/>
      <c r="G276" s="69"/>
      <c r="H276" s="69"/>
      <c r="I276" s="69"/>
      <c r="J276" s="70"/>
      <c r="K276" s="69"/>
      <c r="L276" s="69"/>
      <c r="M276" s="69"/>
      <c r="N276" s="69"/>
      <c r="O276" s="69"/>
      <c r="P276" s="2"/>
      <c r="Q276" s="2"/>
      <c r="R276" s="32"/>
      <c r="S276" s="32"/>
      <c r="T276" s="32"/>
      <c r="U276" s="32"/>
      <c r="V276" s="2"/>
      <c r="W276" s="2"/>
      <c r="X276" s="2"/>
      <c r="Y276" s="2"/>
      <c r="Z276" s="2"/>
    </row>
    <row r="277" spans="1:26" ht="13.8" x14ac:dyDescent="0.3">
      <c r="A277" s="2"/>
      <c r="B277" s="2"/>
      <c r="C277" s="10"/>
      <c r="D277" s="10"/>
      <c r="E277" s="10"/>
      <c r="F277" s="10"/>
      <c r="G277" s="69"/>
      <c r="H277" s="69"/>
      <c r="I277" s="69"/>
      <c r="J277" s="70"/>
      <c r="K277" s="69"/>
      <c r="L277" s="69"/>
      <c r="M277" s="69"/>
      <c r="N277" s="69"/>
      <c r="O277" s="69"/>
      <c r="P277" s="2"/>
      <c r="Q277" s="2"/>
      <c r="R277" s="32"/>
      <c r="S277" s="32"/>
      <c r="T277" s="32"/>
      <c r="U277" s="32"/>
      <c r="V277" s="2"/>
      <c r="W277" s="2"/>
      <c r="X277" s="2"/>
      <c r="Y277" s="2"/>
      <c r="Z277" s="2"/>
    </row>
    <row r="278" spans="1:26" ht="13.8" x14ac:dyDescent="0.3">
      <c r="A278" s="2"/>
      <c r="B278" s="2"/>
      <c r="C278" s="10"/>
      <c r="D278" s="10"/>
      <c r="E278" s="10"/>
      <c r="F278" s="10"/>
      <c r="G278" s="69"/>
      <c r="H278" s="69"/>
      <c r="I278" s="69"/>
      <c r="J278" s="70"/>
      <c r="K278" s="69"/>
      <c r="L278" s="69"/>
      <c r="M278" s="69"/>
      <c r="N278" s="69"/>
      <c r="O278" s="69"/>
      <c r="P278" s="2"/>
      <c r="Q278" s="2"/>
      <c r="R278" s="32"/>
      <c r="S278" s="32"/>
      <c r="T278" s="32"/>
      <c r="U278" s="32"/>
      <c r="V278" s="2"/>
      <c r="W278" s="2"/>
      <c r="X278" s="2"/>
      <c r="Y278" s="2"/>
      <c r="Z278" s="2"/>
    </row>
    <row r="279" spans="1:26" ht="13.8" x14ac:dyDescent="0.3">
      <c r="A279" s="2"/>
      <c r="B279" s="2"/>
      <c r="C279" s="10"/>
      <c r="D279" s="10"/>
      <c r="E279" s="10"/>
      <c r="F279" s="10"/>
      <c r="G279" s="69"/>
      <c r="H279" s="69"/>
      <c r="I279" s="69"/>
      <c r="J279" s="70"/>
      <c r="K279" s="69"/>
      <c r="L279" s="69"/>
      <c r="M279" s="69"/>
      <c r="N279" s="69"/>
      <c r="O279" s="69"/>
      <c r="P279" s="2"/>
      <c r="Q279" s="2"/>
      <c r="R279" s="32"/>
      <c r="S279" s="32"/>
      <c r="T279" s="32"/>
      <c r="U279" s="32"/>
      <c r="V279" s="2"/>
      <c r="W279" s="2"/>
      <c r="X279" s="2"/>
      <c r="Y279" s="2"/>
      <c r="Z279" s="2"/>
    </row>
    <row r="280" spans="1:26" ht="13.8" x14ac:dyDescent="0.3">
      <c r="A280" s="2"/>
      <c r="B280" s="2"/>
      <c r="C280" s="10"/>
      <c r="D280" s="10"/>
      <c r="E280" s="10"/>
      <c r="F280" s="10"/>
      <c r="G280" s="69"/>
      <c r="H280" s="69"/>
      <c r="I280" s="69"/>
      <c r="J280" s="70"/>
      <c r="K280" s="69"/>
      <c r="L280" s="69"/>
      <c r="M280" s="69"/>
      <c r="N280" s="69"/>
      <c r="O280" s="69"/>
      <c r="P280" s="2"/>
      <c r="Q280" s="2"/>
      <c r="R280" s="32"/>
      <c r="S280" s="32"/>
      <c r="T280" s="32"/>
      <c r="U280" s="32"/>
      <c r="V280" s="2"/>
      <c r="W280" s="2"/>
      <c r="X280" s="2"/>
      <c r="Y280" s="2"/>
      <c r="Z280" s="2"/>
    </row>
    <row r="281" spans="1:26" ht="13.8" x14ac:dyDescent="0.3">
      <c r="A281" s="2"/>
      <c r="B281" s="2"/>
      <c r="C281" s="10"/>
      <c r="D281" s="10"/>
      <c r="E281" s="10"/>
      <c r="F281" s="10"/>
      <c r="G281" s="69"/>
      <c r="H281" s="69"/>
      <c r="I281" s="69"/>
      <c r="J281" s="70"/>
      <c r="K281" s="69"/>
      <c r="L281" s="69"/>
      <c r="M281" s="69"/>
      <c r="N281" s="69"/>
      <c r="O281" s="69"/>
      <c r="P281" s="2"/>
      <c r="Q281" s="2"/>
      <c r="R281" s="32"/>
      <c r="S281" s="32"/>
      <c r="T281" s="32"/>
      <c r="U281" s="32"/>
      <c r="V281" s="2"/>
      <c r="W281" s="2"/>
      <c r="X281" s="2"/>
      <c r="Y281" s="2"/>
      <c r="Z281" s="2"/>
    </row>
    <row r="282" spans="1:26" ht="13.8" x14ac:dyDescent="0.3">
      <c r="A282" s="2"/>
      <c r="B282" s="2"/>
      <c r="C282" s="10"/>
      <c r="D282" s="10"/>
      <c r="E282" s="10"/>
      <c r="F282" s="10"/>
      <c r="G282" s="69"/>
      <c r="H282" s="69"/>
      <c r="I282" s="69"/>
      <c r="J282" s="70"/>
      <c r="K282" s="69"/>
      <c r="L282" s="69"/>
      <c r="M282" s="69"/>
      <c r="N282" s="69"/>
      <c r="O282" s="69"/>
      <c r="P282" s="2"/>
      <c r="Q282" s="2"/>
      <c r="R282" s="32"/>
      <c r="S282" s="32"/>
      <c r="T282" s="32"/>
      <c r="U282" s="32"/>
      <c r="V282" s="2"/>
      <c r="W282" s="2"/>
      <c r="X282" s="2"/>
      <c r="Y282" s="2"/>
      <c r="Z282" s="2"/>
    </row>
    <row r="283" spans="1:26" ht="13.8" x14ac:dyDescent="0.3">
      <c r="A283" s="2"/>
      <c r="B283" s="2"/>
      <c r="C283" s="10"/>
      <c r="D283" s="10"/>
      <c r="E283" s="10"/>
      <c r="F283" s="10"/>
      <c r="G283" s="69"/>
      <c r="H283" s="69"/>
      <c r="I283" s="69"/>
      <c r="J283" s="70"/>
      <c r="K283" s="69"/>
      <c r="L283" s="69"/>
      <c r="M283" s="69"/>
      <c r="N283" s="69"/>
      <c r="O283" s="69"/>
      <c r="P283" s="2"/>
      <c r="Q283" s="2"/>
      <c r="R283" s="32"/>
      <c r="S283" s="32"/>
      <c r="T283" s="32"/>
      <c r="U283" s="32"/>
      <c r="V283" s="2"/>
      <c r="W283" s="2"/>
      <c r="X283" s="2"/>
      <c r="Y283" s="2"/>
      <c r="Z283" s="2"/>
    </row>
    <row r="284" spans="1:26" ht="13.8" x14ac:dyDescent="0.3">
      <c r="A284" s="2"/>
      <c r="B284" s="2"/>
      <c r="C284" s="10"/>
      <c r="D284" s="10"/>
      <c r="E284" s="10"/>
      <c r="F284" s="10"/>
      <c r="G284" s="69"/>
      <c r="H284" s="69"/>
      <c r="I284" s="69"/>
      <c r="J284" s="70"/>
      <c r="K284" s="69"/>
      <c r="L284" s="69"/>
      <c r="M284" s="69"/>
      <c r="N284" s="69"/>
      <c r="O284" s="69"/>
      <c r="P284" s="2"/>
      <c r="Q284" s="2"/>
      <c r="R284" s="32"/>
      <c r="S284" s="32"/>
      <c r="T284" s="32"/>
      <c r="U284" s="32"/>
      <c r="V284" s="2"/>
      <c r="W284" s="2"/>
      <c r="X284" s="2"/>
      <c r="Y284" s="2"/>
      <c r="Z284" s="2"/>
    </row>
    <row r="285" spans="1:26" ht="13.8" x14ac:dyDescent="0.3">
      <c r="A285" s="2"/>
      <c r="B285" s="2"/>
      <c r="C285" s="10"/>
      <c r="D285" s="10"/>
      <c r="E285" s="10"/>
      <c r="F285" s="10"/>
      <c r="G285" s="69"/>
      <c r="H285" s="69"/>
      <c r="I285" s="69"/>
      <c r="J285" s="70"/>
      <c r="K285" s="69"/>
      <c r="L285" s="69"/>
      <c r="M285" s="69"/>
      <c r="N285" s="69"/>
      <c r="O285" s="69"/>
      <c r="P285" s="2"/>
      <c r="Q285" s="2"/>
      <c r="R285" s="32"/>
      <c r="S285" s="32"/>
      <c r="T285" s="32"/>
      <c r="U285" s="32"/>
      <c r="V285" s="2"/>
      <c r="W285" s="2"/>
      <c r="X285" s="2"/>
      <c r="Y285" s="2"/>
      <c r="Z285" s="2"/>
    </row>
    <row r="286" spans="1:26" ht="13.8" x14ac:dyDescent="0.3">
      <c r="A286" s="2"/>
      <c r="B286" s="2"/>
      <c r="C286" s="10"/>
      <c r="D286" s="10"/>
      <c r="E286" s="10"/>
      <c r="F286" s="10"/>
      <c r="G286" s="69"/>
      <c r="H286" s="69"/>
      <c r="I286" s="69"/>
      <c r="J286" s="70"/>
      <c r="K286" s="69"/>
      <c r="L286" s="69"/>
      <c r="M286" s="69"/>
      <c r="N286" s="69"/>
      <c r="O286" s="69"/>
      <c r="P286" s="2"/>
      <c r="Q286" s="2"/>
      <c r="R286" s="32"/>
      <c r="S286" s="32"/>
      <c r="T286" s="32"/>
      <c r="U286" s="32"/>
      <c r="V286" s="2"/>
      <c r="W286" s="2"/>
      <c r="X286" s="2"/>
      <c r="Y286" s="2"/>
      <c r="Z286" s="2"/>
    </row>
    <row r="287" spans="1:26" ht="13.8" x14ac:dyDescent="0.3">
      <c r="A287" s="2"/>
      <c r="B287" s="2"/>
      <c r="C287" s="10"/>
      <c r="D287" s="10"/>
      <c r="E287" s="10"/>
      <c r="F287" s="10"/>
      <c r="G287" s="69"/>
      <c r="H287" s="69"/>
      <c r="I287" s="69"/>
      <c r="J287" s="70"/>
      <c r="K287" s="69"/>
      <c r="L287" s="69"/>
      <c r="M287" s="69"/>
      <c r="N287" s="69"/>
      <c r="O287" s="69"/>
      <c r="P287" s="2"/>
      <c r="Q287" s="2"/>
      <c r="R287" s="32"/>
      <c r="S287" s="32"/>
      <c r="T287" s="32"/>
      <c r="U287" s="32"/>
      <c r="V287" s="2"/>
      <c r="W287" s="2"/>
      <c r="X287" s="2"/>
      <c r="Y287" s="2"/>
      <c r="Z287" s="2"/>
    </row>
    <row r="288" spans="1:26" ht="13.8" x14ac:dyDescent="0.3">
      <c r="A288" s="2"/>
      <c r="B288" s="2"/>
      <c r="C288" s="10"/>
      <c r="D288" s="10"/>
      <c r="E288" s="10"/>
      <c r="F288" s="10"/>
      <c r="G288" s="69"/>
      <c r="H288" s="69"/>
      <c r="I288" s="69"/>
      <c r="J288" s="70"/>
      <c r="K288" s="69"/>
      <c r="L288" s="69"/>
      <c r="M288" s="69"/>
      <c r="N288" s="69"/>
      <c r="O288" s="69"/>
      <c r="P288" s="2"/>
      <c r="Q288" s="2"/>
      <c r="R288" s="32"/>
      <c r="S288" s="32"/>
      <c r="T288" s="32"/>
      <c r="U288" s="32"/>
      <c r="V288" s="2"/>
      <c r="W288" s="2"/>
      <c r="X288" s="2"/>
      <c r="Y288" s="2"/>
      <c r="Z288" s="2"/>
    </row>
    <row r="289" spans="1:26" ht="13.8" x14ac:dyDescent="0.3">
      <c r="A289" s="2"/>
      <c r="B289" s="2"/>
      <c r="C289" s="10"/>
      <c r="D289" s="10"/>
      <c r="E289" s="10"/>
      <c r="F289" s="10"/>
      <c r="G289" s="69"/>
      <c r="H289" s="69"/>
      <c r="I289" s="69"/>
      <c r="J289" s="70"/>
      <c r="K289" s="69"/>
      <c r="L289" s="69"/>
      <c r="M289" s="69"/>
      <c r="N289" s="69"/>
      <c r="O289" s="69"/>
      <c r="P289" s="2"/>
      <c r="Q289" s="2"/>
      <c r="R289" s="32"/>
      <c r="S289" s="32"/>
      <c r="T289" s="32"/>
      <c r="U289" s="32"/>
      <c r="V289" s="2"/>
      <c r="W289" s="2"/>
      <c r="X289" s="2"/>
      <c r="Y289" s="2"/>
      <c r="Z289" s="2"/>
    </row>
    <row r="290" spans="1:26" ht="13.8" x14ac:dyDescent="0.3">
      <c r="A290" s="2"/>
      <c r="B290" s="2"/>
      <c r="C290" s="10"/>
      <c r="D290" s="10"/>
      <c r="E290" s="10"/>
      <c r="F290" s="10"/>
      <c r="G290" s="69"/>
      <c r="H290" s="69"/>
      <c r="I290" s="69"/>
      <c r="J290" s="70"/>
      <c r="K290" s="69"/>
      <c r="L290" s="69"/>
      <c r="M290" s="69"/>
      <c r="N290" s="69"/>
      <c r="O290" s="69"/>
      <c r="P290" s="2"/>
      <c r="Q290" s="2"/>
      <c r="R290" s="32"/>
      <c r="S290" s="32"/>
      <c r="T290" s="32"/>
      <c r="U290" s="32"/>
      <c r="V290" s="2"/>
      <c r="W290" s="2"/>
      <c r="X290" s="2"/>
      <c r="Y290" s="2"/>
      <c r="Z290" s="2"/>
    </row>
    <row r="291" spans="1:26" ht="13.8" x14ac:dyDescent="0.3">
      <c r="A291" s="2"/>
      <c r="B291" s="2"/>
      <c r="C291" s="10"/>
      <c r="D291" s="10"/>
      <c r="E291" s="10"/>
      <c r="F291" s="10"/>
      <c r="G291" s="69"/>
      <c r="H291" s="69"/>
      <c r="I291" s="69"/>
      <c r="J291" s="70"/>
      <c r="K291" s="69"/>
      <c r="L291" s="69"/>
      <c r="M291" s="69"/>
      <c r="N291" s="69"/>
      <c r="O291" s="69"/>
      <c r="P291" s="2"/>
      <c r="Q291" s="2"/>
      <c r="R291" s="32"/>
      <c r="S291" s="32"/>
      <c r="T291" s="32"/>
      <c r="U291" s="32"/>
      <c r="V291" s="2"/>
      <c r="W291" s="2"/>
      <c r="X291" s="2"/>
      <c r="Y291" s="2"/>
      <c r="Z291" s="2"/>
    </row>
    <row r="292" spans="1:26" ht="13.8" x14ac:dyDescent="0.3">
      <c r="A292" s="2"/>
      <c r="B292" s="2"/>
      <c r="C292" s="10"/>
      <c r="D292" s="10"/>
      <c r="E292" s="10"/>
      <c r="F292" s="10"/>
      <c r="G292" s="69"/>
      <c r="H292" s="69"/>
      <c r="I292" s="69"/>
      <c r="J292" s="70"/>
      <c r="K292" s="69"/>
      <c r="L292" s="69"/>
      <c r="M292" s="69"/>
      <c r="N292" s="69"/>
      <c r="O292" s="69"/>
      <c r="P292" s="2"/>
      <c r="Q292" s="2"/>
      <c r="R292" s="32"/>
      <c r="S292" s="32"/>
      <c r="T292" s="32"/>
      <c r="U292" s="32"/>
      <c r="V292" s="2"/>
      <c r="W292" s="2"/>
      <c r="X292" s="2"/>
      <c r="Y292" s="2"/>
      <c r="Z292" s="2"/>
    </row>
    <row r="293" spans="1:26" ht="13.8" x14ac:dyDescent="0.3">
      <c r="A293" s="2"/>
      <c r="B293" s="2"/>
      <c r="C293" s="10"/>
      <c r="D293" s="10"/>
      <c r="E293" s="10"/>
      <c r="F293" s="10"/>
      <c r="G293" s="69"/>
      <c r="H293" s="69"/>
      <c r="I293" s="69"/>
      <c r="J293" s="70"/>
      <c r="K293" s="69"/>
      <c r="L293" s="69"/>
      <c r="M293" s="69"/>
      <c r="N293" s="69"/>
      <c r="O293" s="69"/>
      <c r="P293" s="2"/>
      <c r="Q293" s="2"/>
      <c r="R293" s="32"/>
      <c r="S293" s="32"/>
      <c r="T293" s="32"/>
      <c r="U293" s="32"/>
      <c r="V293" s="2"/>
      <c r="W293" s="2"/>
      <c r="X293" s="2"/>
      <c r="Y293" s="2"/>
      <c r="Z293" s="2"/>
    </row>
    <row r="294" spans="1:26" ht="13.8" x14ac:dyDescent="0.3">
      <c r="A294" s="2"/>
      <c r="B294" s="2"/>
      <c r="C294" s="10"/>
      <c r="D294" s="10"/>
      <c r="E294" s="10"/>
      <c r="F294" s="10"/>
      <c r="G294" s="69"/>
      <c r="H294" s="69"/>
      <c r="I294" s="69"/>
      <c r="J294" s="70"/>
      <c r="K294" s="69"/>
      <c r="L294" s="69"/>
      <c r="M294" s="69"/>
      <c r="N294" s="69"/>
      <c r="O294" s="69"/>
      <c r="P294" s="2"/>
      <c r="Q294" s="2"/>
      <c r="R294" s="32"/>
      <c r="S294" s="32"/>
      <c r="T294" s="32"/>
      <c r="U294" s="32"/>
      <c r="V294" s="2"/>
      <c r="W294" s="2"/>
      <c r="X294" s="2"/>
      <c r="Y294" s="2"/>
      <c r="Z294" s="2"/>
    </row>
    <row r="295" spans="1:26" ht="13.8" x14ac:dyDescent="0.3">
      <c r="A295" s="2"/>
      <c r="B295" s="2"/>
      <c r="C295" s="10"/>
      <c r="D295" s="10"/>
      <c r="E295" s="10"/>
      <c r="F295" s="10"/>
      <c r="G295" s="69"/>
      <c r="H295" s="69"/>
      <c r="I295" s="69"/>
      <c r="J295" s="70"/>
      <c r="K295" s="69"/>
      <c r="L295" s="69"/>
      <c r="M295" s="69"/>
      <c r="N295" s="69"/>
      <c r="O295" s="69"/>
      <c r="P295" s="2"/>
      <c r="Q295" s="2"/>
      <c r="R295" s="32"/>
      <c r="S295" s="32"/>
      <c r="T295" s="32"/>
      <c r="U295" s="32"/>
      <c r="V295" s="2"/>
      <c r="W295" s="2"/>
      <c r="X295" s="2"/>
      <c r="Y295" s="2"/>
      <c r="Z295" s="2"/>
    </row>
    <row r="296" spans="1:26" ht="13.8" x14ac:dyDescent="0.3">
      <c r="A296" s="2"/>
      <c r="B296" s="2"/>
      <c r="C296" s="10"/>
      <c r="D296" s="10"/>
      <c r="E296" s="10"/>
      <c r="F296" s="10"/>
      <c r="G296" s="69"/>
      <c r="H296" s="69"/>
      <c r="I296" s="69"/>
      <c r="J296" s="70"/>
      <c r="K296" s="69"/>
      <c r="L296" s="69"/>
      <c r="M296" s="69"/>
      <c r="N296" s="69"/>
      <c r="O296" s="69"/>
      <c r="P296" s="2"/>
      <c r="Q296" s="2"/>
      <c r="R296" s="32"/>
      <c r="S296" s="32"/>
      <c r="T296" s="32"/>
      <c r="U296" s="32"/>
      <c r="V296" s="2"/>
      <c r="W296" s="2"/>
      <c r="X296" s="2"/>
      <c r="Y296" s="2"/>
      <c r="Z296" s="2"/>
    </row>
    <row r="297" spans="1:26" ht="13.8" x14ac:dyDescent="0.3">
      <c r="A297" s="2"/>
      <c r="B297" s="2"/>
      <c r="C297" s="10"/>
      <c r="D297" s="10"/>
      <c r="E297" s="10"/>
      <c r="F297" s="10"/>
      <c r="G297" s="69"/>
      <c r="H297" s="69"/>
      <c r="I297" s="69"/>
      <c r="J297" s="70"/>
      <c r="K297" s="69"/>
      <c r="L297" s="69"/>
      <c r="M297" s="69"/>
      <c r="N297" s="69"/>
      <c r="O297" s="69"/>
      <c r="P297" s="2"/>
      <c r="Q297" s="2"/>
      <c r="R297" s="32"/>
      <c r="S297" s="32"/>
      <c r="T297" s="32"/>
      <c r="U297" s="32"/>
      <c r="V297" s="2"/>
      <c r="W297" s="2"/>
      <c r="X297" s="2"/>
      <c r="Y297" s="2"/>
      <c r="Z297" s="2"/>
    </row>
    <row r="298" spans="1:26" ht="13.8" x14ac:dyDescent="0.3">
      <c r="A298" s="2"/>
      <c r="B298" s="2"/>
      <c r="C298" s="10"/>
      <c r="D298" s="10"/>
      <c r="E298" s="10"/>
      <c r="F298" s="10"/>
      <c r="G298" s="69"/>
      <c r="H298" s="69"/>
      <c r="I298" s="69"/>
      <c r="J298" s="70"/>
      <c r="K298" s="69"/>
      <c r="L298" s="69"/>
      <c r="M298" s="69"/>
      <c r="N298" s="69"/>
      <c r="O298" s="69"/>
      <c r="P298" s="2"/>
      <c r="Q298" s="2"/>
      <c r="R298" s="32"/>
      <c r="S298" s="32"/>
      <c r="T298" s="32"/>
      <c r="U298" s="32"/>
      <c r="V298" s="2"/>
      <c r="W298" s="2"/>
      <c r="X298" s="2"/>
      <c r="Y298" s="2"/>
      <c r="Z298" s="2"/>
    </row>
    <row r="299" spans="1:26" ht="13.8" x14ac:dyDescent="0.3">
      <c r="A299" s="2"/>
      <c r="B299" s="2"/>
      <c r="C299" s="10"/>
      <c r="D299" s="10"/>
      <c r="E299" s="10"/>
      <c r="F299" s="10"/>
      <c r="G299" s="69"/>
      <c r="H299" s="69"/>
      <c r="I299" s="69"/>
      <c r="J299" s="70"/>
      <c r="K299" s="69"/>
      <c r="L299" s="69"/>
      <c r="M299" s="69"/>
      <c r="N299" s="69"/>
      <c r="O299" s="69"/>
      <c r="P299" s="2"/>
      <c r="Q299" s="2"/>
      <c r="R299" s="32"/>
      <c r="S299" s="32"/>
      <c r="T299" s="32"/>
      <c r="U299" s="32"/>
      <c r="V299" s="2"/>
      <c r="W299" s="2"/>
      <c r="X299" s="2"/>
      <c r="Y299" s="2"/>
      <c r="Z299" s="2"/>
    </row>
    <row r="300" spans="1:26" ht="13.8" x14ac:dyDescent="0.3">
      <c r="A300" s="2"/>
      <c r="B300" s="2"/>
      <c r="C300" s="10"/>
      <c r="D300" s="10"/>
      <c r="E300" s="10"/>
      <c r="F300" s="10"/>
      <c r="G300" s="69"/>
      <c r="H300" s="69"/>
      <c r="I300" s="69"/>
      <c r="J300" s="70"/>
      <c r="K300" s="69"/>
      <c r="L300" s="69"/>
      <c r="M300" s="69"/>
      <c r="N300" s="69"/>
      <c r="O300" s="69"/>
      <c r="P300" s="2"/>
      <c r="Q300" s="2"/>
      <c r="R300" s="32"/>
      <c r="S300" s="32"/>
      <c r="T300" s="32"/>
      <c r="U300" s="32"/>
      <c r="V300" s="2"/>
      <c r="W300" s="2"/>
      <c r="X300" s="2"/>
      <c r="Y300" s="2"/>
      <c r="Z300" s="2"/>
    </row>
    <row r="301" spans="1:26" ht="13.8" x14ac:dyDescent="0.3">
      <c r="A301" s="2"/>
      <c r="B301" s="2"/>
      <c r="C301" s="10"/>
      <c r="D301" s="10"/>
      <c r="E301" s="10"/>
      <c r="F301" s="10"/>
      <c r="G301" s="69"/>
      <c r="H301" s="69"/>
      <c r="I301" s="69"/>
      <c r="J301" s="70"/>
      <c r="K301" s="69"/>
      <c r="L301" s="69"/>
      <c r="M301" s="69"/>
      <c r="N301" s="69"/>
      <c r="O301" s="69"/>
      <c r="P301" s="2"/>
      <c r="Q301" s="2"/>
      <c r="R301" s="32"/>
      <c r="S301" s="32"/>
      <c r="T301" s="32"/>
      <c r="U301" s="32"/>
      <c r="V301" s="2"/>
      <c r="W301" s="2"/>
      <c r="X301" s="2"/>
      <c r="Y301" s="2"/>
      <c r="Z301" s="2"/>
    </row>
    <row r="302" spans="1:26" ht="13.8" x14ac:dyDescent="0.3">
      <c r="A302" s="2"/>
      <c r="B302" s="2"/>
      <c r="C302" s="10"/>
      <c r="D302" s="10"/>
      <c r="E302" s="10"/>
      <c r="F302" s="10"/>
      <c r="G302" s="69"/>
      <c r="H302" s="69"/>
      <c r="I302" s="69"/>
      <c r="J302" s="70"/>
      <c r="K302" s="69"/>
      <c r="L302" s="69"/>
      <c r="M302" s="69"/>
      <c r="N302" s="69"/>
      <c r="O302" s="69"/>
      <c r="P302" s="2"/>
      <c r="Q302" s="2"/>
      <c r="R302" s="32"/>
      <c r="S302" s="32"/>
      <c r="T302" s="32"/>
      <c r="U302" s="32"/>
      <c r="V302" s="2"/>
      <c r="W302" s="2"/>
      <c r="X302" s="2"/>
      <c r="Y302" s="2"/>
      <c r="Z302" s="2"/>
    </row>
    <row r="303" spans="1:26" ht="13.8" x14ac:dyDescent="0.3">
      <c r="A303" s="2"/>
      <c r="B303" s="2"/>
      <c r="C303" s="10"/>
      <c r="D303" s="10"/>
      <c r="E303" s="10"/>
      <c r="F303" s="10"/>
      <c r="G303" s="69"/>
      <c r="H303" s="69"/>
      <c r="I303" s="69"/>
      <c r="J303" s="70"/>
      <c r="K303" s="69"/>
      <c r="L303" s="69"/>
      <c r="M303" s="69"/>
      <c r="N303" s="69"/>
      <c r="O303" s="69"/>
      <c r="P303" s="2"/>
      <c r="Q303" s="2"/>
      <c r="R303" s="32"/>
      <c r="S303" s="32"/>
      <c r="T303" s="32"/>
      <c r="U303" s="32"/>
      <c r="V303" s="2"/>
      <c r="W303" s="2"/>
      <c r="X303" s="2"/>
      <c r="Y303" s="2"/>
      <c r="Z303" s="2"/>
    </row>
    <row r="304" spans="1:26" ht="13.8" x14ac:dyDescent="0.3">
      <c r="A304" s="2"/>
      <c r="B304" s="2"/>
      <c r="C304" s="10"/>
      <c r="D304" s="10"/>
      <c r="E304" s="10"/>
      <c r="F304" s="10"/>
      <c r="G304" s="69"/>
      <c r="H304" s="69"/>
      <c r="I304" s="69"/>
      <c r="J304" s="70"/>
      <c r="K304" s="69"/>
      <c r="L304" s="69"/>
      <c r="M304" s="69"/>
      <c r="N304" s="69"/>
      <c r="O304" s="69"/>
      <c r="P304" s="2"/>
      <c r="Q304" s="2"/>
      <c r="R304" s="32"/>
      <c r="S304" s="32"/>
      <c r="T304" s="32"/>
      <c r="U304" s="32"/>
      <c r="V304" s="2"/>
      <c r="W304" s="2"/>
      <c r="X304" s="2"/>
      <c r="Y304" s="2"/>
      <c r="Z304" s="2"/>
    </row>
    <row r="305" spans="1:26" ht="13.8" x14ac:dyDescent="0.3">
      <c r="A305" s="2"/>
      <c r="B305" s="2"/>
      <c r="C305" s="10"/>
      <c r="D305" s="10"/>
      <c r="E305" s="10"/>
      <c r="F305" s="10"/>
      <c r="G305" s="69"/>
      <c r="H305" s="69"/>
      <c r="I305" s="69"/>
      <c r="J305" s="70"/>
      <c r="K305" s="69"/>
      <c r="L305" s="69"/>
      <c r="M305" s="69"/>
      <c r="N305" s="69"/>
      <c r="O305" s="69"/>
      <c r="P305" s="2"/>
      <c r="Q305" s="2"/>
      <c r="R305" s="32"/>
      <c r="S305" s="32"/>
      <c r="T305" s="32"/>
      <c r="U305" s="32"/>
      <c r="V305" s="2"/>
      <c r="W305" s="2"/>
      <c r="X305" s="2"/>
      <c r="Y305" s="2"/>
      <c r="Z305" s="2"/>
    </row>
    <row r="306" spans="1:26" ht="13.8" x14ac:dyDescent="0.3">
      <c r="A306" s="2"/>
      <c r="B306" s="2"/>
      <c r="C306" s="10"/>
      <c r="D306" s="10"/>
      <c r="E306" s="10"/>
      <c r="F306" s="10"/>
      <c r="G306" s="69"/>
      <c r="H306" s="69"/>
      <c r="I306" s="69"/>
      <c r="J306" s="70"/>
      <c r="K306" s="69"/>
      <c r="L306" s="69"/>
      <c r="M306" s="69"/>
      <c r="N306" s="69"/>
      <c r="O306" s="69"/>
      <c r="P306" s="2"/>
      <c r="Q306" s="2"/>
      <c r="R306" s="32"/>
      <c r="S306" s="32"/>
      <c r="T306" s="32"/>
      <c r="U306" s="32"/>
      <c r="V306" s="2"/>
      <c r="W306" s="2"/>
      <c r="X306" s="2"/>
      <c r="Y306" s="2"/>
      <c r="Z306" s="2"/>
    </row>
    <row r="307" spans="1:26" ht="13.8" x14ac:dyDescent="0.3">
      <c r="A307" s="2"/>
      <c r="B307" s="2"/>
      <c r="C307" s="10"/>
      <c r="D307" s="10"/>
      <c r="E307" s="10"/>
      <c r="F307" s="10"/>
      <c r="G307" s="69"/>
      <c r="H307" s="69"/>
      <c r="I307" s="69"/>
      <c r="J307" s="70"/>
      <c r="K307" s="69"/>
      <c r="L307" s="69"/>
      <c r="M307" s="69"/>
      <c r="N307" s="69"/>
      <c r="O307" s="69"/>
      <c r="P307" s="2"/>
      <c r="Q307" s="2"/>
      <c r="R307" s="32"/>
      <c r="S307" s="32"/>
      <c r="T307" s="32"/>
      <c r="U307" s="32"/>
      <c r="V307" s="2"/>
      <c r="W307" s="2"/>
      <c r="X307" s="2"/>
      <c r="Y307" s="2"/>
      <c r="Z307" s="2"/>
    </row>
    <row r="308" spans="1:26" ht="13.8" x14ac:dyDescent="0.3">
      <c r="A308" s="2"/>
      <c r="B308" s="2"/>
      <c r="C308" s="10"/>
      <c r="D308" s="10"/>
      <c r="E308" s="10"/>
      <c r="F308" s="10"/>
      <c r="G308" s="69"/>
      <c r="H308" s="69"/>
      <c r="I308" s="69"/>
      <c r="J308" s="70"/>
      <c r="K308" s="69"/>
      <c r="L308" s="69"/>
      <c r="M308" s="69"/>
      <c r="N308" s="69"/>
      <c r="O308" s="69"/>
      <c r="P308" s="2"/>
      <c r="Q308" s="2"/>
      <c r="R308" s="32"/>
      <c r="S308" s="32"/>
      <c r="T308" s="32"/>
      <c r="U308" s="32"/>
      <c r="V308" s="2"/>
      <c r="W308" s="2"/>
      <c r="X308" s="2"/>
      <c r="Y308" s="2"/>
      <c r="Z308" s="2"/>
    </row>
    <row r="309" spans="1:26" ht="13.8" x14ac:dyDescent="0.3">
      <c r="A309" s="2"/>
      <c r="B309" s="2"/>
      <c r="C309" s="10"/>
      <c r="D309" s="10"/>
      <c r="E309" s="10"/>
      <c r="F309" s="10"/>
      <c r="G309" s="69"/>
      <c r="H309" s="69"/>
      <c r="I309" s="69"/>
      <c r="J309" s="70"/>
      <c r="K309" s="69"/>
      <c r="L309" s="69"/>
      <c r="M309" s="69"/>
      <c r="N309" s="69"/>
      <c r="O309" s="69"/>
      <c r="P309" s="2"/>
      <c r="Q309" s="2"/>
      <c r="R309" s="32"/>
      <c r="S309" s="32"/>
      <c r="T309" s="32"/>
      <c r="U309" s="32"/>
      <c r="V309" s="2"/>
      <c r="W309" s="2"/>
      <c r="X309" s="2"/>
      <c r="Y309" s="2"/>
      <c r="Z309" s="2"/>
    </row>
    <row r="310" spans="1:26" ht="13.8" x14ac:dyDescent="0.3">
      <c r="A310" s="2"/>
      <c r="B310" s="2"/>
      <c r="C310" s="10"/>
      <c r="D310" s="10"/>
      <c r="E310" s="10"/>
      <c r="F310" s="10"/>
      <c r="G310" s="69"/>
      <c r="H310" s="69"/>
      <c r="I310" s="69"/>
      <c r="J310" s="70"/>
      <c r="K310" s="69"/>
      <c r="L310" s="69"/>
      <c r="M310" s="69"/>
      <c r="N310" s="69"/>
      <c r="O310" s="69"/>
      <c r="P310" s="2"/>
      <c r="Q310" s="2"/>
      <c r="R310" s="32"/>
      <c r="S310" s="32"/>
      <c r="T310" s="32"/>
      <c r="U310" s="32"/>
      <c r="V310" s="2"/>
      <c r="W310" s="2"/>
      <c r="X310" s="2"/>
      <c r="Y310" s="2"/>
      <c r="Z310" s="2"/>
    </row>
    <row r="311" spans="1:26" ht="13.8" x14ac:dyDescent="0.3">
      <c r="A311" s="2"/>
      <c r="B311" s="2"/>
      <c r="C311" s="10"/>
      <c r="D311" s="10"/>
      <c r="E311" s="10"/>
      <c r="F311" s="10"/>
      <c r="G311" s="69"/>
      <c r="H311" s="69"/>
      <c r="I311" s="69"/>
      <c r="J311" s="70"/>
      <c r="K311" s="69"/>
      <c r="L311" s="69"/>
      <c r="M311" s="69"/>
      <c r="N311" s="69"/>
      <c r="O311" s="69"/>
      <c r="P311" s="2"/>
      <c r="Q311" s="2"/>
      <c r="R311" s="32"/>
      <c r="S311" s="32"/>
      <c r="T311" s="32"/>
      <c r="U311" s="32"/>
      <c r="V311" s="2"/>
      <c r="W311" s="2"/>
      <c r="X311" s="2"/>
      <c r="Y311" s="2"/>
      <c r="Z311" s="2"/>
    </row>
    <row r="312" spans="1:26" ht="13.8" x14ac:dyDescent="0.3">
      <c r="A312" s="2"/>
      <c r="B312" s="2"/>
      <c r="C312" s="10"/>
      <c r="D312" s="10"/>
      <c r="E312" s="10"/>
      <c r="F312" s="10"/>
      <c r="G312" s="69"/>
      <c r="H312" s="69"/>
      <c r="I312" s="69"/>
      <c r="J312" s="70"/>
      <c r="K312" s="69"/>
      <c r="L312" s="69"/>
      <c r="M312" s="69"/>
      <c r="N312" s="69"/>
      <c r="O312" s="69"/>
      <c r="P312" s="2"/>
      <c r="Q312" s="2"/>
      <c r="R312" s="32"/>
      <c r="S312" s="32"/>
      <c r="T312" s="32"/>
      <c r="U312" s="32"/>
      <c r="V312" s="2"/>
      <c r="W312" s="2"/>
      <c r="X312" s="2"/>
      <c r="Y312" s="2"/>
      <c r="Z312" s="2"/>
    </row>
    <row r="313" spans="1:26" ht="13.8" x14ac:dyDescent="0.3">
      <c r="A313" s="2"/>
      <c r="B313" s="2"/>
      <c r="C313" s="10"/>
      <c r="D313" s="10"/>
      <c r="E313" s="10"/>
      <c r="F313" s="10"/>
      <c r="G313" s="69"/>
      <c r="H313" s="69"/>
      <c r="I313" s="69"/>
      <c r="J313" s="70"/>
      <c r="K313" s="69"/>
      <c r="L313" s="69"/>
      <c r="M313" s="69"/>
      <c r="N313" s="69"/>
      <c r="O313" s="69"/>
      <c r="P313" s="2"/>
      <c r="Q313" s="2"/>
      <c r="R313" s="32"/>
      <c r="S313" s="32"/>
      <c r="T313" s="32"/>
      <c r="U313" s="32"/>
      <c r="V313" s="2"/>
      <c r="W313" s="2"/>
      <c r="X313" s="2"/>
      <c r="Y313" s="2"/>
      <c r="Z313" s="2"/>
    </row>
    <row r="314" spans="1:26" ht="13.8" x14ac:dyDescent="0.3">
      <c r="A314" s="2"/>
      <c r="B314" s="2"/>
      <c r="C314" s="10"/>
      <c r="D314" s="10"/>
      <c r="E314" s="10"/>
      <c r="F314" s="10"/>
      <c r="G314" s="69"/>
      <c r="H314" s="69"/>
      <c r="I314" s="69"/>
      <c r="J314" s="70"/>
      <c r="K314" s="69"/>
      <c r="L314" s="69"/>
      <c r="M314" s="69"/>
      <c r="N314" s="69"/>
      <c r="O314" s="69"/>
      <c r="P314" s="2"/>
      <c r="Q314" s="2"/>
      <c r="R314" s="32"/>
      <c r="S314" s="32"/>
      <c r="T314" s="32"/>
      <c r="U314" s="32"/>
      <c r="V314" s="2"/>
      <c r="W314" s="2"/>
      <c r="X314" s="2"/>
      <c r="Y314" s="2"/>
      <c r="Z314" s="2"/>
    </row>
    <row r="315" spans="1:26" ht="13.8" x14ac:dyDescent="0.3">
      <c r="A315" s="2"/>
      <c r="B315" s="2"/>
      <c r="C315" s="10"/>
      <c r="D315" s="10"/>
      <c r="E315" s="10"/>
      <c r="F315" s="10"/>
      <c r="G315" s="69"/>
      <c r="H315" s="69"/>
      <c r="I315" s="69"/>
      <c r="J315" s="70"/>
      <c r="K315" s="69"/>
      <c r="L315" s="69"/>
      <c r="M315" s="69"/>
      <c r="N315" s="69"/>
      <c r="O315" s="69"/>
      <c r="P315" s="2"/>
      <c r="Q315" s="2"/>
      <c r="R315" s="32"/>
      <c r="S315" s="32"/>
      <c r="T315" s="32"/>
      <c r="U315" s="32"/>
      <c r="V315" s="2"/>
      <c r="W315" s="2"/>
      <c r="X315" s="2"/>
      <c r="Y315" s="2"/>
      <c r="Z315" s="2"/>
    </row>
    <row r="316" spans="1:26" ht="13.8" x14ac:dyDescent="0.3">
      <c r="A316" s="2"/>
      <c r="B316" s="2"/>
      <c r="C316" s="10"/>
      <c r="D316" s="10"/>
      <c r="E316" s="10"/>
      <c r="F316" s="10"/>
      <c r="G316" s="69"/>
      <c r="H316" s="69"/>
      <c r="I316" s="69"/>
      <c r="J316" s="70"/>
      <c r="K316" s="69"/>
      <c r="L316" s="69"/>
      <c r="M316" s="69"/>
      <c r="N316" s="69"/>
      <c r="O316" s="69"/>
      <c r="P316" s="2"/>
      <c r="Q316" s="2"/>
      <c r="R316" s="32"/>
      <c r="S316" s="32"/>
      <c r="T316" s="32"/>
      <c r="U316" s="32"/>
      <c r="V316" s="2"/>
      <c r="W316" s="2"/>
      <c r="X316" s="2"/>
      <c r="Y316" s="2"/>
      <c r="Z316" s="2"/>
    </row>
    <row r="317" spans="1:26" ht="13.8" x14ac:dyDescent="0.3">
      <c r="A317" s="2"/>
      <c r="B317" s="2"/>
      <c r="C317" s="10"/>
      <c r="D317" s="10"/>
      <c r="E317" s="10"/>
      <c r="F317" s="10"/>
      <c r="G317" s="69"/>
      <c r="H317" s="69"/>
      <c r="I317" s="69"/>
      <c r="J317" s="70"/>
      <c r="K317" s="69"/>
      <c r="L317" s="69"/>
      <c r="M317" s="69"/>
      <c r="N317" s="69"/>
      <c r="O317" s="69"/>
      <c r="P317" s="2"/>
      <c r="Q317" s="2"/>
      <c r="R317" s="32"/>
      <c r="S317" s="32"/>
      <c r="T317" s="32"/>
      <c r="U317" s="32"/>
      <c r="V317" s="2"/>
      <c r="W317" s="2"/>
      <c r="X317" s="2"/>
      <c r="Y317" s="2"/>
      <c r="Z317" s="2"/>
    </row>
    <row r="318" spans="1:26" ht="13.8" x14ac:dyDescent="0.3">
      <c r="A318" s="2"/>
      <c r="B318" s="2"/>
      <c r="C318" s="10"/>
      <c r="D318" s="10"/>
      <c r="E318" s="10"/>
      <c r="F318" s="10"/>
      <c r="G318" s="69"/>
      <c r="H318" s="69"/>
      <c r="I318" s="69"/>
      <c r="J318" s="70"/>
      <c r="K318" s="69"/>
      <c r="L318" s="69"/>
      <c r="M318" s="69"/>
      <c r="N318" s="69"/>
      <c r="O318" s="69"/>
      <c r="P318" s="2"/>
      <c r="Q318" s="2"/>
      <c r="R318" s="32"/>
      <c r="S318" s="32"/>
      <c r="T318" s="32"/>
      <c r="U318" s="32"/>
      <c r="V318" s="2"/>
      <c r="W318" s="2"/>
      <c r="X318" s="2"/>
      <c r="Y318" s="2"/>
      <c r="Z318" s="2"/>
    </row>
    <row r="319" spans="1:26" ht="13.8" x14ac:dyDescent="0.3">
      <c r="A319" s="2"/>
      <c r="B319" s="2"/>
      <c r="C319" s="10"/>
      <c r="D319" s="10"/>
      <c r="E319" s="10"/>
      <c r="F319" s="10"/>
      <c r="G319" s="69"/>
      <c r="H319" s="69"/>
      <c r="I319" s="69"/>
      <c r="J319" s="70"/>
      <c r="K319" s="69"/>
      <c r="L319" s="69"/>
      <c r="M319" s="69"/>
      <c r="N319" s="69"/>
      <c r="O319" s="69"/>
      <c r="P319" s="2"/>
      <c r="Q319" s="2"/>
      <c r="R319" s="32"/>
      <c r="S319" s="32"/>
      <c r="T319" s="32"/>
      <c r="U319" s="32"/>
      <c r="V319" s="2"/>
      <c r="W319" s="2"/>
      <c r="X319" s="2"/>
      <c r="Y319" s="2"/>
      <c r="Z319" s="2"/>
    </row>
    <row r="320" spans="1:26" ht="13.8" x14ac:dyDescent="0.3">
      <c r="A320" s="2"/>
      <c r="B320" s="2"/>
      <c r="C320" s="10"/>
      <c r="D320" s="10"/>
      <c r="E320" s="10"/>
      <c r="F320" s="10"/>
      <c r="G320" s="69"/>
      <c r="H320" s="69"/>
      <c r="I320" s="69"/>
      <c r="J320" s="70"/>
      <c r="K320" s="69"/>
      <c r="L320" s="69"/>
      <c r="M320" s="69"/>
      <c r="N320" s="69"/>
      <c r="O320" s="69"/>
      <c r="P320" s="2"/>
      <c r="Q320" s="2"/>
      <c r="R320" s="32"/>
      <c r="S320" s="32"/>
      <c r="T320" s="32"/>
      <c r="U320" s="32"/>
      <c r="V320" s="2"/>
      <c r="W320" s="2"/>
      <c r="X320" s="2"/>
      <c r="Y320" s="2"/>
      <c r="Z320" s="2"/>
    </row>
    <row r="321" spans="1:26" ht="13.8" x14ac:dyDescent="0.3">
      <c r="A321" s="2"/>
      <c r="B321" s="2"/>
      <c r="C321" s="10"/>
      <c r="D321" s="10"/>
      <c r="E321" s="10"/>
      <c r="F321" s="10"/>
      <c r="G321" s="69"/>
      <c r="H321" s="69"/>
      <c r="I321" s="69"/>
      <c r="J321" s="70"/>
      <c r="K321" s="69"/>
      <c r="L321" s="69"/>
      <c r="M321" s="69"/>
      <c r="N321" s="69"/>
      <c r="O321" s="69"/>
      <c r="P321" s="2"/>
      <c r="Q321" s="2"/>
      <c r="R321" s="32"/>
      <c r="S321" s="32"/>
      <c r="T321" s="32"/>
      <c r="U321" s="32"/>
      <c r="V321" s="2"/>
      <c r="W321" s="2"/>
      <c r="X321" s="2"/>
      <c r="Y321" s="2"/>
      <c r="Z321" s="2"/>
    </row>
    <row r="322" spans="1:26" ht="13.8" x14ac:dyDescent="0.3">
      <c r="A322" s="2"/>
      <c r="B322" s="2"/>
      <c r="C322" s="10"/>
      <c r="D322" s="10"/>
      <c r="E322" s="10"/>
      <c r="F322" s="10"/>
      <c r="G322" s="69"/>
      <c r="H322" s="69"/>
      <c r="I322" s="69"/>
      <c r="J322" s="70"/>
      <c r="K322" s="69"/>
      <c r="L322" s="69"/>
      <c r="M322" s="69"/>
      <c r="N322" s="69"/>
      <c r="O322" s="69"/>
      <c r="P322" s="2"/>
      <c r="Q322" s="2"/>
      <c r="R322" s="32"/>
      <c r="S322" s="32"/>
      <c r="T322" s="32"/>
      <c r="U322" s="32"/>
      <c r="V322" s="2"/>
      <c r="W322" s="2"/>
      <c r="X322" s="2"/>
      <c r="Y322" s="2"/>
      <c r="Z322" s="2"/>
    </row>
    <row r="323" spans="1:26" ht="13.8" x14ac:dyDescent="0.3">
      <c r="A323" s="2"/>
      <c r="B323" s="2"/>
      <c r="C323" s="10"/>
      <c r="D323" s="10"/>
      <c r="E323" s="10"/>
      <c r="F323" s="10"/>
      <c r="G323" s="69"/>
      <c r="H323" s="69"/>
      <c r="I323" s="69"/>
      <c r="J323" s="70"/>
      <c r="K323" s="69"/>
      <c r="L323" s="69"/>
      <c r="M323" s="69"/>
      <c r="N323" s="69"/>
      <c r="O323" s="69"/>
      <c r="P323" s="2"/>
      <c r="Q323" s="2"/>
      <c r="R323" s="32"/>
      <c r="S323" s="32"/>
      <c r="T323" s="32"/>
      <c r="U323" s="32"/>
      <c r="V323" s="2"/>
      <c r="W323" s="2"/>
      <c r="X323" s="2"/>
      <c r="Y323" s="2"/>
      <c r="Z323" s="2"/>
    </row>
    <row r="324" spans="1:26" ht="13.8" x14ac:dyDescent="0.3">
      <c r="A324" s="2"/>
      <c r="B324" s="2"/>
      <c r="C324" s="10"/>
      <c r="D324" s="10"/>
      <c r="E324" s="10"/>
      <c r="F324" s="10"/>
      <c r="G324" s="69"/>
      <c r="H324" s="69"/>
      <c r="I324" s="69"/>
      <c r="J324" s="70"/>
      <c r="K324" s="69"/>
      <c r="L324" s="69"/>
      <c r="M324" s="69"/>
      <c r="N324" s="69"/>
      <c r="O324" s="69"/>
      <c r="P324" s="2"/>
      <c r="Q324" s="2"/>
      <c r="R324" s="32"/>
      <c r="S324" s="32"/>
      <c r="T324" s="32"/>
      <c r="U324" s="32"/>
      <c r="V324" s="2"/>
      <c r="W324" s="2"/>
      <c r="X324" s="2"/>
      <c r="Y324" s="2"/>
      <c r="Z324" s="2"/>
    </row>
    <row r="325" spans="1:26" ht="13.8" x14ac:dyDescent="0.3">
      <c r="A325" s="2"/>
      <c r="B325" s="2"/>
      <c r="C325" s="10"/>
      <c r="D325" s="10"/>
      <c r="E325" s="10"/>
      <c r="F325" s="10"/>
      <c r="G325" s="69"/>
      <c r="H325" s="69"/>
      <c r="I325" s="69"/>
      <c r="J325" s="70"/>
      <c r="K325" s="69"/>
      <c r="L325" s="69"/>
      <c r="M325" s="69"/>
      <c r="N325" s="69"/>
      <c r="O325" s="69"/>
      <c r="P325" s="2"/>
      <c r="Q325" s="2"/>
      <c r="R325" s="32"/>
      <c r="S325" s="32"/>
      <c r="T325" s="32"/>
      <c r="U325" s="32"/>
      <c r="V325" s="2"/>
      <c r="W325" s="2"/>
      <c r="X325" s="2"/>
      <c r="Y325" s="2"/>
      <c r="Z325" s="2"/>
    </row>
    <row r="326" spans="1:26" ht="13.8" x14ac:dyDescent="0.3">
      <c r="A326" s="2"/>
      <c r="B326" s="2"/>
      <c r="C326" s="10"/>
      <c r="D326" s="10"/>
      <c r="E326" s="10"/>
      <c r="F326" s="10"/>
      <c r="G326" s="69"/>
      <c r="H326" s="69"/>
      <c r="I326" s="69"/>
      <c r="J326" s="70"/>
      <c r="K326" s="69"/>
      <c r="L326" s="69"/>
      <c r="M326" s="69"/>
      <c r="N326" s="69"/>
      <c r="O326" s="69"/>
      <c r="P326" s="2"/>
      <c r="Q326" s="2"/>
      <c r="R326" s="32"/>
      <c r="S326" s="32"/>
      <c r="T326" s="32"/>
      <c r="U326" s="32"/>
      <c r="V326" s="2"/>
      <c r="W326" s="2"/>
      <c r="X326" s="2"/>
      <c r="Y326" s="2"/>
      <c r="Z326" s="2"/>
    </row>
    <row r="327" spans="1:26" ht="13.8" x14ac:dyDescent="0.3">
      <c r="A327" s="2"/>
      <c r="B327" s="2"/>
      <c r="C327" s="10"/>
      <c r="D327" s="10"/>
      <c r="E327" s="10"/>
      <c r="F327" s="10"/>
      <c r="G327" s="69"/>
      <c r="H327" s="69"/>
      <c r="I327" s="69"/>
      <c r="J327" s="70"/>
      <c r="K327" s="69"/>
      <c r="L327" s="69"/>
      <c r="M327" s="69"/>
      <c r="N327" s="69"/>
      <c r="O327" s="69"/>
      <c r="P327" s="2"/>
      <c r="Q327" s="2"/>
      <c r="R327" s="32"/>
      <c r="S327" s="32"/>
      <c r="T327" s="32"/>
      <c r="U327" s="32"/>
      <c r="V327" s="2"/>
      <c r="W327" s="2"/>
      <c r="X327" s="2"/>
      <c r="Y327" s="2"/>
      <c r="Z327" s="2"/>
    </row>
    <row r="328" spans="1:26" ht="13.8" x14ac:dyDescent="0.3">
      <c r="A328" s="2"/>
      <c r="B328" s="2"/>
      <c r="C328" s="10"/>
      <c r="D328" s="10"/>
      <c r="E328" s="10"/>
      <c r="F328" s="10"/>
      <c r="G328" s="69"/>
      <c r="H328" s="69"/>
      <c r="I328" s="69"/>
      <c r="J328" s="70"/>
      <c r="K328" s="69"/>
      <c r="L328" s="69"/>
      <c r="M328" s="69"/>
      <c r="N328" s="69"/>
      <c r="O328" s="69"/>
      <c r="P328" s="2"/>
      <c r="Q328" s="2"/>
      <c r="R328" s="32"/>
      <c r="S328" s="32"/>
      <c r="T328" s="32"/>
      <c r="U328" s="32"/>
      <c r="V328" s="2"/>
      <c r="W328" s="2"/>
      <c r="X328" s="2"/>
      <c r="Y328" s="2"/>
      <c r="Z328" s="2"/>
    </row>
    <row r="329" spans="1:26" ht="13.8" x14ac:dyDescent="0.3">
      <c r="A329" s="2"/>
      <c r="B329" s="2"/>
      <c r="C329" s="10"/>
      <c r="D329" s="10"/>
      <c r="E329" s="10"/>
      <c r="F329" s="10"/>
      <c r="G329" s="69"/>
      <c r="H329" s="69"/>
      <c r="I329" s="69"/>
      <c r="J329" s="70"/>
      <c r="K329" s="69"/>
      <c r="L329" s="69"/>
      <c r="M329" s="69"/>
      <c r="N329" s="69"/>
      <c r="O329" s="69"/>
      <c r="P329" s="2"/>
      <c r="Q329" s="2"/>
      <c r="R329" s="32"/>
      <c r="S329" s="32"/>
      <c r="T329" s="32"/>
      <c r="U329" s="32"/>
      <c r="V329" s="2"/>
      <c r="W329" s="2"/>
      <c r="X329" s="2"/>
      <c r="Y329" s="2"/>
      <c r="Z329" s="2"/>
    </row>
    <row r="330" spans="1:26" ht="13.8" x14ac:dyDescent="0.3">
      <c r="A330" s="2"/>
      <c r="B330" s="2"/>
      <c r="C330" s="10"/>
      <c r="D330" s="10"/>
      <c r="E330" s="10"/>
      <c r="F330" s="10"/>
      <c r="G330" s="69"/>
      <c r="H330" s="69"/>
      <c r="I330" s="69"/>
      <c r="J330" s="70"/>
      <c r="K330" s="69"/>
      <c r="L330" s="69"/>
      <c r="M330" s="69"/>
      <c r="N330" s="69"/>
      <c r="O330" s="69"/>
      <c r="P330" s="2"/>
      <c r="Q330" s="2"/>
      <c r="R330" s="32"/>
      <c r="S330" s="32"/>
      <c r="T330" s="32"/>
      <c r="U330" s="32"/>
      <c r="V330" s="2"/>
      <c r="W330" s="2"/>
      <c r="X330" s="2"/>
      <c r="Y330" s="2"/>
      <c r="Z330" s="2"/>
    </row>
    <row r="331" spans="1:26" ht="13.8" x14ac:dyDescent="0.3">
      <c r="A331" s="2"/>
      <c r="B331" s="2"/>
      <c r="C331" s="10"/>
      <c r="D331" s="10"/>
      <c r="E331" s="10"/>
      <c r="F331" s="10"/>
      <c r="G331" s="69"/>
      <c r="H331" s="69"/>
      <c r="I331" s="69"/>
      <c r="J331" s="70"/>
      <c r="K331" s="69"/>
      <c r="L331" s="69"/>
      <c r="M331" s="69"/>
      <c r="N331" s="69"/>
      <c r="O331" s="69"/>
      <c r="P331" s="2"/>
      <c r="Q331" s="2"/>
      <c r="R331" s="32"/>
      <c r="S331" s="32"/>
      <c r="T331" s="32"/>
      <c r="U331" s="32"/>
      <c r="V331" s="2"/>
      <c r="W331" s="2"/>
      <c r="X331" s="2"/>
      <c r="Y331" s="2"/>
      <c r="Z331" s="2"/>
    </row>
    <row r="332" spans="1:26" ht="13.8" x14ac:dyDescent="0.3">
      <c r="A332" s="2"/>
      <c r="B332" s="2"/>
      <c r="C332" s="10"/>
      <c r="D332" s="10"/>
      <c r="E332" s="10"/>
      <c r="F332" s="10"/>
      <c r="G332" s="69"/>
      <c r="H332" s="69"/>
      <c r="I332" s="69"/>
      <c r="J332" s="70"/>
      <c r="K332" s="69"/>
      <c r="L332" s="69"/>
      <c r="M332" s="69"/>
      <c r="N332" s="69"/>
      <c r="O332" s="69"/>
      <c r="P332" s="2"/>
      <c r="Q332" s="2"/>
      <c r="R332" s="32"/>
      <c r="S332" s="32"/>
      <c r="T332" s="32"/>
      <c r="U332" s="32"/>
      <c r="V332" s="2"/>
      <c r="W332" s="2"/>
      <c r="X332" s="2"/>
      <c r="Y332" s="2"/>
      <c r="Z332" s="2"/>
    </row>
    <row r="333" spans="1:26" ht="13.8" x14ac:dyDescent="0.3">
      <c r="A333" s="2"/>
      <c r="B333" s="2"/>
      <c r="C333" s="10"/>
      <c r="D333" s="10"/>
      <c r="E333" s="10"/>
      <c r="F333" s="10"/>
      <c r="G333" s="69"/>
      <c r="H333" s="69"/>
      <c r="I333" s="69"/>
      <c r="J333" s="70"/>
      <c r="K333" s="69"/>
      <c r="L333" s="69"/>
      <c r="M333" s="69"/>
      <c r="N333" s="69"/>
      <c r="O333" s="69"/>
      <c r="P333" s="2"/>
      <c r="Q333" s="2"/>
      <c r="R333" s="32"/>
      <c r="S333" s="32"/>
      <c r="T333" s="32"/>
      <c r="U333" s="32"/>
      <c r="V333" s="2"/>
      <c r="W333" s="2"/>
      <c r="X333" s="2"/>
      <c r="Y333" s="2"/>
      <c r="Z333" s="2"/>
    </row>
    <row r="334" spans="1:26" ht="13.8" x14ac:dyDescent="0.3">
      <c r="A334" s="2"/>
      <c r="B334" s="2"/>
      <c r="C334" s="10"/>
      <c r="D334" s="10"/>
      <c r="E334" s="10"/>
      <c r="F334" s="10"/>
      <c r="G334" s="69"/>
      <c r="H334" s="69"/>
      <c r="I334" s="69"/>
      <c r="J334" s="70"/>
      <c r="K334" s="69"/>
      <c r="L334" s="69"/>
      <c r="M334" s="69"/>
      <c r="N334" s="69"/>
      <c r="O334" s="69"/>
      <c r="P334" s="2"/>
      <c r="Q334" s="2"/>
      <c r="R334" s="32"/>
      <c r="S334" s="32"/>
      <c r="T334" s="32"/>
      <c r="U334" s="32"/>
      <c r="V334" s="2"/>
      <c r="W334" s="2"/>
      <c r="X334" s="2"/>
      <c r="Y334" s="2"/>
      <c r="Z334" s="2"/>
    </row>
    <row r="335" spans="1:26" ht="13.8" x14ac:dyDescent="0.3">
      <c r="A335" s="2"/>
      <c r="B335" s="2"/>
      <c r="C335" s="10"/>
      <c r="D335" s="10"/>
      <c r="E335" s="10"/>
      <c r="F335" s="10"/>
      <c r="G335" s="69"/>
      <c r="H335" s="69"/>
      <c r="I335" s="69"/>
      <c r="J335" s="70"/>
      <c r="K335" s="69"/>
      <c r="L335" s="69"/>
      <c r="M335" s="69"/>
      <c r="N335" s="69"/>
      <c r="O335" s="69"/>
      <c r="P335" s="2"/>
      <c r="Q335" s="2"/>
      <c r="R335" s="32"/>
      <c r="S335" s="32"/>
      <c r="T335" s="32"/>
      <c r="U335" s="32"/>
      <c r="V335" s="2"/>
      <c r="W335" s="2"/>
      <c r="X335" s="2"/>
      <c r="Y335" s="2"/>
      <c r="Z335" s="2"/>
    </row>
    <row r="336" spans="1:26" ht="13.8" x14ac:dyDescent="0.3">
      <c r="A336" s="2"/>
      <c r="B336" s="2"/>
      <c r="C336" s="10"/>
      <c r="D336" s="10"/>
      <c r="E336" s="10"/>
      <c r="F336" s="10"/>
      <c r="G336" s="69"/>
      <c r="H336" s="69"/>
      <c r="I336" s="69"/>
      <c r="J336" s="70"/>
      <c r="K336" s="69"/>
      <c r="L336" s="69"/>
      <c r="M336" s="69"/>
      <c r="N336" s="69"/>
      <c r="O336" s="69"/>
      <c r="P336" s="2"/>
      <c r="Q336" s="2"/>
      <c r="R336" s="32"/>
      <c r="S336" s="32"/>
      <c r="T336" s="32"/>
      <c r="U336" s="32"/>
      <c r="V336" s="2"/>
      <c r="W336" s="2"/>
      <c r="X336" s="2"/>
      <c r="Y336" s="2"/>
      <c r="Z336" s="2"/>
    </row>
    <row r="337" spans="1:26" ht="13.8" x14ac:dyDescent="0.3">
      <c r="A337" s="2"/>
      <c r="B337" s="2"/>
      <c r="C337" s="10"/>
      <c r="D337" s="10"/>
      <c r="E337" s="10"/>
      <c r="F337" s="10"/>
      <c r="G337" s="69"/>
      <c r="H337" s="69"/>
      <c r="I337" s="69"/>
      <c r="J337" s="70"/>
      <c r="K337" s="69"/>
      <c r="L337" s="69"/>
      <c r="M337" s="69"/>
      <c r="N337" s="69"/>
      <c r="O337" s="69"/>
      <c r="P337" s="2"/>
      <c r="Q337" s="2"/>
      <c r="R337" s="32"/>
      <c r="S337" s="32"/>
      <c r="T337" s="32"/>
      <c r="U337" s="32"/>
      <c r="V337" s="2"/>
      <c r="W337" s="2"/>
      <c r="X337" s="2"/>
      <c r="Y337" s="2"/>
      <c r="Z337" s="2"/>
    </row>
    <row r="338" spans="1:26" ht="13.8" x14ac:dyDescent="0.3">
      <c r="A338" s="2"/>
      <c r="B338" s="2"/>
      <c r="C338" s="10"/>
      <c r="D338" s="10"/>
      <c r="E338" s="10"/>
      <c r="F338" s="10"/>
      <c r="G338" s="69"/>
      <c r="H338" s="69"/>
      <c r="I338" s="69"/>
      <c r="J338" s="70"/>
      <c r="K338" s="69"/>
      <c r="L338" s="69"/>
      <c r="M338" s="69"/>
      <c r="N338" s="69"/>
      <c r="O338" s="69"/>
      <c r="P338" s="2"/>
      <c r="Q338" s="2"/>
      <c r="R338" s="32"/>
      <c r="S338" s="32"/>
      <c r="T338" s="32"/>
      <c r="U338" s="32"/>
      <c r="V338" s="2"/>
      <c r="W338" s="2"/>
      <c r="X338" s="2"/>
      <c r="Y338" s="2"/>
      <c r="Z338" s="2"/>
    </row>
    <row r="339" spans="1:26" ht="13.8" x14ac:dyDescent="0.3">
      <c r="A339" s="2"/>
      <c r="B339" s="2"/>
      <c r="C339" s="10"/>
      <c r="D339" s="10"/>
      <c r="E339" s="10"/>
      <c r="F339" s="10"/>
      <c r="G339" s="69"/>
      <c r="H339" s="69"/>
      <c r="I339" s="69"/>
      <c r="J339" s="70"/>
      <c r="K339" s="69"/>
      <c r="L339" s="69"/>
      <c r="M339" s="69"/>
      <c r="N339" s="69"/>
      <c r="O339" s="69"/>
      <c r="P339" s="2"/>
      <c r="Q339" s="2"/>
      <c r="R339" s="32"/>
      <c r="S339" s="32"/>
      <c r="T339" s="32"/>
      <c r="U339" s="32"/>
      <c r="V339" s="2"/>
      <c r="W339" s="2"/>
      <c r="X339" s="2"/>
      <c r="Y339" s="2"/>
      <c r="Z339" s="2"/>
    </row>
    <row r="340" spans="1:26" ht="13.8" x14ac:dyDescent="0.3">
      <c r="A340" s="2"/>
      <c r="B340" s="2"/>
      <c r="C340" s="10"/>
      <c r="D340" s="10"/>
      <c r="E340" s="10"/>
      <c r="F340" s="10"/>
      <c r="G340" s="69"/>
      <c r="H340" s="69"/>
      <c r="I340" s="69"/>
      <c r="J340" s="70"/>
      <c r="K340" s="69"/>
      <c r="L340" s="69"/>
      <c r="M340" s="69"/>
      <c r="N340" s="69"/>
      <c r="O340" s="69"/>
      <c r="P340" s="2"/>
      <c r="Q340" s="2"/>
      <c r="R340" s="32"/>
      <c r="S340" s="32"/>
      <c r="T340" s="32"/>
      <c r="U340" s="32"/>
      <c r="V340" s="2"/>
      <c r="W340" s="2"/>
      <c r="X340" s="2"/>
      <c r="Y340" s="2"/>
      <c r="Z340" s="2"/>
    </row>
    <row r="341" spans="1:26" ht="13.8" x14ac:dyDescent="0.3">
      <c r="A341" s="2"/>
      <c r="B341" s="2"/>
      <c r="C341" s="10"/>
      <c r="D341" s="10"/>
      <c r="E341" s="10"/>
      <c r="F341" s="10"/>
      <c r="G341" s="69"/>
      <c r="H341" s="69"/>
      <c r="I341" s="69"/>
      <c r="J341" s="70"/>
      <c r="K341" s="69"/>
      <c r="L341" s="69"/>
      <c r="M341" s="69"/>
      <c r="N341" s="69"/>
      <c r="O341" s="69"/>
      <c r="P341" s="2"/>
      <c r="Q341" s="2"/>
      <c r="R341" s="32"/>
      <c r="S341" s="32"/>
      <c r="T341" s="32"/>
      <c r="U341" s="32"/>
      <c r="V341" s="2"/>
      <c r="W341" s="2"/>
      <c r="X341" s="2"/>
      <c r="Y341" s="2"/>
      <c r="Z341" s="2"/>
    </row>
    <row r="342" spans="1:26" ht="13.8" x14ac:dyDescent="0.3">
      <c r="A342" s="2"/>
      <c r="B342" s="2"/>
      <c r="C342" s="10"/>
      <c r="D342" s="10"/>
      <c r="E342" s="10"/>
      <c r="F342" s="10"/>
      <c r="G342" s="69"/>
      <c r="H342" s="69"/>
      <c r="I342" s="69"/>
      <c r="J342" s="70"/>
      <c r="K342" s="69"/>
      <c r="L342" s="69"/>
      <c r="M342" s="69"/>
      <c r="N342" s="69"/>
      <c r="O342" s="69"/>
      <c r="P342" s="2"/>
      <c r="Q342" s="2"/>
      <c r="R342" s="32"/>
      <c r="S342" s="32"/>
      <c r="T342" s="32"/>
      <c r="U342" s="32"/>
      <c r="V342" s="2"/>
      <c r="W342" s="2"/>
      <c r="X342" s="2"/>
      <c r="Y342" s="2"/>
      <c r="Z342" s="2"/>
    </row>
    <row r="343" spans="1:26" ht="13.8" x14ac:dyDescent="0.3">
      <c r="A343" s="2"/>
      <c r="B343" s="2"/>
      <c r="C343" s="10"/>
      <c r="D343" s="10"/>
      <c r="E343" s="10"/>
      <c r="F343" s="10"/>
      <c r="G343" s="69"/>
      <c r="H343" s="69"/>
      <c r="I343" s="69"/>
      <c r="J343" s="70"/>
      <c r="K343" s="69"/>
      <c r="L343" s="69"/>
      <c r="M343" s="69"/>
      <c r="N343" s="69"/>
      <c r="O343" s="69"/>
      <c r="P343" s="2"/>
      <c r="Q343" s="2"/>
      <c r="R343" s="32"/>
      <c r="S343" s="32"/>
      <c r="T343" s="32"/>
      <c r="U343" s="32"/>
      <c r="V343" s="2"/>
      <c r="W343" s="2"/>
      <c r="X343" s="2"/>
      <c r="Y343" s="2"/>
      <c r="Z343" s="2"/>
    </row>
    <row r="344" spans="1:26" ht="13.8" x14ac:dyDescent="0.3">
      <c r="A344" s="2"/>
      <c r="B344" s="2"/>
      <c r="C344" s="10"/>
      <c r="D344" s="10"/>
      <c r="E344" s="10"/>
      <c r="F344" s="10"/>
      <c r="G344" s="69"/>
      <c r="H344" s="69"/>
      <c r="I344" s="69"/>
      <c r="J344" s="70"/>
      <c r="K344" s="69"/>
      <c r="L344" s="69"/>
      <c r="M344" s="69"/>
      <c r="N344" s="69"/>
      <c r="O344" s="69"/>
      <c r="P344" s="2"/>
      <c r="Q344" s="2"/>
      <c r="R344" s="32"/>
      <c r="S344" s="32"/>
      <c r="T344" s="32"/>
      <c r="U344" s="32"/>
      <c r="V344" s="2"/>
      <c r="W344" s="2"/>
      <c r="X344" s="2"/>
      <c r="Y344" s="2"/>
      <c r="Z344" s="2"/>
    </row>
    <row r="345" spans="1:26" ht="13.8" x14ac:dyDescent="0.3">
      <c r="A345" s="2"/>
      <c r="B345" s="2"/>
      <c r="C345" s="10"/>
      <c r="D345" s="10"/>
      <c r="E345" s="10"/>
      <c r="F345" s="10"/>
      <c r="G345" s="69"/>
      <c r="H345" s="69"/>
      <c r="I345" s="69"/>
      <c r="J345" s="70"/>
      <c r="K345" s="69"/>
      <c r="L345" s="69"/>
      <c r="M345" s="69"/>
      <c r="N345" s="69"/>
      <c r="O345" s="69"/>
      <c r="P345" s="2"/>
      <c r="Q345" s="2"/>
      <c r="R345" s="32"/>
      <c r="S345" s="32"/>
      <c r="T345" s="32"/>
      <c r="U345" s="32"/>
      <c r="V345" s="2"/>
      <c r="W345" s="2"/>
      <c r="X345" s="2"/>
      <c r="Y345" s="2"/>
      <c r="Z345" s="2"/>
    </row>
    <row r="346" spans="1:26" ht="13.8" x14ac:dyDescent="0.3">
      <c r="A346" s="2"/>
      <c r="B346" s="2"/>
      <c r="C346" s="10"/>
      <c r="D346" s="10"/>
      <c r="E346" s="10"/>
      <c r="F346" s="10"/>
      <c r="G346" s="69"/>
      <c r="H346" s="69"/>
      <c r="I346" s="69"/>
      <c r="J346" s="70"/>
      <c r="K346" s="69"/>
      <c r="L346" s="69"/>
      <c r="M346" s="69"/>
      <c r="N346" s="69"/>
      <c r="O346" s="69"/>
      <c r="P346" s="2"/>
      <c r="Q346" s="2"/>
      <c r="R346" s="32"/>
      <c r="S346" s="32"/>
      <c r="T346" s="32"/>
      <c r="U346" s="32"/>
      <c r="V346" s="2"/>
      <c r="W346" s="2"/>
      <c r="X346" s="2"/>
      <c r="Y346" s="2"/>
      <c r="Z346" s="2"/>
    </row>
    <row r="347" spans="1:26" ht="13.8" x14ac:dyDescent="0.3">
      <c r="A347" s="2"/>
      <c r="B347" s="2"/>
      <c r="C347" s="10"/>
      <c r="D347" s="10"/>
      <c r="E347" s="10"/>
      <c r="F347" s="10"/>
      <c r="G347" s="69"/>
      <c r="H347" s="69"/>
      <c r="I347" s="69"/>
      <c r="J347" s="70"/>
      <c r="K347" s="69"/>
      <c r="L347" s="69"/>
      <c r="M347" s="69"/>
      <c r="N347" s="69"/>
      <c r="O347" s="69"/>
      <c r="P347" s="2"/>
      <c r="Q347" s="2"/>
      <c r="R347" s="32"/>
      <c r="S347" s="32"/>
      <c r="T347" s="32"/>
      <c r="U347" s="32"/>
      <c r="V347" s="2"/>
      <c r="W347" s="2"/>
      <c r="X347" s="2"/>
      <c r="Y347" s="2"/>
      <c r="Z347" s="2"/>
    </row>
    <row r="348" spans="1:26" ht="13.8" x14ac:dyDescent="0.3">
      <c r="A348" s="2"/>
      <c r="B348" s="2"/>
      <c r="C348" s="10"/>
      <c r="D348" s="10"/>
      <c r="E348" s="10"/>
      <c r="F348" s="10"/>
      <c r="G348" s="69"/>
      <c r="H348" s="69"/>
      <c r="I348" s="69"/>
      <c r="J348" s="70"/>
      <c r="K348" s="69"/>
      <c r="L348" s="69"/>
      <c r="M348" s="69"/>
      <c r="N348" s="69"/>
      <c r="O348" s="69"/>
      <c r="P348" s="2"/>
      <c r="Q348" s="2"/>
      <c r="R348" s="32"/>
      <c r="S348" s="32"/>
      <c r="T348" s="32"/>
      <c r="U348" s="32"/>
      <c r="V348" s="2"/>
      <c r="W348" s="2"/>
      <c r="X348" s="2"/>
      <c r="Y348" s="2"/>
      <c r="Z348" s="2"/>
    </row>
    <row r="349" spans="1:26" ht="13.8" x14ac:dyDescent="0.3">
      <c r="A349" s="2"/>
      <c r="B349" s="2"/>
      <c r="C349" s="10"/>
      <c r="D349" s="10"/>
      <c r="E349" s="10"/>
      <c r="F349" s="10"/>
      <c r="G349" s="69"/>
      <c r="H349" s="69"/>
      <c r="I349" s="69"/>
      <c r="J349" s="70"/>
      <c r="K349" s="69"/>
      <c r="L349" s="69"/>
      <c r="M349" s="69"/>
      <c r="N349" s="69"/>
      <c r="O349" s="69"/>
      <c r="P349" s="2"/>
      <c r="Q349" s="2"/>
      <c r="R349" s="32"/>
      <c r="S349" s="32"/>
      <c r="T349" s="32"/>
      <c r="U349" s="32"/>
      <c r="V349" s="2"/>
      <c r="W349" s="2"/>
      <c r="X349" s="2"/>
      <c r="Y349" s="2"/>
      <c r="Z349" s="2"/>
    </row>
    <row r="350" spans="1:26" ht="13.8" x14ac:dyDescent="0.3">
      <c r="A350" s="2"/>
      <c r="B350" s="2"/>
      <c r="C350" s="10"/>
      <c r="D350" s="10"/>
      <c r="E350" s="10"/>
      <c r="F350" s="10"/>
      <c r="G350" s="69"/>
      <c r="H350" s="69"/>
      <c r="I350" s="69"/>
      <c r="J350" s="70"/>
      <c r="K350" s="69"/>
      <c r="L350" s="69"/>
      <c r="M350" s="69"/>
      <c r="N350" s="69"/>
      <c r="O350" s="69"/>
      <c r="P350" s="2"/>
      <c r="Q350" s="2"/>
      <c r="R350" s="32"/>
      <c r="S350" s="32"/>
      <c r="T350" s="32"/>
      <c r="U350" s="32"/>
      <c r="V350" s="2"/>
      <c r="W350" s="2"/>
      <c r="X350" s="2"/>
      <c r="Y350" s="2"/>
      <c r="Z350" s="2"/>
    </row>
    <row r="351" spans="1:26" ht="13.8" x14ac:dyDescent="0.3">
      <c r="A351" s="2"/>
      <c r="B351" s="2"/>
      <c r="C351" s="10"/>
      <c r="D351" s="10"/>
      <c r="E351" s="10"/>
      <c r="F351" s="10"/>
      <c r="G351" s="69"/>
      <c r="H351" s="69"/>
      <c r="I351" s="69"/>
      <c r="J351" s="70"/>
      <c r="K351" s="69"/>
      <c r="L351" s="69"/>
      <c r="M351" s="69"/>
      <c r="N351" s="69"/>
      <c r="O351" s="69"/>
      <c r="P351" s="2"/>
      <c r="Q351" s="2"/>
      <c r="R351" s="32"/>
      <c r="S351" s="32"/>
      <c r="T351" s="32"/>
      <c r="U351" s="32"/>
      <c r="V351" s="2"/>
      <c r="W351" s="2"/>
      <c r="X351" s="2"/>
      <c r="Y351" s="2"/>
      <c r="Z351" s="2"/>
    </row>
    <row r="352" spans="1:26" ht="13.8" x14ac:dyDescent="0.3">
      <c r="A352" s="2"/>
      <c r="B352" s="2"/>
      <c r="C352" s="10"/>
      <c r="D352" s="10"/>
      <c r="E352" s="10"/>
      <c r="F352" s="10"/>
      <c r="G352" s="69"/>
      <c r="H352" s="69"/>
      <c r="I352" s="69"/>
      <c r="J352" s="70"/>
      <c r="K352" s="69"/>
      <c r="L352" s="69"/>
      <c r="M352" s="69"/>
      <c r="N352" s="69"/>
      <c r="O352" s="69"/>
      <c r="P352" s="2"/>
      <c r="Q352" s="2"/>
      <c r="R352" s="32"/>
      <c r="S352" s="32"/>
      <c r="T352" s="32"/>
      <c r="U352" s="32"/>
      <c r="V352" s="2"/>
      <c r="W352" s="2"/>
      <c r="X352" s="2"/>
      <c r="Y352" s="2"/>
      <c r="Z352" s="2"/>
    </row>
    <row r="353" spans="1:26" ht="13.8" x14ac:dyDescent="0.3">
      <c r="A353" s="2"/>
      <c r="B353" s="2"/>
      <c r="C353" s="10"/>
      <c r="D353" s="10"/>
      <c r="E353" s="10"/>
      <c r="F353" s="10"/>
      <c r="G353" s="69"/>
      <c r="H353" s="69"/>
      <c r="I353" s="69"/>
      <c r="J353" s="70"/>
      <c r="K353" s="69"/>
      <c r="L353" s="69"/>
      <c r="M353" s="69"/>
      <c r="N353" s="69"/>
      <c r="O353" s="69"/>
      <c r="P353" s="2"/>
      <c r="Q353" s="2"/>
      <c r="R353" s="32"/>
      <c r="S353" s="32"/>
      <c r="T353" s="32"/>
      <c r="U353" s="32"/>
      <c r="V353" s="2"/>
      <c r="W353" s="2"/>
      <c r="X353" s="2"/>
      <c r="Y353" s="2"/>
      <c r="Z353" s="2"/>
    </row>
    <row r="354" spans="1:26" ht="13.8" x14ac:dyDescent="0.3">
      <c r="A354" s="2"/>
      <c r="B354" s="2"/>
      <c r="C354" s="10"/>
      <c r="D354" s="10"/>
      <c r="E354" s="10"/>
      <c r="F354" s="10"/>
      <c r="G354" s="69"/>
      <c r="H354" s="69"/>
      <c r="I354" s="69"/>
      <c r="J354" s="70"/>
      <c r="K354" s="69"/>
      <c r="L354" s="69"/>
      <c r="M354" s="69"/>
      <c r="N354" s="69"/>
      <c r="O354" s="69"/>
      <c r="P354" s="2"/>
      <c r="Q354" s="2"/>
      <c r="R354" s="32"/>
      <c r="S354" s="32"/>
      <c r="T354" s="32"/>
      <c r="U354" s="32"/>
      <c r="V354" s="2"/>
      <c r="W354" s="2"/>
      <c r="X354" s="2"/>
      <c r="Y354" s="2"/>
      <c r="Z354" s="2"/>
    </row>
    <row r="355" spans="1:26" ht="13.8" x14ac:dyDescent="0.3">
      <c r="A355" s="2"/>
      <c r="B355" s="2"/>
      <c r="C355" s="10"/>
      <c r="D355" s="10"/>
      <c r="E355" s="10"/>
      <c r="F355" s="10"/>
      <c r="G355" s="69"/>
      <c r="H355" s="69"/>
      <c r="I355" s="69"/>
      <c r="J355" s="70"/>
      <c r="K355" s="69"/>
      <c r="L355" s="69"/>
      <c r="M355" s="69"/>
      <c r="N355" s="69"/>
      <c r="O355" s="69"/>
      <c r="P355" s="2"/>
      <c r="Q355" s="2"/>
      <c r="R355" s="32"/>
      <c r="S355" s="32"/>
      <c r="T355" s="32"/>
      <c r="U355" s="32"/>
      <c r="V355" s="2"/>
      <c r="W355" s="2"/>
      <c r="X355" s="2"/>
      <c r="Y355" s="2"/>
      <c r="Z355" s="2"/>
    </row>
    <row r="356" spans="1:26" ht="13.8" x14ac:dyDescent="0.3">
      <c r="A356" s="2"/>
      <c r="B356" s="2"/>
      <c r="C356" s="10"/>
      <c r="D356" s="10"/>
      <c r="E356" s="10"/>
      <c r="F356" s="10"/>
      <c r="G356" s="69"/>
      <c r="H356" s="69"/>
      <c r="I356" s="69"/>
      <c r="J356" s="70"/>
      <c r="K356" s="69"/>
      <c r="L356" s="69"/>
      <c r="M356" s="69"/>
      <c r="N356" s="69"/>
      <c r="O356" s="69"/>
      <c r="P356" s="2"/>
      <c r="Q356" s="2"/>
      <c r="R356" s="32"/>
      <c r="S356" s="32"/>
      <c r="T356" s="32"/>
      <c r="U356" s="32"/>
      <c r="V356" s="2"/>
      <c r="W356" s="2"/>
      <c r="X356" s="2"/>
      <c r="Y356" s="2"/>
      <c r="Z356" s="2"/>
    </row>
    <row r="357" spans="1:26" ht="13.8" x14ac:dyDescent="0.3">
      <c r="A357" s="2"/>
      <c r="B357" s="2"/>
      <c r="C357" s="10"/>
      <c r="D357" s="10"/>
      <c r="E357" s="10"/>
      <c r="F357" s="10"/>
      <c r="G357" s="69"/>
      <c r="H357" s="69"/>
      <c r="I357" s="69"/>
      <c r="J357" s="70"/>
      <c r="K357" s="69"/>
      <c r="L357" s="69"/>
      <c r="M357" s="69"/>
      <c r="N357" s="69"/>
      <c r="O357" s="69"/>
      <c r="P357" s="2"/>
      <c r="Q357" s="2"/>
      <c r="R357" s="32"/>
      <c r="S357" s="32"/>
      <c r="T357" s="32"/>
      <c r="U357" s="32"/>
      <c r="V357" s="2"/>
      <c r="W357" s="2"/>
      <c r="X357" s="2"/>
      <c r="Y357" s="2"/>
      <c r="Z357" s="2"/>
    </row>
    <row r="358" spans="1:26" ht="13.8" x14ac:dyDescent="0.3">
      <c r="A358" s="2"/>
      <c r="B358" s="2"/>
      <c r="C358" s="10"/>
      <c r="D358" s="10"/>
      <c r="E358" s="10"/>
      <c r="F358" s="10"/>
      <c r="G358" s="69"/>
      <c r="H358" s="69"/>
      <c r="I358" s="69"/>
      <c r="J358" s="70"/>
      <c r="K358" s="69"/>
      <c r="L358" s="69"/>
      <c r="M358" s="69"/>
      <c r="N358" s="69"/>
      <c r="O358" s="69"/>
      <c r="P358" s="2"/>
      <c r="Q358" s="2"/>
      <c r="R358" s="32"/>
      <c r="S358" s="32"/>
      <c r="T358" s="32"/>
      <c r="U358" s="32"/>
      <c r="V358" s="2"/>
      <c r="W358" s="2"/>
      <c r="X358" s="2"/>
      <c r="Y358" s="2"/>
      <c r="Z358" s="2"/>
    </row>
    <row r="359" spans="1:26" ht="13.8" x14ac:dyDescent="0.3">
      <c r="A359" s="2"/>
      <c r="B359" s="2"/>
      <c r="C359" s="10"/>
      <c r="D359" s="10"/>
      <c r="E359" s="10"/>
      <c r="F359" s="10"/>
      <c r="G359" s="69"/>
      <c r="H359" s="69"/>
      <c r="I359" s="69"/>
      <c r="J359" s="70"/>
      <c r="K359" s="69"/>
      <c r="L359" s="69"/>
      <c r="M359" s="69"/>
      <c r="N359" s="69"/>
      <c r="O359" s="69"/>
      <c r="P359" s="2"/>
      <c r="Q359" s="2"/>
      <c r="R359" s="32"/>
      <c r="S359" s="32"/>
      <c r="T359" s="32"/>
      <c r="U359" s="32"/>
      <c r="V359" s="2"/>
      <c r="W359" s="2"/>
      <c r="X359" s="2"/>
      <c r="Y359" s="2"/>
      <c r="Z359" s="2"/>
    </row>
    <row r="360" spans="1:26" ht="13.8" x14ac:dyDescent="0.3">
      <c r="A360" s="2"/>
      <c r="B360" s="2"/>
      <c r="C360" s="10"/>
      <c r="D360" s="10"/>
      <c r="E360" s="10"/>
      <c r="F360" s="10"/>
      <c r="G360" s="69"/>
      <c r="H360" s="69"/>
      <c r="I360" s="69"/>
      <c r="J360" s="70"/>
      <c r="K360" s="69"/>
      <c r="L360" s="69"/>
      <c r="M360" s="69"/>
      <c r="N360" s="69"/>
      <c r="O360" s="69"/>
      <c r="P360" s="2"/>
      <c r="Q360" s="2"/>
      <c r="R360" s="32"/>
      <c r="S360" s="32"/>
      <c r="T360" s="32"/>
      <c r="U360" s="32"/>
      <c r="V360" s="2"/>
      <c r="W360" s="2"/>
      <c r="X360" s="2"/>
      <c r="Y360" s="2"/>
      <c r="Z360" s="2"/>
    </row>
    <row r="361" spans="1:26" ht="13.8" x14ac:dyDescent="0.3">
      <c r="A361" s="2"/>
      <c r="B361" s="2"/>
      <c r="C361" s="10"/>
      <c r="D361" s="10"/>
      <c r="E361" s="10"/>
      <c r="F361" s="10"/>
      <c r="G361" s="69"/>
      <c r="H361" s="69"/>
      <c r="I361" s="69"/>
      <c r="J361" s="70"/>
      <c r="K361" s="69"/>
      <c r="L361" s="69"/>
      <c r="M361" s="69"/>
      <c r="N361" s="69"/>
      <c r="O361" s="69"/>
      <c r="P361" s="2"/>
      <c r="Q361" s="2"/>
      <c r="R361" s="32"/>
      <c r="S361" s="32"/>
      <c r="T361" s="32"/>
      <c r="U361" s="32"/>
      <c r="V361" s="2"/>
      <c r="W361" s="2"/>
      <c r="X361" s="2"/>
      <c r="Y361" s="2"/>
      <c r="Z361" s="2"/>
    </row>
    <row r="362" spans="1:26" ht="13.8" x14ac:dyDescent="0.3">
      <c r="A362" s="2"/>
      <c r="B362" s="2"/>
      <c r="C362" s="10"/>
      <c r="D362" s="10"/>
      <c r="E362" s="10"/>
      <c r="F362" s="10"/>
      <c r="G362" s="69"/>
      <c r="H362" s="69"/>
      <c r="I362" s="69"/>
      <c r="J362" s="70"/>
      <c r="K362" s="69"/>
      <c r="L362" s="69"/>
      <c r="M362" s="69"/>
      <c r="N362" s="69"/>
      <c r="O362" s="69"/>
      <c r="P362" s="2"/>
      <c r="Q362" s="2"/>
      <c r="R362" s="32"/>
      <c r="S362" s="32"/>
      <c r="T362" s="32"/>
      <c r="U362" s="32"/>
      <c r="V362" s="2"/>
      <c r="W362" s="2"/>
      <c r="X362" s="2"/>
      <c r="Y362" s="2"/>
      <c r="Z362" s="2"/>
    </row>
    <row r="363" spans="1:26" ht="13.8" x14ac:dyDescent="0.3">
      <c r="A363" s="2"/>
      <c r="B363" s="2"/>
      <c r="C363" s="10"/>
      <c r="D363" s="10"/>
      <c r="E363" s="10"/>
      <c r="F363" s="10"/>
      <c r="G363" s="69"/>
      <c r="H363" s="69"/>
      <c r="I363" s="69"/>
      <c r="J363" s="70"/>
      <c r="K363" s="69"/>
      <c r="L363" s="69"/>
      <c r="M363" s="69"/>
      <c r="N363" s="69"/>
      <c r="O363" s="69"/>
      <c r="P363" s="2"/>
      <c r="Q363" s="2"/>
      <c r="R363" s="32"/>
      <c r="S363" s="32"/>
      <c r="T363" s="32"/>
      <c r="U363" s="32"/>
      <c r="V363" s="2"/>
      <c r="W363" s="2"/>
      <c r="X363" s="2"/>
      <c r="Y363" s="2"/>
      <c r="Z363" s="2"/>
    </row>
    <row r="364" spans="1:26" ht="13.8" x14ac:dyDescent="0.3">
      <c r="A364" s="2"/>
      <c r="B364" s="2"/>
      <c r="C364" s="10"/>
      <c r="D364" s="10"/>
      <c r="E364" s="10"/>
      <c r="F364" s="10"/>
      <c r="G364" s="69"/>
      <c r="H364" s="69"/>
      <c r="I364" s="69"/>
      <c r="J364" s="70"/>
      <c r="K364" s="69"/>
      <c r="L364" s="69"/>
      <c r="M364" s="69"/>
      <c r="N364" s="69"/>
      <c r="O364" s="69"/>
      <c r="P364" s="2"/>
      <c r="Q364" s="2"/>
      <c r="R364" s="32"/>
      <c r="S364" s="32"/>
      <c r="T364" s="32"/>
      <c r="U364" s="32"/>
      <c r="V364" s="2"/>
      <c r="W364" s="2"/>
      <c r="X364" s="2"/>
      <c r="Y364" s="2"/>
      <c r="Z364" s="2"/>
    </row>
    <row r="365" spans="1:26" ht="13.8" x14ac:dyDescent="0.3">
      <c r="A365" s="2"/>
      <c r="B365" s="2"/>
      <c r="C365" s="10"/>
      <c r="D365" s="10"/>
      <c r="E365" s="10"/>
      <c r="F365" s="10"/>
      <c r="G365" s="69"/>
      <c r="H365" s="69"/>
      <c r="I365" s="69"/>
      <c r="J365" s="70"/>
      <c r="K365" s="69"/>
      <c r="L365" s="69"/>
      <c r="M365" s="69"/>
      <c r="N365" s="69"/>
      <c r="O365" s="69"/>
      <c r="P365" s="2"/>
      <c r="Q365" s="2"/>
      <c r="R365" s="32"/>
      <c r="S365" s="32"/>
      <c r="T365" s="32"/>
      <c r="U365" s="32"/>
      <c r="V365" s="2"/>
      <c r="W365" s="2"/>
      <c r="X365" s="2"/>
      <c r="Y365" s="2"/>
      <c r="Z365" s="2"/>
    </row>
    <row r="366" spans="1:26" ht="13.8" x14ac:dyDescent="0.3">
      <c r="A366" s="2"/>
      <c r="B366" s="2"/>
      <c r="C366" s="10"/>
      <c r="D366" s="10"/>
      <c r="E366" s="10"/>
      <c r="F366" s="10"/>
      <c r="G366" s="69"/>
      <c r="H366" s="69"/>
      <c r="I366" s="69"/>
      <c r="J366" s="70"/>
      <c r="K366" s="69"/>
      <c r="L366" s="69"/>
      <c r="M366" s="69"/>
      <c r="N366" s="69"/>
      <c r="O366" s="69"/>
      <c r="P366" s="2"/>
      <c r="Q366" s="2"/>
      <c r="R366" s="32"/>
      <c r="S366" s="32"/>
      <c r="T366" s="32"/>
      <c r="U366" s="32"/>
      <c r="V366" s="2"/>
      <c r="W366" s="2"/>
      <c r="X366" s="2"/>
      <c r="Y366" s="2"/>
      <c r="Z366" s="2"/>
    </row>
    <row r="367" spans="1:26" ht="13.8" x14ac:dyDescent="0.3">
      <c r="A367" s="2"/>
      <c r="B367" s="2"/>
      <c r="C367" s="10"/>
      <c r="D367" s="10"/>
      <c r="E367" s="10"/>
      <c r="F367" s="10"/>
      <c r="G367" s="69"/>
      <c r="H367" s="69"/>
      <c r="I367" s="69"/>
      <c r="J367" s="70"/>
      <c r="K367" s="69"/>
      <c r="L367" s="69"/>
      <c r="M367" s="69"/>
      <c r="N367" s="69"/>
      <c r="O367" s="69"/>
      <c r="P367" s="2"/>
      <c r="Q367" s="2"/>
      <c r="R367" s="32"/>
      <c r="S367" s="32"/>
      <c r="T367" s="32"/>
      <c r="U367" s="32"/>
      <c r="V367" s="2"/>
      <c r="W367" s="2"/>
      <c r="X367" s="2"/>
      <c r="Y367" s="2"/>
      <c r="Z367" s="2"/>
    </row>
    <row r="368" spans="1:26" ht="13.8" x14ac:dyDescent="0.3">
      <c r="A368" s="2"/>
      <c r="B368" s="2"/>
      <c r="C368" s="10"/>
      <c r="D368" s="10"/>
      <c r="E368" s="10"/>
      <c r="F368" s="10"/>
      <c r="G368" s="69"/>
      <c r="H368" s="69"/>
      <c r="I368" s="69"/>
      <c r="J368" s="70"/>
      <c r="K368" s="69"/>
      <c r="L368" s="69"/>
      <c r="M368" s="69"/>
      <c r="N368" s="69"/>
      <c r="O368" s="69"/>
      <c r="P368" s="2"/>
      <c r="Q368" s="2"/>
      <c r="R368" s="32"/>
      <c r="S368" s="32"/>
      <c r="T368" s="32"/>
      <c r="U368" s="32"/>
      <c r="V368" s="2"/>
      <c r="W368" s="2"/>
      <c r="X368" s="2"/>
      <c r="Y368" s="2"/>
      <c r="Z368" s="2"/>
    </row>
    <row r="369" spans="1:26" ht="13.8" x14ac:dyDescent="0.3">
      <c r="A369" s="2"/>
      <c r="B369" s="2"/>
      <c r="C369" s="10"/>
      <c r="D369" s="10"/>
      <c r="E369" s="10"/>
      <c r="F369" s="10"/>
      <c r="G369" s="69"/>
      <c r="H369" s="69"/>
      <c r="I369" s="69"/>
      <c r="J369" s="70"/>
      <c r="K369" s="69"/>
      <c r="L369" s="69"/>
      <c r="M369" s="69"/>
      <c r="N369" s="69"/>
      <c r="O369" s="69"/>
      <c r="P369" s="2"/>
      <c r="Q369" s="2"/>
      <c r="R369" s="32"/>
      <c r="S369" s="32"/>
      <c r="T369" s="32"/>
      <c r="U369" s="32"/>
      <c r="V369" s="2"/>
      <c r="W369" s="2"/>
      <c r="X369" s="2"/>
      <c r="Y369" s="2"/>
      <c r="Z369" s="2"/>
    </row>
    <row r="370" spans="1:26" ht="13.8" x14ac:dyDescent="0.3">
      <c r="A370" s="2"/>
      <c r="B370" s="2"/>
      <c r="C370" s="10"/>
      <c r="D370" s="10"/>
      <c r="E370" s="10"/>
      <c r="F370" s="10"/>
      <c r="G370" s="69"/>
      <c r="H370" s="69"/>
      <c r="I370" s="69"/>
      <c r="J370" s="70"/>
      <c r="K370" s="69"/>
      <c r="L370" s="69"/>
      <c r="M370" s="69"/>
      <c r="N370" s="69"/>
      <c r="O370" s="69"/>
      <c r="P370" s="2"/>
      <c r="Q370" s="2"/>
      <c r="R370" s="32"/>
      <c r="S370" s="32"/>
      <c r="T370" s="32"/>
      <c r="U370" s="32"/>
      <c r="V370" s="2"/>
      <c r="W370" s="2"/>
      <c r="X370" s="2"/>
      <c r="Y370" s="2"/>
      <c r="Z370" s="2"/>
    </row>
    <row r="371" spans="1:26" ht="13.8" x14ac:dyDescent="0.3">
      <c r="A371" s="2"/>
      <c r="B371" s="2"/>
      <c r="C371" s="10"/>
      <c r="D371" s="10"/>
      <c r="E371" s="10"/>
      <c r="F371" s="10"/>
      <c r="G371" s="69"/>
      <c r="H371" s="69"/>
      <c r="I371" s="69"/>
      <c r="J371" s="70"/>
      <c r="K371" s="69"/>
      <c r="L371" s="69"/>
      <c r="M371" s="69"/>
      <c r="N371" s="69"/>
      <c r="O371" s="69"/>
      <c r="P371" s="2"/>
      <c r="Q371" s="2"/>
      <c r="R371" s="32"/>
      <c r="S371" s="32"/>
      <c r="T371" s="32"/>
      <c r="U371" s="32"/>
      <c r="V371" s="2"/>
      <c r="W371" s="2"/>
      <c r="X371" s="2"/>
      <c r="Y371" s="2"/>
      <c r="Z371" s="2"/>
    </row>
    <row r="372" spans="1:26" ht="13.8" x14ac:dyDescent="0.3">
      <c r="A372" s="2"/>
      <c r="B372" s="2"/>
      <c r="C372" s="10"/>
      <c r="D372" s="10"/>
      <c r="E372" s="10"/>
      <c r="F372" s="10"/>
      <c r="G372" s="69"/>
      <c r="H372" s="69"/>
      <c r="I372" s="69"/>
      <c r="J372" s="70"/>
      <c r="K372" s="69"/>
      <c r="L372" s="69"/>
      <c r="M372" s="69"/>
      <c r="N372" s="69"/>
      <c r="O372" s="69"/>
      <c r="P372" s="2"/>
      <c r="Q372" s="2"/>
      <c r="R372" s="32"/>
      <c r="S372" s="32"/>
      <c r="T372" s="32"/>
      <c r="U372" s="32"/>
      <c r="V372" s="2"/>
      <c r="W372" s="2"/>
      <c r="X372" s="2"/>
      <c r="Y372" s="2"/>
      <c r="Z372" s="2"/>
    </row>
    <row r="373" spans="1:26" ht="13.8" x14ac:dyDescent="0.3">
      <c r="A373" s="2"/>
      <c r="B373" s="2"/>
      <c r="C373" s="10"/>
      <c r="D373" s="10"/>
      <c r="E373" s="10"/>
      <c r="F373" s="10"/>
      <c r="G373" s="69"/>
      <c r="H373" s="69"/>
      <c r="I373" s="69"/>
      <c r="J373" s="70"/>
      <c r="K373" s="69"/>
      <c r="L373" s="69"/>
      <c r="M373" s="69"/>
      <c r="N373" s="69"/>
      <c r="O373" s="69"/>
      <c r="P373" s="2"/>
      <c r="Q373" s="2"/>
      <c r="R373" s="32"/>
      <c r="S373" s="32"/>
      <c r="T373" s="32"/>
      <c r="U373" s="32"/>
      <c r="V373" s="2"/>
      <c r="W373" s="2"/>
      <c r="X373" s="2"/>
      <c r="Y373" s="2"/>
      <c r="Z373" s="2"/>
    </row>
    <row r="374" spans="1:26" ht="13.8" x14ac:dyDescent="0.3">
      <c r="A374" s="2"/>
      <c r="B374" s="2"/>
      <c r="C374" s="10"/>
      <c r="D374" s="10"/>
      <c r="E374" s="10"/>
      <c r="F374" s="10"/>
      <c r="G374" s="69"/>
      <c r="H374" s="69"/>
      <c r="I374" s="69"/>
      <c r="J374" s="70"/>
      <c r="K374" s="69"/>
      <c r="L374" s="69"/>
      <c r="M374" s="69"/>
      <c r="N374" s="69"/>
      <c r="O374" s="69"/>
      <c r="P374" s="2"/>
      <c r="Q374" s="2"/>
      <c r="R374" s="32"/>
      <c r="S374" s="32"/>
      <c r="T374" s="32"/>
      <c r="U374" s="32"/>
      <c r="V374" s="2"/>
      <c r="W374" s="2"/>
      <c r="X374" s="2"/>
      <c r="Y374" s="2"/>
      <c r="Z374" s="2"/>
    </row>
    <row r="375" spans="1:26" ht="13.8" x14ac:dyDescent="0.3">
      <c r="A375" s="2"/>
      <c r="B375" s="2"/>
      <c r="C375" s="10"/>
      <c r="D375" s="10"/>
      <c r="E375" s="10"/>
      <c r="F375" s="10"/>
      <c r="G375" s="69"/>
      <c r="H375" s="69"/>
      <c r="I375" s="69"/>
      <c r="J375" s="70"/>
      <c r="K375" s="69"/>
      <c r="L375" s="69"/>
      <c r="M375" s="69"/>
      <c r="N375" s="69"/>
      <c r="O375" s="69"/>
      <c r="P375" s="2"/>
      <c r="Q375" s="2"/>
      <c r="R375" s="32"/>
      <c r="S375" s="32"/>
      <c r="T375" s="32"/>
      <c r="U375" s="32"/>
      <c r="V375" s="2"/>
      <c r="W375" s="2"/>
      <c r="X375" s="2"/>
      <c r="Y375" s="2"/>
      <c r="Z375" s="2"/>
    </row>
    <row r="376" spans="1:26" ht="13.8" x14ac:dyDescent="0.3">
      <c r="A376" s="2"/>
      <c r="B376" s="2"/>
      <c r="C376" s="10"/>
      <c r="D376" s="10"/>
      <c r="E376" s="10"/>
      <c r="F376" s="10"/>
      <c r="G376" s="69"/>
      <c r="H376" s="69"/>
      <c r="I376" s="69"/>
      <c r="J376" s="70"/>
      <c r="K376" s="69"/>
      <c r="L376" s="69"/>
      <c r="M376" s="69"/>
      <c r="N376" s="69"/>
      <c r="O376" s="69"/>
      <c r="P376" s="2"/>
      <c r="Q376" s="2"/>
      <c r="R376" s="32"/>
      <c r="S376" s="32"/>
      <c r="T376" s="32"/>
      <c r="U376" s="32"/>
      <c r="V376" s="2"/>
      <c r="W376" s="2"/>
      <c r="X376" s="2"/>
      <c r="Y376" s="2"/>
      <c r="Z376" s="2"/>
    </row>
    <row r="377" spans="1:26" ht="13.8" x14ac:dyDescent="0.3">
      <c r="A377" s="2"/>
      <c r="B377" s="2"/>
      <c r="C377" s="10"/>
      <c r="D377" s="10"/>
      <c r="E377" s="10"/>
      <c r="F377" s="10"/>
      <c r="G377" s="69"/>
      <c r="H377" s="69"/>
      <c r="I377" s="69"/>
      <c r="J377" s="70"/>
      <c r="K377" s="69"/>
      <c r="L377" s="69"/>
      <c r="M377" s="69"/>
      <c r="N377" s="69"/>
      <c r="O377" s="69"/>
      <c r="P377" s="2"/>
      <c r="Q377" s="2"/>
      <c r="R377" s="32"/>
      <c r="S377" s="32"/>
      <c r="T377" s="32"/>
      <c r="U377" s="32"/>
      <c r="V377" s="2"/>
      <c r="W377" s="2"/>
      <c r="X377" s="2"/>
      <c r="Y377" s="2"/>
      <c r="Z377" s="2"/>
    </row>
    <row r="378" spans="1:26" ht="13.8" x14ac:dyDescent="0.3">
      <c r="A378" s="2"/>
      <c r="B378" s="2"/>
      <c r="C378" s="10"/>
      <c r="D378" s="10"/>
      <c r="E378" s="10"/>
      <c r="F378" s="10"/>
      <c r="G378" s="69"/>
      <c r="H378" s="69"/>
      <c r="I378" s="69"/>
      <c r="J378" s="70"/>
      <c r="K378" s="69"/>
      <c r="L378" s="69"/>
      <c r="M378" s="69"/>
      <c r="N378" s="69"/>
      <c r="O378" s="69"/>
      <c r="P378" s="2"/>
      <c r="Q378" s="2"/>
      <c r="R378" s="32"/>
      <c r="S378" s="32"/>
      <c r="T378" s="32"/>
      <c r="U378" s="32"/>
      <c r="V378" s="2"/>
      <c r="W378" s="2"/>
      <c r="X378" s="2"/>
      <c r="Y378" s="2"/>
      <c r="Z378" s="2"/>
    </row>
    <row r="379" spans="1:26" ht="13.8" x14ac:dyDescent="0.3">
      <c r="A379" s="2"/>
      <c r="B379" s="2"/>
      <c r="C379" s="10"/>
      <c r="D379" s="10"/>
      <c r="E379" s="10"/>
      <c r="F379" s="10"/>
      <c r="G379" s="69"/>
      <c r="H379" s="69"/>
      <c r="I379" s="69"/>
      <c r="J379" s="70"/>
      <c r="K379" s="69"/>
      <c r="L379" s="69"/>
      <c r="M379" s="69"/>
      <c r="N379" s="69"/>
      <c r="O379" s="69"/>
      <c r="P379" s="2"/>
      <c r="Q379" s="2"/>
      <c r="R379" s="32"/>
      <c r="S379" s="32"/>
      <c r="T379" s="32"/>
      <c r="U379" s="32"/>
      <c r="V379" s="2"/>
      <c r="W379" s="2"/>
      <c r="X379" s="2"/>
      <c r="Y379" s="2"/>
      <c r="Z379" s="2"/>
    </row>
    <row r="380" spans="1:26" ht="13.8" x14ac:dyDescent="0.3">
      <c r="A380" s="2"/>
      <c r="B380" s="2"/>
      <c r="C380" s="10"/>
      <c r="D380" s="10"/>
      <c r="E380" s="10"/>
      <c r="F380" s="10"/>
      <c r="G380" s="69"/>
      <c r="H380" s="69"/>
      <c r="I380" s="69"/>
      <c r="J380" s="70"/>
      <c r="K380" s="69"/>
      <c r="L380" s="69"/>
      <c r="M380" s="69"/>
      <c r="N380" s="69"/>
      <c r="O380" s="69"/>
      <c r="P380" s="2"/>
      <c r="Q380" s="2"/>
      <c r="R380" s="32"/>
      <c r="S380" s="32"/>
      <c r="T380" s="32"/>
      <c r="U380" s="32"/>
      <c r="V380" s="2"/>
      <c r="W380" s="2"/>
      <c r="X380" s="2"/>
      <c r="Y380" s="2"/>
      <c r="Z380" s="2"/>
    </row>
    <row r="381" spans="1:26" ht="13.8" x14ac:dyDescent="0.3">
      <c r="A381" s="2"/>
      <c r="B381" s="2"/>
      <c r="C381" s="10"/>
      <c r="D381" s="10"/>
      <c r="E381" s="10"/>
      <c r="F381" s="10"/>
      <c r="G381" s="69"/>
      <c r="H381" s="69"/>
      <c r="I381" s="69"/>
      <c r="J381" s="70"/>
      <c r="K381" s="69"/>
      <c r="L381" s="69"/>
      <c r="M381" s="69"/>
      <c r="N381" s="69"/>
      <c r="O381" s="69"/>
      <c r="P381" s="2"/>
      <c r="Q381" s="2"/>
      <c r="R381" s="32"/>
      <c r="S381" s="32"/>
      <c r="T381" s="32"/>
      <c r="U381" s="32"/>
      <c r="V381" s="2"/>
      <c r="W381" s="2"/>
      <c r="X381" s="2"/>
      <c r="Y381" s="2"/>
      <c r="Z381" s="2"/>
    </row>
    <row r="382" spans="1:26" ht="13.8" x14ac:dyDescent="0.3">
      <c r="A382" s="2"/>
      <c r="B382" s="2"/>
      <c r="C382" s="10"/>
      <c r="D382" s="10"/>
      <c r="E382" s="10"/>
      <c r="F382" s="10"/>
      <c r="G382" s="69"/>
      <c r="H382" s="69"/>
      <c r="I382" s="69"/>
      <c r="J382" s="70"/>
      <c r="K382" s="69"/>
      <c r="L382" s="69"/>
      <c r="M382" s="69"/>
      <c r="N382" s="69"/>
      <c r="O382" s="69"/>
      <c r="P382" s="2"/>
      <c r="Q382" s="2"/>
      <c r="R382" s="32"/>
      <c r="S382" s="32"/>
      <c r="T382" s="32"/>
      <c r="U382" s="32"/>
      <c r="V382" s="2"/>
      <c r="W382" s="2"/>
      <c r="X382" s="2"/>
      <c r="Y382" s="2"/>
      <c r="Z382" s="2"/>
    </row>
    <row r="383" spans="1:26" ht="13.8" x14ac:dyDescent="0.3">
      <c r="A383" s="2"/>
      <c r="B383" s="2"/>
      <c r="C383" s="10"/>
      <c r="D383" s="10"/>
      <c r="E383" s="10"/>
      <c r="F383" s="10"/>
      <c r="G383" s="69"/>
      <c r="H383" s="69"/>
      <c r="I383" s="69"/>
      <c r="J383" s="70"/>
      <c r="K383" s="69"/>
      <c r="L383" s="69"/>
      <c r="M383" s="69"/>
      <c r="N383" s="69"/>
      <c r="O383" s="69"/>
      <c r="P383" s="2"/>
      <c r="Q383" s="2"/>
      <c r="R383" s="32"/>
      <c r="S383" s="32"/>
      <c r="T383" s="32"/>
      <c r="U383" s="32"/>
      <c r="V383" s="2"/>
      <c r="W383" s="2"/>
      <c r="X383" s="2"/>
      <c r="Y383" s="2"/>
      <c r="Z383" s="2"/>
    </row>
    <row r="384" spans="1:26" ht="13.8" x14ac:dyDescent="0.3">
      <c r="A384" s="2"/>
      <c r="B384" s="2"/>
      <c r="C384" s="10"/>
      <c r="D384" s="10"/>
      <c r="E384" s="10"/>
      <c r="F384" s="10"/>
      <c r="G384" s="69"/>
      <c r="H384" s="69"/>
      <c r="I384" s="69"/>
      <c r="J384" s="70"/>
      <c r="K384" s="69"/>
      <c r="L384" s="69"/>
      <c r="M384" s="69"/>
      <c r="N384" s="69"/>
      <c r="O384" s="69"/>
      <c r="P384" s="2"/>
      <c r="Q384" s="2"/>
      <c r="R384" s="32"/>
      <c r="S384" s="32"/>
      <c r="T384" s="32"/>
      <c r="U384" s="32"/>
      <c r="V384" s="2"/>
      <c r="W384" s="2"/>
      <c r="X384" s="2"/>
      <c r="Y384" s="2"/>
      <c r="Z384" s="2"/>
    </row>
    <row r="385" spans="1:26" ht="13.8" x14ac:dyDescent="0.3">
      <c r="A385" s="2"/>
      <c r="B385" s="2"/>
      <c r="C385" s="10"/>
      <c r="D385" s="10"/>
      <c r="E385" s="10"/>
      <c r="F385" s="10"/>
      <c r="G385" s="69"/>
      <c r="H385" s="69"/>
      <c r="I385" s="69"/>
      <c r="J385" s="70"/>
      <c r="K385" s="69"/>
      <c r="L385" s="69"/>
      <c r="M385" s="69"/>
      <c r="N385" s="69"/>
      <c r="O385" s="69"/>
      <c r="P385" s="2"/>
      <c r="Q385" s="2"/>
      <c r="R385" s="32"/>
      <c r="S385" s="32"/>
      <c r="T385" s="32"/>
      <c r="U385" s="32"/>
      <c r="V385" s="2"/>
      <c r="W385" s="2"/>
      <c r="X385" s="2"/>
      <c r="Y385" s="2"/>
      <c r="Z385" s="2"/>
    </row>
    <row r="386" spans="1:26" ht="13.8" x14ac:dyDescent="0.3">
      <c r="A386" s="2"/>
      <c r="B386" s="2"/>
      <c r="C386" s="10"/>
      <c r="D386" s="10"/>
      <c r="E386" s="10"/>
      <c r="F386" s="10"/>
      <c r="G386" s="69"/>
      <c r="H386" s="69"/>
      <c r="I386" s="69"/>
      <c r="J386" s="70"/>
      <c r="K386" s="69"/>
      <c r="L386" s="69"/>
      <c r="M386" s="69"/>
      <c r="N386" s="69"/>
      <c r="O386" s="69"/>
      <c r="P386" s="2"/>
      <c r="Q386" s="2"/>
      <c r="R386" s="32"/>
      <c r="S386" s="32"/>
      <c r="T386" s="32"/>
      <c r="U386" s="32"/>
      <c r="V386" s="2"/>
      <c r="W386" s="2"/>
      <c r="X386" s="2"/>
      <c r="Y386" s="2"/>
      <c r="Z386" s="2"/>
    </row>
    <row r="387" spans="1:26" ht="13.8" x14ac:dyDescent="0.3">
      <c r="A387" s="2"/>
      <c r="B387" s="2"/>
      <c r="C387" s="10"/>
      <c r="D387" s="10"/>
      <c r="E387" s="10"/>
      <c r="F387" s="10"/>
      <c r="G387" s="69"/>
      <c r="H387" s="69"/>
      <c r="I387" s="69"/>
      <c r="J387" s="70"/>
      <c r="K387" s="69"/>
      <c r="L387" s="69"/>
      <c r="M387" s="69"/>
      <c r="N387" s="69"/>
      <c r="O387" s="69"/>
      <c r="P387" s="2"/>
      <c r="Q387" s="2"/>
      <c r="R387" s="32"/>
      <c r="S387" s="32"/>
      <c r="T387" s="32"/>
      <c r="U387" s="32"/>
      <c r="V387" s="2"/>
      <c r="W387" s="2"/>
      <c r="X387" s="2"/>
      <c r="Y387" s="2"/>
      <c r="Z387" s="2"/>
    </row>
    <row r="388" spans="1:26" ht="13.8" x14ac:dyDescent="0.3">
      <c r="A388" s="2"/>
      <c r="B388" s="2"/>
      <c r="C388" s="10"/>
      <c r="D388" s="10"/>
      <c r="E388" s="10"/>
      <c r="F388" s="10"/>
      <c r="G388" s="69"/>
      <c r="H388" s="69"/>
      <c r="I388" s="69"/>
      <c r="J388" s="70"/>
      <c r="K388" s="69"/>
      <c r="L388" s="69"/>
      <c r="M388" s="69"/>
      <c r="N388" s="69"/>
      <c r="O388" s="69"/>
      <c r="P388" s="2"/>
      <c r="Q388" s="2"/>
      <c r="R388" s="32"/>
      <c r="S388" s="32"/>
      <c r="T388" s="32"/>
      <c r="U388" s="32"/>
      <c r="V388" s="2"/>
      <c r="W388" s="2"/>
      <c r="X388" s="2"/>
      <c r="Y388" s="2"/>
      <c r="Z388" s="2"/>
    </row>
    <row r="389" spans="1:26" ht="13.8" x14ac:dyDescent="0.3">
      <c r="A389" s="2"/>
      <c r="B389" s="2"/>
      <c r="C389" s="10"/>
      <c r="D389" s="10"/>
      <c r="E389" s="10"/>
      <c r="F389" s="10"/>
      <c r="G389" s="69"/>
      <c r="H389" s="69"/>
      <c r="I389" s="69"/>
      <c r="J389" s="70"/>
      <c r="K389" s="69"/>
      <c r="L389" s="69"/>
      <c r="M389" s="69"/>
      <c r="N389" s="69"/>
      <c r="O389" s="69"/>
      <c r="P389" s="2"/>
      <c r="Q389" s="2"/>
      <c r="R389" s="32"/>
      <c r="S389" s="32"/>
      <c r="T389" s="32"/>
      <c r="U389" s="32"/>
      <c r="V389" s="2"/>
      <c r="W389" s="2"/>
      <c r="X389" s="2"/>
      <c r="Y389" s="2"/>
      <c r="Z389" s="2"/>
    </row>
    <row r="390" spans="1:26" ht="13.8" x14ac:dyDescent="0.3">
      <c r="A390" s="2"/>
      <c r="B390" s="2"/>
      <c r="C390" s="10"/>
      <c r="D390" s="10"/>
      <c r="E390" s="10"/>
      <c r="F390" s="10"/>
      <c r="G390" s="69"/>
      <c r="H390" s="69"/>
      <c r="I390" s="69"/>
      <c r="J390" s="70"/>
      <c r="K390" s="69"/>
      <c r="L390" s="69"/>
      <c r="M390" s="69"/>
      <c r="N390" s="69"/>
      <c r="O390" s="69"/>
      <c r="P390" s="2"/>
      <c r="Q390" s="2"/>
      <c r="R390" s="32"/>
      <c r="S390" s="32"/>
      <c r="T390" s="32"/>
      <c r="U390" s="32"/>
      <c r="V390" s="2"/>
      <c r="W390" s="2"/>
      <c r="X390" s="2"/>
      <c r="Y390" s="2"/>
      <c r="Z390" s="2"/>
    </row>
    <row r="391" spans="1:26" ht="13.8" x14ac:dyDescent="0.3">
      <c r="A391" s="2"/>
      <c r="B391" s="2"/>
      <c r="C391" s="10"/>
      <c r="D391" s="10"/>
      <c r="E391" s="10"/>
      <c r="F391" s="10"/>
      <c r="G391" s="69"/>
      <c r="H391" s="69"/>
      <c r="I391" s="69"/>
      <c r="J391" s="70"/>
      <c r="K391" s="69"/>
      <c r="L391" s="69"/>
      <c r="M391" s="69"/>
      <c r="N391" s="69"/>
      <c r="O391" s="69"/>
      <c r="P391" s="2"/>
      <c r="Q391" s="2"/>
      <c r="R391" s="32"/>
      <c r="S391" s="32"/>
      <c r="T391" s="32"/>
      <c r="U391" s="32"/>
      <c r="V391" s="2"/>
      <c r="W391" s="2"/>
      <c r="X391" s="2"/>
      <c r="Y391" s="2"/>
      <c r="Z391" s="2"/>
    </row>
    <row r="392" spans="1:26" ht="13.8" x14ac:dyDescent="0.3">
      <c r="A392" s="2"/>
      <c r="B392" s="2"/>
      <c r="C392" s="10"/>
      <c r="D392" s="10"/>
      <c r="E392" s="10"/>
      <c r="F392" s="10"/>
      <c r="G392" s="69"/>
      <c r="H392" s="69"/>
      <c r="I392" s="69"/>
      <c r="J392" s="70"/>
      <c r="K392" s="69"/>
      <c r="L392" s="69"/>
      <c r="M392" s="69"/>
      <c r="N392" s="69"/>
      <c r="O392" s="69"/>
      <c r="P392" s="2"/>
      <c r="Q392" s="2"/>
      <c r="R392" s="32"/>
      <c r="S392" s="32"/>
      <c r="T392" s="32"/>
      <c r="U392" s="32"/>
      <c r="V392" s="2"/>
      <c r="W392" s="2"/>
      <c r="X392" s="2"/>
      <c r="Y392" s="2"/>
      <c r="Z392" s="2"/>
    </row>
    <row r="393" spans="1:26" ht="13.8" x14ac:dyDescent="0.3">
      <c r="A393" s="2"/>
      <c r="B393" s="2"/>
      <c r="C393" s="10"/>
      <c r="D393" s="10"/>
      <c r="E393" s="10"/>
      <c r="F393" s="10"/>
      <c r="G393" s="69"/>
      <c r="H393" s="69"/>
      <c r="I393" s="69"/>
      <c r="J393" s="70"/>
      <c r="K393" s="69"/>
      <c r="L393" s="69"/>
      <c r="M393" s="69"/>
      <c r="N393" s="69"/>
      <c r="O393" s="69"/>
      <c r="P393" s="2"/>
      <c r="Q393" s="2"/>
      <c r="R393" s="32"/>
      <c r="S393" s="32"/>
      <c r="T393" s="32"/>
      <c r="U393" s="32"/>
      <c r="V393" s="2"/>
      <c r="W393" s="2"/>
      <c r="X393" s="2"/>
      <c r="Y393" s="2"/>
      <c r="Z393" s="2"/>
    </row>
    <row r="394" spans="1:26" ht="13.8" x14ac:dyDescent="0.3">
      <c r="A394" s="2"/>
      <c r="B394" s="2"/>
      <c r="C394" s="10"/>
      <c r="D394" s="10"/>
      <c r="E394" s="10"/>
      <c r="F394" s="10"/>
      <c r="G394" s="69"/>
      <c r="H394" s="69"/>
      <c r="I394" s="69"/>
      <c r="J394" s="70"/>
      <c r="K394" s="69"/>
      <c r="L394" s="69"/>
      <c r="M394" s="69"/>
      <c r="N394" s="69"/>
      <c r="O394" s="69"/>
      <c r="P394" s="2"/>
      <c r="Q394" s="2"/>
      <c r="R394" s="32"/>
      <c r="S394" s="32"/>
      <c r="T394" s="32"/>
      <c r="U394" s="32"/>
      <c r="V394" s="2"/>
      <c r="W394" s="2"/>
      <c r="X394" s="2"/>
      <c r="Y394" s="2"/>
      <c r="Z394" s="2"/>
    </row>
    <row r="395" spans="1:26" ht="13.8" x14ac:dyDescent="0.3">
      <c r="A395" s="2"/>
      <c r="B395" s="2"/>
      <c r="C395" s="10"/>
      <c r="D395" s="10"/>
      <c r="E395" s="10"/>
      <c r="F395" s="10"/>
      <c r="G395" s="69"/>
      <c r="H395" s="69"/>
      <c r="I395" s="69"/>
      <c r="J395" s="70"/>
      <c r="K395" s="69"/>
      <c r="L395" s="69"/>
      <c r="M395" s="69"/>
      <c r="N395" s="69"/>
      <c r="O395" s="69"/>
      <c r="P395" s="2"/>
      <c r="Q395" s="2"/>
      <c r="R395" s="32"/>
      <c r="S395" s="32"/>
      <c r="T395" s="32"/>
      <c r="U395" s="32"/>
      <c r="V395" s="2"/>
      <c r="W395" s="2"/>
      <c r="X395" s="2"/>
      <c r="Y395" s="2"/>
      <c r="Z395" s="2"/>
    </row>
    <row r="396" spans="1:26" ht="13.8" x14ac:dyDescent="0.3">
      <c r="A396" s="2"/>
      <c r="B396" s="2"/>
      <c r="C396" s="10"/>
      <c r="D396" s="10"/>
      <c r="E396" s="10"/>
      <c r="F396" s="10"/>
      <c r="G396" s="69"/>
      <c r="H396" s="69"/>
      <c r="I396" s="69"/>
      <c r="J396" s="70"/>
      <c r="K396" s="69"/>
      <c r="L396" s="69"/>
      <c r="M396" s="69"/>
      <c r="N396" s="69"/>
      <c r="O396" s="69"/>
      <c r="P396" s="2"/>
      <c r="Q396" s="2"/>
      <c r="R396" s="32"/>
      <c r="S396" s="32"/>
      <c r="T396" s="32"/>
      <c r="U396" s="32"/>
      <c r="V396" s="2"/>
      <c r="W396" s="2"/>
      <c r="X396" s="2"/>
      <c r="Y396" s="2"/>
      <c r="Z396" s="2"/>
    </row>
    <row r="397" spans="1:26" ht="13.8" x14ac:dyDescent="0.3">
      <c r="A397" s="2"/>
      <c r="B397" s="2"/>
      <c r="C397" s="10"/>
      <c r="D397" s="10"/>
      <c r="E397" s="10"/>
      <c r="F397" s="10"/>
      <c r="G397" s="69"/>
      <c r="H397" s="69"/>
      <c r="I397" s="69"/>
      <c r="J397" s="70"/>
      <c r="K397" s="69"/>
      <c r="L397" s="69"/>
      <c r="M397" s="69"/>
      <c r="N397" s="69"/>
      <c r="O397" s="69"/>
      <c r="P397" s="2"/>
      <c r="Q397" s="2"/>
      <c r="R397" s="32"/>
      <c r="S397" s="32"/>
      <c r="T397" s="32"/>
      <c r="U397" s="32"/>
      <c r="V397" s="2"/>
      <c r="W397" s="2"/>
      <c r="X397" s="2"/>
      <c r="Y397" s="2"/>
      <c r="Z397" s="2"/>
    </row>
    <row r="398" spans="1:26" ht="13.8" x14ac:dyDescent="0.3">
      <c r="A398" s="2"/>
      <c r="B398" s="2"/>
      <c r="C398" s="10"/>
      <c r="D398" s="10"/>
      <c r="E398" s="10"/>
      <c r="F398" s="10"/>
      <c r="G398" s="69"/>
      <c r="H398" s="69"/>
      <c r="I398" s="69"/>
      <c r="J398" s="70"/>
      <c r="K398" s="69"/>
      <c r="L398" s="69"/>
      <c r="M398" s="69"/>
      <c r="N398" s="69"/>
      <c r="O398" s="69"/>
      <c r="P398" s="2"/>
      <c r="Q398" s="2"/>
      <c r="R398" s="32"/>
      <c r="S398" s="32"/>
      <c r="T398" s="32"/>
      <c r="U398" s="32"/>
      <c r="V398" s="2"/>
      <c r="W398" s="2"/>
      <c r="X398" s="2"/>
      <c r="Y398" s="2"/>
      <c r="Z398" s="2"/>
    </row>
    <row r="399" spans="1:26" ht="13.8" x14ac:dyDescent="0.3">
      <c r="A399" s="2"/>
      <c r="B399" s="2"/>
      <c r="C399" s="10"/>
      <c r="D399" s="10"/>
      <c r="E399" s="10"/>
      <c r="F399" s="10"/>
      <c r="G399" s="69"/>
      <c r="H399" s="69"/>
      <c r="I399" s="69"/>
      <c r="J399" s="70"/>
      <c r="K399" s="69"/>
      <c r="L399" s="69"/>
      <c r="M399" s="69"/>
      <c r="N399" s="69"/>
      <c r="O399" s="69"/>
      <c r="P399" s="2"/>
      <c r="Q399" s="2"/>
      <c r="R399" s="32"/>
      <c r="S399" s="32"/>
      <c r="T399" s="32"/>
      <c r="U399" s="32"/>
      <c r="V399" s="2"/>
      <c r="W399" s="2"/>
      <c r="X399" s="2"/>
      <c r="Y399" s="2"/>
      <c r="Z399" s="2"/>
    </row>
    <row r="400" spans="1:26" ht="13.8" x14ac:dyDescent="0.3">
      <c r="A400" s="2"/>
      <c r="B400" s="2"/>
      <c r="C400" s="10"/>
      <c r="D400" s="10"/>
      <c r="E400" s="10"/>
      <c r="F400" s="10"/>
      <c r="G400" s="69"/>
      <c r="H400" s="69"/>
      <c r="I400" s="69"/>
      <c r="J400" s="70"/>
      <c r="K400" s="69"/>
      <c r="L400" s="69"/>
      <c r="M400" s="69"/>
      <c r="N400" s="69"/>
      <c r="O400" s="69"/>
      <c r="P400" s="2"/>
      <c r="Q400" s="2"/>
      <c r="R400" s="32"/>
      <c r="S400" s="32"/>
      <c r="T400" s="32"/>
      <c r="U400" s="32"/>
      <c r="V400" s="2"/>
      <c r="W400" s="2"/>
      <c r="X400" s="2"/>
      <c r="Y400" s="2"/>
      <c r="Z400" s="2"/>
    </row>
    <row r="401" spans="1:26" ht="13.8" x14ac:dyDescent="0.3">
      <c r="A401" s="2"/>
      <c r="B401" s="2"/>
      <c r="C401" s="10"/>
      <c r="D401" s="10"/>
      <c r="E401" s="10"/>
      <c r="F401" s="10"/>
      <c r="G401" s="69"/>
      <c r="H401" s="69"/>
      <c r="I401" s="69"/>
      <c r="J401" s="70"/>
      <c r="K401" s="69"/>
      <c r="L401" s="69"/>
      <c r="M401" s="69"/>
      <c r="N401" s="69"/>
      <c r="O401" s="69"/>
      <c r="P401" s="2"/>
      <c r="Q401" s="2"/>
      <c r="R401" s="32"/>
      <c r="S401" s="32"/>
      <c r="T401" s="32"/>
      <c r="U401" s="32"/>
      <c r="V401" s="2"/>
      <c r="W401" s="2"/>
      <c r="X401" s="2"/>
      <c r="Y401" s="2"/>
      <c r="Z401" s="2"/>
    </row>
    <row r="402" spans="1:26" ht="13.8" x14ac:dyDescent="0.3">
      <c r="A402" s="2"/>
      <c r="B402" s="2"/>
      <c r="C402" s="10"/>
      <c r="D402" s="10"/>
      <c r="E402" s="10"/>
      <c r="F402" s="10"/>
      <c r="G402" s="69"/>
      <c r="H402" s="69"/>
      <c r="I402" s="69"/>
      <c r="J402" s="70"/>
      <c r="K402" s="69"/>
      <c r="L402" s="69"/>
      <c r="M402" s="69"/>
      <c r="N402" s="69"/>
      <c r="O402" s="69"/>
      <c r="P402" s="2"/>
      <c r="Q402" s="2"/>
      <c r="R402" s="32"/>
      <c r="S402" s="32"/>
      <c r="T402" s="32"/>
      <c r="U402" s="32"/>
      <c r="V402" s="2"/>
      <c r="W402" s="2"/>
      <c r="X402" s="2"/>
      <c r="Y402" s="2"/>
      <c r="Z402" s="2"/>
    </row>
    <row r="403" spans="1:26" ht="13.8" x14ac:dyDescent="0.3">
      <c r="A403" s="2"/>
      <c r="B403" s="2"/>
      <c r="C403" s="10"/>
      <c r="D403" s="10"/>
      <c r="E403" s="10"/>
      <c r="F403" s="10"/>
      <c r="G403" s="69"/>
      <c r="H403" s="69"/>
      <c r="I403" s="69"/>
      <c r="J403" s="70"/>
      <c r="K403" s="69"/>
      <c r="L403" s="69"/>
      <c r="M403" s="69"/>
      <c r="N403" s="69"/>
      <c r="O403" s="69"/>
      <c r="P403" s="2"/>
      <c r="Q403" s="2"/>
      <c r="R403" s="32"/>
      <c r="S403" s="32"/>
      <c r="T403" s="32"/>
      <c r="U403" s="32"/>
      <c r="V403" s="2"/>
      <c r="W403" s="2"/>
      <c r="X403" s="2"/>
      <c r="Y403" s="2"/>
      <c r="Z403" s="2"/>
    </row>
    <row r="404" spans="1:26" ht="13.8" x14ac:dyDescent="0.3">
      <c r="A404" s="2"/>
      <c r="B404" s="2"/>
      <c r="C404" s="10"/>
      <c r="D404" s="10"/>
      <c r="E404" s="10"/>
      <c r="F404" s="10"/>
      <c r="G404" s="69"/>
      <c r="H404" s="69"/>
      <c r="I404" s="69"/>
      <c r="J404" s="70"/>
      <c r="K404" s="69"/>
      <c r="L404" s="69"/>
      <c r="M404" s="69"/>
      <c r="N404" s="69"/>
      <c r="O404" s="69"/>
      <c r="P404" s="2"/>
      <c r="Q404" s="2"/>
      <c r="R404" s="32"/>
      <c r="S404" s="32"/>
      <c r="T404" s="32"/>
      <c r="U404" s="32"/>
      <c r="V404" s="2"/>
      <c r="W404" s="2"/>
      <c r="X404" s="2"/>
      <c r="Y404" s="2"/>
      <c r="Z404" s="2"/>
    </row>
    <row r="405" spans="1:26" ht="13.8" x14ac:dyDescent="0.3">
      <c r="A405" s="2"/>
      <c r="B405" s="2"/>
      <c r="C405" s="10"/>
      <c r="D405" s="10"/>
      <c r="E405" s="10"/>
      <c r="F405" s="10"/>
      <c r="G405" s="69"/>
      <c r="H405" s="69"/>
      <c r="I405" s="69"/>
      <c r="J405" s="70"/>
      <c r="K405" s="69"/>
      <c r="L405" s="69"/>
      <c r="M405" s="69"/>
      <c r="N405" s="69"/>
      <c r="O405" s="69"/>
      <c r="P405" s="2"/>
      <c r="Q405" s="2"/>
      <c r="R405" s="32"/>
      <c r="S405" s="32"/>
      <c r="T405" s="32"/>
      <c r="U405" s="32"/>
      <c r="V405" s="2"/>
      <c r="W405" s="2"/>
      <c r="X405" s="2"/>
      <c r="Y405" s="2"/>
      <c r="Z405" s="2"/>
    </row>
    <row r="406" spans="1:26" ht="13.8" x14ac:dyDescent="0.3">
      <c r="A406" s="2"/>
      <c r="B406" s="2"/>
      <c r="C406" s="10"/>
      <c r="D406" s="10"/>
      <c r="E406" s="10"/>
      <c r="F406" s="10"/>
      <c r="G406" s="69"/>
      <c r="H406" s="69"/>
      <c r="I406" s="69"/>
      <c r="J406" s="70"/>
      <c r="K406" s="69"/>
      <c r="L406" s="69"/>
      <c r="M406" s="69"/>
      <c r="N406" s="69"/>
      <c r="O406" s="69"/>
      <c r="P406" s="2"/>
      <c r="Q406" s="2"/>
      <c r="R406" s="32"/>
      <c r="S406" s="32"/>
      <c r="T406" s="32"/>
      <c r="U406" s="32"/>
      <c r="V406" s="2"/>
      <c r="W406" s="2"/>
      <c r="X406" s="2"/>
      <c r="Y406" s="2"/>
      <c r="Z406" s="2"/>
    </row>
    <row r="407" spans="1:26" ht="13.8" x14ac:dyDescent="0.3">
      <c r="A407" s="2"/>
      <c r="B407" s="2"/>
      <c r="C407" s="10"/>
      <c r="D407" s="10"/>
      <c r="E407" s="10"/>
      <c r="F407" s="10"/>
      <c r="G407" s="69"/>
      <c r="H407" s="69"/>
      <c r="I407" s="69"/>
      <c r="J407" s="70"/>
      <c r="K407" s="69"/>
      <c r="L407" s="69"/>
      <c r="M407" s="69"/>
      <c r="N407" s="69"/>
      <c r="O407" s="69"/>
      <c r="P407" s="2"/>
      <c r="Q407" s="2"/>
      <c r="R407" s="32"/>
      <c r="S407" s="32"/>
      <c r="T407" s="32"/>
      <c r="U407" s="32"/>
      <c r="V407" s="2"/>
      <c r="W407" s="2"/>
      <c r="X407" s="2"/>
      <c r="Y407" s="2"/>
      <c r="Z407" s="2"/>
    </row>
    <row r="408" spans="1:26" ht="13.8" x14ac:dyDescent="0.3">
      <c r="A408" s="2"/>
      <c r="B408" s="2"/>
      <c r="C408" s="10"/>
      <c r="D408" s="10"/>
      <c r="E408" s="10"/>
      <c r="F408" s="10"/>
      <c r="G408" s="69"/>
      <c r="H408" s="69"/>
      <c r="I408" s="69"/>
      <c r="J408" s="70"/>
      <c r="K408" s="69"/>
      <c r="L408" s="69"/>
      <c r="M408" s="69"/>
      <c r="N408" s="69"/>
      <c r="O408" s="69"/>
      <c r="P408" s="2"/>
      <c r="Q408" s="2"/>
      <c r="R408" s="32"/>
      <c r="S408" s="32"/>
      <c r="T408" s="32"/>
      <c r="U408" s="32"/>
      <c r="V408" s="2"/>
      <c r="W408" s="2"/>
      <c r="X408" s="2"/>
      <c r="Y408" s="2"/>
      <c r="Z408" s="2"/>
    </row>
    <row r="409" spans="1:26" ht="13.8" x14ac:dyDescent="0.3">
      <c r="A409" s="2"/>
      <c r="B409" s="2"/>
      <c r="C409" s="10"/>
      <c r="D409" s="10"/>
      <c r="E409" s="10"/>
      <c r="F409" s="10"/>
      <c r="G409" s="69"/>
      <c r="H409" s="69"/>
      <c r="I409" s="69"/>
      <c r="J409" s="70"/>
      <c r="K409" s="69"/>
      <c r="L409" s="69"/>
      <c r="M409" s="69"/>
      <c r="N409" s="69"/>
      <c r="O409" s="69"/>
      <c r="P409" s="2"/>
      <c r="Q409" s="2"/>
      <c r="R409" s="32"/>
      <c r="S409" s="32"/>
      <c r="T409" s="32"/>
      <c r="U409" s="32"/>
      <c r="V409" s="2"/>
      <c r="W409" s="2"/>
      <c r="X409" s="2"/>
      <c r="Y409" s="2"/>
      <c r="Z409" s="2"/>
    </row>
    <row r="410" spans="1:26" ht="13.8" x14ac:dyDescent="0.3">
      <c r="A410" s="2"/>
      <c r="B410" s="2"/>
      <c r="C410" s="10"/>
      <c r="D410" s="10"/>
      <c r="E410" s="10"/>
      <c r="F410" s="10"/>
      <c r="G410" s="69"/>
      <c r="H410" s="69"/>
      <c r="I410" s="69"/>
      <c r="J410" s="70"/>
      <c r="K410" s="69"/>
      <c r="L410" s="69"/>
      <c r="M410" s="69"/>
      <c r="N410" s="69"/>
      <c r="O410" s="69"/>
      <c r="P410" s="2"/>
      <c r="Q410" s="2"/>
      <c r="R410" s="32"/>
      <c r="S410" s="32"/>
      <c r="T410" s="32"/>
      <c r="U410" s="32"/>
      <c r="V410" s="2"/>
      <c r="W410" s="2"/>
      <c r="X410" s="2"/>
      <c r="Y410" s="2"/>
      <c r="Z410" s="2"/>
    </row>
    <row r="411" spans="1:26" ht="13.8" x14ac:dyDescent="0.3">
      <c r="A411" s="2"/>
      <c r="B411" s="2"/>
      <c r="C411" s="10"/>
      <c r="D411" s="10"/>
      <c r="E411" s="10"/>
      <c r="F411" s="10"/>
      <c r="G411" s="69"/>
      <c r="H411" s="69"/>
      <c r="I411" s="69"/>
      <c r="J411" s="70"/>
      <c r="K411" s="69"/>
      <c r="L411" s="69"/>
      <c r="M411" s="69"/>
      <c r="N411" s="69"/>
      <c r="O411" s="69"/>
      <c r="P411" s="2"/>
      <c r="Q411" s="2"/>
      <c r="R411" s="32"/>
      <c r="S411" s="32"/>
      <c r="T411" s="32"/>
      <c r="U411" s="32"/>
      <c r="V411" s="2"/>
      <c r="W411" s="2"/>
      <c r="X411" s="2"/>
      <c r="Y411" s="2"/>
      <c r="Z411" s="2"/>
    </row>
    <row r="412" spans="1:26" ht="13.8" x14ac:dyDescent="0.3">
      <c r="A412" s="2"/>
      <c r="B412" s="2"/>
      <c r="C412" s="10"/>
      <c r="D412" s="10"/>
      <c r="E412" s="10"/>
      <c r="F412" s="10"/>
      <c r="G412" s="69"/>
      <c r="H412" s="69"/>
      <c r="I412" s="69"/>
      <c r="J412" s="70"/>
      <c r="K412" s="69"/>
      <c r="L412" s="69"/>
      <c r="M412" s="69"/>
      <c r="N412" s="69"/>
      <c r="O412" s="69"/>
      <c r="P412" s="2"/>
      <c r="Q412" s="2"/>
      <c r="R412" s="32"/>
      <c r="S412" s="32"/>
      <c r="T412" s="32"/>
      <c r="U412" s="32"/>
      <c r="V412" s="2"/>
      <c r="W412" s="2"/>
      <c r="X412" s="2"/>
      <c r="Y412" s="2"/>
      <c r="Z412" s="2"/>
    </row>
    <row r="413" spans="1:26" ht="13.8" x14ac:dyDescent="0.3">
      <c r="A413" s="2"/>
      <c r="B413" s="2"/>
      <c r="C413" s="10"/>
      <c r="D413" s="10"/>
      <c r="E413" s="10"/>
      <c r="F413" s="10"/>
      <c r="G413" s="69"/>
      <c r="H413" s="69"/>
      <c r="I413" s="69"/>
      <c r="J413" s="70"/>
      <c r="K413" s="69"/>
      <c r="L413" s="69"/>
      <c r="M413" s="69"/>
      <c r="N413" s="69"/>
      <c r="O413" s="69"/>
      <c r="P413" s="2"/>
      <c r="Q413" s="2"/>
      <c r="R413" s="32"/>
      <c r="S413" s="32"/>
      <c r="T413" s="32"/>
      <c r="U413" s="32"/>
      <c r="V413" s="2"/>
      <c r="W413" s="2"/>
      <c r="X413" s="2"/>
      <c r="Y413" s="2"/>
      <c r="Z413" s="2"/>
    </row>
    <row r="414" spans="1:26" ht="13.8" x14ac:dyDescent="0.3">
      <c r="A414" s="2"/>
      <c r="B414" s="2"/>
      <c r="C414" s="10"/>
      <c r="D414" s="10"/>
      <c r="E414" s="10"/>
      <c r="F414" s="10"/>
      <c r="G414" s="69"/>
      <c r="H414" s="69"/>
      <c r="I414" s="69"/>
      <c r="J414" s="70"/>
      <c r="K414" s="69"/>
      <c r="L414" s="69"/>
      <c r="M414" s="69"/>
      <c r="N414" s="69"/>
      <c r="O414" s="69"/>
      <c r="P414" s="2"/>
      <c r="Q414" s="2"/>
      <c r="R414" s="32"/>
      <c r="S414" s="32"/>
      <c r="T414" s="32"/>
      <c r="U414" s="32"/>
      <c r="V414" s="2"/>
      <c r="W414" s="2"/>
      <c r="X414" s="2"/>
      <c r="Y414" s="2"/>
      <c r="Z414" s="2"/>
    </row>
    <row r="415" spans="1:26" ht="13.8" x14ac:dyDescent="0.3">
      <c r="A415" s="2"/>
      <c r="B415" s="2"/>
      <c r="C415" s="10"/>
      <c r="D415" s="10"/>
      <c r="E415" s="10"/>
      <c r="F415" s="10"/>
      <c r="G415" s="69"/>
      <c r="H415" s="69"/>
      <c r="I415" s="69"/>
      <c r="J415" s="70"/>
      <c r="K415" s="69"/>
      <c r="L415" s="69"/>
      <c r="M415" s="69"/>
      <c r="N415" s="69"/>
      <c r="O415" s="69"/>
      <c r="P415" s="2"/>
      <c r="Q415" s="2"/>
      <c r="R415" s="32"/>
      <c r="S415" s="32"/>
      <c r="T415" s="32"/>
      <c r="U415" s="32"/>
      <c r="V415" s="2"/>
      <c r="W415" s="2"/>
      <c r="X415" s="2"/>
      <c r="Y415" s="2"/>
      <c r="Z415" s="2"/>
    </row>
    <row r="416" spans="1:26" ht="13.8" x14ac:dyDescent="0.3">
      <c r="A416" s="2"/>
      <c r="B416" s="2"/>
      <c r="C416" s="10"/>
      <c r="D416" s="10"/>
      <c r="E416" s="10"/>
      <c r="F416" s="10"/>
      <c r="G416" s="69"/>
      <c r="H416" s="69"/>
      <c r="I416" s="69"/>
      <c r="J416" s="70"/>
      <c r="K416" s="69"/>
      <c r="L416" s="69"/>
      <c r="M416" s="69"/>
      <c r="N416" s="69"/>
      <c r="O416" s="69"/>
      <c r="P416" s="2"/>
      <c r="Q416" s="2"/>
      <c r="R416" s="32"/>
      <c r="S416" s="32"/>
      <c r="T416" s="32"/>
      <c r="U416" s="32"/>
      <c r="V416" s="2"/>
      <c r="W416" s="2"/>
      <c r="X416" s="2"/>
      <c r="Y416" s="2"/>
      <c r="Z416" s="2"/>
    </row>
    <row r="417" spans="1:26" ht="13.8" x14ac:dyDescent="0.3">
      <c r="A417" s="2"/>
      <c r="B417" s="2"/>
      <c r="C417" s="10"/>
      <c r="D417" s="10"/>
      <c r="E417" s="10"/>
      <c r="F417" s="10"/>
      <c r="G417" s="69"/>
      <c r="H417" s="69"/>
      <c r="I417" s="69"/>
      <c r="J417" s="70"/>
      <c r="K417" s="69"/>
      <c r="L417" s="69"/>
      <c r="M417" s="69"/>
      <c r="N417" s="69"/>
      <c r="O417" s="69"/>
      <c r="P417" s="2"/>
      <c r="Q417" s="2"/>
      <c r="R417" s="32"/>
      <c r="S417" s="32"/>
      <c r="T417" s="32"/>
      <c r="U417" s="32"/>
      <c r="V417" s="2"/>
      <c r="W417" s="2"/>
      <c r="X417" s="2"/>
      <c r="Y417" s="2"/>
      <c r="Z417" s="2"/>
    </row>
    <row r="418" spans="1:26" ht="13.8" x14ac:dyDescent="0.3">
      <c r="A418" s="2"/>
      <c r="B418" s="2"/>
      <c r="C418" s="10"/>
      <c r="D418" s="10"/>
      <c r="E418" s="10"/>
      <c r="F418" s="10"/>
      <c r="G418" s="69"/>
      <c r="H418" s="69"/>
      <c r="I418" s="69"/>
      <c r="J418" s="70"/>
      <c r="K418" s="69"/>
      <c r="L418" s="69"/>
      <c r="M418" s="69"/>
      <c r="N418" s="69"/>
      <c r="O418" s="69"/>
      <c r="P418" s="2"/>
      <c r="Q418" s="2"/>
      <c r="R418" s="32"/>
      <c r="S418" s="32"/>
      <c r="T418" s="32"/>
      <c r="U418" s="32"/>
      <c r="V418" s="2"/>
      <c r="W418" s="2"/>
      <c r="X418" s="2"/>
      <c r="Y418" s="2"/>
      <c r="Z418" s="2"/>
    </row>
    <row r="419" spans="1:26" ht="13.8" x14ac:dyDescent="0.3">
      <c r="A419" s="2"/>
      <c r="B419" s="2"/>
      <c r="C419" s="10"/>
      <c r="D419" s="10"/>
      <c r="E419" s="10"/>
      <c r="F419" s="10"/>
      <c r="G419" s="69"/>
      <c r="H419" s="69"/>
      <c r="I419" s="69"/>
      <c r="J419" s="70"/>
      <c r="K419" s="69"/>
      <c r="L419" s="69"/>
      <c r="M419" s="69"/>
      <c r="N419" s="69"/>
      <c r="O419" s="69"/>
      <c r="P419" s="2"/>
      <c r="Q419" s="2"/>
      <c r="R419" s="32"/>
      <c r="S419" s="32"/>
      <c r="T419" s="32"/>
      <c r="U419" s="32"/>
      <c r="V419" s="2"/>
      <c r="W419" s="2"/>
      <c r="X419" s="2"/>
      <c r="Y419" s="2"/>
      <c r="Z419" s="2"/>
    </row>
    <row r="420" spans="1:26" ht="13.8" x14ac:dyDescent="0.3">
      <c r="A420" s="2"/>
      <c r="B420" s="2"/>
      <c r="C420" s="10"/>
      <c r="D420" s="10"/>
      <c r="E420" s="10"/>
      <c r="F420" s="10"/>
      <c r="G420" s="69"/>
      <c r="H420" s="69"/>
      <c r="I420" s="69"/>
      <c r="J420" s="70"/>
      <c r="K420" s="69"/>
      <c r="L420" s="69"/>
      <c r="M420" s="69"/>
      <c r="N420" s="69"/>
      <c r="O420" s="69"/>
      <c r="P420" s="2"/>
      <c r="Q420" s="2"/>
      <c r="R420" s="32"/>
      <c r="S420" s="32"/>
      <c r="T420" s="32"/>
      <c r="U420" s="32"/>
      <c r="V420" s="2"/>
      <c r="W420" s="2"/>
      <c r="X420" s="2"/>
      <c r="Y420" s="2"/>
      <c r="Z420" s="2"/>
    </row>
    <row r="421" spans="1:26" ht="13.8" x14ac:dyDescent="0.3">
      <c r="A421" s="2"/>
      <c r="B421" s="2"/>
      <c r="C421" s="10"/>
      <c r="D421" s="10"/>
      <c r="E421" s="10"/>
      <c r="F421" s="10"/>
      <c r="G421" s="69"/>
      <c r="H421" s="69"/>
      <c r="I421" s="69"/>
      <c r="J421" s="70"/>
      <c r="K421" s="69"/>
      <c r="L421" s="69"/>
      <c r="M421" s="69"/>
      <c r="N421" s="69"/>
      <c r="O421" s="69"/>
      <c r="P421" s="2"/>
      <c r="Q421" s="2"/>
      <c r="R421" s="32"/>
      <c r="S421" s="32"/>
      <c r="T421" s="32"/>
      <c r="U421" s="32"/>
      <c r="V421" s="2"/>
      <c r="W421" s="2"/>
      <c r="X421" s="2"/>
      <c r="Y421" s="2"/>
      <c r="Z421" s="2"/>
    </row>
    <row r="422" spans="1:26" ht="13.8" x14ac:dyDescent="0.3">
      <c r="A422" s="2"/>
      <c r="B422" s="2"/>
      <c r="C422" s="10"/>
      <c r="D422" s="10"/>
      <c r="E422" s="10"/>
      <c r="F422" s="10"/>
      <c r="G422" s="69"/>
      <c r="H422" s="69"/>
      <c r="I422" s="69"/>
      <c r="J422" s="70"/>
      <c r="K422" s="69"/>
      <c r="L422" s="69"/>
      <c r="M422" s="69"/>
      <c r="N422" s="69"/>
      <c r="O422" s="69"/>
      <c r="P422" s="2"/>
      <c r="Q422" s="2"/>
      <c r="R422" s="32"/>
      <c r="S422" s="32"/>
      <c r="T422" s="32"/>
      <c r="U422" s="32"/>
      <c r="V422" s="2"/>
      <c r="W422" s="2"/>
      <c r="X422" s="2"/>
      <c r="Y422" s="2"/>
      <c r="Z422" s="2"/>
    </row>
    <row r="423" spans="1:26" ht="13.8" x14ac:dyDescent="0.3">
      <c r="A423" s="2"/>
      <c r="B423" s="2"/>
      <c r="C423" s="10"/>
      <c r="D423" s="10"/>
      <c r="E423" s="10"/>
      <c r="F423" s="10"/>
      <c r="G423" s="69"/>
      <c r="H423" s="69"/>
      <c r="I423" s="69"/>
      <c r="J423" s="70"/>
      <c r="K423" s="69"/>
      <c r="L423" s="69"/>
      <c r="M423" s="69"/>
      <c r="N423" s="69"/>
      <c r="O423" s="69"/>
      <c r="P423" s="2"/>
      <c r="Q423" s="2"/>
      <c r="R423" s="32"/>
      <c r="S423" s="32"/>
      <c r="T423" s="32"/>
      <c r="U423" s="32"/>
      <c r="V423" s="2"/>
      <c r="W423" s="2"/>
      <c r="X423" s="2"/>
      <c r="Y423" s="2"/>
      <c r="Z423" s="2"/>
    </row>
    <row r="424" spans="1:26" ht="13.8" x14ac:dyDescent="0.3">
      <c r="A424" s="2"/>
      <c r="B424" s="2"/>
      <c r="C424" s="10"/>
      <c r="D424" s="10"/>
      <c r="E424" s="10"/>
      <c r="F424" s="10"/>
      <c r="G424" s="69"/>
      <c r="H424" s="69"/>
      <c r="I424" s="69"/>
      <c r="J424" s="70"/>
      <c r="K424" s="69"/>
      <c r="L424" s="69"/>
      <c r="M424" s="69"/>
      <c r="N424" s="69"/>
      <c r="O424" s="69"/>
      <c r="P424" s="2"/>
      <c r="Q424" s="2"/>
      <c r="R424" s="32"/>
      <c r="S424" s="32"/>
      <c r="T424" s="32"/>
      <c r="U424" s="32"/>
      <c r="V424" s="2"/>
      <c r="W424" s="2"/>
      <c r="X424" s="2"/>
      <c r="Y424" s="2"/>
      <c r="Z424" s="2"/>
    </row>
    <row r="425" spans="1:26" ht="13.8" x14ac:dyDescent="0.3">
      <c r="A425" s="2"/>
      <c r="B425" s="2"/>
      <c r="C425" s="10"/>
      <c r="D425" s="10"/>
      <c r="E425" s="10"/>
      <c r="F425" s="10"/>
      <c r="G425" s="69"/>
      <c r="H425" s="69"/>
      <c r="I425" s="69"/>
      <c r="J425" s="70"/>
      <c r="K425" s="69"/>
      <c r="L425" s="69"/>
      <c r="M425" s="69"/>
      <c r="N425" s="69"/>
      <c r="O425" s="69"/>
      <c r="P425" s="2"/>
      <c r="Q425" s="2"/>
      <c r="R425" s="32"/>
      <c r="S425" s="32"/>
      <c r="T425" s="32"/>
      <c r="U425" s="32"/>
      <c r="V425" s="2"/>
      <c r="W425" s="2"/>
      <c r="X425" s="2"/>
      <c r="Y425" s="2"/>
      <c r="Z425" s="2"/>
    </row>
    <row r="426" spans="1:26" ht="13.8" x14ac:dyDescent="0.3">
      <c r="A426" s="2"/>
      <c r="B426" s="2"/>
      <c r="C426" s="10"/>
      <c r="D426" s="10"/>
      <c r="E426" s="10"/>
      <c r="F426" s="10"/>
      <c r="G426" s="69"/>
      <c r="H426" s="69"/>
      <c r="I426" s="69"/>
      <c r="J426" s="70"/>
      <c r="K426" s="69"/>
      <c r="L426" s="69"/>
      <c r="M426" s="69"/>
      <c r="N426" s="69"/>
      <c r="O426" s="69"/>
      <c r="P426" s="2"/>
      <c r="Q426" s="2"/>
      <c r="R426" s="32"/>
      <c r="S426" s="32"/>
      <c r="T426" s="32"/>
      <c r="U426" s="32"/>
      <c r="V426" s="2"/>
      <c r="W426" s="2"/>
      <c r="X426" s="2"/>
      <c r="Y426" s="2"/>
      <c r="Z426" s="2"/>
    </row>
    <row r="427" spans="1:26" ht="13.8" x14ac:dyDescent="0.3">
      <c r="A427" s="2"/>
      <c r="B427" s="2"/>
      <c r="C427" s="10"/>
      <c r="D427" s="10"/>
      <c r="E427" s="10"/>
      <c r="F427" s="10"/>
      <c r="G427" s="69"/>
      <c r="H427" s="69"/>
      <c r="I427" s="69"/>
      <c r="J427" s="70"/>
      <c r="K427" s="69"/>
      <c r="L427" s="69"/>
      <c r="M427" s="69"/>
      <c r="N427" s="69"/>
      <c r="O427" s="69"/>
      <c r="P427" s="2"/>
      <c r="Q427" s="2"/>
      <c r="R427" s="32"/>
      <c r="S427" s="32"/>
      <c r="T427" s="32"/>
      <c r="U427" s="32"/>
      <c r="V427" s="2"/>
      <c r="W427" s="2"/>
      <c r="X427" s="2"/>
      <c r="Y427" s="2"/>
      <c r="Z427" s="2"/>
    </row>
    <row r="428" spans="1:26" ht="13.8" x14ac:dyDescent="0.3">
      <c r="A428" s="2"/>
      <c r="B428" s="2"/>
      <c r="C428" s="10"/>
      <c r="D428" s="10"/>
      <c r="E428" s="10"/>
      <c r="F428" s="10"/>
      <c r="G428" s="69"/>
      <c r="H428" s="69"/>
      <c r="I428" s="69"/>
      <c r="J428" s="70"/>
      <c r="K428" s="69"/>
      <c r="L428" s="69"/>
      <c r="M428" s="69"/>
      <c r="N428" s="69"/>
      <c r="O428" s="69"/>
      <c r="P428" s="2"/>
      <c r="Q428" s="2"/>
      <c r="R428" s="32"/>
      <c r="S428" s="32"/>
      <c r="T428" s="32"/>
      <c r="U428" s="32"/>
      <c r="V428" s="2"/>
      <c r="W428" s="2"/>
      <c r="X428" s="2"/>
      <c r="Y428" s="2"/>
      <c r="Z428" s="2"/>
    </row>
    <row r="429" spans="1:26" ht="13.8" x14ac:dyDescent="0.3">
      <c r="A429" s="2"/>
      <c r="B429" s="2"/>
      <c r="C429" s="10"/>
      <c r="D429" s="10"/>
      <c r="E429" s="10"/>
      <c r="F429" s="10"/>
      <c r="G429" s="69"/>
      <c r="H429" s="69"/>
      <c r="I429" s="69"/>
      <c r="J429" s="70"/>
      <c r="K429" s="69"/>
      <c r="L429" s="69"/>
      <c r="M429" s="69"/>
      <c r="N429" s="69"/>
      <c r="O429" s="69"/>
      <c r="P429" s="2"/>
      <c r="Q429" s="2"/>
      <c r="R429" s="32"/>
      <c r="S429" s="32"/>
      <c r="T429" s="32"/>
      <c r="U429" s="32"/>
      <c r="V429" s="2"/>
      <c r="W429" s="2"/>
      <c r="X429" s="2"/>
      <c r="Y429" s="2"/>
      <c r="Z429" s="2"/>
    </row>
    <row r="430" spans="1:26" ht="13.8" x14ac:dyDescent="0.3">
      <c r="A430" s="2"/>
      <c r="B430" s="2"/>
      <c r="C430" s="10"/>
      <c r="D430" s="10"/>
      <c r="E430" s="10"/>
      <c r="F430" s="10"/>
      <c r="G430" s="69"/>
      <c r="H430" s="69"/>
      <c r="I430" s="69"/>
      <c r="J430" s="70"/>
      <c r="K430" s="69"/>
      <c r="L430" s="69"/>
      <c r="M430" s="69"/>
      <c r="N430" s="69"/>
      <c r="O430" s="69"/>
      <c r="P430" s="2"/>
      <c r="Q430" s="2"/>
      <c r="R430" s="32"/>
      <c r="S430" s="32"/>
      <c r="T430" s="32"/>
      <c r="U430" s="32"/>
      <c r="V430" s="2"/>
      <c r="W430" s="2"/>
      <c r="X430" s="2"/>
      <c r="Y430" s="2"/>
      <c r="Z430" s="2"/>
    </row>
    <row r="431" spans="1:26" ht="13.8" x14ac:dyDescent="0.3">
      <c r="A431" s="2"/>
      <c r="B431" s="2"/>
      <c r="C431" s="10"/>
      <c r="D431" s="10"/>
      <c r="E431" s="10"/>
      <c r="F431" s="10"/>
      <c r="G431" s="69"/>
      <c r="H431" s="69"/>
      <c r="I431" s="69"/>
      <c r="J431" s="70"/>
      <c r="K431" s="69"/>
      <c r="L431" s="69"/>
      <c r="M431" s="69"/>
      <c r="N431" s="69"/>
      <c r="O431" s="69"/>
      <c r="P431" s="2"/>
      <c r="Q431" s="2"/>
      <c r="R431" s="32"/>
      <c r="S431" s="32"/>
      <c r="T431" s="32"/>
      <c r="U431" s="32"/>
      <c r="V431" s="2"/>
      <c r="W431" s="2"/>
      <c r="X431" s="2"/>
      <c r="Y431" s="2"/>
      <c r="Z431" s="2"/>
    </row>
    <row r="432" spans="1:26" ht="13.8" x14ac:dyDescent="0.3">
      <c r="A432" s="2"/>
      <c r="B432" s="2"/>
      <c r="C432" s="10"/>
      <c r="D432" s="10"/>
      <c r="E432" s="10"/>
      <c r="F432" s="10"/>
      <c r="G432" s="69"/>
      <c r="H432" s="69"/>
      <c r="I432" s="69"/>
      <c r="J432" s="70"/>
      <c r="K432" s="69"/>
      <c r="L432" s="69"/>
      <c r="M432" s="69"/>
      <c r="N432" s="69"/>
      <c r="O432" s="69"/>
      <c r="P432" s="2"/>
      <c r="Q432" s="2"/>
      <c r="R432" s="32"/>
      <c r="S432" s="32"/>
      <c r="T432" s="32"/>
      <c r="U432" s="32"/>
      <c r="V432" s="2"/>
      <c r="W432" s="2"/>
      <c r="X432" s="2"/>
      <c r="Y432" s="2"/>
      <c r="Z432" s="2"/>
    </row>
    <row r="433" spans="1:26" ht="13.8" x14ac:dyDescent="0.3">
      <c r="A433" s="2"/>
      <c r="B433" s="2"/>
      <c r="C433" s="10"/>
      <c r="D433" s="10"/>
      <c r="E433" s="10"/>
      <c r="F433" s="10"/>
      <c r="G433" s="69"/>
      <c r="H433" s="69"/>
      <c r="I433" s="69"/>
      <c r="J433" s="70"/>
      <c r="K433" s="69"/>
      <c r="L433" s="69"/>
      <c r="M433" s="69"/>
      <c r="N433" s="69"/>
      <c r="O433" s="69"/>
      <c r="P433" s="2"/>
      <c r="Q433" s="2"/>
      <c r="R433" s="32"/>
      <c r="S433" s="32"/>
      <c r="T433" s="32"/>
      <c r="U433" s="32"/>
      <c r="V433" s="2"/>
      <c r="W433" s="2"/>
      <c r="X433" s="2"/>
      <c r="Y433" s="2"/>
      <c r="Z433" s="2"/>
    </row>
    <row r="434" spans="1:26" ht="13.8" x14ac:dyDescent="0.3">
      <c r="A434" s="2"/>
      <c r="B434" s="2"/>
      <c r="C434" s="10"/>
      <c r="D434" s="10"/>
      <c r="E434" s="10"/>
      <c r="F434" s="10"/>
      <c r="G434" s="69"/>
      <c r="H434" s="69"/>
      <c r="I434" s="69"/>
      <c r="J434" s="70"/>
      <c r="K434" s="69"/>
      <c r="L434" s="69"/>
      <c r="M434" s="69"/>
      <c r="N434" s="69"/>
      <c r="O434" s="69"/>
      <c r="P434" s="2"/>
      <c r="Q434" s="2"/>
      <c r="R434" s="32"/>
      <c r="S434" s="32"/>
      <c r="T434" s="32"/>
      <c r="U434" s="32"/>
      <c r="V434" s="2"/>
      <c r="W434" s="2"/>
      <c r="X434" s="2"/>
      <c r="Y434" s="2"/>
      <c r="Z434" s="2"/>
    </row>
    <row r="435" spans="1:26" ht="13.8" x14ac:dyDescent="0.3">
      <c r="A435" s="2"/>
      <c r="B435" s="2"/>
      <c r="C435" s="10"/>
      <c r="D435" s="10"/>
      <c r="E435" s="10"/>
      <c r="F435" s="10"/>
      <c r="G435" s="69"/>
      <c r="H435" s="69"/>
      <c r="I435" s="69"/>
      <c r="J435" s="70"/>
      <c r="K435" s="69"/>
      <c r="L435" s="69"/>
      <c r="M435" s="69"/>
      <c r="N435" s="69"/>
      <c r="O435" s="69"/>
      <c r="P435" s="2"/>
      <c r="Q435" s="2"/>
      <c r="R435" s="32"/>
      <c r="S435" s="32"/>
      <c r="T435" s="32"/>
      <c r="U435" s="32"/>
      <c r="V435" s="2"/>
      <c r="W435" s="2"/>
      <c r="X435" s="2"/>
      <c r="Y435" s="2"/>
      <c r="Z435" s="2"/>
    </row>
    <row r="436" spans="1:26" ht="13.8" x14ac:dyDescent="0.3">
      <c r="A436" s="2"/>
      <c r="B436" s="2"/>
      <c r="C436" s="10"/>
      <c r="D436" s="10"/>
      <c r="E436" s="10"/>
      <c r="F436" s="10"/>
      <c r="G436" s="69"/>
      <c r="H436" s="69"/>
      <c r="I436" s="69"/>
      <c r="J436" s="70"/>
      <c r="K436" s="69"/>
      <c r="L436" s="69"/>
      <c r="M436" s="69"/>
      <c r="N436" s="69"/>
      <c r="O436" s="69"/>
      <c r="P436" s="2"/>
      <c r="Q436" s="2"/>
      <c r="R436" s="32"/>
      <c r="S436" s="32"/>
      <c r="T436" s="32"/>
      <c r="U436" s="32"/>
      <c r="V436" s="2"/>
      <c r="W436" s="2"/>
      <c r="X436" s="2"/>
      <c r="Y436" s="2"/>
      <c r="Z436" s="2"/>
    </row>
    <row r="437" spans="1:26" ht="13.8" x14ac:dyDescent="0.3">
      <c r="A437" s="2"/>
      <c r="B437" s="2"/>
      <c r="C437" s="10"/>
      <c r="D437" s="10"/>
      <c r="E437" s="10"/>
      <c r="F437" s="10"/>
      <c r="G437" s="69"/>
      <c r="H437" s="69"/>
      <c r="I437" s="69"/>
      <c r="J437" s="70"/>
      <c r="K437" s="69"/>
      <c r="L437" s="69"/>
      <c r="M437" s="69"/>
      <c r="N437" s="69"/>
      <c r="O437" s="69"/>
      <c r="P437" s="2"/>
      <c r="Q437" s="2"/>
      <c r="R437" s="32"/>
      <c r="S437" s="32"/>
      <c r="T437" s="32"/>
      <c r="U437" s="32"/>
      <c r="V437" s="2"/>
      <c r="W437" s="2"/>
      <c r="X437" s="2"/>
      <c r="Y437" s="2"/>
      <c r="Z437" s="2"/>
    </row>
    <row r="438" spans="1:26" ht="13.8" x14ac:dyDescent="0.3">
      <c r="A438" s="2"/>
      <c r="B438" s="2"/>
      <c r="C438" s="10"/>
      <c r="D438" s="10"/>
      <c r="E438" s="10"/>
      <c r="F438" s="10"/>
      <c r="G438" s="69"/>
      <c r="H438" s="69"/>
      <c r="I438" s="69"/>
      <c r="J438" s="70"/>
      <c r="K438" s="69"/>
      <c r="L438" s="69"/>
      <c r="M438" s="69"/>
      <c r="N438" s="69"/>
      <c r="O438" s="69"/>
      <c r="P438" s="2"/>
      <c r="Q438" s="2"/>
      <c r="R438" s="32"/>
      <c r="S438" s="32"/>
      <c r="T438" s="32"/>
      <c r="U438" s="32"/>
      <c r="V438" s="2"/>
      <c r="W438" s="2"/>
      <c r="X438" s="2"/>
      <c r="Y438" s="2"/>
      <c r="Z438" s="2"/>
    </row>
    <row r="439" spans="1:26" ht="13.8" x14ac:dyDescent="0.3">
      <c r="A439" s="2"/>
      <c r="B439" s="2"/>
      <c r="C439" s="10"/>
      <c r="D439" s="10"/>
      <c r="E439" s="10"/>
      <c r="F439" s="10"/>
      <c r="G439" s="69"/>
      <c r="H439" s="69"/>
      <c r="I439" s="69"/>
      <c r="J439" s="70"/>
      <c r="K439" s="69"/>
      <c r="L439" s="69"/>
      <c r="M439" s="69"/>
      <c r="N439" s="69"/>
      <c r="O439" s="69"/>
      <c r="P439" s="2"/>
      <c r="Q439" s="2"/>
      <c r="R439" s="32"/>
      <c r="S439" s="32"/>
      <c r="T439" s="32"/>
      <c r="U439" s="32"/>
      <c r="V439" s="2"/>
      <c r="W439" s="2"/>
      <c r="X439" s="2"/>
      <c r="Y439" s="2"/>
      <c r="Z439" s="2"/>
    </row>
    <row r="440" spans="1:26" ht="13.8" x14ac:dyDescent="0.3">
      <c r="A440" s="2"/>
      <c r="B440" s="2"/>
      <c r="C440" s="10"/>
      <c r="D440" s="10"/>
      <c r="E440" s="10"/>
      <c r="F440" s="10"/>
      <c r="G440" s="69"/>
      <c r="H440" s="69"/>
      <c r="I440" s="69"/>
      <c r="J440" s="70"/>
      <c r="K440" s="69"/>
      <c r="L440" s="69"/>
      <c r="M440" s="69"/>
      <c r="N440" s="69"/>
      <c r="O440" s="69"/>
      <c r="P440" s="2"/>
      <c r="Q440" s="2"/>
      <c r="R440" s="32"/>
      <c r="S440" s="32"/>
      <c r="T440" s="32"/>
      <c r="U440" s="32"/>
      <c r="V440" s="2"/>
      <c r="W440" s="2"/>
      <c r="X440" s="2"/>
      <c r="Y440" s="2"/>
      <c r="Z440" s="2"/>
    </row>
    <row r="441" spans="1:26" ht="13.8" x14ac:dyDescent="0.3">
      <c r="A441" s="2"/>
      <c r="B441" s="2"/>
      <c r="C441" s="10"/>
      <c r="D441" s="10"/>
      <c r="E441" s="10"/>
      <c r="F441" s="10"/>
      <c r="G441" s="69"/>
      <c r="H441" s="69"/>
      <c r="I441" s="69"/>
      <c r="J441" s="70"/>
      <c r="K441" s="69"/>
      <c r="L441" s="69"/>
      <c r="M441" s="69"/>
      <c r="N441" s="69"/>
      <c r="O441" s="69"/>
      <c r="P441" s="2"/>
      <c r="Q441" s="2"/>
      <c r="R441" s="32"/>
      <c r="S441" s="32"/>
      <c r="T441" s="32"/>
      <c r="U441" s="32"/>
      <c r="V441" s="2"/>
      <c r="W441" s="2"/>
      <c r="X441" s="2"/>
      <c r="Y441" s="2"/>
      <c r="Z441" s="2"/>
    </row>
    <row r="442" spans="1:26" ht="13.8" x14ac:dyDescent="0.3">
      <c r="A442" s="2"/>
      <c r="B442" s="2"/>
      <c r="C442" s="10"/>
      <c r="D442" s="10"/>
      <c r="E442" s="10"/>
      <c r="F442" s="10"/>
      <c r="G442" s="69"/>
      <c r="H442" s="69"/>
      <c r="I442" s="69"/>
      <c r="J442" s="70"/>
      <c r="K442" s="69"/>
      <c r="L442" s="69"/>
      <c r="M442" s="69"/>
      <c r="N442" s="69"/>
      <c r="O442" s="69"/>
      <c r="P442" s="2"/>
      <c r="Q442" s="2"/>
      <c r="R442" s="32"/>
      <c r="S442" s="32"/>
      <c r="T442" s="32"/>
      <c r="U442" s="32"/>
      <c r="V442" s="2"/>
      <c r="W442" s="2"/>
      <c r="X442" s="2"/>
      <c r="Y442" s="2"/>
      <c r="Z442" s="2"/>
    </row>
    <row r="443" spans="1:26" ht="13.8" x14ac:dyDescent="0.3">
      <c r="A443" s="2"/>
      <c r="B443" s="2"/>
      <c r="C443" s="10"/>
      <c r="D443" s="10"/>
      <c r="E443" s="10"/>
      <c r="F443" s="10"/>
      <c r="G443" s="69"/>
      <c r="H443" s="69"/>
      <c r="I443" s="69"/>
      <c r="J443" s="70"/>
      <c r="K443" s="69"/>
      <c r="L443" s="69"/>
      <c r="M443" s="69"/>
      <c r="N443" s="69"/>
      <c r="O443" s="69"/>
      <c r="P443" s="2"/>
      <c r="Q443" s="2"/>
      <c r="R443" s="32"/>
      <c r="S443" s="32"/>
      <c r="T443" s="32"/>
      <c r="U443" s="32"/>
      <c r="V443" s="2"/>
      <c r="W443" s="2"/>
      <c r="X443" s="2"/>
      <c r="Y443" s="2"/>
      <c r="Z443" s="2"/>
    </row>
    <row r="444" spans="1:26" ht="13.8" x14ac:dyDescent="0.3">
      <c r="A444" s="2"/>
      <c r="B444" s="2"/>
      <c r="C444" s="10"/>
      <c r="D444" s="10"/>
      <c r="E444" s="10"/>
      <c r="F444" s="10"/>
      <c r="G444" s="69"/>
      <c r="H444" s="69"/>
      <c r="I444" s="69"/>
      <c r="J444" s="70"/>
      <c r="K444" s="69"/>
      <c r="L444" s="69"/>
      <c r="M444" s="69"/>
      <c r="N444" s="69"/>
      <c r="O444" s="69"/>
      <c r="P444" s="2"/>
      <c r="Q444" s="2"/>
      <c r="R444" s="32"/>
      <c r="S444" s="32"/>
      <c r="T444" s="32"/>
      <c r="U444" s="32"/>
      <c r="V444" s="2"/>
      <c r="W444" s="2"/>
      <c r="X444" s="2"/>
      <c r="Y444" s="2"/>
      <c r="Z444" s="2"/>
    </row>
    <row r="445" spans="1:26" ht="13.8" x14ac:dyDescent="0.3">
      <c r="A445" s="2"/>
      <c r="B445" s="2"/>
      <c r="C445" s="10"/>
      <c r="D445" s="10"/>
      <c r="E445" s="10"/>
      <c r="F445" s="10"/>
      <c r="G445" s="69"/>
      <c r="H445" s="69"/>
      <c r="I445" s="69"/>
      <c r="J445" s="70"/>
      <c r="K445" s="69"/>
      <c r="L445" s="69"/>
      <c r="M445" s="69"/>
      <c r="N445" s="69"/>
      <c r="O445" s="69"/>
      <c r="P445" s="2"/>
      <c r="Q445" s="2"/>
      <c r="R445" s="32"/>
      <c r="S445" s="32"/>
      <c r="T445" s="32"/>
      <c r="U445" s="32"/>
      <c r="V445" s="2"/>
      <c r="W445" s="2"/>
      <c r="X445" s="2"/>
      <c r="Y445" s="2"/>
      <c r="Z445" s="2"/>
    </row>
    <row r="446" spans="1:26" ht="13.8" x14ac:dyDescent="0.3">
      <c r="A446" s="2"/>
      <c r="B446" s="2"/>
      <c r="C446" s="10"/>
      <c r="D446" s="10"/>
      <c r="E446" s="10"/>
      <c r="F446" s="10"/>
      <c r="G446" s="69"/>
      <c r="H446" s="69"/>
      <c r="I446" s="69"/>
      <c r="J446" s="70"/>
      <c r="K446" s="69"/>
      <c r="L446" s="69"/>
      <c r="M446" s="69"/>
      <c r="N446" s="69"/>
      <c r="O446" s="69"/>
      <c r="P446" s="2"/>
      <c r="Q446" s="2"/>
      <c r="R446" s="32"/>
      <c r="S446" s="32"/>
      <c r="T446" s="32"/>
      <c r="U446" s="32"/>
      <c r="V446" s="2"/>
      <c r="W446" s="2"/>
      <c r="X446" s="2"/>
      <c r="Y446" s="2"/>
      <c r="Z446" s="2"/>
    </row>
    <row r="447" spans="1:26" ht="13.8" x14ac:dyDescent="0.3">
      <c r="A447" s="2"/>
      <c r="B447" s="2"/>
      <c r="C447" s="10"/>
      <c r="D447" s="10"/>
      <c r="E447" s="10"/>
      <c r="F447" s="10"/>
      <c r="G447" s="69"/>
      <c r="H447" s="69"/>
      <c r="I447" s="69"/>
      <c r="J447" s="70"/>
      <c r="K447" s="69"/>
      <c r="L447" s="69"/>
      <c r="M447" s="69"/>
      <c r="N447" s="69"/>
      <c r="O447" s="69"/>
      <c r="P447" s="2"/>
      <c r="Q447" s="2"/>
      <c r="R447" s="32"/>
      <c r="S447" s="32"/>
      <c r="T447" s="32"/>
      <c r="U447" s="32"/>
      <c r="V447" s="2"/>
      <c r="W447" s="2"/>
      <c r="X447" s="2"/>
      <c r="Y447" s="2"/>
      <c r="Z447" s="2"/>
    </row>
    <row r="448" spans="1:26" ht="13.8" x14ac:dyDescent="0.3">
      <c r="A448" s="2"/>
      <c r="B448" s="2"/>
      <c r="C448" s="10"/>
      <c r="D448" s="10"/>
      <c r="E448" s="10"/>
      <c r="F448" s="10"/>
      <c r="G448" s="69"/>
      <c r="H448" s="69"/>
      <c r="I448" s="69"/>
      <c r="J448" s="70"/>
      <c r="K448" s="69"/>
      <c r="L448" s="69"/>
      <c r="M448" s="69"/>
      <c r="N448" s="69"/>
      <c r="O448" s="69"/>
      <c r="P448" s="2"/>
      <c r="Q448" s="2"/>
      <c r="R448" s="32"/>
      <c r="S448" s="32"/>
      <c r="T448" s="32"/>
      <c r="U448" s="32"/>
      <c r="V448" s="2"/>
      <c r="W448" s="2"/>
      <c r="X448" s="2"/>
      <c r="Y448" s="2"/>
      <c r="Z448" s="2"/>
    </row>
    <row r="449" spans="1:26" ht="13.8" x14ac:dyDescent="0.3">
      <c r="A449" s="2"/>
      <c r="B449" s="2"/>
      <c r="C449" s="10"/>
      <c r="D449" s="10"/>
      <c r="E449" s="10"/>
      <c r="F449" s="10"/>
      <c r="G449" s="69"/>
      <c r="H449" s="69"/>
      <c r="I449" s="69"/>
      <c r="J449" s="70"/>
      <c r="K449" s="69"/>
      <c r="L449" s="69"/>
      <c r="M449" s="69"/>
      <c r="N449" s="69"/>
      <c r="O449" s="69"/>
      <c r="P449" s="2"/>
      <c r="Q449" s="2"/>
      <c r="R449" s="32"/>
      <c r="S449" s="32"/>
      <c r="T449" s="32"/>
      <c r="U449" s="32"/>
      <c r="V449" s="2"/>
      <c r="W449" s="2"/>
      <c r="X449" s="2"/>
      <c r="Y449" s="2"/>
      <c r="Z449" s="2"/>
    </row>
    <row r="450" spans="1:26" ht="13.8" x14ac:dyDescent="0.3">
      <c r="A450" s="2"/>
      <c r="B450" s="2"/>
      <c r="C450" s="10"/>
      <c r="D450" s="10"/>
      <c r="E450" s="10"/>
      <c r="F450" s="10"/>
      <c r="G450" s="69"/>
      <c r="H450" s="69"/>
      <c r="I450" s="69"/>
      <c r="J450" s="70"/>
      <c r="K450" s="69"/>
      <c r="L450" s="69"/>
      <c r="M450" s="69"/>
      <c r="N450" s="69"/>
      <c r="O450" s="69"/>
      <c r="P450" s="2"/>
      <c r="Q450" s="2"/>
      <c r="R450" s="32"/>
      <c r="S450" s="32"/>
      <c r="T450" s="32"/>
      <c r="U450" s="32"/>
      <c r="V450" s="2"/>
      <c r="W450" s="2"/>
      <c r="X450" s="2"/>
      <c r="Y450" s="2"/>
      <c r="Z450" s="2"/>
    </row>
    <row r="451" spans="1:26" ht="13.8" x14ac:dyDescent="0.3">
      <c r="A451" s="2"/>
      <c r="B451" s="2"/>
      <c r="C451" s="10"/>
      <c r="D451" s="10"/>
      <c r="E451" s="10"/>
      <c r="F451" s="10"/>
      <c r="G451" s="69"/>
      <c r="H451" s="69"/>
      <c r="I451" s="69"/>
      <c r="J451" s="70"/>
      <c r="K451" s="69"/>
      <c r="L451" s="69"/>
      <c r="M451" s="69"/>
      <c r="N451" s="69"/>
      <c r="O451" s="69"/>
      <c r="P451" s="2"/>
      <c r="Q451" s="2"/>
      <c r="R451" s="32"/>
      <c r="S451" s="32"/>
      <c r="T451" s="32"/>
      <c r="U451" s="32"/>
      <c r="V451" s="2"/>
      <c r="W451" s="2"/>
      <c r="X451" s="2"/>
      <c r="Y451" s="2"/>
      <c r="Z451" s="2"/>
    </row>
    <row r="452" spans="1:26" ht="13.8" x14ac:dyDescent="0.3">
      <c r="A452" s="2"/>
      <c r="B452" s="2"/>
      <c r="C452" s="10"/>
      <c r="D452" s="10"/>
      <c r="E452" s="10"/>
      <c r="F452" s="10"/>
      <c r="G452" s="69"/>
      <c r="H452" s="69"/>
      <c r="I452" s="69"/>
      <c r="J452" s="70"/>
      <c r="K452" s="69"/>
      <c r="L452" s="69"/>
      <c r="M452" s="69"/>
      <c r="N452" s="69"/>
      <c r="O452" s="69"/>
      <c r="P452" s="2"/>
      <c r="Q452" s="2"/>
      <c r="R452" s="32"/>
      <c r="S452" s="32"/>
      <c r="T452" s="32"/>
      <c r="U452" s="32"/>
      <c r="V452" s="2"/>
      <c r="W452" s="2"/>
      <c r="X452" s="2"/>
      <c r="Y452" s="2"/>
      <c r="Z452" s="2"/>
    </row>
    <row r="453" spans="1:26" ht="13.8" x14ac:dyDescent="0.3">
      <c r="A453" s="2"/>
      <c r="B453" s="2"/>
      <c r="C453" s="10"/>
      <c r="D453" s="10"/>
      <c r="E453" s="10"/>
      <c r="F453" s="10"/>
      <c r="G453" s="69"/>
      <c r="H453" s="69"/>
      <c r="I453" s="69"/>
      <c r="J453" s="70"/>
      <c r="K453" s="69"/>
      <c r="L453" s="69"/>
      <c r="M453" s="69"/>
      <c r="N453" s="69"/>
      <c r="O453" s="69"/>
      <c r="P453" s="2"/>
      <c r="Q453" s="2"/>
      <c r="R453" s="32"/>
      <c r="S453" s="32"/>
      <c r="T453" s="32"/>
      <c r="U453" s="32"/>
      <c r="V453" s="2"/>
      <c r="W453" s="2"/>
      <c r="X453" s="2"/>
      <c r="Y453" s="2"/>
      <c r="Z453" s="2"/>
    </row>
    <row r="454" spans="1:26" ht="13.8" x14ac:dyDescent="0.3">
      <c r="A454" s="2"/>
      <c r="B454" s="2"/>
      <c r="C454" s="10"/>
      <c r="D454" s="10"/>
      <c r="E454" s="10"/>
      <c r="F454" s="10"/>
      <c r="G454" s="69"/>
      <c r="H454" s="69"/>
      <c r="I454" s="69"/>
      <c r="J454" s="70"/>
      <c r="K454" s="69"/>
      <c r="L454" s="69"/>
      <c r="M454" s="69"/>
      <c r="N454" s="69"/>
      <c r="O454" s="69"/>
      <c r="P454" s="2"/>
      <c r="Q454" s="2"/>
      <c r="R454" s="32"/>
      <c r="S454" s="32"/>
      <c r="T454" s="32"/>
      <c r="U454" s="32"/>
      <c r="V454" s="2"/>
      <c r="W454" s="2"/>
      <c r="X454" s="2"/>
      <c r="Y454" s="2"/>
      <c r="Z454" s="2"/>
    </row>
    <row r="455" spans="1:26" ht="13.8" x14ac:dyDescent="0.3">
      <c r="A455" s="2"/>
      <c r="B455" s="2"/>
      <c r="C455" s="10"/>
      <c r="D455" s="10"/>
      <c r="E455" s="10"/>
      <c r="F455" s="10"/>
      <c r="G455" s="69"/>
      <c r="H455" s="69"/>
      <c r="I455" s="69"/>
      <c r="J455" s="70"/>
      <c r="K455" s="69"/>
      <c r="L455" s="69"/>
      <c r="M455" s="69"/>
      <c r="N455" s="69"/>
      <c r="O455" s="69"/>
      <c r="P455" s="2"/>
      <c r="Q455" s="2"/>
      <c r="R455" s="32"/>
      <c r="S455" s="32"/>
      <c r="T455" s="32"/>
      <c r="U455" s="32"/>
      <c r="V455" s="2"/>
      <c r="W455" s="2"/>
      <c r="X455" s="2"/>
      <c r="Y455" s="2"/>
      <c r="Z455" s="2"/>
    </row>
    <row r="456" spans="1:26" ht="13.8" x14ac:dyDescent="0.3">
      <c r="A456" s="2"/>
      <c r="B456" s="2"/>
      <c r="C456" s="10"/>
      <c r="D456" s="10"/>
      <c r="E456" s="10"/>
      <c r="F456" s="10"/>
      <c r="G456" s="69"/>
      <c r="H456" s="69"/>
      <c r="I456" s="69"/>
      <c r="J456" s="70"/>
      <c r="K456" s="69"/>
      <c r="L456" s="69"/>
      <c r="M456" s="69"/>
      <c r="N456" s="69"/>
      <c r="O456" s="69"/>
      <c r="P456" s="2"/>
      <c r="Q456" s="2"/>
      <c r="R456" s="32"/>
      <c r="S456" s="32"/>
      <c r="T456" s="32"/>
      <c r="U456" s="32"/>
      <c r="V456" s="2"/>
      <c r="W456" s="2"/>
      <c r="X456" s="2"/>
      <c r="Y456" s="2"/>
      <c r="Z456" s="2"/>
    </row>
    <row r="457" spans="1:26" ht="13.8" x14ac:dyDescent="0.3">
      <c r="A457" s="2"/>
      <c r="B457" s="2"/>
      <c r="C457" s="10"/>
      <c r="D457" s="10"/>
      <c r="E457" s="10"/>
      <c r="F457" s="10"/>
      <c r="G457" s="69"/>
      <c r="H457" s="69"/>
      <c r="I457" s="69"/>
      <c r="J457" s="70"/>
      <c r="K457" s="69"/>
      <c r="L457" s="69"/>
      <c r="M457" s="69"/>
      <c r="N457" s="69"/>
      <c r="O457" s="69"/>
      <c r="P457" s="2"/>
      <c r="Q457" s="2"/>
      <c r="R457" s="32"/>
      <c r="S457" s="32"/>
      <c r="T457" s="32"/>
      <c r="U457" s="32"/>
      <c r="V457" s="2"/>
      <c r="W457" s="2"/>
      <c r="X457" s="2"/>
      <c r="Y457" s="2"/>
      <c r="Z457" s="2"/>
    </row>
    <row r="458" spans="1:26" ht="13.8" x14ac:dyDescent="0.3">
      <c r="A458" s="2"/>
      <c r="B458" s="2"/>
      <c r="C458" s="10"/>
      <c r="D458" s="10"/>
      <c r="E458" s="10"/>
      <c r="F458" s="10"/>
      <c r="G458" s="69"/>
      <c r="H458" s="69"/>
      <c r="I458" s="69"/>
      <c r="J458" s="70"/>
      <c r="K458" s="69"/>
      <c r="L458" s="69"/>
      <c r="M458" s="69"/>
      <c r="N458" s="69"/>
      <c r="O458" s="69"/>
      <c r="P458" s="2"/>
      <c r="Q458" s="2"/>
      <c r="R458" s="32"/>
      <c r="S458" s="32"/>
      <c r="T458" s="32"/>
      <c r="U458" s="32"/>
      <c r="V458" s="2"/>
      <c r="W458" s="2"/>
      <c r="X458" s="2"/>
      <c r="Y458" s="2"/>
      <c r="Z458" s="2"/>
    </row>
    <row r="459" spans="1:26" ht="13.8" x14ac:dyDescent="0.3">
      <c r="A459" s="2"/>
      <c r="B459" s="2"/>
      <c r="C459" s="10"/>
      <c r="D459" s="10"/>
      <c r="E459" s="10"/>
      <c r="F459" s="10"/>
      <c r="G459" s="69"/>
      <c r="H459" s="69"/>
      <c r="I459" s="69"/>
      <c r="J459" s="70"/>
      <c r="K459" s="69"/>
      <c r="L459" s="69"/>
      <c r="M459" s="69"/>
      <c r="N459" s="69"/>
      <c r="O459" s="69"/>
      <c r="P459" s="2"/>
      <c r="Q459" s="2"/>
      <c r="R459" s="32"/>
      <c r="S459" s="32"/>
      <c r="T459" s="32"/>
      <c r="U459" s="32"/>
      <c r="V459" s="2"/>
      <c r="W459" s="2"/>
      <c r="X459" s="2"/>
      <c r="Y459" s="2"/>
      <c r="Z459" s="2"/>
    </row>
    <row r="460" spans="1:26" ht="13.8" x14ac:dyDescent="0.3">
      <c r="A460" s="2"/>
      <c r="B460" s="2"/>
      <c r="C460" s="10"/>
      <c r="D460" s="10"/>
      <c r="E460" s="10"/>
      <c r="F460" s="10"/>
      <c r="G460" s="69"/>
      <c r="H460" s="69"/>
      <c r="I460" s="69"/>
      <c r="J460" s="70"/>
      <c r="K460" s="69"/>
      <c r="L460" s="69"/>
      <c r="M460" s="69"/>
      <c r="N460" s="69"/>
      <c r="O460" s="69"/>
      <c r="P460" s="2"/>
      <c r="Q460" s="2"/>
      <c r="R460" s="32"/>
      <c r="S460" s="32"/>
      <c r="T460" s="32"/>
      <c r="U460" s="32"/>
      <c r="V460" s="2"/>
      <c r="W460" s="2"/>
      <c r="X460" s="2"/>
      <c r="Y460" s="2"/>
      <c r="Z460" s="2"/>
    </row>
    <row r="461" spans="1:26" ht="13.8" x14ac:dyDescent="0.3">
      <c r="A461" s="2"/>
      <c r="B461" s="2"/>
      <c r="C461" s="10"/>
      <c r="D461" s="10"/>
      <c r="E461" s="10"/>
      <c r="F461" s="10"/>
      <c r="G461" s="69"/>
      <c r="H461" s="69"/>
      <c r="I461" s="69"/>
      <c r="J461" s="70"/>
      <c r="K461" s="69"/>
      <c r="L461" s="69"/>
      <c r="M461" s="69"/>
      <c r="N461" s="69"/>
      <c r="O461" s="69"/>
      <c r="P461" s="2"/>
      <c r="Q461" s="2"/>
      <c r="R461" s="32"/>
      <c r="S461" s="32"/>
      <c r="T461" s="32"/>
      <c r="U461" s="32"/>
      <c r="V461" s="2"/>
      <c r="W461" s="2"/>
      <c r="X461" s="2"/>
      <c r="Y461" s="2"/>
      <c r="Z461" s="2"/>
    </row>
    <row r="462" spans="1:26" ht="13.8" x14ac:dyDescent="0.3">
      <c r="A462" s="2"/>
      <c r="B462" s="2"/>
      <c r="C462" s="10"/>
      <c r="D462" s="10"/>
      <c r="E462" s="10"/>
      <c r="F462" s="10"/>
      <c r="G462" s="69"/>
      <c r="H462" s="69"/>
      <c r="I462" s="69"/>
      <c r="J462" s="70"/>
      <c r="K462" s="69"/>
      <c r="L462" s="69"/>
      <c r="M462" s="69"/>
      <c r="N462" s="69"/>
      <c r="O462" s="69"/>
      <c r="P462" s="2"/>
      <c r="Q462" s="2"/>
      <c r="R462" s="32"/>
      <c r="S462" s="32"/>
      <c r="T462" s="32"/>
      <c r="U462" s="32"/>
      <c r="V462" s="2"/>
      <c r="W462" s="2"/>
      <c r="X462" s="2"/>
      <c r="Y462" s="2"/>
      <c r="Z462" s="2"/>
    </row>
    <row r="463" spans="1:26" ht="13.8" x14ac:dyDescent="0.3">
      <c r="A463" s="2"/>
      <c r="B463" s="2"/>
      <c r="C463" s="10"/>
      <c r="D463" s="10"/>
      <c r="E463" s="10"/>
      <c r="F463" s="10"/>
      <c r="G463" s="69"/>
      <c r="H463" s="69"/>
      <c r="I463" s="69"/>
      <c r="J463" s="70"/>
      <c r="K463" s="69"/>
      <c r="L463" s="69"/>
      <c r="M463" s="69"/>
      <c r="N463" s="69"/>
      <c r="O463" s="69"/>
      <c r="P463" s="2"/>
      <c r="Q463" s="2"/>
      <c r="R463" s="32"/>
      <c r="S463" s="32"/>
      <c r="T463" s="32"/>
      <c r="U463" s="32"/>
      <c r="V463" s="2"/>
      <c r="W463" s="2"/>
      <c r="X463" s="2"/>
      <c r="Y463" s="2"/>
      <c r="Z463" s="2"/>
    </row>
    <row r="464" spans="1:26" ht="13.8" x14ac:dyDescent="0.3">
      <c r="A464" s="2"/>
      <c r="B464" s="2"/>
      <c r="C464" s="10"/>
      <c r="D464" s="10"/>
      <c r="E464" s="10"/>
      <c r="F464" s="10"/>
      <c r="G464" s="69"/>
      <c r="H464" s="69"/>
      <c r="I464" s="69"/>
      <c r="J464" s="70"/>
      <c r="K464" s="69"/>
      <c r="L464" s="69"/>
      <c r="M464" s="69"/>
      <c r="N464" s="69"/>
      <c r="O464" s="69"/>
      <c r="P464" s="2"/>
      <c r="Q464" s="2"/>
      <c r="R464" s="32"/>
      <c r="S464" s="32"/>
      <c r="T464" s="32"/>
      <c r="U464" s="32"/>
      <c r="V464" s="2"/>
      <c r="W464" s="2"/>
      <c r="X464" s="2"/>
      <c r="Y464" s="2"/>
      <c r="Z464" s="2"/>
    </row>
    <row r="465" spans="1:26" ht="13.8" x14ac:dyDescent="0.3">
      <c r="A465" s="2"/>
      <c r="B465" s="2"/>
      <c r="C465" s="10"/>
      <c r="D465" s="10"/>
      <c r="E465" s="10"/>
      <c r="F465" s="10"/>
      <c r="G465" s="69"/>
      <c r="H465" s="69"/>
      <c r="I465" s="69"/>
      <c r="J465" s="70"/>
      <c r="K465" s="69"/>
      <c r="L465" s="69"/>
      <c r="M465" s="69"/>
      <c r="N465" s="69"/>
      <c r="O465" s="69"/>
      <c r="P465" s="2"/>
      <c r="Q465" s="2"/>
      <c r="R465" s="32"/>
      <c r="S465" s="32"/>
      <c r="T465" s="32"/>
      <c r="U465" s="32"/>
      <c r="V465" s="2"/>
      <c r="W465" s="2"/>
      <c r="X465" s="2"/>
      <c r="Y465" s="2"/>
      <c r="Z465" s="2"/>
    </row>
    <row r="466" spans="1:26" ht="13.8" x14ac:dyDescent="0.3">
      <c r="A466" s="2"/>
      <c r="B466" s="2"/>
      <c r="C466" s="10"/>
      <c r="D466" s="10"/>
      <c r="E466" s="10"/>
      <c r="F466" s="10"/>
      <c r="G466" s="69"/>
      <c r="H466" s="69"/>
      <c r="I466" s="69"/>
      <c r="J466" s="70"/>
      <c r="K466" s="69"/>
      <c r="L466" s="69"/>
      <c r="M466" s="69"/>
      <c r="N466" s="69"/>
      <c r="O466" s="69"/>
      <c r="P466" s="2"/>
      <c r="Q466" s="2"/>
      <c r="R466" s="32"/>
      <c r="S466" s="32"/>
      <c r="T466" s="32"/>
      <c r="U466" s="32"/>
      <c r="V466" s="2"/>
      <c r="W466" s="2"/>
      <c r="X466" s="2"/>
      <c r="Y466" s="2"/>
      <c r="Z466" s="2"/>
    </row>
    <row r="467" spans="1:26" ht="13.8" x14ac:dyDescent="0.3">
      <c r="A467" s="2"/>
      <c r="B467" s="2"/>
      <c r="C467" s="10"/>
      <c r="D467" s="10"/>
      <c r="E467" s="10"/>
      <c r="F467" s="10"/>
      <c r="G467" s="69"/>
      <c r="H467" s="69"/>
      <c r="I467" s="69"/>
      <c r="J467" s="70"/>
      <c r="K467" s="69"/>
      <c r="L467" s="69"/>
      <c r="M467" s="69"/>
      <c r="N467" s="69"/>
      <c r="O467" s="69"/>
      <c r="P467" s="2"/>
      <c r="Q467" s="2"/>
      <c r="R467" s="32"/>
      <c r="S467" s="32"/>
      <c r="T467" s="32"/>
      <c r="U467" s="32"/>
      <c r="V467" s="2"/>
      <c r="W467" s="2"/>
      <c r="X467" s="2"/>
      <c r="Y467" s="2"/>
      <c r="Z467" s="2"/>
    </row>
    <row r="468" spans="1:26" ht="13.8" x14ac:dyDescent="0.3">
      <c r="A468" s="2"/>
      <c r="B468" s="2"/>
      <c r="C468" s="10"/>
      <c r="D468" s="10"/>
      <c r="E468" s="10"/>
      <c r="F468" s="10"/>
      <c r="G468" s="69"/>
      <c r="H468" s="69"/>
      <c r="I468" s="69"/>
      <c r="J468" s="70"/>
      <c r="K468" s="69"/>
      <c r="L468" s="69"/>
      <c r="M468" s="69"/>
      <c r="N468" s="69"/>
      <c r="O468" s="69"/>
      <c r="P468" s="2"/>
      <c r="Q468" s="2"/>
      <c r="R468" s="32"/>
      <c r="S468" s="32"/>
      <c r="T468" s="32"/>
      <c r="U468" s="32"/>
      <c r="V468" s="2"/>
      <c r="W468" s="2"/>
      <c r="X468" s="2"/>
      <c r="Y468" s="2"/>
      <c r="Z468" s="2"/>
    </row>
    <row r="469" spans="1:26" ht="13.8" x14ac:dyDescent="0.3">
      <c r="A469" s="2"/>
      <c r="B469" s="2"/>
      <c r="C469" s="10"/>
      <c r="D469" s="10"/>
      <c r="E469" s="10"/>
      <c r="F469" s="10"/>
      <c r="G469" s="69"/>
      <c r="H469" s="69"/>
      <c r="I469" s="69"/>
      <c r="J469" s="70"/>
      <c r="K469" s="69"/>
      <c r="L469" s="69"/>
      <c r="M469" s="69"/>
      <c r="N469" s="69"/>
      <c r="O469" s="69"/>
      <c r="P469" s="2"/>
      <c r="Q469" s="2"/>
      <c r="R469" s="32"/>
      <c r="S469" s="32"/>
      <c r="T469" s="32"/>
      <c r="U469" s="32"/>
      <c r="V469" s="2"/>
      <c r="W469" s="2"/>
      <c r="X469" s="2"/>
      <c r="Y469" s="2"/>
      <c r="Z469" s="2"/>
    </row>
    <row r="470" spans="1:26" ht="13.8" x14ac:dyDescent="0.3">
      <c r="A470" s="2"/>
      <c r="B470" s="2"/>
      <c r="C470" s="10"/>
      <c r="D470" s="10"/>
      <c r="E470" s="10"/>
      <c r="F470" s="10"/>
      <c r="G470" s="69"/>
      <c r="H470" s="69"/>
      <c r="I470" s="69"/>
      <c r="J470" s="70"/>
      <c r="K470" s="69"/>
      <c r="L470" s="69"/>
      <c r="M470" s="69"/>
      <c r="N470" s="69"/>
      <c r="O470" s="69"/>
      <c r="P470" s="2"/>
      <c r="Q470" s="2"/>
      <c r="R470" s="32"/>
      <c r="S470" s="32"/>
      <c r="T470" s="32"/>
      <c r="U470" s="32"/>
      <c r="V470" s="2"/>
      <c r="W470" s="2"/>
      <c r="X470" s="2"/>
      <c r="Y470" s="2"/>
      <c r="Z470" s="2"/>
    </row>
    <row r="471" spans="1:26" ht="13.8" x14ac:dyDescent="0.3">
      <c r="A471" s="2"/>
      <c r="B471" s="2"/>
      <c r="C471" s="10"/>
      <c r="D471" s="10"/>
      <c r="E471" s="10"/>
      <c r="F471" s="10"/>
      <c r="G471" s="69"/>
      <c r="H471" s="69"/>
      <c r="I471" s="69"/>
      <c r="J471" s="70"/>
      <c r="K471" s="69"/>
      <c r="L471" s="69"/>
      <c r="M471" s="69"/>
      <c r="N471" s="69"/>
      <c r="O471" s="69"/>
      <c r="P471" s="2"/>
      <c r="Q471" s="2"/>
      <c r="R471" s="32"/>
      <c r="S471" s="32"/>
      <c r="T471" s="32"/>
      <c r="U471" s="32"/>
      <c r="V471" s="2"/>
      <c r="W471" s="2"/>
      <c r="X471" s="2"/>
      <c r="Y471" s="2"/>
      <c r="Z471" s="2"/>
    </row>
    <row r="472" spans="1:26" ht="13.8" x14ac:dyDescent="0.3">
      <c r="A472" s="2"/>
      <c r="B472" s="2"/>
      <c r="C472" s="10"/>
      <c r="D472" s="10"/>
      <c r="E472" s="10"/>
      <c r="F472" s="10"/>
      <c r="G472" s="69"/>
      <c r="H472" s="69"/>
      <c r="I472" s="69"/>
      <c r="J472" s="70"/>
      <c r="K472" s="69"/>
      <c r="L472" s="69"/>
      <c r="M472" s="69"/>
      <c r="N472" s="69"/>
      <c r="O472" s="69"/>
      <c r="P472" s="2"/>
      <c r="Q472" s="2"/>
      <c r="R472" s="32"/>
      <c r="S472" s="32"/>
      <c r="T472" s="32"/>
      <c r="U472" s="32"/>
      <c r="V472" s="2"/>
      <c r="W472" s="2"/>
      <c r="X472" s="2"/>
      <c r="Y472" s="2"/>
      <c r="Z472" s="2"/>
    </row>
    <row r="473" spans="1:26" ht="13.8" x14ac:dyDescent="0.3">
      <c r="A473" s="2"/>
      <c r="B473" s="2"/>
      <c r="C473" s="10"/>
      <c r="D473" s="10"/>
      <c r="E473" s="10"/>
      <c r="F473" s="10"/>
      <c r="G473" s="69"/>
      <c r="H473" s="69"/>
      <c r="I473" s="69"/>
      <c r="J473" s="70"/>
      <c r="K473" s="69"/>
      <c r="L473" s="69"/>
      <c r="M473" s="69"/>
      <c r="N473" s="69"/>
      <c r="O473" s="69"/>
      <c r="P473" s="2"/>
      <c r="Q473" s="2"/>
      <c r="R473" s="32"/>
      <c r="S473" s="32"/>
      <c r="T473" s="32"/>
      <c r="U473" s="32"/>
      <c r="V473" s="2"/>
      <c r="W473" s="2"/>
      <c r="X473" s="2"/>
      <c r="Y473" s="2"/>
      <c r="Z473" s="2"/>
    </row>
    <row r="474" spans="1:26" ht="13.8" x14ac:dyDescent="0.3">
      <c r="A474" s="2"/>
      <c r="B474" s="2"/>
      <c r="C474" s="10"/>
      <c r="D474" s="10"/>
      <c r="E474" s="10"/>
      <c r="F474" s="10"/>
      <c r="G474" s="69"/>
      <c r="H474" s="69"/>
      <c r="I474" s="69"/>
      <c r="J474" s="70"/>
      <c r="K474" s="69"/>
      <c r="L474" s="69"/>
      <c r="M474" s="69"/>
      <c r="N474" s="69"/>
      <c r="O474" s="69"/>
      <c r="P474" s="2"/>
      <c r="Q474" s="2"/>
      <c r="R474" s="32"/>
      <c r="S474" s="32"/>
      <c r="T474" s="32"/>
      <c r="U474" s="32"/>
      <c r="V474" s="2"/>
      <c r="W474" s="2"/>
      <c r="X474" s="2"/>
      <c r="Y474" s="2"/>
      <c r="Z474" s="2"/>
    </row>
    <row r="475" spans="1:26" ht="13.8" x14ac:dyDescent="0.3">
      <c r="A475" s="2"/>
      <c r="B475" s="2"/>
      <c r="C475" s="10"/>
      <c r="D475" s="10"/>
      <c r="E475" s="10"/>
      <c r="F475" s="10"/>
      <c r="G475" s="69"/>
      <c r="H475" s="69"/>
      <c r="I475" s="69"/>
      <c r="J475" s="70"/>
      <c r="K475" s="69"/>
      <c r="L475" s="69"/>
      <c r="M475" s="69"/>
      <c r="N475" s="69"/>
      <c r="O475" s="69"/>
      <c r="P475" s="2"/>
      <c r="Q475" s="2"/>
      <c r="R475" s="32"/>
      <c r="S475" s="32"/>
      <c r="T475" s="32"/>
      <c r="U475" s="32"/>
      <c r="V475" s="2"/>
      <c r="W475" s="2"/>
      <c r="X475" s="2"/>
      <c r="Y475" s="2"/>
      <c r="Z475" s="2"/>
    </row>
    <row r="476" spans="1:26" ht="13.8" x14ac:dyDescent="0.3">
      <c r="A476" s="2"/>
      <c r="B476" s="2"/>
      <c r="C476" s="10"/>
      <c r="D476" s="10"/>
      <c r="E476" s="10"/>
      <c r="F476" s="10"/>
      <c r="G476" s="69"/>
      <c r="H476" s="69"/>
      <c r="I476" s="69"/>
      <c r="J476" s="70"/>
      <c r="K476" s="69"/>
      <c r="L476" s="69"/>
      <c r="M476" s="69"/>
      <c r="N476" s="69"/>
      <c r="O476" s="69"/>
      <c r="P476" s="2"/>
      <c r="Q476" s="2"/>
      <c r="R476" s="32"/>
      <c r="S476" s="32"/>
      <c r="T476" s="32"/>
      <c r="U476" s="32"/>
      <c r="V476" s="2"/>
      <c r="W476" s="2"/>
      <c r="X476" s="2"/>
      <c r="Y476" s="2"/>
      <c r="Z476" s="2"/>
    </row>
    <row r="477" spans="1:26" ht="13.8" x14ac:dyDescent="0.3">
      <c r="A477" s="2"/>
      <c r="B477" s="2"/>
      <c r="C477" s="10"/>
      <c r="D477" s="10"/>
      <c r="E477" s="10"/>
      <c r="F477" s="10"/>
      <c r="G477" s="69"/>
      <c r="H477" s="69"/>
      <c r="I477" s="69"/>
      <c r="J477" s="70"/>
      <c r="K477" s="69"/>
      <c r="L477" s="69"/>
      <c r="M477" s="69"/>
      <c r="N477" s="69"/>
      <c r="O477" s="69"/>
      <c r="P477" s="2"/>
      <c r="Q477" s="2"/>
      <c r="R477" s="32"/>
      <c r="S477" s="32"/>
      <c r="T477" s="32"/>
      <c r="U477" s="32"/>
      <c r="V477" s="2"/>
      <c r="W477" s="2"/>
      <c r="X477" s="2"/>
      <c r="Y477" s="2"/>
      <c r="Z477" s="2"/>
    </row>
    <row r="478" spans="1:26" ht="13.8" x14ac:dyDescent="0.3">
      <c r="A478" s="2"/>
      <c r="B478" s="2"/>
      <c r="C478" s="10"/>
      <c r="D478" s="10"/>
      <c r="E478" s="10"/>
      <c r="F478" s="10"/>
      <c r="G478" s="69"/>
      <c r="H478" s="69"/>
      <c r="I478" s="69"/>
      <c r="J478" s="70"/>
      <c r="K478" s="69"/>
      <c r="L478" s="69"/>
      <c r="M478" s="69"/>
      <c r="N478" s="69"/>
      <c r="O478" s="69"/>
      <c r="P478" s="2"/>
      <c r="Q478" s="2"/>
      <c r="R478" s="32"/>
      <c r="S478" s="32"/>
      <c r="T478" s="32"/>
      <c r="U478" s="32"/>
      <c r="V478" s="2"/>
      <c r="W478" s="2"/>
      <c r="X478" s="2"/>
      <c r="Y478" s="2"/>
      <c r="Z478" s="2"/>
    </row>
    <row r="479" spans="1:26" ht="13.8" x14ac:dyDescent="0.3">
      <c r="A479" s="2"/>
      <c r="B479" s="2"/>
      <c r="C479" s="10"/>
      <c r="D479" s="10"/>
      <c r="E479" s="10"/>
      <c r="F479" s="10"/>
      <c r="G479" s="69"/>
      <c r="H479" s="69"/>
      <c r="I479" s="69"/>
      <c r="J479" s="70"/>
      <c r="K479" s="69"/>
      <c r="L479" s="69"/>
      <c r="M479" s="69"/>
      <c r="N479" s="69"/>
      <c r="O479" s="69"/>
      <c r="P479" s="2"/>
      <c r="Q479" s="2"/>
      <c r="R479" s="32"/>
      <c r="S479" s="32"/>
      <c r="T479" s="32"/>
      <c r="U479" s="32"/>
      <c r="V479" s="2"/>
      <c r="W479" s="2"/>
      <c r="X479" s="2"/>
      <c r="Y479" s="2"/>
      <c r="Z479" s="2"/>
    </row>
    <row r="480" spans="1:26" ht="13.8" x14ac:dyDescent="0.3">
      <c r="A480" s="2"/>
      <c r="B480" s="2"/>
      <c r="C480" s="10"/>
      <c r="D480" s="10"/>
      <c r="E480" s="10"/>
      <c r="F480" s="10"/>
      <c r="G480" s="69"/>
      <c r="H480" s="69"/>
      <c r="I480" s="69"/>
      <c r="J480" s="70"/>
      <c r="K480" s="69"/>
      <c r="L480" s="69"/>
      <c r="M480" s="69"/>
      <c r="N480" s="69"/>
      <c r="O480" s="69"/>
      <c r="P480" s="2"/>
      <c r="Q480" s="2"/>
      <c r="R480" s="32"/>
      <c r="S480" s="32"/>
      <c r="T480" s="32"/>
      <c r="U480" s="32"/>
      <c r="V480" s="2"/>
      <c r="W480" s="2"/>
      <c r="X480" s="2"/>
      <c r="Y480" s="2"/>
      <c r="Z480" s="2"/>
    </row>
    <row r="481" spans="1:26" ht="13.8" x14ac:dyDescent="0.3">
      <c r="A481" s="2"/>
      <c r="B481" s="2"/>
      <c r="C481" s="10"/>
      <c r="D481" s="10"/>
      <c r="E481" s="10"/>
      <c r="F481" s="10"/>
      <c r="G481" s="69"/>
      <c r="H481" s="69"/>
      <c r="I481" s="69"/>
      <c r="J481" s="70"/>
      <c r="K481" s="69"/>
      <c r="L481" s="69"/>
      <c r="M481" s="69"/>
      <c r="N481" s="69"/>
      <c r="O481" s="69"/>
      <c r="P481" s="2"/>
      <c r="Q481" s="2"/>
      <c r="R481" s="32"/>
      <c r="S481" s="32"/>
      <c r="T481" s="32"/>
      <c r="U481" s="32"/>
      <c r="V481" s="2"/>
      <c r="W481" s="2"/>
      <c r="X481" s="2"/>
      <c r="Y481" s="2"/>
      <c r="Z481" s="2"/>
    </row>
    <row r="482" spans="1:26" ht="13.8" x14ac:dyDescent="0.3">
      <c r="A482" s="2"/>
      <c r="B482" s="2"/>
      <c r="C482" s="10"/>
      <c r="D482" s="10"/>
      <c r="E482" s="10"/>
      <c r="F482" s="10"/>
      <c r="G482" s="69"/>
      <c r="H482" s="69"/>
      <c r="I482" s="69"/>
      <c r="J482" s="70"/>
      <c r="K482" s="69"/>
      <c r="L482" s="69"/>
      <c r="M482" s="69"/>
      <c r="N482" s="69"/>
      <c r="O482" s="69"/>
      <c r="P482" s="2"/>
      <c r="Q482" s="2"/>
      <c r="R482" s="32"/>
      <c r="S482" s="32"/>
      <c r="T482" s="32"/>
      <c r="U482" s="32"/>
      <c r="V482" s="2"/>
      <c r="W482" s="2"/>
      <c r="X482" s="2"/>
      <c r="Y482" s="2"/>
      <c r="Z482" s="2"/>
    </row>
    <row r="483" spans="1:26" ht="13.8" x14ac:dyDescent="0.3">
      <c r="A483" s="2"/>
      <c r="B483" s="2"/>
      <c r="C483" s="10"/>
      <c r="D483" s="10"/>
      <c r="E483" s="10"/>
      <c r="F483" s="10"/>
      <c r="G483" s="69"/>
      <c r="H483" s="69"/>
      <c r="I483" s="69"/>
      <c r="J483" s="70"/>
      <c r="K483" s="69"/>
      <c r="L483" s="69"/>
      <c r="M483" s="69"/>
      <c r="N483" s="69"/>
      <c r="O483" s="69"/>
      <c r="P483" s="2"/>
      <c r="Q483" s="2"/>
      <c r="R483" s="32"/>
      <c r="S483" s="32"/>
      <c r="T483" s="32"/>
      <c r="U483" s="32"/>
      <c r="V483" s="2"/>
      <c r="W483" s="2"/>
      <c r="X483" s="2"/>
      <c r="Y483" s="2"/>
      <c r="Z483" s="2"/>
    </row>
    <row r="484" spans="1:26" ht="13.8" x14ac:dyDescent="0.3">
      <c r="A484" s="2"/>
      <c r="B484" s="2"/>
      <c r="C484" s="10"/>
      <c r="D484" s="10"/>
      <c r="E484" s="10"/>
      <c r="F484" s="10"/>
      <c r="G484" s="69"/>
      <c r="H484" s="69"/>
      <c r="I484" s="69"/>
      <c r="J484" s="70"/>
      <c r="K484" s="69"/>
      <c r="L484" s="69"/>
      <c r="M484" s="69"/>
      <c r="N484" s="69"/>
      <c r="O484" s="69"/>
      <c r="P484" s="2"/>
      <c r="Q484" s="2"/>
      <c r="R484" s="32"/>
      <c r="S484" s="32"/>
      <c r="T484" s="32"/>
      <c r="U484" s="32"/>
      <c r="V484" s="2"/>
      <c r="W484" s="2"/>
      <c r="X484" s="2"/>
      <c r="Y484" s="2"/>
      <c r="Z484" s="2"/>
    </row>
    <row r="485" spans="1:26" ht="13.8" x14ac:dyDescent="0.3">
      <c r="A485" s="2"/>
      <c r="B485" s="2"/>
      <c r="C485" s="10"/>
      <c r="D485" s="10"/>
      <c r="E485" s="10"/>
      <c r="F485" s="10"/>
      <c r="G485" s="69"/>
      <c r="H485" s="69"/>
      <c r="I485" s="69"/>
      <c r="J485" s="70"/>
      <c r="K485" s="69"/>
      <c r="L485" s="69"/>
      <c r="M485" s="69"/>
      <c r="N485" s="69"/>
      <c r="O485" s="69"/>
      <c r="P485" s="2"/>
      <c r="Q485" s="2"/>
      <c r="R485" s="32"/>
      <c r="S485" s="32"/>
      <c r="T485" s="32"/>
      <c r="U485" s="32"/>
      <c r="V485" s="2"/>
      <c r="W485" s="2"/>
      <c r="X485" s="2"/>
      <c r="Y485" s="2"/>
      <c r="Z485" s="2"/>
    </row>
    <row r="486" spans="1:26" ht="13.8" x14ac:dyDescent="0.3">
      <c r="A486" s="2"/>
      <c r="B486" s="2"/>
      <c r="C486" s="10"/>
      <c r="D486" s="10"/>
      <c r="E486" s="10"/>
      <c r="F486" s="10"/>
      <c r="G486" s="69"/>
      <c r="H486" s="69"/>
      <c r="I486" s="69"/>
      <c r="J486" s="70"/>
      <c r="K486" s="69"/>
      <c r="L486" s="69"/>
      <c r="M486" s="69"/>
      <c r="N486" s="69"/>
      <c r="O486" s="69"/>
      <c r="P486" s="2"/>
      <c r="Q486" s="2"/>
      <c r="R486" s="32"/>
      <c r="S486" s="32"/>
      <c r="T486" s="32"/>
      <c r="U486" s="32"/>
      <c r="V486" s="2"/>
      <c r="W486" s="2"/>
      <c r="X486" s="2"/>
      <c r="Y486" s="2"/>
      <c r="Z486" s="2"/>
    </row>
    <row r="487" spans="1:26" ht="13.8" x14ac:dyDescent="0.3">
      <c r="A487" s="2"/>
      <c r="B487" s="2"/>
      <c r="C487" s="10"/>
      <c r="D487" s="10"/>
      <c r="E487" s="10"/>
      <c r="F487" s="10"/>
      <c r="G487" s="69"/>
      <c r="H487" s="69"/>
      <c r="I487" s="69"/>
      <c r="J487" s="70"/>
      <c r="K487" s="69"/>
      <c r="L487" s="69"/>
      <c r="M487" s="69"/>
      <c r="N487" s="69"/>
      <c r="O487" s="69"/>
      <c r="P487" s="2"/>
      <c r="Q487" s="2"/>
      <c r="R487" s="32"/>
      <c r="S487" s="32"/>
      <c r="T487" s="32"/>
      <c r="U487" s="32"/>
      <c r="V487" s="2"/>
      <c r="W487" s="2"/>
      <c r="X487" s="2"/>
      <c r="Y487" s="2"/>
      <c r="Z487" s="2"/>
    </row>
    <row r="488" spans="1:26" ht="13.8" x14ac:dyDescent="0.3">
      <c r="A488" s="2"/>
      <c r="B488" s="2"/>
      <c r="C488" s="10"/>
      <c r="D488" s="10"/>
      <c r="E488" s="10"/>
      <c r="F488" s="10"/>
      <c r="G488" s="69"/>
      <c r="H488" s="69"/>
      <c r="I488" s="69"/>
      <c r="J488" s="70"/>
      <c r="K488" s="69"/>
      <c r="L488" s="69"/>
      <c r="M488" s="69"/>
      <c r="N488" s="69"/>
      <c r="O488" s="69"/>
      <c r="P488" s="2"/>
      <c r="Q488" s="2"/>
      <c r="R488" s="32"/>
      <c r="S488" s="32"/>
      <c r="T488" s="32"/>
      <c r="U488" s="32"/>
      <c r="V488" s="2"/>
      <c r="W488" s="2"/>
      <c r="X488" s="2"/>
      <c r="Y488" s="2"/>
      <c r="Z488" s="2"/>
    </row>
    <row r="489" spans="1:26" ht="13.8" x14ac:dyDescent="0.3">
      <c r="A489" s="2"/>
      <c r="B489" s="2"/>
      <c r="C489" s="10"/>
      <c r="D489" s="10"/>
      <c r="E489" s="10"/>
      <c r="F489" s="10"/>
      <c r="G489" s="69"/>
      <c r="H489" s="69"/>
      <c r="I489" s="69"/>
      <c r="J489" s="70"/>
      <c r="K489" s="69"/>
      <c r="L489" s="69"/>
      <c r="M489" s="69"/>
      <c r="N489" s="69"/>
      <c r="O489" s="69"/>
      <c r="P489" s="2"/>
      <c r="Q489" s="2"/>
      <c r="R489" s="32"/>
      <c r="S489" s="32"/>
      <c r="T489" s="32"/>
      <c r="U489" s="32"/>
      <c r="V489" s="2"/>
      <c r="W489" s="2"/>
      <c r="X489" s="2"/>
      <c r="Y489" s="2"/>
      <c r="Z489" s="2"/>
    </row>
    <row r="490" spans="1:26" ht="13.8" x14ac:dyDescent="0.3">
      <c r="A490" s="2"/>
      <c r="B490" s="2"/>
      <c r="C490" s="10"/>
      <c r="D490" s="10"/>
      <c r="E490" s="10"/>
      <c r="F490" s="10"/>
      <c r="G490" s="69"/>
      <c r="H490" s="69"/>
      <c r="I490" s="69"/>
      <c r="J490" s="70"/>
      <c r="K490" s="69"/>
      <c r="L490" s="69"/>
      <c r="M490" s="69"/>
      <c r="N490" s="69"/>
      <c r="O490" s="69"/>
      <c r="P490" s="2"/>
      <c r="Q490" s="2"/>
      <c r="R490" s="32"/>
      <c r="S490" s="32"/>
      <c r="T490" s="32"/>
      <c r="U490" s="32"/>
      <c r="V490" s="2"/>
      <c r="W490" s="2"/>
      <c r="X490" s="2"/>
      <c r="Y490" s="2"/>
      <c r="Z490" s="2"/>
    </row>
    <row r="491" spans="1:26" ht="13.8" x14ac:dyDescent="0.3">
      <c r="A491" s="2"/>
      <c r="B491" s="2"/>
      <c r="C491" s="10"/>
      <c r="D491" s="10"/>
      <c r="E491" s="10"/>
      <c r="F491" s="10"/>
      <c r="G491" s="69"/>
      <c r="H491" s="69"/>
      <c r="I491" s="69"/>
      <c r="J491" s="70"/>
      <c r="K491" s="69"/>
      <c r="L491" s="69"/>
      <c r="M491" s="69"/>
      <c r="N491" s="69"/>
      <c r="O491" s="69"/>
      <c r="P491" s="2"/>
      <c r="Q491" s="2"/>
      <c r="R491" s="32"/>
      <c r="S491" s="32"/>
      <c r="T491" s="32"/>
      <c r="U491" s="32"/>
      <c r="V491" s="2"/>
      <c r="W491" s="2"/>
      <c r="X491" s="2"/>
      <c r="Y491" s="2"/>
      <c r="Z491" s="2"/>
    </row>
    <row r="492" spans="1:26" ht="13.8" x14ac:dyDescent="0.3">
      <c r="A492" s="2"/>
      <c r="B492" s="2"/>
      <c r="C492" s="10"/>
      <c r="D492" s="10"/>
      <c r="E492" s="10"/>
      <c r="F492" s="10"/>
      <c r="G492" s="69"/>
      <c r="H492" s="69"/>
      <c r="I492" s="69"/>
      <c r="J492" s="70"/>
      <c r="K492" s="69"/>
      <c r="L492" s="69"/>
      <c r="M492" s="69"/>
      <c r="N492" s="69"/>
      <c r="O492" s="69"/>
      <c r="P492" s="2"/>
      <c r="Q492" s="2"/>
      <c r="R492" s="32"/>
      <c r="S492" s="32"/>
      <c r="T492" s="32"/>
      <c r="U492" s="32"/>
      <c r="V492" s="2"/>
      <c r="W492" s="2"/>
      <c r="X492" s="2"/>
      <c r="Y492" s="2"/>
      <c r="Z492" s="2"/>
    </row>
    <row r="493" spans="1:26" ht="13.8" x14ac:dyDescent="0.3">
      <c r="A493" s="2"/>
      <c r="B493" s="2"/>
      <c r="C493" s="10"/>
      <c r="D493" s="10"/>
      <c r="E493" s="10"/>
      <c r="F493" s="10"/>
      <c r="G493" s="69"/>
      <c r="H493" s="69"/>
      <c r="I493" s="69"/>
      <c r="J493" s="70"/>
      <c r="K493" s="69"/>
      <c r="L493" s="69"/>
      <c r="M493" s="69"/>
      <c r="N493" s="69"/>
      <c r="O493" s="69"/>
      <c r="P493" s="2"/>
      <c r="Q493" s="2"/>
      <c r="R493" s="32"/>
      <c r="S493" s="32"/>
      <c r="T493" s="32"/>
      <c r="U493" s="32"/>
      <c r="V493" s="2"/>
      <c r="W493" s="2"/>
      <c r="X493" s="2"/>
      <c r="Y493" s="2"/>
      <c r="Z493" s="2"/>
    </row>
    <row r="494" spans="1:26" ht="13.8" x14ac:dyDescent="0.3">
      <c r="A494" s="2"/>
      <c r="B494" s="2"/>
      <c r="C494" s="10"/>
      <c r="D494" s="10"/>
      <c r="E494" s="10"/>
      <c r="F494" s="10"/>
      <c r="G494" s="69"/>
      <c r="H494" s="69"/>
      <c r="I494" s="69"/>
      <c r="J494" s="70"/>
      <c r="K494" s="69"/>
      <c r="L494" s="69"/>
      <c r="M494" s="69"/>
      <c r="N494" s="69"/>
      <c r="O494" s="69"/>
      <c r="P494" s="2"/>
      <c r="Q494" s="2"/>
      <c r="R494" s="32"/>
      <c r="S494" s="32"/>
      <c r="T494" s="32"/>
      <c r="U494" s="32"/>
      <c r="V494" s="2"/>
      <c r="W494" s="2"/>
      <c r="X494" s="2"/>
      <c r="Y494" s="2"/>
      <c r="Z494" s="2"/>
    </row>
    <row r="495" spans="1:26" ht="13.8" x14ac:dyDescent="0.3">
      <c r="A495" s="2"/>
      <c r="B495" s="2"/>
      <c r="C495" s="10"/>
      <c r="D495" s="10"/>
      <c r="E495" s="10"/>
      <c r="F495" s="10"/>
      <c r="G495" s="69"/>
      <c r="H495" s="69"/>
      <c r="I495" s="69"/>
      <c r="J495" s="70"/>
      <c r="K495" s="69"/>
      <c r="L495" s="69"/>
      <c r="M495" s="69"/>
      <c r="N495" s="69"/>
      <c r="O495" s="69"/>
      <c r="P495" s="2"/>
      <c r="Q495" s="2"/>
      <c r="R495" s="32"/>
      <c r="S495" s="32"/>
      <c r="T495" s="32"/>
      <c r="U495" s="32"/>
      <c r="V495" s="2"/>
      <c r="W495" s="2"/>
      <c r="X495" s="2"/>
      <c r="Y495" s="2"/>
      <c r="Z495" s="2"/>
    </row>
    <row r="496" spans="1:26" ht="13.8" x14ac:dyDescent="0.3">
      <c r="A496" s="2"/>
      <c r="B496" s="2"/>
      <c r="C496" s="10"/>
      <c r="D496" s="10"/>
      <c r="E496" s="10"/>
      <c r="F496" s="10"/>
      <c r="G496" s="69"/>
      <c r="H496" s="69"/>
      <c r="I496" s="69"/>
      <c r="J496" s="70"/>
      <c r="K496" s="69"/>
      <c r="L496" s="69"/>
      <c r="M496" s="69"/>
      <c r="N496" s="69"/>
      <c r="O496" s="69"/>
      <c r="P496" s="2"/>
      <c r="Q496" s="2"/>
      <c r="R496" s="32"/>
      <c r="S496" s="32"/>
      <c r="T496" s="32"/>
      <c r="U496" s="32"/>
      <c r="V496" s="2"/>
      <c r="W496" s="2"/>
      <c r="X496" s="2"/>
      <c r="Y496" s="2"/>
      <c r="Z496" s="2"/>
    </row>
    <row r="497" spans="1:26" ht="13.8" x14ac:dyDescent="0.3">
      <c r="A497" s="2"/>
      <c r="B497" s="2"/>
      <c r="C497" s="10"/>
      <c r="D497" s="10"/>
      <c r="E497" s="10"/>
      <c r="F497" s="10"/>
      <c r="G497" s="69"/>
      <c r="H497" s="69"/>
      <c r="I497" s="69"/>
      <c r="J497" s="70"/>
      <c r="K497" s="69"/>
      <c r="L497" s="69"/>
      <c r="M497" s="69"/>
      <c r="N497" s="69"/>
      <c r="O497" s="69"/>
      <c r="P497" s="2"/>
      <c r="Q497" s="2"/>
      <c r="R497" s="32"/>
      <c r="S497" s="32"/>
      <c r="T497" s="32"/>
      <c r="U497" s="32"/>
      <c r="V497" s="2"/>
      <c r="W497" s="2"/>
      <c r="X497" s="2"/>
      <c r="Y497" s="2"/>
      <c r="Z497" s="2"/>
    </row>
    <row r="498" spans="1:26" ht="13.8" x14ac:dyDescent="0.3">
      <c r="A498" s="2"/>
      <c r="B498" s="2"/>
      <c r="C498" s="10"/>
      <c r="D498" s="10"/>
      <c r="E498" s="10"/>
      <c r="F498" s="10"/>
      <c r="G498" s="69"/>
      <c r="H498" s="69"/>
      <c r="I498" s="69"/>
      <c r="J498" s="70"/>
      <c r="K498" s="69"/>
      <c r="L498" s="69"/>
      <c r="M498" s="69"/>
      <c r="N498" s="69"/>
      <c r="O498" s="69"/>
      <c r="P498" s="2"/>
      <c r="Q498" s="2"/>
      <c r="R498" s="32"/>
      <c r="S498" s="32"/>
      <c r="T498" s="32"/>
      <c r="U498" s="32"/>
      <c r="V498" s="2"/>
      <c r="W498" s="2"/>
      <c r="X498" s="2"/>
      <c r="Y498" s="2"/>
      <c r="Z498" s="2"/>
    </row>
    <row r="499" spans="1:26" ht="13.8" x14ac:dyDescent="0.3">
      <c r="A499" s="2"/>
      <c r="B499" s="2"/>
      <c r="C499" s="10"/>
      <c r="D499" s="10"/>
      <c r="E499" s="10"/>
      <c r="F499" s="10"/>
      <c r="G499" s="69"/>
      <c r="H499" s="69"/>
      <c r="I499" s="69"/>
      <c r="J499" s="70"/>
      <c r="K499" s="69"/>
      <c r="L499" s="69"/>
      <c r="M499" s="69"/>
      <c r="N499" s="69"/>
      <c r="O499" s="69"/>
      <c r="P499" s="2"/>
      <c r="Q499" s="2"/>
      <c r="R499" s="32"/>
      <c r="S499" s="32"/>
      <c r="T499" s="32"/>
      <c r="U499" s="32"/>
      <c r="V499" s="2"/>
      <c r="W499" s="2"/>
      <c r="X499" s="2"/>
      <c r="Y499" s="2"/>
      <c r="Z499" s="2"/>
    </row>
    <row r="500" spans="1:26" ht="13.8" x14ac:dyDescent="0.3">
      <c r="A500" s="2"/>
      <c r="B500" s="2"/>
      <c r="C500" s="10"/>
      <c r="D500" s="10"/>
      <c r="E500" s="10"/>
      <c r="F500" s="10"/>
      <c r="G500" s="69"/>
      <c r="H500" s="69"/>
      <c r="I500" s="69"/>
      <c r="J500" s="70"/>
      <c r="K500" s="69"/>
      <c r="L500" s="69"/>
      <c r="M500" s="69"/>
      <c r="N500" s="69"/>
      <c r="O500" s="69"/>
      <c r="P500" s="2"/>
      <c r="Q500" s="2"/>
      <c r="R500" s="32"/>
      <c r="S500" s="32"/>
      <c r="T500" s="32"/>
      <c r="U500" s="32"/>
      <c r="V500" s="2"/>
      <c r="W500" s="2"/>
      <c r="X500" s="2"/>
      <c r="Y500" s="2"/>
      <c r="Z500" s="2"/>
    </row>
    <row r="501" spans="1:26" ht="13.8" x14ac:dyDescent="0.3">
      <c r="A501" s="2"/>
      <c r="B501" s="2"/>
      <c r="C501" s="10"/>
      <c r="D501" s="10"/>
      <c r="E501" s="10"/>
      <c r="F501" s="10"/>
      <c r="G501" s="69"/>
      <c r="H501" s="69"/>
      <c r="I501" s="69"/>
      <c r="J501" s="70"/>
      <c r="K501" s="69"/>
      <c r="L501" s="69"/>
      <c r="M501" s="69"/>
      <c r="N501" s="69"/>
      <c r="O501" s="69"/>
      <c r="P501" s="2"/>
      <c r="Q501" s="2"/>
      <c r="R501" s="32"/>
      <c r="S501" s="32"/>
      <c r="T501" s="32"/>
      <c r="U501" s="32"/>
      <c r="V501" s="2"/>
      <c r="W501" s="2"/>
      <c r="X501" s="2"/>
      <c r="Y501" s="2"/>
      <c r="Z501" s="2"/>
    </row>
    <row r="502" spans="1:26" ht="13.8" x14ac:dyDescent="0.3">
      <c r="A502" s="2"/>
      <c r="B502" s="2"/>
      <c r="C502" s="10"/>
      <c r="D502" s="10"/>
      <c r="E502" s="10"/>
      <c r="F502" s="10"/>
      <c r="G502" s="69"/>
      <c r="H502" s="69"/>
      <c r="I502" s="69"/>
      <c r="J502" s="70"/>
      <c r="K502" s="69"/>
      <c r="L502" s="69"/>
      <c r="M502" s="69"/>
      <c r="N502" s="69"/>
      <c r="O502" s="69"/>
      <c r="P502" s="2"/>
      <c r="Q502" s="2"/>
      <c r="R502" s="32"/>
      <c r="S502" s="32"/>
      <c r="T502" s="32"/>
      <c r="U502" s="32"/>
      <c r="V502" s="2"/>
      <c r="W502" s="2"/>
      <c r="X502" s="2"/>
      <c r="Y502" s="2"/>
      <c r="Z502" s="2"/>
    </row>
    <row r="503" spans="1:26" ht="13.8" x14ac:dyDescent="0.3">
      <c r="A503" s="2"/>
      <c r="B503" s="2"/>
      <c r="C503" s="10"/>
      <c r="D503" s="10"/>
      <c r="E503" s="10"/>
      <c r="F503" s="10"/>
      <c r="G503" s="69"/>
      <c r="H503" s="69"/>
      <c r="I503" s="69"/>
      <c r="J503" s="70"/>
      <c r="K503" s="69"/>
      <c r="L503" s="69"/>
      <c r="M503" s="69"/>
      <c r="N503" s="69"/>
      <c r="O503" s="69"/>
      <c r="P503" s="2"/>
      <c r="Q503" s="2"/>
      <c r="R503" s="32"/>
      <c r="S503" s="32"/>
      <c r="T503" s="32"/>
      <c r="U503" s="32"/>
      <c r="V503" s="2"/>
      <c r="W503" s="2"/>
      <c r="X503" s="2"/>
      <c r="Y503" s="2"/>
      <c r="Z503" s="2"/>
    </row>
    <row r="504" spans="1:26" ht="13.8" x14ac:dyDescent="0.3">
      <c r="A504" s="2"/>
      <c r="B504" s="2"/>
      <c r="C504" s="10"/>
      <c r="D504" s="10"/>
      <c r="E504" s="10"/>
      <c r="F504" s="10"/>
      <c r="G504" s="69"/>
      <c r="H504" s="69"/>
      <c r="I504" s="69"/>
      <c r="J504" s="70"/>
      <c r="K504" s="69"/>
      <c r="L504" s="69"/>
      <c r="M504" s="69"/>
      <c r="N504" s="69"/>
      <c r="O504" s="69"/>
      <c r="P504" s="2"/>
      <c r="Q504" s="2"/>
      <c r="R504" s="32"/>
      <c r="S504" s="32"/>
      <c r="T504" s="32"/>
      <c r="U504" s="32"/>
      <c r="V504" s="2"/>
      <c r="W504" s="2"/>
      <c r="X504" s="2"/>
      <c r="Y504" s="2"/>
      <c r="Z504" s="2"/>
    </row>
    <row r="505" spans="1:26" ht="13.8" x14ac:dyDescent="0.3">
      <c r="A505" s="2"/>
      <c r="B505" s="2"/>
      <c r="C505" s="10"/>
      <c r="D505" s="10"/>
      <c r="E505" s="10"/>
      <c r="F505" s="10"/>
      <c r="G505" s="69"/>
      <c r="H505" s="69"/>
      <c r="I505" s="69"/>
      <c r="J505" s="70"/>
      <c r="K505" s="69"/>
      <c r="L505" s="69"/>
      <c r="M505" s="69"/>
      <c r="N505" s="69"/>
      <c r="O505" s="69"/>
      <c r="P505" s="2"/>
      <c r="Q505" s="2"/>
      <c r="R505" s="32"/>
      <c r="S505" s="32"/>
      <c r="T505" s="32"/>
      <c r="U505" s="32"/>
      <c r="V505" s="2"/>
      <c r="W505" s="2"/>
      <c r="X505" s="2"/>
      <c r="Y505" s="2"/>
      <c r="Z505" s="2"/>
    </row>
    <row r="506" spans="1:26" ht="13.8" x14ac:dyDescent="0.3">
      <c r="A506" s="2"/>
      <c r="B506" s="2"/>
      <c r="C506" s="10"/>
      <c r="D506" s="10"/>
      <c r="E506" s="10"/>
      <c r="F506" s="10"/>
      <c r="G506" s="69"/>
      <c r="H506" s="69"/>
      <c r="I506" s="69"/>
      <c r="J506" s="70"/>
      <c r="K506" s="69"/>
      <c r="L506" s="69"/>
      <c r="M506" s="69"/>
      <c r="N506" s="69"/>
      <c r="O506" s="69"/>
      <c r="P506" s="2"/>
      <c r="Q506" s="2"/>
      <c r="R506" s="32"/>
      <c r="S506" s="32"/>
      <c r="T506" s="32"/>
      <c r="U506" s="32"/>
      <c r="V506" s="2"/>
      <c r="W506" s="2"/>
      <c r="X506" s="2"/>
      <c r="Y506" s="2"/>
      <c r="Z506" s="2"/>
    </row>
    <row r="507" spans="1:26" ht="13.8" x14ac:dyDescent="0.3">
      <c r="A507" s="2"/>
      <c r="B507" s="2"/>
      <c r="C507" s="10"/>
      <c r="D507" s="10"/>
      <c r="E507" s="10"/>
      <c r="F507" s="10"/>
      <c r="G507" s="69"/>
      <c r="H507" s="69"/>
      <c r="I507" s="69"/>
      <c r="J507" s="70"/>
      <c r="K507" s="69"/>
      <c r="L507" s="69"/>
      <c r="M507" s="69"/>
      <c r="N507" s="69"/>
      <c r="O507" s="69"/>
      <c r="P507" s="2"/>
      <c r="Q507" s="2"/>
      <c r="R507" s="32"/>
      <c r="S507" s="32"/>
      <c r="T507" s="32"/>
      <c r="U507" s="32"/>
      <c r="V507" s="2"/>
      <c r="W507" s="2"/>
      <c r="X507" s="2"/>
      <c r="Y507" s="2"/>
      <c r="Z507" s="2"/>
    </row>
    <row r="508" spans="1:26" ht="13.8" x14ac:dyDescent="0.3">
      <c r="A508" s="2"/>
      <c r="B508" s="2"/>
      <c r="C508" s="10"/>
      <c r="D508" s="10"/>
      <c r="E508" s="10"/>
      <c r="F508" s="10"/>
      <c r="G508" s="69"/>
      <c r="H508" s="69"/>
      <c r="I508" s="69"/>
      <c r="J508" s="70"/>
      <c r="K508" s="69"/>
      <c r="L508" s="69"/>
      <c r="M508" s="69"/>
      <c r="N508" s="69"/>
      <c r="O508" s="69"/>
      <c r="P508" s="2"/>
      <c r="Q508" s="2"/>
      <c r="R508" s="32"/>
      <c r="S508" s="32"/>
      <c r="T508" s="32"/>
      <c r="U508" s="32"/>
      <c r="V508" s="2"/>
      <c r="W508" s="2"/>
      <c r="X508" s="2"/>
      <c r="Y508" s="2"/>
      <c r="Z508" s="2"/>
    </row>
    <row r="509" spans="1:26" ht="13.8" x14ac:dyDescent="0.3">
      <c r="A509" s="2"/>
      <c r="B509" s="2"/>
      <c r="C509" s="10"/>
      <c r="D509" s="10"/>
      <c r="E509" s="10"/>
      <c r="F509" s="10"/>
      <c r="G509" s="69"/>
      <c r="H509" s="69"/>
      <c r="I509" s="69"/>
      <c r="J509" s="70"/>
      <c r="K509" s="69"/>
      <c r="L509" s="69"/>
      <c r="M509" s="69"/>
      <c r="N509" s="69"/>
      <c r="O509" s="69"/>
      <c r="P509" s="2"/>
      <c r="Q509" s="2"/>
      <c r="R509" s="32"/>
      <c r="S509" s="32"/>
      <c r="T509" s="32"/>
      <c r="U509" s="32"/>
      <c r="V509" s="2"/>
      <c r="W509" s="2"/>
      <c r="X509" s="2"/>
      <c r="Y509" s="2"/>
      <c r="Z509" s="2"/>
    </row>
    <row r="510" spans="1:26" ht="13.8" x14ac:dyDescent="0.3">
      <c r="A510" s="2"/>
      <c r="B510" s="2"/>
      <c r="C510" s="10"/>
      <c r="D510" s="10"/>
      <c r="E510" s="10"/>
      <c r="F510" s="10"/>
      <c r="G510" s="69"/>
      <c r="H510" s="69"/>
      <c r="I510" s="69"/>
      <c r="J510" s="70"/>
      <c r="K510" s="69"/>
      <c r="L510" s="69"/>
      <c r="M510" s="69"/>
      <c r="N510" s="69"/>
      <c r="O510" s="69"/>
      <c r="P510" s="2"/>
      <c r="Q510" s="2"/>
      <c r="R510" s="32"/>
      <c r="S510" s="32"/>
      <c r="T510" s="32"/>
      <c r="U510" s="32"/>
      <c r="V510" s="2"/>
      <c r="W510" s="2"/>
      <c r="X510" s="2"/>
      <c r="Y510" s="2"/>
      <c r="Z510" s="2"/>
    </row>
    <row r="511" spans="1:26" ht="13.8" x14ac:dyDescent="0.3">
      <c r="A511" s="2"/>
      <c r="B511" s="2"/>
      <c r="C511" s="10"/>
      <c r="D511" s="10"/>
      <c r="E511" s="10"/>
      <c r="F511" s="10"/>
      <c r="G511" s="69"/>
      <c r="H511" s="69"/>
      <c r="I511" s="69"/>
      <c r="J511" s="70"/>
      <c r="K511" s="69"/>
      <c r="L511" s="69"/>
      <c r="M511" s="69"/>
      <c r="N511" s="69"/>
      <c r="O511" s="69"/>
      <c r="P511" s="2"/>
      <c r="Q511" s="2"/>
      <c r="R511" s="32"/>
      <c r="S511" s="32"/>
      <c r="T511" s="32"/>
      <c r="U511" s="32"/>
      <c r="V511" s="2"/>
      <c r="W511" s="2"/>
      <c r="X511" s="2"/>
      <c r="Y511" s="2"/>
      <c r="Z511" s="2"/>
    </row>
    <row r="512" spans="1:26" ht="13.8" x14ac:dyDescent="0.3">
      <c r="A512" s="2"/>
      <c r="B512" s="2"/>
      <c r="C512" s="10"/>
      <c r="D512" s="10"/>
      <c r="E512" s="10"/>
      <c r="F512" s="10"/>
      <c r="G512" s="69"/>
      <c r="H512" s="69"/>
      <c r="I512" s="69"/>
      <c r="J512" s="70"/>
      <c r="K512" s="69"/>
      <c r="L512" s="69"/>
      <c r="M512" s="69"/>
      <c r="N512" s="69"/>
      <c r="O512" s="69"/>
      <c r="P512" s="2"/>
      <c r="Q512" s="2"/>
      <c r="R512" s="32"/>
      <c r="S512" s="32"/>
      <c r="T512" s="32"/>
      <c r="U512" s="32"/>
      <c r="V512" s="2"/>
      <c r="W512" s="2"/>
      <c r="X512" s="2"/>
      <c r="Y512" s="2"/>
      <c r="Z512" s="2"/>
    </row>
    <row r="513" spans="1:26" ht="13.8" x14ac:dyDescent="0.3">
      <c r="A513" s="2"/>
      <c r="B513" s="2"/>
      <c r="C513" s="10"/>
      <c r="D513" s="10"/>
      <c r="E513" s="10"/>
      <c r="F513" s="10"/>
      <c r="G513" s="69"/>
      <c r="H513" s="69"/>
      <c r="I513" s="69"/>
      <c r="J513" s="70"/>
      <c r="K513" s="69"/>
      <c r="L513" s="69"/>
      <c r="M513" s="69"/>
      <c r="N513" s="69"/>
      <c r="O513" s="69"/>
      <c r="P513" s="2"/>
      <c r="Q513" s="2"/>
      <c r="R513" s="32"/>
      <c r="S513" s="32"/>
      <c r="T513" s="32"/>
      <c r="U513" s="32"/>
      <c r="V513" s="2"/>
      <c r="W513" s="2"/>
      <c r="X513" s="2"/>
      <c r="Y513" s="2"/>
      <c r="Z513" s="2"/>
    </row>
    <row r="514" spans="1:26" ht="13.8" x14ac:dyDescent="0.3">
      <c r="A514" s="2"/>
      <c r="B514" s="2"/>
      <c r="C514" s="10"/>
      <c r="D514" s="10"/>
      <c r="E514" s="10"/>
      <c r="F514" s="10"/>
      <c r="G514" s="69"/>
      <c r="H514" s="69"/>
      <c r="I514" s="69"/>
      <c r="J514" s="70"/>
      <c r="K514" s="69"/>
      <c r="L514" s="69"/>
      <c r="M514" s="69"/>
      <c r="N514" s="69"/>
      <c r="O514" s="69"/>
      <c r="P514" s="2"/>
      <c r="Q514" s="2"/>
      <c r="R514" s="32"/>
      <c r="S514" s="32"/>
      <c r="T514" s="32"/>
      <c r="U514" s="32"/>
      <c r="V514" s="2"/>
      <c r="W514" s="2"/>
      <c r="X514" s="2"/>
      <c r="Y514" s="2"/>
      <c r="Z514" s="2"/>
    </row>
    <row r="515" spans="1:26" ht="13.8" x14ac:dyDescent="0.3">
      <c r="A515" s="2"/>
      <c r="B515" s="2"/>
      <c r="C515" s="10"/>
      <c r="D515" s="10"/>
      <c r="E515" s="10"/>
      <c r="F515" s="10"/>
      <c r="G515" s="69"/>
      <c r="H515" s="69"/>
      <c r="I515" s="69"/>
      <c r="J515" s="70"/>
      <c r="K515" s="69"/>
      <c r="L515" s="69"/>
      <c r="M515" s="69"/>
      <c r="N515" s="69"/>
      <c r="O515" s="69"/>
      <c r="P515" s="2"/>
      <c r="Q515" s="2"/>
      <c r="R515" s="32"/>
      <c r="S515" s="32"/>
      <c r="T515" s="32"/>
      <c r="U515" s="32"/>
      <c r="V515" s="2"/>
      <c r="W515" s="2"/>
      <c r="X515" s="2"/>
      <c r="Y515" s="2"/>
      <c r="Z515" s="2"/>
    </row>
    <row r="516" spans="1:26" ht="13.8" x14ac:dyDescent="0.3">
      <c r="A516" s="2"/>
      <c r="B516" s="2"/>
      <c r="C516" s="10"/>
      <c r="D516" s="10"/>
      <c r="E516" s="10"/>
      <c r="F516" s="10"/>
      <c r="G516" s="69"/>
      <c r="H516" s="69"/>
      <c r="I516" s="69"/>
      <c r="J516" s="70"/>
      <c r="K516" s="69"/>
      <c r="L516" s="69"/>
      <c r="M516" s="69"/>
      <c r="N516" s="69"/>
      <c r="O516" s="69"/>
      <c r="P516" s="2"/>
      <c r="Q516" s="2"/>
      <c r="R516" s="32"/>
      <c r="S516" s="32"/>
      <c r="T516" s="32"/>
      <c r="U516" s="32"/>
      <c r="V516" s="2"/>
      <c r="W516" s="2"/>
      <c r="X516" s="2"/>
      <c r="Y516" s="2"/>
      <c r="Z516" s="2"/>
    </row>
    <row r="517" spans="1:26" ht="13.8" x14ac:dyDescent="0.3">
      <c r="A517" s="2"/>
      <c r="B517" s="2"/>
      <c r="C517" s="10"/>
      <c r="D517" s="10"/>
      <c r="E517" s="10"/>
      <c r="F517" s="10"/>
      <c r="G517" s="69"/>
      <c r="H517" s="69"/>
      <c r="I517" s="69"/>
      <c r="J517" s="70"/>
      <c r="K517" s="69"/>
      <c r="L517" s="69"/>
      <c r="M517" s="69"/>
      <c r="N517" s="69"/>
      <c r="O517" s="69"/>
      <c r="P517" s="2"/>
      <c r="Q517" s="2"/>
      <c r="R517" s="32"/>
      <c r="S517" s="32"/>
      <c r="T517" s="32"/>
      <c r="U517" s="32"/>
      <c r="V517" s="2"/>
      <c r="W517" s="2"/>
      <c r="X517" s="2"/>
      <c r="Y517" s="2"/>
      <c r="Z517" s="2"/>
    </row>
    <row r="518" spans="1:26" ht="13.8" x14ac:dyDescent="0.3">
      <c r="A518" s="2"/>
      <c r="B518" s="2"/>
      <c r="C518" s="10"/>
      <c r="D518" s="10"/>
      <c r="E518" s="10"/>
      <c r="F518" s="10"/>
      <c r="G518" s="69"/>
      <c r="H518" s="69"/>
      <c r="I518" s="69"/>
      <c r="J518" s="70"/>
      <c r="K518" s="69"/>
      <c r="L518" s="69"/>
      <c r="M518" s="69"/>
      <c r="N518" s="69"/>
      <c r="O518" s="69"/>
      <c r="P518" s="2"/>
      <c r="Q518" s="2"/>
      <c r="R518" s="32"/>
      <c r="S518" s="32"/>
      <c r="T518" s="32"/>
      <c r="U518" s="32"/>
      <c r="V518" s="2"/>
      <c r="W518" s="2"/>
      <c r="X518" s="2"/>
      <c r="Y518" s="2"/>
      <c r="Z518" s="2"/>
    </row>
    <row r="519" spans="1:26" ht="13.8" x14ac:dyDescent="0.3">
      <c r="A519" s="2"/>
      <c r="B519" s="2"/>
      <c r="C519" s="10"/>
      <c r="D519" s="10"/>
      <c r="E519" s="10"/>
      <c r="F519" s="10"/>
      <c r="G519" s="69"/>
      <c r="H519" s="69"/>
      <c r="I519" s="69"/>
      <c r="J519" s="70"/>
      <c r="K519" s="69"/>
      <c r="L519" s="69"/>
      <c r="M519" s="69"/>
      <c r="N519" s="69"/>
      <c r="O519" s="69"/>
      <c r="P519" s="2"/>
      <c r="Q519" s="2"/>
      <c r="R519" s="32"/>
      <c r="S519" s="32"/>
      <c r="T519" s="32"/>
      <c r="U519" s="32"/>
      <c r="V519" s="2"/>
      <c r="W519" s="2"/>
      <c r="X519" s="2"/>
      <c r="Y519" s="2"/>
      <c r="Z519" s="2"/>
    </row>
    <row r="520" spans="1:26" ht="13.8" x14ac:dyDescent="0.3">
      <c r="A520" s="2"/>
      <c r="B520" s="2"/>
      <c r="C520" s="10"/>
      <c r="D520" s="10"/>
      <c r="E520" s="10"/>
      <c r="F520" s="10"/>
      <c r="G520" s="69"/>
      <c r="H520" s="69"/>
      <c r="I520" s="69"/>
      <c r="J520" s="70"/>
      <c r="K520" s="69"/>
      <c r="L520" s="69"/>
      <c r="M520" s="69"/>
      <c r="N520" s="69"/>
      <c r="O520" s="69"/>
      <c r="P520" s="2"/>
      <c r="Q520" s="2"/>
      <c r="R520" s="32"/>
      <c r="S520" s="32"/>
      <c r="T520" s="32"/>
      <c r="U520" s="32"/>
      <c r="V520" s="2"/>
      <c r="W520" s="2"/>
      <c r="X520" s="2"/>
      <c r="Y520" s="2"/>
      <c r="Z520" s="2"/>
    </row>
    <row r="521" spans="1:26" ht="13.8" x14ac:dyDescent="0.3">
      <c r="A521" s="2"/>
      <c r="B521" s="2"/>
      <c r="C521" s="10"/>
      <c r="D521" s="10"/>
      <c r="E521" s="10"/>
      <c r="F521" s="10"/>
      <c r="G521" s="69"/>
      <c r="H521" s="69"/>
      <c r="I521" s="69"/>
      <c r="J521" s="70"/>
      <c r="K521" s="69"/>
      <c r="L521" s="69"/>
      <c r="M521" s="69"/>
      <c r="N521" s="69"/>
      <c r="O521" s="69"/>
      <c r="P521" s="2"/>
      <c r="Q521" s="2"/>
      <c r="R521" s="32"/>
      <c r="S521" s="32"/>
      <c r="T521" s="32"/>
      <c r="U521" s="32"/>
      <c r="V521" s="2"/>
      <c r="W521" s="2"/>
      <c r="X521" s="2"/>
      <c r="Y521" s="2"/>
      <c r="Z521" s="2"/>
    </row>
    <row r="522" spans="1:26" ht="13.8" x14ac:dyDescent="0.3">
      <c r="A522" s="2"/>
      <c r="B522" s="2"/>
      <c r="C522" s="10"/>
      <c r="D522" s="10"/>
      <c r="E522" s="10"/>
      <c r="F522" s="10"/>
      <c r="G522" s="69"/>
      <c r="H522" s="69"/>
      <c r="I522" s="69"/>
      <c r="J522" s="70"/>
      <c r="K522" s="69"/>
      <c r="L522" s="69"/>
      <c r="M522" s="69"/>
      <c r="N522" s="69"/>
      <c r="O522" s="69"/>
      <c r="P522" s="2"/>
      <c r="Q522" s="2"/>
      <c r="R522" s="32"/>
      <c r="S522" s="32"/>
      <c r="T522" s="32"/>
      <c r="U522" s="32"/>
      <c r="V522" s="2"/>
      <c r="W522" s="2"/>
      <c r="X522" s="2"/>
      <c r="Y522" s="2"/>
      <c r="Z522" s="2"/>
    </row>
    <row r="523" spans="1:26" ht="13.8" x14ac:dyDescent="0.3">
      <c r="A523" s="2"/>
      <c r="B523" s="2"/>
      <c r="C523" s="10"/>
      <c r="D523" s="10"/>
      <c r="E523" s="10"/>
      <c r="F523" s="10"/>
      <c r="G523" s="69"/>
      <c r="H523" s="69"/>
      <c r="I523" s="69"/>
      <c r="J523" s="70"/>
      <c r="K523" s="69"/>
      <c r="L523" s="69"/>
      <c r="M523" s="69"/>
      <c r="N523" s="69"/>
      <c r="O523" s="69"/>
      <c r="P523" s="2"/>
      <c r="Q523" s="2"/>
      <c r="R523" s="32"/>
      <c r="S523" s="32"/>
      <c r="T523" s="32"/>
      <c r="U523" s="32"/>
      <c r="V523" s="2"/>
      <c r="W523" s="2"/>
      <c r="X523" s="2"/>
      <c r="Y523" s="2"/>
      <c r="Z523" s="2"/>
    </row>
    <row r="524" spans="1:26" ht="13.8" x14ac:dyDescent="0.3">
      <c r="A524" s="2"/>
      <c r="B524" s="2"/>
      <c r="C524" s="10"/>
      <c r="D524" s="10"/>
      <c r="E524" s="10"/>
      <c r="F524" s="10"/>
      <c r="G524" s="69"/>
      <c r="H524" s="69"/>
      <c r="I524" s="69"/>
      <c r="J524" s="70"/>
      <c r="K524" s="69"/>
      <c r="L524" s="69"/>
      <c r="M524" s="69"/>
      <c r="N524" s="69"/>
      <c r="O524" s="69"/>
      <c r="P524" s="2"/>
      <c r="Q524" s="2"/>
      <c r="R524" s="32"/>
      <c r="S524" s="32"/>
      <c r="T524" s="32"/>
      <c r="U524" s="32"/>
      <c r="V524" s="2"/>
      <c r="W524" s="2"/>
      <c r="X524" s="2"/>
      <c r="Y524" s="2"/>
      <c r="Z524" s="2"/>
    </row>
    <row r="525" spans="1:26" ht="13.8" x14ac:dyDescent="0.3">
      <c r="A525" s="2"/>
      <c r="B525" s="2"/>
      <c r="C525" s="10"/>
      <c r="D525" s="10"/>
      <c r="E525" s="10"/>
      <c r="F525" s="10"/>
      <c r="G525" s="69"/>
      <c r="H525" s="69"/>
      <c r="I525" s="69"/>
      <c r="J525" s="70"/>
      <c r="K525" s="69"/>
      <c r="L525" s="69"/>
      <c r="M525" s="69"/>
      <c r="N525" s="69"/>
      <c r="O525" s="69"/>
      <c r="P525" s="2"/>
      <c r="Q525" s="2"/>
      <c r="R525" s="32"/>
      <c r="S525" s="32"/>
      <c r="T525" s="32"/>
      <c r="U525" s="32"/>
      <c r="V525" s="2"/>
      <c r="W525" s="2"/>
      <c r="X525" s="2"/>
      <c r="Y525" s="2"/>
      <c r="Z525" s="2"/>
    </row>
    <row r="526" spans="1:26" ht="13.8" x14ac:dyDescent="0.3">
      <c r="A526" s="2"/>
      <c r="B526" s="2"/>
      <c r="C526" s="10"/>
      <c r="D526" s="10"/>
      <c r="E526" s="10"/>
      <c r="F526" s="10"/>
      <c r="G526" s="69"/>
      <c r="H526" s="69"/>
      <c r="I526" s="69"/>
      <c r="J526" s="70"/>
      <c r="K526" s="69"/>
      <c r="L526" s="69"/>
      <c r="M526" s="69"/>
      <c r="N526" s="69"/>
      <c r="O526" s="69"/>
      <c r="P526" s="2"/>
      <c r="Q526" s="2"/>
      <c r="R526" s="32"/>
      <c r="S526" s="32"/>
      <c r="T526" s="32"/>
      <c r="U526" s="32"/>
      <c r="V526" s="2"/>
      <c r="W526" s="2"/>
      <c r="X526" s="2"/>
      <c r="Y526" s="2"/>
      <c r="Z526" s="2"/>
    </row>
    <row r="527" spans="1:26" ht="13.8" x14ac:dyDescent="0.3">
      <c r="A527" s="2"/>
      <c r="B527" s="2"/>
      <c r="C527" s="10"/>
      <c r="D527" s="10"/>
      <c r="E527" s="10"/>
      <c r="F527" s="10"/>
      <c r="G527" s="69"/>
      <c r="H527" s="69"/>
      <c r="I527" s="69"/>
      <c r="J527" s="70"/>
      <c r="K527" s="69"/>
      <c r="L527" s="69"/>
      <c r="M527" s="69"/>
      <c r="N527" s="69"/>
      <c r="O527" s="69"/>
      <c r="P527" s="2"/>
      <c r="Q527" s="2"/>
      <c r="R527" s="32"/>
      <c r="S527" s="32"/>
      <c r="T527" s="32"/>
      <c r="U527" s="32"/>
      <c r="V527" s="2"/>
      <c r="W527" s="2"/>
      <c r="X527" s="2"/>
      <c r="Y527" s="2"/>
      <c r="Z527" s="2"/>
    </row>
    <row r="528" spans="1:26" ht="13.8" x14ac:dyDescent="0.3">
      <c r="A528" s="2"/>
      <c r="B528" s="2"/>
      <c r="C528" s="10"/>
      <c r="D528" s="10"/>
      <c r="E528" s="10"/>
      <c r="F528" s="10"/>
      <c r="G528" s="69"/>
      <c r="H528" s="69"/>
      <c r="I528" s="69"/>
      <c r="J528" s="70"/>
      <c r="K528" s="69"/>
      <c r="L528" s="69"/>
      <c r="M528" s="69"/>
      <c r="N528" s="69"/>
      <c r="O528" s="69"/>
      <c r="P528" s="2"/>
      <c r="Q528" s="2"/>
      <c r="R528" s="32"/>
      <c r="S528" s="32"/>
      <c r="T528" s="32"/>
      <c r="U528" s="32"/>
      <c r="V528" s="2"/>
      <c r="W528" s="2"/>
      <c r="X528" s="2"/>
      <c r="Y528" s="2"/>
      <c r="Z528" s="2"/>
    </row>
    <row r="529" spans="1:26" ht="13.8" x14ac:dyDescent="0.3">
      <c r="A529" s="2"/>
      <c r="B529" s="2"/>
      <c r="C529" s="10"/>
      <c r="D529" s="10"/>
      <c r="E529" s="10"/>
      <c r="F529" s="10"/>
      <c r="G529" s="69"/>
      <c r="H529" s="69"/>
      <c r="I529" s="69"/>
      <c r="J529" s="70"/>
      <c r="K529" s="69"/>
      <c r="L529" s="69"/>
      <c r="M529" s="69"/>
      <c r="N529" s="69"/>
      <c r="O529" s="69"/>
      <c r="P529" s="2"/>
      <c r="Q529" s="2"/>
      <c r="R529" s="32"/>
      <c r="S529" s="32"/>
      <c r="T529" s="32"/>
      <c r="U529" s="32"/>
      <c r="V529" s="2"/>
      <c r="W529" s="2"/>
      <c r="X529" s="2"/>
      <c r="Y529" s="2"/>
      <c r="Z529" s="2"/>
    </row>
    <row r="530" spans="1:26" ht="13.8" x14ac:dyDescent="0.3">
      <c r="A530" s="2"/>
      <c r="B530" s="2"/>
      <c r="C530" s="10"/>
      <c r="D530" s="10"/>
      <c r="E530" s="10"/>
      <c r="F530" s="10"/>
      <c r="G530" s="69"/>
      <c r="H530" s="69"/>
      <c r="I530" s="69"/>
      <c r="J530" s="70"/>
      <c r="K530" s="69"/>
      <c r="L530" s="69"/>
      <c r="M530" s="69"/>
      <c r="N530" s="69"/>
      <c r="O530" s="69"/>
      <c r="P530" s="2"/>
      <c r="Q530" s="2"/>
      <c r="R530" s="32"/>
      <c r="S530" s="32"/>
      <c r="T530" s="32"/>
      <c r="U530" s="32"/>
      <c r="V530" s="2"/>
      <c r="W530" s="2"/>
      <c r="X530" s="2"/>
      <c r="Y530" s="2"/>
      <c r="Z530" s="2"/>
    </row>
    <row r="531" spans="1:26" ht="13.8" x14ac:dyDescent="0.3">
      <c r="A531" s="2"/>
      <c r="B531" s="2"/>
      <c r="C531" s="10"/>
      <c r="D531" s="10"/>
      <c r="E531" s="10"/>
      <c r="F531" s="10"/>
      <c r="G531" s="69"/>
      <c r="H531" s="69"/>
      <c r="I531" s="69"/>
      <c r="J531" s="70"/>
      <c r="K531" s="69"/>
      <c r="L531" s="69"/>
      <c r="M531" s="69"/>
      <c r="N531" s="69"/>
      <c r="O531" s="69"/>
      <c r="P531" s="2"/>
      <c r="Q531" s="2"/>
      <c r="R531" s="32"/>
      <c r="S531" s="32"/>
      <c r="T531" s="32"/>
      <c r="U531" s="32"/>
      <c r="V531" s="2"/>
      <c r="W531" s="2"/>
      <c r="X531" s="2"/>
      <c r="Y531" s="2"/>
      <c r="Z531" s="2"/>
    </row>
    <row r="532" spans="1:26" ht="13.8" x14ac:dyDescent="0.3">
      <c r="A532" s="2"/>
      <c r="B532" s="2"/>
      <c r="C532" s="10"/>
      <c r="D532" s="10"/>
      <c r="E532" s="10"/>
      <c r="F532" s="10"/>
      <c r="G532" s="69"/>
      <c r="H532" s="69"/>
      <c r="I532" s="69"/>
      <c r="J532" s="70"/>
      <c r="K532" s="69"/>
      <c r="L532" s="69"/>
      <c r="M532" s="69"/>
      <c r="N532" s="69"/>
      <c r="O532" s="69"/>
      <c r="P532" s="2"/>
      <c r="Q532" s="2"/>
      <c r="R532" s="32"/>
      <c r="S532" s="32"/>
      <c r="T532" s="32"/>
      <c r="U532" s="32"/>
      <c r="V532" s="2"/>
      <c r="W532" s="2"/>
      <c r="X532" s="2"/>
      <c r="Y532" s="2"/>
      <c r="Z532" s="2"/>
    </row>
    <row r="533" spans="1:26" ht="13.8" x14ac:dyDescent="0.3">
      <c r="A533" s="2"/>
      <c r="B533" s="2"/>
      <c r="C533" s="10"/>
      <c r="D533" s="10"/>
      <c r="E533" s="10"/>
      <c r="F533" s="10"/>
      <c r="G533" s="69"/>
      <c r="H533" s="69"/>
      <c r="I533" s="69"/>
      <c r="J533" s="70"/>
      <c r="K533" s="69"/>
      <c r="L533" s="69"/>
      <c r="M533" s="69"/>
      <c r="N533" s="69"/>
      <c r="O533" s="69"/>
      <c r="P533" s="2"/>
      <c r="Q533" s="2"/>
      <c r="R533" s="32"/>
      <c r="S533" s="32"/>
      <c r="T533" s="32"/>
      <c r="U533" s="32"/>
      <c r="V533" s="2"/>
      <c r="W533" s="2"/>
      <c r="X533" s="2"/>
      <c r="Y533" s="2"/>
      <c r="Z533" s="2"/>
    </row>
    <row r="534" spans="1:26" ht="13.8" x14ac:dyDescent="0.3">
      <c r="A534" s="2"/>
      <c r="B534" s="2"/>
      <c r="C534" s="10"/>
      <c r="D534" s="10"/>
      <c r="E534" s="10"/>
      <c r="F534" s="10"/>
      <c r="G534" s="69"/>
      <c r="H534" s="69"/>
      <c r="I534" s="69"/>
      <c r="J534" s="70"/>
      <c r="K534" s="69"/>
      <c r="L534" s="69"/>
      <c r="M534" s="69"/>
      <c r="N534" s="69"/>
      <c r="O534" s="69"/>
      <c r="P534" s="2"/>
      <c r="Q534" s="2"/>
      <c r="R534" s="32"/>
      <c r="S534" s="32"/>
      <c r="T534" s="32"/>
      <c r="U534" s="32"/>
      <c r="V534" s="2"/>
      <c r="W534" s="2"/>
      <c r="X534" s="2"/>
      <c r="Y534" s="2"/>
      <c r="Z534" s="2"/>
    </row>
    <row r="535" spans="1:26" ht="13.8" x14ac:dyDescent="0.3">
      <c r="A535" s="2"/>
      <c r="B535" s="2"/>
      <c r="C535" s="10"/>
      <c r="D535" s="10"/>
      <c r="E535" s="10"/>
      <c r="F535" s="10"/>
      <c r="G535" s="69"/>
      <c r="H535" s="69"/>
      <c r="I535" s="69"/>
      <c r="J535" s="70"/>
      <c r="K535" s="69"/>
      <c r="L535" s="69"/>
      <c r="M535" s="69"/>
      <c r="N535" s="69"/>
      <c r="O535" s="69"/>
      <c r="P535" s="2"/>
      <c r="Q535" s="2"/>
      <c r="R535" s="32"/>
      <c r="S535" s="32"/>
      <c r="T535" s="32"/>
      <c r="U535" s="32"/>
      <c r="V535" s="2"/>
      <c r="W535" s="2"/>
      <c r="X535" s="2"/>
      <c r="Y535" s="2"/>
      <c r="Z535" s="2"/>
    </row>
    <row r="536" spans="1:26" ht="13.8" x14ac:dyDescent="0.3">
      <c r="A536" s="2"/>
      <c r="B536" s="2"/>
      <c r="C536" s="10"/>
      <c r="D536" s="10"/>
      <c r="E536" s="10"/>
      <c r="F536" s="10"/>
      <c r="G536" s="69"/>
      <c r="H536" s="69"/>
      <c r="I536" s="69"/>
      <c r="J536" s="70"/>
      <c r="K536" s="69"/>
      <c r="L536" s="69"/>
      <c r="M536" s="69"/>
      <c r="N536" s="69"/>
      <c r="O536" s="69"/>
      <c r="P536" s="2"/>
      <c r="Q536" s="2"/>
      <c r="R536" s="32"/>
      <c r="S536" s="32"/>
      <c r="T536" s="32"/>
      <c r="U536" s="32"/>
      <c r="V536" s="2"/>
      <c r="W536" s="2"/>
      <c r="X536" s="2"/>
      <c r="Y536" s="2"/>
      <c r="Z536" s="2"/>
    </row>
    <row r="537" spans="1:26" ht="13.8" x14ac:dyDescent="0.3">
      <c r="A537" s="2"/>
      <c r="B537" s="2"/>
      <c r="C537" s="10"/>
      <c r="D537" s="10"/>
      <c r="E537" s="10"/>
      <c r="F537" s="10"/>
      <c r="G537" s="69"/>
      <c r="H537" s="69"/>
      <c r="I537" s="69"/>
      <c r="J537" s="70"/>
      <c r="K537" s="69"/>
      <c r="L537" s="69"/>
      <c r="M537" s="69"/>
      <c r="N537" s="69"/>
      <c r="O537" s="69"/>
      <c r="P537" s="2"/>
      <c r="Q537" s="2"/>
      <c r="R537" s="32"/>
      <c r="S537" s="32"/>
      <c r="T537" s="32"/>
      <c r="U537" s="32"/>
      <c r="V537" s="2"/>
      <c r="W537" s="2"/>
      <c r="X537" s="2"/>
      <c r="Y537" s="2"/>
      <c r="Z537" s="2"/>
    </row>
    <row r="538" spans="1:26" ht="13.8" x14ac:dyDescent="0.3">
      <c r="A538" s="2"/>
      <c r="B538" s="2"/>
      <c r="C538" s="10"/>
      <c r="D538" s="10"/>
      <c r="E538" s="10"/>
      <c r="F538" s="10"/>
      <c r="G538" s="69"/>
      <c r="H538" s="69"/>
      <c r="I538" s="69"/>
      <c r="J538" s="70"/>
      <c r="K538" s="69"/>
      <c r="L538" s="69"/>
      <c r="M538" s="69"/>
      <c r="N538" s="69"/>
      <c r="O538" s="69"/>
      <c r="P538" s="2"/>
      <c r="Q538" s="2"/>
      <c r="R538" s="32"/>
      <c r="S538" s="32"/>
      <c r="T538" s="32"/>
      <c r="U538" s="32"/>
      <c r="V538" s="2"/>
      <c r="W538" s="2"/>
      <c r="X538" s="2"/>
      <c r="Y538" s="2"/>
      <c r="Z538" s="2"/>
    </row>
    <row r="539" spans="1:26" ht="13.8" x14ac:dyDescent="0.3">
      <c r="A539" s="2"/>
      <c r="B539" s="2"/>
      <c r="C539" s="10"/>
      <c r="D539" s="10"/>
      <c r="E539" s="10"/>
      <c r="F539" s="10"/>
      <c r="G539" s="69"/>
      <c r="H539" s="69"/>
      <c r="I539" s="69"/>
      <c r="J539" s="70"/>
      <c r="K539" s="69"/>
      <c r="L539" s="69"/>
      <c r="M539" s="69"/>
      <c r="N539" s="69"/>
      <c r="O539" s="69"/>
      <c r="P539" s="2"/>
      <c r="Q539" s="2"/>
      <c r="R539" s="32"/>
      <c r="S539" s="32"/>
      <c r="T539" s="32"/>
      <c r="U539" s="32"/>
      <c r="V539" s="2"/>
      <c r="W539" s="2"/>
      <c r="X539" s="2"/>
      <c r="Y539" s="2"/>
      <c r="Z539" s="2"/>
    </row>
    <row r="540" spans="1:26" ht="13.8" x14ac:dyDescent="0.3">
      <c r="A540" s="2"/>
      <c r="B540" s="2"/>
      <c r="C540" s="10"/>
      <c r="D540" s="10"/>
      <c r="E540" s="10"/>
      <c r="F540" s="10"/>
      <c r="G540" s="69"/>
      <c r="H540" s="69"/>
      <c r="I540" s="69"/>
      <c r="J540" s="70"/>
      <c r="K540" s="69"/>
      <c r="L540" s="69"/>
      <c r="M540" s="69"/>
      <c r="N540" s="69"/>
      <c r="O540" s="69"/>
      <c r="P540" s="2"/>
      <c r="Q540" s="2"/>
      <c r="R540" s="32"/>
      <c r="S540" s="32"/>
      <c r="T540" s="32"/>
      <c r="U540" s="32"/>
      <c r="V540" s="2"/>
      <c r="W540" s="2"/>
      <c r="X540" s="2"/>
      <c r="Y540" s="2"/>
      <c r="Z540" s="2"/>
    </row>
    <row r="541" spans="1:26" ht="13.8" x14ac:dyDescent="0.3">
      <c r="A541" s="2"/>
      <c r="B541" s="2"/>
      <c r="C541" s="10"/>
      <c r="D541" s="10"/>
      <c r="E541" s="10"/>
      <c r="F541" s="10"/>
      <c r="G541" s="69"/>
      <c r="H541" s="69"/>
      <c r="I541" s="69"/>
      <c r="J541" s="70"/>
      <c r="K541" s="69"/>
      <c r="L541" s="69"/>
      <c r="M541" s="69"/>
      <c r="N541" s="69"/>
      <c r="O541" s="69"/>
      <c r="P541" s="2"/>
      <c r="Q541" s="2"/>
      <c r="R541" s="32"/>
      <c r="S541" s="32"/>
      <c r="T541" s="32"/>
      <c r="U541" s="32"/>
      <c r="V541" s="2"/>
      <c r="W541" s="2"/>
      <c r="X541" s="2"/>
      <c r="Y541" s="2"/>
      <c r="Z541" s="2"/>
    </row>
    <row r="542" spans="1:26" ht="13.8" x14ac:dyDescent="0.3">
      <c r="A542" s="2"/>
      <c r="B542" s="2"/>
      <c r="C542" s="10"/>
      <c r="D542" s="10"/>
      <c r="E542" s="10"/>
      <c r="F542" s="10"/>
      <c r="G542" s="69"/>
      <c r="H542" s="69"/>
      <c r="I542" s="69"/>
      <c r="J542" s="70"/>
      <c r="K542" s="69"/>
      <c r="L542" s="69"/>
      <c r="M542" s="69"/>
      <c r="N542" s="69"/>
      <c r="O542" s="69"/>
      <c r="P542" s="2"/>
      <c r="Q542" s="2"/>
      <c r="R542" s="32"/>
      <c r="S542" s="32"/>
      <c r="T542" s="32"/>
      <c r="U542" s="32"/>
      <c r="V542" s="2"/>
      <c r="W542" s="2"/>
      <c r="X542" s="2"/>
      <c r="Y542" s="2"/>
      <c r="Z542" s="2"/>
    </row>
    <row r="543" spans="1:26" ht="13.8" x14ac:dyDescent="0.3">
      <c r="A543" s="2"/>
      <c r="B543" s="2"/>
      <c r="C543" s="10"/>
      <c r="D543" s="10"/>
      <c r="E543" s="10"/>
      <c r="F543" s="10"/>
      <c r="G543" s="69"/>
      <c r="H543" s="69"/>
      <c r="I543" s="69"/>
      <c r="J543" s="70"/>
      <c r="K543" s="69"/>
      <c r="L543" s="69"/>
      <c r="M543" s="69"/>
      <c r="N543" s="69"/>
      <c r="O543" s="69"/>
      <c r="P543" s="2"/>
      <c r="Q543" s="2"/>
      <c r="R543" s="32"/>
      <c r="S543" s="32"/>
      <c r="T543" s="32"/>
      <c r="U543" s="32"/>
      <c r="V543" s="2"/>
      <c r="W543" s="2"/>
      <c r="X543" s="2"/>
      <c r="Y543" s="2"/>
      <c r="Z543" s="2"/>
    </row>
    <row r="544" spans="1:26" ht="13.8" x14ac:dyDescent="0.3">
      <c r="A544" s="2"/>
      <c r="B544" s="2"/>
      <c r="C544" s="10"/>
      <c r="D544" s="10"/>
      <c r="E544" s="10"/>
      <c r="F544" s="10"/>
      <c r="G544" s="69"/>
      <c r="H544" s="69"/>
      <c r="I544" s="69"/>
      <c r="J544" s="70"/>
      <c r="K544" s="69"/>
      <c r="L544" s="69"/>
      <c r="M544" s="69"/>
      <c r="N544" s="69"/>
      <c r="O544" s="69"/>
      <c r="P544" s="2"/>
      <c r="Q544" s="2"/>
      <c r="R544" s="32"/>
      <c r="S544" s="32"/>
      <c r="T544" s="32"/>
      <c r="U544" s="32"/>
      <c r="V544" s="2"/>
      <c r="W544" s="2"/>
      <c r="X544" s="2"/>
      <c r="Y544" s="2"/>
      <c r="Z544" s="2"/>
    </row>
    <row r="545" spans="1:26" ht="13.8" x14ac:dyDescent="0.3">
      <c r="A545" s="2"/>
      <c r="B545" s="2"/>
      <c r="C545" s="10"/>
      <c r="D545" s="10"/>
      <c r="E545" s="10"/>
      <c r="F545" s="10"/>
      <c r="G545" s="69"/>
      <c r="H545" s="69"/>
      <c r="I545" s="69"/>
      <c r="J545" s="70"/>
      <c r="K545" s="69"/>
      <c r="L545" s="69"/>
      <c r="M545" s="69"/>
      <c r="N545" s="69"/>
      <c r="O545" s="69"/>
      <c r="P545" s="2"/>
      <c r="Q545" s="2"/>
      <c r="R545" s="32"/>
      <c r="S545" s="32"/>
      <c r="T545" s="32"/>
      <c r="U545" s="32"/>
      <c r="V545" s="2"/>
      <c r="W545" s="2"/>
      <c r="X545" s="2"/>
      <c r="Y545" s="2"/>
      <c r="Z545" s="2"/>
    </row>
    <row r="546" spans="1:26" ht="13.8" x14ac:dyDescent="0.3">
      <c r="A546" s="2"/>
      <c r="B546" s="2"/>
      <c r="C546" s="10"/>
      <c r="D546" s="10"/>
      <c r="E546" s="10"/>
      <c r="F546" s="10"/>
      <c r="G546" s="69"/>
      <c r="H546" s="69"/>
      <c r="I546" s="69"/>
      <c r="J546" s="70"/>
      <c r="K546" s="69"/>
      <c r="L546" s="69"/>
      <c r="M546" s="69"/>
      <c r="N546" s="69"/>
      <c r="O546" s="69"/>
      <c r="P546" s="2"/>
      <c r="Q546" s="2"/>
      <c r="R546" s="32"/>
      <c r="S546" s="32"/>
      <c r="T546" s="32"/>
      <c r="U546" s="32"/>
      <c r="V546" s="2"/>
      <c r="W546" s="2"/>
      <c r="X546" s="2"/>
      <c r="Y546" s="2"/>
      <c r="Z546" s="2"/>
    </row>
    <row r="547" spans="1:26" ht="13.8" x14ac:dyDescent="0.3">
      <c r="A547" s="2"/>
      <c r="B547" s="2"/>
      <c r="C547" s="10"/>
      <c r="D547" s="10"/>
      <c r="E547" s="10"/>
      <c r="F547" s="10"/>
      <c r="G547" s="69"/>
      <c r="H547" s="69"/>
      <c r="I547" s="69"/>
      <c r="J547" s="70"/>
      <c r="K547" s="69"/>
      <c r="L547" s="69"/>
      <c r="M547" s="69"/>
      <c r="N547" s="69"/>
      <c r="O547" s="69"/>
      <c r="P547" s="2"/>
      <c r="Q547" s="2"/>
      <c r="R547" s="32"/>
      <c r="S547" s="32"/>
      <c r="T547" s="32"/>
      <c r="U547" s="32"/>
      <c r="V547" s="2"/>
      <c r="W547" s="2"/>
      <c r="X547" s="2"/>
      <c r="Y547" s="2"/>
      <c r="Z547" s="2"/>
    </row>
    <row r="548" spans="1:26" ht="13.8" x14ac:dyDescent="0.3">
      <c r="A548" s="2"/>
      <c r="B548" s="2"/>
      <c r="C548" s="10"/>
      <c r="D548" s="10"/>
      <c r="E548" s="10"/>
      <c r="F548" s="10"/>
      <c r="G548" s="69"/>
      <c r="H548" s="69"/>
      <c r="I548" s="69"/>
      <c r="J548" s="70"/>
      <c r="K548" s="69"/>
      <c r="L548" s="69"/>
      <c r="M548" s="69"/>
      <c r="N548" s="69"/>
      <c r="O548" s="69"/>
      <c r="P548" s="2"/>
      <c r="Q548" s="2"/>
      <c r="R548" s="32"/>
      <c r="S548" s="32"/>
      <c r="T548" s="32"/>
      <c r="U548" s="32"/>
      <c r="V548" s="2"/>
      <c r="W548" s="2"/>
      <c r="X548" s="2"/>
      <c r="Y548" s="2"/>
      <c r="Z548" s="2"/>
    </row>
    <row r="549" spans="1:26" ht="13.8" x14ac:dyDescent="0.3">
      <c r="A549" s="2"/>
      <c r="B549" s="2"/>
      <c r="C549" s="10"/>
      <c r="D549" s="10"/>
      <c r="E549" s="10"/>
      <c r="F549" s="10"/>
      <c r="G549" s="69"/>
      <c r="H549" s="69"/>
      <c r="I549" s="69"/>
      <c r="J549" s="70"/>
      <c r="K549" s="69"/>
      <c r="L549" s="69"/>
      <c r="M549" s="69"/>
      <c r="N549" s="69"/>
      <c r="O549" s="69"/>
      <c r="P549" s="2"/>
      <c r="Q549" s="2"/>
      <c r="R549" s="32"/>
      <c r="S549" s="32"/>
      <c r="T549" s="32"/>
      <c r="U549" s="32"/>
      <c r="V549" s="2"/>
      <c r="W549" s="2"/>
      <c r="X549" s="2"/>
      <c r="Y549" s="2"/>
      <c r="Z549" s="2"/>
    </row>
    <row r="550" spans="1:26" ht="13.8" x14ac:dyDescent="0.3">
      <c r="A550" s="2"/>
      <c r="B550" s="2"/>
      <c r="C550" s="10"/>
      <c r="D550" s="10"/>
      <c r="E550" s="10"/>
      <c r="F550" s="10"/>
      <c r="G550" s="69"/>
      <c r="H550" s="69"/>
      <c r="I550" s="69"/>
      <c r="J550" s="70"/>
      <c r="K550" s="69"/>
      <c r="L550" s="69"/>
      <c r="M550" s="69"/>
      <c r="N550" s="69"/>
      <c r="O550" s="69"/>
      <c r="P550" s="2"/>
      <c r="Q550" s="2"/>
      <c r="R550" s="32"/>
      <c r="S550" s="32"/>
      <c r="T550" s="32"/>
      <c r="U550" s="32"/>
      <c r="V550" s="2"/>
      <c r="W550" s="2"/>
      <c r="X550" s="2"/>
      <c r="Y550" s="2"/>
      <c r="Z550" s="2"/>
    </row>
    <row r="551" spans="1:26" ht="13.8" x14ac:dyDescent="0.3">
      <c r="A551" s="2"/>
      <c r="B551" s="2"/>
      <c r="C551" s="10"/>
      <c r="D551" s="10"/>
      <c r="E551" s="10"/>
      <c r="F551" s="10"/>
      <c r="G551" s="69"/>
      <c r="H551" s="69"/>
      <c r="I551" s="69"/>
      <c r="J551" s="70"/>
      <c r="K551" s="69"/>
      <c r="L551" s="69"/>
      <c r="M551" s="69"/>
      <c r="N551" s="69"/>
      <c r="O551" s="69"/>
      <c r="P551" s="2"/>
      <c r="Q551" s="2"/>
      <c r="R551" s="32"/>
      <c r="S551" s="32"/>
      <c r="T551" s="32"/>
      <c r="U551" s="32"/>
      <c r="V551" s="2"/>
      <c r="W551" s="2"/>
      <c r="X551" s="2"/>
      <c r="Y551" s="2"/>
      <c r="Z551" s="2"/>
    </row>
    <row r="552" spans="1:26" ht="13.8" x14ac:dyDescent="0.3">
      <c r="A552" s="2"/>
      <c r="B552" s="2"/>
      <c r="C552" s="10"/>
      <c r="D552" s="10"/>
      <c r="E552" s="10"/>
      <c r="F552" s="10"/>
      <c r="G552" s="69"/>
      <c r="H552" s="69"/>
      <c r="I552" s="69"/>
      <c r="J552" s="70"/>
      <c r="K552" s="69"/>
      <c r="L552" s="69"/>
      <c r="M552" s="69"/>
      <c r="N552" s="69"/>
      <c r="O552" s="69"/>
      <c r="P552" s="2"/>
      <c r="Q552" s="2"/>
      <c r="R552" s="32"/>
      <c r="S552" s="32"/>
      <c r="T552" s="32"/>
      <c r="U552" s="32"/>
      <c r="V552" s="2"/>
      <c r="W552" s="2"/>
      <c r="X552" s="2"/>
      <c r="Y552" s="2"/>
      <c r="Z552" s="2"/>
    </row>
    <row r="553" spans="1:26" ht="13.8" x14ac:dyDescent="0.3">
      <c r="A553" s="2"/>
      <c r="B553" s="2"/>
      <c r="C553" s="10"/>
      <c r="D553" s="10"/>
      <c r="E553" s="10"/>
      <c r="F553" s="10"/>
      <c r="G553" s="69"/>
      <c r="H553" s="69"/>
      <c r="I553" s="69"/>
      <c r="J553" s="70"/>
      <c r="K553" s="69"/>
      <c r="L553" s="69"/>
      <c r="M553" s="69"/>
      <c r="N553" s="69"/>
      <c r="O553" s="69"/>
      <c r="P553" s="2"/>
      <c r="Q553" s="2"/>
      <c r="R553" s="32"/>
      <c r="S553" s="32"/>
      <c r="T553" s="32"/>
      <c r="U553" s="32"/>
      <c r="V553" s="2"/>
      <c r="W553" s="2"/>
      <c r="X553" s="2"/>
      <c r="Y553" s="2"/>
      <c r="Z553" s="2"/>
    </row>
    <row r="554" spans="1:26" ht="13.8" x14ac:dyDescent="0.3">
      <c r="A554" s="2"/>
      <c r="B554" s="2"/>
      <c r="C554" s="10"/>
      <c r="D554" s="10"/>
      <c r="E554" s="10"/>
      <c r="F554" s="10"/>
      <c r="G554" s="69"/>
      <c r="H554" s="69"/>
      <c r="I554" s="69"/>
      <c r="J554" s="70"/>
      <c r="K554" s="69"/>
      <c r="L554" s="69"/>
      <c r="M554" s="69"/>
      <c r="N554" s="69"/>
      <c r="O554" s="69"/>
      <c r="P554" s="2"/>
      <c r="Q554" s="2"/>
      <c r="R554" s="32"/>
      <c r="S554" s="32"/>
      <c r="T554" s="32"/>
      <c r="U554" s="32"/>
      <c r="V554" s="2"/>
      <c r="W554" s="2"/>
      <c r="X554" s="2"/>
      <c r="Y554" s="2"/>
      <c r="Z554" s="2"/>
    </row>
    <row r="555" spans="1:26" ht="13.8" x14ac:dyDescent="0.3">
      <c r="A555" s="2"/>
      <c r="B555" s="2"/>
      <c r="C555" s="10"/>
      <c r="D555" s="10"/>
      <c r="E555" s="10"/>
      <c r="F555" s="10"/>
      <c r="G555" s="69"/>
      <c r="H555" s="69"/>
      <c r="I555" s="69"/>
      <c r="J555" s="70"/>
      <c r="K555" s="69"/>
      <c r="L555" s="69"/>
      <c r="M555" s="69"/>
      <c r="N555" s="69"/>
      <c r="O555" s="69"/>
      <c r="P555" s="2"/>
      <c r="Q555" s="2"/>
      <c r="R555" s="32"/>
      <c r="S555" s="32"/>
      <c r="T555" s="32"/>
      <c r="U555" s="32"/>
      <c r="V555" s="2"/>
      <c r="W555" s="2"/>
      <c r="X555" s="2"/>
      <c r="Y555" s="2"/>
      <c r="Z555" s="2"/>
    </row>
    <row r="556" spans="1:26" ht="13.8" x14ac:dyDescent="0.3">
      <c r="A556" s="2"/>
      <c r="B556" s="2"/>
      <c r="C556" s="10"/>
      <c r="D556" s="10"/>
      <c r="E556" s="10"/>
      <c r="F556" s="10"/>
      <c r="G556" s="69"/>
      <c r="H556" s="69"/>
      <c r="I556" s="69"/>
      <c r="J556" s="70"/>
      <c r="K556" s="69"/>
      <c r="L556" s="69"/>
      <c r="M556" s="69"/>
      <c r="N556" s="69"/>
      <c r="O556" s="69"/>
      <c r="P556" s="2"/>
      <c r="Q556" s="2"/>
      <c r="R556" s="32"/>
      <c r="S556" s="32"/>
      <c r="T556" s="32"/>
      <c r="U556" s="32"/>
      <c r="V556" s="2"/>
      <c r="W556" s="2"/>
      <c r="X556" s="2"/>
      <c r="Y556" s="2"/>
      <c r="Z556" s="2"/>
    </row>
    <row r="557" spans="1:26" ht="13.8" x14ac:dyDescent="0.3">
      <c r="A557" s="2"/>
      <c r="B557" s="2"/>
      <c r="C557" s="10"/>
      <c r="D557" s="10"/>
      <c r="E557" s="10"/>
      <c r="F557" s="10"/>
      <c r="G557" s="69"/>
      <c r="H557" s="69"/>
      <c r="I557" s="69"/>
      <c r="J557" s="70"/>
      <c r="K557" s="69"/>
      <c r="L557" s="69"/>
      <c r="M557" s="69"/>
      <c r="N557" s="69"/>
      <c r="O557" s="69"/>
      <c r="P557" s="2"/>
      <c r="Q557" s="2"/>
      <c r="R557" s="32"/>
      <c r="S557" s="32"/>
      <c r="T557" s="32"/>
      <c r="U557" s="32"/>
      <c r="V557" s="2"/>
      <c r="W557" s="2"/>
      <c r="X557" s="2"/>
      <c r="Y557" s="2"/>
      <c r="Z557" s="2"/>
    </row>
    <row r="558" spans="1:26" ht="13.8" x14ac:dyDescent="0.3">
      <c r="A558" s="2"/>
      <c r="B558" s="2"/>
      <c r="C558" s="10"/>
      <c r="D558" s="10"/>
      <c r="E558" s="10"/>
      <c r="F558" s="10"/>
      <c r="G558" s="69"/>
      <c r="H558" s="69"/>
      <c r="I558" s="69"/>
      <c r="J558" s="70"/>
      <c r="K558" s="69"/>
      <c r="L558" s="69"/>
      <c r="M558" s="69"/>
      <c r="N558" s="69"/>
      <c r="O558" s="69"/>
      <c r="P558" s="2"/>
      <c r="Q558" s="2"/>
      <c r="R558" s="32"/>
      <c r="S558" s="32"/>
      <c r="T558" s="32"/>
      <c r="U558" s="32"/>
      <c r="V558" s="2"/>
      <c r="W558" s="2"/>
      <c r="X558" s="2"/>
      <c r="Y558" s="2"/>
      <c r="Z558" s="2"/>
    </row>
    <row r="559" spans="1:26" ht="13.8" x14ac:dyDescent="0.3">
      <c r="A559" s="2"/>
      <c r="B559" s="2"/>
      <c r="C559" s="10"/>
      <c r="D559" s="10"/>
      <c r="E559" s="10"/>
      <c r="F559" s="10"/>
      <c r="G559" s="69"/>
      <c r="H559" s="69"/>
      <c r="I559" s="69"/>
      <c r="J559" s="70"/>
      <c r="K559" s="69"/>
      <c r="L559" s="69"/>
      <c r="M559" s="69"/>
      <c r="N559" s="69"/>
      <c r="O559" s="69"/>
      <c r="P559" s="2"/>
      <c r="Q559" s="2"/>
      <c r="R559" s="32"/>
      <c r="S559" s="32"/>
      <c r="T559" s="32"/>
      <c r="U559" s="32"/>
      <c r="V559" s="2"/>
      <c r="W559" s="2"/>
      <c r="X559" s="2"/>
      <c r="Y559" s="2"/>
      <c r="Z559" s="2"/>
    </row>
    <row r="560" spans="1:26" ht="13.8" x14ac:dyDescent="0.3">
      <c r="A560" s="2"/>
      <c r="B560" s="2"/>
      <c r="C560" s="10"/>
      <c r="D560" s="10"/>
      <c r="E560" s="10"/>
      <c r="F560" s="10"/>
      <c r="G560" s="69"/>
      <c r="H560" s="69"/>
      <c r="I560" s="69"/>
      <c r="J560" s="70"/>
      <c r="K560" s="69"/>
      <c r="L560" s="69"/>
      <c r="M560" s="69"/>
      <c r="N560" s="69"/>
      <c r="O560" s="69"/>
      <c r="P560" s="2"/>
      <c r="Q560" s="2"/>
      <c r="R560" s="32"/>
      <c r="S560" s="32"/>
      <c r="T560" s="32"/>
      <c r="U560" s="32"/>
      <c r="V560" s="2"/>
      <c r="W560" s="2"/>
      <c r="X560" s="2"/>
      <c r="Y560" s="2"/>
      <c r="Z560" s="2"/>
    </row>
    <row r="561" spans="1:26" ht="13.8" x14ac:dyDescent="0.3">
      <c r="A561" s="2"/>
      <c r="B561" s="2"/>
      <c r="C561" s="10"/>
      <c r="D561" s="10"/>
      <c r="E561" s="10"/>
      <c r="F561" s="10"/>
      <c r="G561" s="69"/>
      <c r="H561" s="69"/>
      <c r="I561" s="69"/>
      <c r="J561" s="70"/>
      <c r="K561" s="69"/>
      <c r="L561" s="69"/>
      <c r="M561" s="69"/>
      <c r="N561" s="69"/>
      <c r="O561" s="69"/>
      <c r="P561" s="2"/>
      <c r="Q561" s="2"/>
      <c r="R561" s="32"/>
      <c r="S561" s="32"/>
      <c r="T561" s="32"/>
      <c r="U561" s="32"/>
      <c r="V561" s="2"/>
      <c r="W561" s="2"/>
      <c r="X561" s="2"/>
      <c r="Y561" s="2"/>
      <c r="Z561" s="2"/>
    </row>
    <row r="562" spans="1:26" ht="13.8" x14ac:dyDescent="0.3">
      <c r="A562" s="2"/>
      <c r="B562" s="2"/>
      <c r="C562" s="10"/>
      <c r="D562" s="10"/>
      <c r="E562" s="10"/>
      <c r="F562" s="10"/>
      <c r="G562" s="69"/>
      <c r="H562" s="69"/>
      <c r="I562" s="69"/>
      <c r="J562" s="70"/>
      <c r="K562" s="69"/>
      <c r="L562" s="69"/>
      <c r="M562" s="69"/>
      <c r="N562" s="69"/>
      <c r="O562" s="69"/>
      <c r="P562" s="2"/>
      <c r="Q562" s="2"/>
      <c r="R562" s="32"/>
      <c r="S562" s="32"/>
      <c r="T562" s="32"/>
      <c r="U562" s="32"/>
      <c r="V562" s="2"/>
      <c r="W562" s="2"/>
      <c r="X562" s="2"/>
      <c r="Y562" s="2"/>
      <c r="Z562" s="2"/>
    </row>
    <row r="563" spans="1:26" ht="13.8" x14ac:dyDescent="0.3">
      <c r="A563" s="2"/>
      <c r="B563" s="2"/>
      <c r="C563" s="10"/>
      <c r="D563" s="10"/>
      <c r="E563" s="10"/>
      <c r="F563" s="10"/>
      <c r="G563" s="69"/>
      <c r="H563" s="69"/>
      <c r="I563" s="69"/>
      <c r="J563" s="70"/>
      <c r="K563" s="69"/>
      <c r="L563" s="69"/>
      <c r="M563" s="69"/>
      <c r="N563" s="69"/>
      <c r="O563" s="69"/>
      <c r="P563" s="2"/>
      <c r="Q563" s="2"/>
      <c r="R563" s="32"/>
      <c r="S563" s="32"/>
      <c r="T563" s="32"/>
      <c r="U563" s="32"/>
      <c r="V563" s="2"/>
      <c r="W563" s="2"/>
      <c r="X563" s="2"/>
      <c r="Y563" s="2"/>
      <c r="Z563" s="2"/>
    </row>
    <row r="564" spans="1:26" ht="13.8" x14ac:dyDescent="0.3">
      <c r="A564" s="2"/>
      <c r="B564" s="2"/>
      <c r="C564" s="10"/>
      <c r="D564" s="10"/>
      <c r="E564" s="10"/>
      <c r="F564" s="10"/>
      <c r="G564" s="69"/>
      <c r="H564" s="69"/>
      <c r="I564" s="69"/>
      <c r="J564" s="70"/>
      <c r="K564" s="69"/>
      <c r="L564" s="69"/>
      <c r="M564" s="69"/>
      <c r="N564" s="69"/>
      <c r="O564" s="69"/>
      <c r="P564" s="2"/>
      <c r="Q564" s="2"/>
      <c r="R564" s="32"/>
      <c r="S564" s="32"/>
      <c r="T564" s="32"/>
      <c r="U564" s="32"/>
      <c r="V564" s="2"/>
      <c r="W564" s="2"/>
      <c r="X564" s="2"/>
      <c r="Y564" s="2"/>
      <c r="Z564" s="2"/>
    </row>
    <row r="565" spans="1:26" ht="13.8" x14ac:dyDescent="0.3">
      <c r="A565" s="2"/>
      <c r="B565" s="2"/>
      <c r="C565" s="10"/>
      <c r="D565" s="10"/>
      <c r="E565" s="10"/>
      <c r="F565" s="10"/>
      <c r="G565" s="69"/>
      <c r="H565" s="69"/>
      <c r="I565" s="69"/>
      <c r="J565" s="70"/>
      <c r="K565" s="69"/>
      <c r="L565" s="69"/>
      <c r="M565" s="69"/>
      <c r="N565" s="69"/>
      <c r="O565" s="69"/>
      <c r="P565" s="2"/>
      <c r="Q565" s="2"/>
      <c r="R565" s="32"/>
      <c r="S565" s="32"/>
      <c r="T565" s="32"/>
      <c r="U565" s="32"/>
      <c r="V565" s="2"/>
      <c r="W565" s="2"/>
      <c r="X565" s="2"/>
      <c r="Y565" s="2"/>
      <c r="Z565" s="2"/>
    </row>
    <row r="566" spans="1:26" ht="13.8" x14ac:dyDescent="0.3">
      <c r="A566" s="2"/>
      <c r="B566" s="2"/>
      <c r="C566" s="10"/>
      <c r="D566" s="10"/>
      <c r="E566" s="10"/>
      <c r="F566" s="10"/>
      <c r="G566" s="69"/>
      <c r="H566" s="69"/>
      <c r="I566" s="69"/>
      <c r="J566" s="70"/>
      <c r="K566" s="69"/>
      <c r="L566" s="69"/>
      <c r="M566" s="69"/>
      <c r="N566" s="69"/>
      <c r="O566" s="69"/>
      <c r="P566" s="2"/>
      <c r="Q566" s="2"/>
      <c r="R566" s="32"/>
      <c r="S566" s="32"/>
      <c r="T566" s="32"/>
      <c r="U566" s="32"/>
      <c r="V566" s="2"/>
      <c r="W566" s="2"/>
      <c r="X566" s="2"/>
      <c r="Y566" s="2"/>
      <c r="Z566" s="2"/>
    </row>
    <row r="567" spans="1:26" ht="13.8" x14ac:dyDescent="0.3">
      <c r="A567" s="2"/>
      <c r="B567" s="2"/>
      <c r="C567" s="10"/>
      <c r="D567" s="10"/>
      <c r="E567" s="10"/>
      <c r="F567" s="10"/>
      <c r="G567" s="69"/>
      <c r="H567" s="69"/>
      <c r="I567" s="69"/>
      <c r="J567" s="70"/>
      <c r="K567" s="69"/>
      <c r="L567" s="69"/>
      <c r="M567" s="69"/>
      <c r="N567" s="69"/>
      <c r="O567" s="69"/>
      <c r="P567" s="2"/>
      <c r="Q567" s="2"/>
      <c r="R567" s="32"/>
      <c r="S567" s="32"/>
      <c r="T567" s="32"/>
      <c r="U567" s="32"/>
      <c r="V567" s="2"/>
      <c r="W567" s="2"/>
      <c r="X567" s="2"/>
      <c r="Y567" s="2"/>
      <c r="Z567" s="2"/>
    </row>
    <row r="568" spans="1:26" ht="13.8" x14ac:dyDescent="0.3">
      <c r="A568" s="2"/>
      <c r="B568" s="2"/>
      <c r="C568" s="10"/>
      <c r="D568" s="10"/>
      <c r="E568" s="10"/>
      <c r="F568" s="10"/>
      <c r="G568" s="69"/>
      <c r="H568" s="69"/>
      <c r="I568" s="69"/>
      <c r="J568" s="70"/>
      <c r="K568" s="69"/>
      <c r="L568" s="69"/>
      <c r="M568" s="69"/>
      <c r="N568" s="69"/>
      <c r="O568" s="69"/>
      <c r="P568" s="2"/>
      <c r="Q568" s="2"/>
      <c r="R568" s="32"/>
      <c r="S568" s="32"/>
      <c r="T568" s="32"/>
      <c r="U568" s="32"/>
      <c r="V568" s="2"/>
      <c r="W568" s="2"/>
      <c r="X568" s="2"/>
      <c r="Y568" s="2"/>
      <c r="Z568" s="2"/>
    </row>
    <row r="569" spans="1:26" ht="13.8" x14ac:dyDescent="0.3">
      <c r="A569" s="2"/>
      <c r="B569" s="2"/>
      <c r="C569" s="10"/>
      <c r="D569" s="10"/>
      <c r="E569" s="10"/>
      <c r="F569" s="10"/>
      <c r="G569" s="69"/>
      <c r="H569" s="69"/>
      <c r="I569" s="69"/>
      <c r="J569" s="70"/>
      <c r="K569" s="69"/>
      <c r="L569" s="69"/>
      <c r="M569" s="69"/>
      <c r="N569" s="69"/>
      <c r="O569" s="69"/>
      <c r="P569" s="2"/>
      <c r="Q569" s="2"/>
      <c r="R569" s="32"/>
      <c r="S569" s="32"/>
      <c r="T569" s="32"/>
      <c r="U569" s="32"/>
      <c r="V569" s="2"/>
      <c r="W569" s="2"/>
      <c r="X569" s="2"/>
      <c r="Y569" s="2"/>
      <c r="Z569" s="2"/>
    </row>
    <row r="570" spans="1:26" ht="13.8" x14ac:dyDescent="0.3">
      <c r="A570" s="2"/>
      <c r="B570" s="2"/>
      <c r="C570" s="10"/>
      <c r="D570" s="10"/>
      <c r="E570" s="10"/>
      <c r="F570" s="10"/>
      <c r="G570" s="69"/>
      <c r="H570" s="69"/>
      <c r="I570" s="69"/>
      <c r="J570" s="70"/>
      <c r="K570" s="69"/>
      <c r="L570" s="69"/>
      <c r="M570" s="69"/>
      <c r="N570" s="69"/>
      <c r="O570" s="69"/>
      <c r="P570" s="2"/>
      <c r="Q570" s="2"/>
      <c r="R570" s="32"/>
      <c r="S570" s="32"/>
      <c r="T570" s="32"/>
      <c r="U570" s="32"/>
      <c r="V570" s="2"/>
      <c r="W570" s="2"/>
      <c r="X570" s="2"/>
      <c r="Y570" s="2"/>
      <c r="Z570" s="2"/>
    </row>
    <row r="571" spans="1:26" ht="13.8" x14ac:dyDescent="0.3">
      <c r="A571" s="2"/>
      <c r="B571" s="2"/>
      <c r="C571" s="10"/>
      <c r="D571" s="10"/>
      <c r="E571" s="10"/>
      <c r="F571" s="10"/>
      <c r="G571" s="69"/>
      <c r="H571" s="69"/>
      <c r="I571" s="69"/>
      <c r="J571" s="70"/>
      <c r="K571" s="69"/>
      <c r="L571" s="69"/>
      <c r="M571" s="69"/>
      <c r="N571" s="69"/>
      <c r="O571" s="69"/>
      <c r="P571" s="2"/>
      <c r="Q571" s="2"/>
      <c r="R571" s="32"/>
      <c r="S571" s="32"/>
      <c r="T571" s="32"/>
      <c r="U571" s="32"/>
      <c r="V571" s="2"/>
      <c r="W571" s="2"/>
      <c r="X571" s="2"/>
      <c r="Y571" s="2"/>
      <c r="Z571" s="2"/>
    </row>
    <row r="572" spans="1:26" ht="13.8" x14ac:dyDescent="0.3">
      <c r="A572" s="2"/>
      <c r="B572" s="2"/>
      <c r="C572" s="10"/>
      <c r="D572" s="10"/>
      <c r="E572" s="10"/>
      <c r="F572" s="10"/>
      <c r="G572" s="69"/>
      <c r="H572" s="69"/>
      <c r="I572" s="69"/>
      <c r="J572" s="70"/>
      <c r="K572" s="69"/>
      <c r="L572" s="69"/>
      <c r="M572" s="69"/>
      <c r="N572" s="69"/>
      <c r="O572" s="69"/>
      <c r="P572" s="2"/>
      <c r="Q572" s="2"/>
      <c r="R572" s="32"/>
      <c r="S572" s="32"/>
      <c r="T572" s="32"/>
      <c r="U572" s="32"/>
      <c r="V572" s="2"/>
      <c r="W572" s="2"/>
      <c r="X572" s="2"/>
      <c r="Y572" s="2"/>
      <c r="Z572" s="2"/>
    </row>
    <row r="573" spans="1:26" ht="13.8" x14ac:dyDescent="0.3">
      <c r="A573" s="2"/>
      <c r="B573" s="2"/>
      <c r="C573" s="10"/>
      <c r="D573" s="10"/>
      <c r="E573" s="10"/>
      <c r="F573" s="10"/>
      <c r="G573" s="69"/>
      <c r="H573" s="69"/>
      <c r="I573" s="69"/>
      <c r="J573" s="70"/>
      <c r="K573" s="69"/>
      <c r="L573" s="69"/>
      <c r="M573" s="69"/>
      <c r="N573" s="69"/>
      <c r="O573" s="69"/>
      <c r="P573" s="2"/>
      <c r="Q573" s="2"/>
      <c r="R573" s="32"/>
      <c r="S573" s="32"/>
      <c r="T573" s="32"/>
      <c r="U573" s="32"/>
      <c r="V573" s="2"/>
      <c r="W573" s="2"/>
      <c r="X573" s="2"/>
      <c r="Y573" s="2"/>
      <c r="Z573" s="2"/>
    </row>
    <row r="574" spans="1:26" ht="13.8" x14ac:dyDescent="0.3">
      <c r="A574" s="2"/>
      <c r="B574" s="2"/>
      <c r="C574" s="10"/>
      <c r="D574" s="10"/>
      <c r="E574" s="10"/>
      <c r="F574" s="10"/>
      <c r="G574" s="69"/>
      <c r="H574" s="69"/>
      <c r="I574" s="69"/>
      <c r="J574" s="70"/>
      <c r="K574" s="69"/>
      <c r="L574" s="69"/>
      <c r="M574" s="69"/>
      <c r="N574" s="69"/>
      <c r="O574" s="69"/>
      <c r="P574" s="2"/>
      <c r="Q574" s="2"/>
      <c r="R574" s="32"/>
      <c r="S574" s="32"/>
      <c r="T574" s="32"/>
      <c r="U574" s="32"/>
      <c r="V574" s="2"/>
      <c r="W574" s="2"/>
      <c r="X574" s="2"/>
      <c r="Y574" s="2"/>
      <c r="Z574" s="2"/>
    </row>
    <row r="575" spans="1:26" ht="13.8" x14ac:dyDescent="0.3">
      <c r="A575" s="2"/>
      <c r="B575" s="2"/>
      <c r="C575" s="10"/>
      <c r="D575" s="10"/>
      <c r="E575" s="10"/>
      <c r="F575" s="10"/>
      <c r="G575" s="69"/>
      <c r="H575" s="69"/>
      <c r="I575" s="69"/>
      <c r="J575" s="70"/>
      <c r="K575" s="69"/>
      <c r="L575" s="69"/>
      <c r="M575" s="69"/>
      <c r="N575" s="69"/>
      <c r="O575" s="69"/>
      <c r="P575" s="2"/>
      <c r="Q575" s="2"/>
      <c r="R575" s="32"/>
      <c r="S575" s="32"/>
      <c r="T575" s="32"/>
      <c r="U575" s="32"/>
      <c r="V575" s="2"/>
      <c r="W575" s="2"/>
      <c r="X575" s="2"/>
      <c r="Y575" s="2"/>
      <c r="Z575" s="2"/>
    </row>
    <row r="576" spans="1:26" ht="13.8" x14ac:dyDescent="0.3">
      <c r="A576" s="2"/>
      <c r="B576" s="2"/>
      <c r="C576" s="10"/>
      <c r="D576" s="10"/>
      <c r="E576" s="10"/>
      <c r="F576" s="10"/>
      <c r="G576" s="69"/>
      <c r="H576" s="69"/>
      <c r="I576" s="69"/>
      <c r="J576" s="70"/>
      <c r="K576" s="69"/>
      <c r="L576" s="69"/>
      <c r="M576" s="69"/>
      <c r="N576" s="69"/>
      <c r="O576" s="69"/>
      <c r="P576" s="2"/>
      <c r="Q576" s="2"/>
      <c r="R576" s="32"/>
      <c r="S576" s="32"/>
      <c r="T576" s="32"/>
      <c r="U576" s="32"/>
      <c r="V576" s="2"/>
      <c r="W576" s="2"/>
      <c r="X576" s="2"/>
      <c r="Y576" s="2"/>
      <c r="Z576" s="2"/>
    </row>
    <row r="577" spans="1:26" ht="13.8" x14ac:dyDescent="0.3">
      <c r="A577" s="2"/>
      <c r="B577" s="2"/>
      <c r="C577" s="10"/>
      <c r="D577" s="10"/>
      <c r="E577" s="10"/>
      <c r="F577" s="10"/>
      <c r="G577" s="69"/>
      <c r="H577" s="69"/>
      <c r="I577" s="69"/>
      <c r="J577" s="70"/>
      <c r="K577" s="69"/>
      <c r="L577" s="69"/>
      <c r="M577" s="69"/>
      <c r="N577" s="69"/>
      <c r="O577" s="69"/>
      <c r="P577" s="2"/>
      <c r="Q577" s="2"/>
      <c r="R577" s="32"/>
      <c r="S577" s="32"/>
      <c r="T577" s="32"/>
      <c r="U577" s="32"/>
      <c r="V577" s="2"/>
      <c r="W577" s="2"/>
      <c r="X577" s="2"/>
      <c r="Y577" s="2"/>
      <c r="Z577" s="2"/>
    </row>
    <row r="578" spans="1:26" ht="13.8" x14ac:dyDescent="0.3">
      <c r="A578" s="2"/>
      <c r="B578" s="2"/>
      <c r="C578" s="10"/>
      <c r="D578" s="10"/>
      <c r="E578" s="10"/>
      <c r="F578" s="10"/>
      <c r="G578" s="69"/>
      <c r="H578" s="69"/>
      <c r="I578" s="69"/>
      <c r="J578" s="70"/>
      <c r="K578" s="69"/>
      <c r="L578" s="69"/>
      <c r="M578" s="69"/>
      <c r="N578" s="69"/>
      <c r="O578" s="69"/>
      <c r="P578" s="2"/>
      <c r="Q578" s="2"/>
      <c r="R578" s="32"/>
      <c r="S578" s="32"/>
      <c r="T578" s="32"/>
      <c r="U578" s="32"/>
      <c r="V578" s="2"/>
      <c r="W578" s="2"/>
      <c r="X578" s="2"/>
      <c r="Y578" s="2"/>
      <c r="Z578" s="2"/>
    </row>
    <row r="579" spans="1:26" ht="13.8" x14ac:dyDescent="0.3">
      <c r="A579" s="2"/>
      <c r="B579" s="2"/>
      <c r="C579" s="10"/>
      <c r="D579" s="10"/>
      <c r="E579" s="10"/>
      <c r="F579" s="10"/>
      <c r="G579" s="69"/>
      <c r="H579" s="69"/>
      <c r="I579" s="69"/>
      <c r="J579" s="70"/>
      <c r="K579" s="69"/>
      <c r="L579" s="69"/>
      <c r="M579" s="69"/>
      <c r="N579" s="69"/>
      <c r="O579" s="69"/>
      <c r="P579" s="2"/>
      <c r="Q579" s="2"/>
      <c r="R579" s="32"/>
      <c r="S579" s="32"/>
      <c r="T579" s="32"/>
      <c r="U579" s="32"/>
      <c r="V579" s="2"/>
      <c r="W579" s="2"/>
      <c r="X579" s="2"/>
      <c r="Y579" s="2"/>
      <c r="Z579" s="2"/>
    </row>
    <row r="580" spans="1:26" ht="13.8" x14ac:dyDescent="0.3">
      <c r="A580" s="2"/>
      <c r="B580" s="2"/>
      <c r="C580" s="10"/>
      <c r="D580" s="10"/>
      <c r="E580" s="10"/>
      <c r="F580" s="10"/>
      <c r="G580" s="69"/>
      <c r="H580" s="69"/>
      <c r="I580" s="69"/>
      <c r="J580" s="70"/>
      <c r="K580" s="69"/>
      <c r="L580" s="69"/>
      <c r="M580" s="69"/>
      <c r="N580" s="69"/>
      <c r="O580" s="69"/>
      <c r="P580" s="2"/>
      <c r="Q580" s="2"/>
      <c r="R580" s="32"/>
      <c r="S580" s="32"/>
      <c r="T580" s="32"/>
      <c r="U580" s="32"/>
      <c r="V580" s="2"/>
      <c r="W580" s="2"/>
      <c r="X580" s="2"/>
      <c r="Y580" s="2"/>
      <c r="Z580" s="2"/>
    </row>
    <row r="581" spans="1:26" ht="13.8" x14ac:dyDescent="0.3">
      <c r="A581" s="2"/>
      <c r="B581" s="2"/>
      <c r="C581" s="10"/>
      <c r="D581" s="10"/>
      <c r="E581" s="10"/>
      <c r="F581" s="10"/>
      <c r="G581" s="69"/>
      <c r="H581" s="69"/>
      <c r="I581" s="69"/>
      <c r="J581" s="70"/>
      <c r="K581" s="69"/>
      <c r="L581" s="69"/>
      <c r="M581" s="69"/>
      <c r="N581" s="69"/>
      <c r="O581" s="69"/>
      <c r="P581" s="2"/>
      <c r="Q581" s="2"/>
      <c r="R581" s="32"/>
      <c r="S581" s="32"/>
      <c r="T581" s="32"/>
      <c r="U581" s="32"/>
      <c r="V581" s="2"/>
      <c r="W581" s="2"/>
      <c r="X581" s="2"/>
      <c r="Y581" s="2"/>
      <c r="Z581" s="2"/>
    </row>
    <row r="582" spans="1:26" ht="13.8" x14ac:dyDescent="0.3">
      <c r="A582" s="2"/>
      <c r="B582" s="2"/>
      <c r="C582" s="10"/>
      <c r="D582" s="10"/>
      <c r="E582" s="10"/>
      <c r="F582" s="10"/>
      <c r="G582" s="69"/>
      <c r="H582" s="69"/>
      <c r="I582" s="69"/>
      <c r="J582" s="70"/>
      <c r="K582" s="69"/>
      <c r="L582" s="69"/>
      <c r="M582" s="69"/>
      <c r="N582" s="69"/>
      <c r="O582" s="69"/>
      <c r="P582" s="2"/>
      <c r="Q582" s="2"/>
      <c r="R582" s="32"/>
      <c r="S582" s="32"/>
      <c r="T582" s="32"/>
      <c r="U582" s="32"/>
      <c r="V582" s="2"/>
      <c r="W582" s="2"/>
      <c r="X582" s="2"/>
      <c r="Y582" s="2"/>
      <c r="Z582" s="2"/>
    </row>
    <row r="583" spans="1:26" ht="13.8" x14ac:dyDescent="0.3">
      <c r="A583" s="2"/>
      <c r="B583" s="2"/>
      <c r="C583" s="10"/>
      <c r="D583" s="10"/>
      <c r="E583" s="10"/>
      <c r="F583" s="10"/>
      <c r="G583" s="69"/>
      <c r="H583" s="69"/>
      <c r="I583" s="69"/>
      <c r="J583" s="70"/>
      <c r="K583" s="69"/>
      <c r="L583" s="69"/>
      <c r="M583" s="69"/>
      <c r="N583" s="69"/>
      <c r="O583" s="69"/>
      <c r="P583" s="2"/>
      <c r="Q583" s="2"/>
      <c r="R583" s="32"/>
      <c r="S583" s="32"/>
      <c r="T583" s="32"/>
      <c r="U583" s="32"/>
      <c r="V583" s="2"/>
      <c r="W583" s="2"/>
      <c r="X583" s="2"/>
      <c r="Y583" s="2"/>
      <c r="Z583" s="2"/>
    </row>
    <row r="584" spans="1:26" ht="13.8" x14ac:dyDescent="0.3">
      <c r="A584" s="2"/>
      <c r="B584" s="2"/>
      <c r="C584" s="10"/>
      <c r="D584" s="10"/>
      <c r="E584" s="10"/>
      <c r="F584" s="10"/>
      <c r="G584" s="69"/>
      <c r="H584" s="69"/>
      <c r="I584" s="69"/>
      <c r="J584" s="70"/>
      <c r="K584" s="69"/>
      <c r="L584" s="69"/>
      <c r="M584" s="69"/>
      <c r="N584" s="69"/>
      <c r="O584" s="69"/>
      <c r="P584" s="2"/>
      <c r="Q584" s="2"/>
      <c r="R584" s="32"/>
      <c r="S584" s="32"/>
      <c r="T584" s="32"/>
      <c r="U584" s="32"/>
      <c r="V584" s="2"/>
      <c r="W584" s="2"/>
      <c r="X584" s="2"/>
      <c r="Y584" s="2"/>
      <c r="Z584" s="2"/>
    </row>
    <row r="585" spans="1:26" ht="13.8" x14ac:dyDescent="0.3">
      <c r="A585" s="2"/>
      <c r="B585" s="2"/>
      <c r="C585" s="10"/>
      <c r="D585" s="10"/>
      <c r="E585" s="10"/>
      <c r="F585" s="10"/>
      <c r="G585" s="69"/>
      <c r="H585" s="69"/>
      <c r="I585" s="69"/>
      <c r="J585" s="70"/>
      <c r="K585" s="69"/>
      <c r="L585" s="69"/>
      <c r="M585" s="69"/>
      <c r="N585" s="69"/>
      <c r="O585" s="69"/>
      <c r="P585" s="2"/>
      <c r="Q585" s="2"/>
      <c r="R585" s="32"/>
      <c r="S585" s="32"/>
      <c r="T585" s="32"/>
      <c r="U585" s="32"/>
      <c r="V585" s="2"/>
      <c r="W585" s="2"/>
      <c r="X585" s="2"/>
      <c r="Y585" s="2"/>
      <c r="Z585" s="2"/>
    </row>
    <row r="586" spans="1:26" ht="13.8" x14ac:dyDescent="0.3">
      <c r="A586" s="2"/>
      <c r="B586" s="2"/>
      <c r="C586" s="10"/>
      <c r="D586" s="10"/>
      <c r="E586" s="10"/>
      <c r="F586" s="10"/>
      <c r="G586" s="69"/>
      <c r="H586" s="69"/>
      <c r="I586" s="69"/>
      <c r="J586" s="70"/>
      <c r="K586" s="69"/>
      <c r="L586" s="69"/>
      <c r="M586" s="69"/>
      <c r="N586" s="69"/>
      <c r="O586" s="69"/>
      <c r="P586" s="2"/>
      <c r="Q586" s="2"/>
      <c r="R586" s="32"/>
      <c r="S586" s="32"/>
      <c r="T586" s="32"/>
      <c r="U586" s="32"/>
      <c r="V586" s="2"/>
      <c r="W586" s="2"/>
      <c r="X586" s="2"/>
      <c r="Y586" s="2"/>
      <c r="Z586" s="2"/>
    </row>
    <row r="587" spans="1:26" ht="13.8" x14ac:dyDescent="0.3">
      <c r="A587" s="2"/>
      <c r="B587" s="2"/>
      <c r="C587" s="10"/>
      <c r="D587" s="10"/>
      <c r="E587" s="10"/>
      <c r="F587" s="10"/>
      <c r="G587" s="69"/>
      <c r="H587" s="69"/>
      <c r="I587" s="69"/>
      <c r="J587" s="70"/>
      <c r="K587" s="69"/>
      <c r="L587" s="69"/>
      <c r="M587" s="69"/>
      <c r="N587" s="69"/>
      <c r="O587" s="69"/>
      <c r="P587" s="2"/>
      <c r="Q587" s="2"/>
      <c r="R587" s="32"/>
      <c r="S587" s="32"/>
      <c r="T587" s="32"/>
      <c r="U587" s="32"/>
      <c r="V587" s="2"/>
      <c r="W587" s="2"/>
      <c r="X587" s="2"/>
      <c r="Y587" s="2"/>
      <c r="Z587" s="2"/>
    </row>
    <row r="588" spans="1:26" ht="13.8" x14ac:dyDescent="0.3">
      <c r="A588" s="2"/>
      <c r="B588" s="2"/>
      <c r="C588" s="10"/>
      <c r="D588" s="10"/>
      <c r="E588" s="10"/>
      <c r="F588" s="10"/>
      <c r="G588" s="69"/>
      <c r="H588" s="69"/>
      <c r="I588" s="69"/>
      <c r="J588" s="70"/>
      <c r="K588" s="69"/>
      <c r="L588" s="69"/>
      <c r="M588" s="69"/>
      <c r="N588" s="69"/>
      <c r="O588" s="69"/>
      <c r="P588" s="2"/>
      <c r="Q588" s="2"/>
      <c r="R588" s="32"/>
      <c r="S588" s="32"/>
      <c r="T588" s="32"/>
      <c r="U588" s="32"/>
      <c r="V588" s="2"/>
      <c r="W588" s="2"/>
      <c r="X588" s="2"/>
      <c r="Y588" s="2"/>
      <c r="Z588" s="2"/>
    </row>
    <row r="589" spans="1:26" ht="13.8" x14ac:dyDescent="0.3">
      <c r="A589" s="2"/>
      <c r="B589" s="2"/>
      <c r="C589" s="10"/>
      <c r="D589" s="10"/>
      <c r="E589" s="10"/>
      <c r="F589" s="10"/>
      <c r="G589" s="69"/>
      <c r="H589" s="69"/>
      <c r="I589" s="69"/>
      <c r="J589" s="70"/>
      <c r="K589" s="69"/>
      <c r="L589" s="69"/>
      <c r="M589" s="69"/>
      <c r="N589" s="69"/>
      <c r="O589" s="69"/>
      <c r="P589" s="2"/>
      <c r="Q589" s="2"/>
      <c r="R589" s="32"/>
      <c r="S589" s="32"/>
      <c r="T589" s="32"/>
      <c r="U589" s="32"/>
      <c r="V589" s="2"/>
      <c r="W589" s="2"/>
      <c r="X589" s="2"/>
      <c r="Y589" s="2"/>
      <c r="Z589" s="2"/>
    </row>
    <row r="590" spans="1:26" ht="13.8" x14ac:dyDescent="0.3">
      <c r="A590" s="2"/>
      <c r="B590" s="2"/>
      <c r="C590" s="10"/>
      <c r="D590" s="10"/>
      <c r="E590" s="10"/>
      <c r="F590" s="10"/>
      <c r="G590" s="69"/>
      <c r="H590" s="69"/>
      <c r="I590" s="69"/>
      <c r="J590" s="70"/>
      <c r="K590" s="69"/>
      <c r="L590" s="69"/>
      <c r="M590" s="69"/>
      <c r="N590" s="69"/>
      <c r="O590" s="69"/>
      <c r="P590" s="2"/>
      <c r="Q590" s="2"/>
      <c r="R590" s="32"/>
      <c r="S590" s="32"/>
      <c r="T590" s="32"/>
      <c r="U590" s="32"/>
      <c r="V590" s="2"/>
      <c r="W590" s="2"/>
      <c r="X590" s="2"/>
      <c r="Y590" s="2"/>
      <c r="Z590" s="2"/>
    </row>
    <row r="591" spans="1:26" ht="13.8" x14ac:dyDescent="0.3">
      <c r="A591" s="2"/>
      <c r="B591" s="2"/>
      <c r="C591" s="10"/>
      <c r="D591" s="10"/>
      <c r="E591" s="10"/>
      <c r="F591" s="10"/>
      <c r="G591" s="69"/>
      <c r="H591" s="69"/>
      <c r="I591" s="69"/>
      <c r="J591" s="70"/>
      <c r="K591" s="69"/>
      <c r="L591" s="69"/>
      <c r="M591" s="69"/>
      <c r="N591" s="69"/>
      <c r="O591" s="69"/>
      <c r="P591" s="2"/>
      <c r="Q591" s="2"/>
      <c r="R591" s="32"/>
      <c r="S591" s="32"/>
      <c r="T591" s="32"/>
      <c r="U591" s="32"/>
      <c r="V591" s="2"/>
      <c r="W591" s="2"/>
      <c r="X591" s="2"/>
      <c r="Y591" s="2"/>
      <c r="Z591" s="2"/>
    </row>
    <row r="592" spans="1:26" ht="13.8" x14ac:dyDescent="0.3">
      <c r="A592" s="2"/>
      <c r="B592" s="2"/>
      <c r="C592" s="10"/>
      <c r="D592" s="10"/>
      <c r="E592" s="10"/>
      <c r="F592" s="10"/>
      <c r="G592" s="69"/>
      <c r="H592" s="69"/>
      <c r="I592" s="69"/>
      <c r="J592" s="70"/>
      <c r="K592" s="69"/>
      <c r="L592" s="69"/>
      <c r="M592" s="69"/>
      <c r="N592" s="69"/>
      <c r="O592" s="69"/>
      <c r="P592" s="2"/>
      <c r="Q592" s="2"/>
      <c r="R592" s="32"/>
      <c r="S592" s="32"/>
      <c r="T592" s="32"/>
      <c r="U592" s="32"/>
      <c r="V592" s="2"/>
      <c r="W592" s="2"/>
      <c r="X592" s="2"/>
      <c r="Y592" s="2"/>
      <c r="Z592" s="2"/>
    </row>
    <row r="593" spans="1:26" ht="13.8" x14ac:dyDescent="0.3">
      <c r="A593" s="2"/>
      <c r="B593" s="2"/>
      <c r="C593" s="10"/>
      <c r="D593" s="10"/>
      <c r="E593" s="10"/>
      <c r="F593" s="10"/>
      <c r="G593" s="69"/>
      <c r="H593" s="69"/>
      <c r="I593" s="69"/>
      <c r="J593" s="70"/>
      <c r="K593" s="69"/>
      <c r="L593" s="69"/>
      <c r="M593" s="69"/>
      <c r="N593" s="69"/>
      <c r="O593" s="69"/>
      <c r="P593" s="2"/>
      <c r="Q593" s="2"/>
      <c r="R593" s="32"/>
      <c r="S593" s="32"/>
      <c r="T593" s="32"/>
      <c r="U593" s="32"/>
      <c r="V593" s="2"/>
      <c r="W593" s="2"/>
      <c r="X593" s="2"/>
      <c r="Y593" s="2"/>
      <c r="Z593" s="2"/>
    </row>
    <row r="594" spans="1:26" ht="13.8" x14ac:dyDescent="0.3">
      <c r="A594" s="2"/>
      <c r="B594" s="2"/>
      <c r="C594" s="10"/>
      <c r="D594" s="10"/>
      <c r="E594" s="10"/>
      <c r="F594" s="10"/>
      <c r="G594" s="69"/>
      <c r="H594" s="69"/>
      <c r="I594" s="69"/>
      <c r="J594" s="70"/>
      <c r="K594" s="69"/>
      <c r="L594" s="69"/>
      <c r="M594" s="69"/>
      <c r="N594" s="69"/>
      <c r="O594" s="69"/>
      <c r="P594" s="2"/>
      <c r="Q594" s="2"/>
      <c r="R594" s="32"/>
      <c r="S594" s="32"/>
      <c r="T594" s="32"/>
      <c r="U594" s="32"/>
      <c r="V594" s="2"/>
      <c r="W594" s="2"/>
      <c r="X594" s="2"/>
      <c r="Y594" s="2"/>
      <c r="Z594" s="2"/>
    </row>
    <row r="595" spans="1:26" ht="13.8" x14ac:dyDescent="0.3">
      <c r="A595" s="2"/>
      <c r="B595" s="2"/>
      <c r="C595" s="10"/>
      <c r="D595" s="10"/>
      <c r="E595" s="10"/>
      <c r="F595" s="10"/>
      <c r="G595" s="69"/>
      <c r="H595" s="69"/>
      <c r="I595" s="69"/>
      <c r="J595" s="70"/>
      <c r="K595" s="69"/>
      <c r="L595" s="69"/>
      <c r="M595" s="69"/>
      <c r="N595" s="69"/>
      <c r="O595" s="69"/>
      <c r="P595" s="2"/>
      <c r="Q595" s="2"/>
      <c r="R595" s="32"/>
      <c r="S595" s="32"/>
      <c r="T595" s="32"/>
      <c r="U595" s="32"/>
      <c r="V595" s="2"/>
      <c r="W595" s="2"/>
      <c r="X595" s="2"/>
      <c r="Y595" s="2"/>
      <c r="Z595" s="2"/>
    </row>
    <row r="596" spans="1:26" ht="13.8" x14ac:dyDescent="0.3">
      <c r="A596" s="2"/>
      <c r="B596" s="2"/>
      <c r="C596" s="10"/>
      <c r="D596" s="10"/>
      <c r="E596" s="10"/>
      <c r="F596" s="10"/>
      <c r="G596" s="69"/>
      <c r="H596" s="69"/>
      <c r="I596" s="69"/>
      <c r="J596" s="70"/>
      <c r="K596" s="69"/>
      <c r="L596" s="69"/>
      <c r="M596" s="69"/>
      <c r="N596" s="69"/>
      <c r="O596" s="69"/>
      <c r="P596" s="2"/>
      <c r="Q596" s="2"/>
      <c r="R596" s="32"/>
      <c r="S596" s="32"/>
      <c r="T596" s="32"/>
      <c r="U596" s="32"/>
      <c r="V596" s="2"/>
      <c r="W596" s="2"/>
      <c r="X596" s="2"/>
      <c r="Y596" s="2"/>
      <c r="Z596" s="2"/>
    </row>
    <row r="597" spans="1:26" ht="13.8" x14ac:dyDescent="0.3">
      <c r="A597" s="2"/>
      <c r="B597" s="2"/>
      <c r="C597" s="10"/>
      <c r="D597" s="10"/>
      <c r="E597" s="10"/>
      <c r="F597" s="10"/>
      <c r="G597" s="69"/>
      <c r="H597" s="69"/>
      <c r="I597" s="69"/>
      <c r="J597" s="70"/>
      <c r="K597" s="69"/>
      <c r="L597" s="69"/>
      <c r="M597" s="69"/>
      <c r="N597" s="69"/>
      <c r="O597" s="69"/>
      <c r="P597" s="2"/>
      <c r="Q597" s="2"/>
      <c r="R597" s="32"/>
      <c r="S597" s="32"/>
      <c r="T597" s="32"/>
      <c r="U597" s="32"/>
      <c r="V597" s="2"/>
      <c r="W597" s="2"/>
      <c r="X597" s="2"/>
      <c r="Y597" s="2"/>
      <c r="Z597" s="2"/>
    </row>
    <row r="598" spans="1:26" ht="13.8" x14ac:dyDescent="0.3">
      <c r="A598" s="2"/>
      <c r="B598" s="2"/>
      <c r="C598" s="10"/>
      <c r="D598" s="10"/>
      <c r="E598" s="10"/>
      <c r="F598" s="10"/>
      <c r="G598" s="69"/>
      <c r="H598" s="69"/>
      <c r="I598" s="69"/>
      <c r="J598" s="70"/>
      <c r="K598" s="69"/>
      <c r="L598" s="69"/>
      <c r="M598" s="69"/>
      <c r="N598" s="69"/>
      <c r="O598" s="69"/>
      <c r="P598" s="2"/>
      <c r="Q598" s="2"/>
      <c r="R598" s="32"/>
      <c r="S598" s="32"/>
      <c r="T598" s="32"/>
      <c r="U598" s="32"/>
      <c r="V598" s="2"/>
      <c r="W598" s="2"/>
      <c r="X598" s="2"/>
      <c r="Y598" s="2"/>
      <c r="Z598" s="2"/>
    </row>
    <row r="599" spans="1:26" ht="13.8" x14ac:dyDescent="0.3">
      <c r="A599" s="2"/>
      <c r="B599" s="2"/>
      <c r="C599" s="10"/>
      <c r="D599" s="10"/>
      <c r="E599" s="10"/>
      <c r="F599" s="10"/>
      <c r="G599" s="69"/>
      <c r="H599" s="69"/>
      <c r="I599" s="69"/>
      <c r="J599" s="70"/>
      <c r="K599" s="69"/>
      <c r="L599" s="69"/>
      <c r="M599" s="69"/>
      <c r="N599" s="69"/>
      <c r="O599" s="69"/>
      <c r="P599" s="2"/>
      <c r="Q599" s="2"/>
      <c r="R599" s="32"/>
      <c r="S599" s="32"/>
      <c r="T599" s="32"/>
      <c r="U599" s="32"/>
      <c r="V599" s="2"/>
      <c r="W599" s="2"/>
      <c r="X599" s="2"/>
      <c r="Y599" s="2"/>
      <c r="Z599" s="2"/>
    </row>
    <row r="600" spans="1:26" ht="13.8" x14ac:dyDescent="0.3">
      <c r="A600" s="2"/>
      <c r="B600" s="2"/>
      <c r="C600" s="10"/>
      <c r="D600" s="10"/>
      <c r="E600" s="10"/>
      <c r="F600" s="10"/>
      <c r="G600" s="69"/>
      <c r="H600" s="69"/>
      <c r="I600" s="69"/>
      <c r="J600" s="70"/>
      <c r="K600" s="69"/>
      <c r="L600" s="69"/>
      <c r="M600" s="69"/>
      <c r="N600" s="69"/>
      <c r="O600" s="69"/>
      <c r="P600" s="2"/>
      <c r="Q600" s="2"/>
      <c r="R600" s="32"/>
      <c r="S600" s="32"/>
      <c r="T600" s="32"/>
      <c r="U600" s="32"/>
      <c r="V600" s="2"/>
      <c r="W600" s="2"/>
      <c r="X600" s="2"/>
      <c r="Y600" s="2"/>
      <c r="Z600" s="2"/>
    </row>
    <row r="601" spans="1:26" ht="13.8" x14ac:dyDescent="0.3">
      <c r="A601" s="2"/>
      <c r="B601" s="2"/>
      <c r="C601" s="10"/>
      <c r="D601" s="10"/>
      <c r="E601" s="10"/>
      <c r="F601" s="10"/>
      <c r="G601" s="69"/>
      <c r="H601" s="69"/>
      <c r="I601" s="69"/>
      <c r="J601" s="70"/>
      <c r="K601" s="69"/>
      <c r="L601" s="69"/>
      <c r="M601" s="69"/>
      <c r="N601" s="69"/>
      <c r="O601" s="69"/>
      <c r="P601" s="2"/>
      <c r="Q601" s="2"/>
      <c r="R601" s="32"/>
      <c r="S601" s="32"/>
      <c r="T601" s="32"/>
      <c r="U601" s="32"/>
      <c r="V601" s="2"/>
      <c r="W601" s="2"/>
      <c r="X601" s="2"/>
      <c r="Y601" s="2"/>
      <c r="Z601" s="2"/>
    </row>
    <row r="602" spans="1:26" ht="13.8" x14ac:dyDescent="0.3">
      <c r="A602" s="2"/>
      <c r="B602" s="2"/>
      <c r="C602" s="10"/>
      <c r="D602" s="10"/>
      <c r="E602" s="10"/>
      <c r="F602" s="10"/>
      <c r="G602" s="69"/>
      <c r="H602" s="69"/>
      <c r="I602" s="69"/>
      <c r="J602" s="70"/>
      <c r="K602" s="69"/>
      <c r="L602" s="69"/>
      <c r="M602" s="69"/>
      <c r="N602" s="69"/>
      <c r="O602" s="69"/>
      <c r="P602" s="2"/>
      <c r="Q602" s="2"/>
      <c r="R602" s="32"/>
      <c r="S602" s="32"/>
      <c r="T602" s="32"/>
      <c r="U602" s="32"/>
      <c r="V602" s="2"/>
      <c r="W602" s="2"/>
      <c r="X602" s="2"/>
      <c r="Y602" s="2"/>
      <c r="Z602" s="2"/>
    </row>
    <row r="603" spans="1:26" ht="13.8" x14ac:dyDescent="0.3">
      <c r="A603" s="2"/>
      <c r="B603" s="2"/>
      <c r="C603" s="10"/>
      <c r="D603" s="10"/>
      <c r="E603" s="10"/>
      <c r="F603" s="10"/>
      <c r="G603" s="69"/>
      <c r="H603" s="69"/>
      <c r="I603" s="69"/>
      <c r="J603" s="70"/>
      <c r="K603" s="69"/>
      <c r="L603" s="69"/>
      <c r="M603" s="69"/>
      <c r="N603" s="69"/>
      <c r="O603" s="69"/>
      <c r="P603" s="2"/>
      <c r="Q603" s="2"/>
      <c r="R603" s="32"/>
      <c r="S603" s="32"/>
      <c r="T603" s="32"/>
      <c r="U603" s="32"/>
      <c r="V603" s="2"/>
      <c r="W603" s="2"/>
      <c r="X603" s="2"/>
      <c r="Y603" s="2"/>
      <c r="Z603" s="2"/>
    </row>
    <row r="604" spans="1:26" ht="13.8" x14ac:dyDescent="0.3">
      <c r="A604" s="2"/>
      <c r="B604" s="2"/>
      <c r="C604" s="10"/>
      <c r="D604" s="10"/>
      <c r="E604" s="10"/>
      <c r="F604" s="10"/>
      <c r="G604" s="69"/>
      <c r="H604" s="69"/>
      <c r="I604" s="69"/>
      <c r="J604" s="70"/>
      <c r="K604" s="69"/>
      <c r="L604" s="69"/>
      <c r="M604" s="69"/>
      <c r="N604" s="69"/>
      <c r="O604" s="69"/>
      <c r="P604" s="2"/>
      <c r="Q604" s="2"/>
      <c r="R604" s="32"/>
      <c r="S604" s="32"/>
      <c r="T604" s="32"/>
      <c r="U604" s="32"/>
      <c r="V604" s="2"/>
      <c r="W604" s="2"/>
      <c r="X604" s="2"/>
      <c r="Y604" s="2"/>
      <c r="Z604" s="2"/>
    </row>
    <row r="605" spans="1:26" ht="13.8" x14ac:dyDescent="0.3">
      <c r="A605" s="2"/>
      <c r="B605" s="2"/>
      <c r="C605" s="10"/>
      <c r="D605" s="10"/>
      <c r="E605" s="10"/>
      <c r="F605" s="10"/>
      <c r="G605" s="69"/>
      <c r="H605" s="69"/>
      <c r="I605" s="69"/>
      <c r="J605" s="70"/>
      <c r="K605" s="69"/>
      <c r="L605" s="69"/>
      <c r="M605" s="69"/>
      <c r="N605" s="69"/>
      <c r="O605" s="69"/>
      <c r="P605" s="2"/>
      <c r="Q605" s="2"/>
      <c r="R605" s="32"/>
      <c r="S605" s="32"/>
      <c r="T605" s="32"/>
      <c r="U605" s="32"/>
      <c r="V605" s="2"/>
      <c r="W605" s="2"/>
      <c r="X605" s="2"/>
      <c r="Y605" s="2"/>
      <c r="Z605" s="2"/>
    </row>
    <row r="606" spans="1:26" ht="13.8" x14ac:dyDescent="0.3">
      <c r="A606" s="2"/>
      <c r="B606" s="2"/>
      <c r="C606" s="10"/>
      <c r="D606" s="10"/>
      <c r="E606" s="10"/>
      <c r="F606" s="10"/>
      <c r="G606" s="69"/>
      <c r="H606" s="69"/>
      <c r="I606" s="69"/>
      <c r="J606" s="70"/>
      <c r="K606" s="69"/>
      <c r="L606" s="69"/>
      <c r="M606" s="69"/>
      <c r="N606" s="69"/>
      <c r="O606" s="69"/>
      <c r="P606" s="2"/>
      <c r="Q606" s="2"/>
      <c r="R606" s="32"/>
      <c r="S606" s="32"/>
      <c r="T606" s="32"/>
      <c r="U606" s="32"/>
      <c r="V606" s="2"/>
      <c r="W606" s="2"/>
      <c r="X606" s="2"/>
      <c r="Y606" s="2"/>
      <c r="Z606" s="2"/>
    </row>
    <row r="607" spans="1:26" ht="13.8" x14ac:dyDescent="0.3">
      <c r="A607" s="2"/>
      <c r="B607" s="2"/>
      <c r="C607" s="10"/>
      <c r="D607" s="10"/>
      <c r="E607" s="10"/>
      <c r="F607" s="10"/>
      <c r="G607" s="69"/>
      <c r="H607" s="69"/>
      <c r="I607" s="69"/>
      <c r="J607" s="70"/>
      <c r="K607" s="69"/>
      <c r="L607" s="69"/>
      <c r="M607" s="69"/>
      <c r="N607" s="69"/>
      <c r="O607" s="69"/>
      <c r="P607" s="2"/>
      <c r="Q607" s="2"/>
      <c r="R607" s="32"/>
      <c r="S607" s="32"/>
      <c r="T607" s="32"/>
      <c r="U607" s="32"/>
      <c r="V607" s="2"/>
      <c r="W607" s="2"/>
      <c r="X607" s="2"/>
      <c r="Y607" s="2"/>
      <c r="Z607" s="2"/>
    </row>
    <row r="608" spans="1:26" ht="13.8" x14ac:dyDescent="0.3">
      <c r="A608" s="2"/>
      <c r="B608" s="2"/>
      <c r="C608" s="10"/>
      <c r="D608" s="10"/>
      <c r="E608" s="10"/>
      <c r="F608" s="10"/>
      <c r="G608" s="69"/>
      <c r="H608" s="69"/>
      <c r="I608" s="69"/>
      <c r="J608" s="70"/>
      <c r="K608" s="69"/>
      <c r="L608" s="69"/>
      <c r="M608" s="69"/>
      <c r="N608" s="69"/>
      <c r="O608" s="69"/>
      <c r="P608" s="2"/>
      <c r="Q608" s="2"/>
      <c r="R608" s="32"/>
      <c r="S608" s="32"/>
      <c r="T608" s="32"/>
      <c r="U608" s="32"/>
      <c r="V608" s="2"/>
      <c r="W608" s="2"/>
      <c r="X608" s="2"/>
      <c r="Y608" s="2"/>
      <c r="Z608" s="2"/>
    </row>
    <row r="609" spans="1:26" ht="13.8" x14ac:dyDescent="0.3">
      <c r="A609" s="2"/>
      <c r="B609" s="2"/>
      <c r="C609" s="10"/>
      <c r="D609" s="10"/>
      <c r="E609" s="10"/>
      <c r="F609" s="10"/>
      <c r="G609" s="69"/>
      <c r="H609" s="69"/>
      <c r="I609" s="69"/>
      <c r="J609" s="70"/>
      <c r="K609" s="69"/>
      <c r="L609" s="69"/>
      <c r="M609" s="69"/>
      <c r="N609" s="69"/>
      <c r="O609" s="69"/>
      <c r="P609" s="2"/>
      <c r="Q609" s="2"/>
      <c r="R609" s="32"/>
      <c r="S609" s="32"/>
      <c r="T609" s="32"/>
      <c r="U609" s="32"/>
      <c r="V609" s="2"/>
      <c r="W609" s="2"/>
      <c r="X609" s="2"/>
      <c r="Y609" s="2"/>
      <c r="Z609" s="2"/>
    </row>
    <row r="610" spans="1:26" ht="13.8" x14ac:dyDescent="0.3">
      <c r="A610" s="2"/>
      <c r="B610" s="2"/>
      <c r="C610" s="10"/>
      <c r="D610" s="10"/>
      <c r="E610" s="10"/>
      <c r="F610" s="10"/>
      <c r="G610" s="69"/>
      <c r="H610" s="69"/>
      <c r="I610" s="69"/>
      <c r="J610" s="70"/>
      <c r="K610" s="69"/>
      <c r="L610" s="69"/>
      <c r="M610" s="69"/>
      <c r="N610" s="69"/>
      <c r="O610" s="69"/>
      <c r="P610" s="2"/>
      <c r="Q610" s="2"/>
      <c r="R610" s="32"/>
      <c r="S610" s="32"/>
      <c r="T610" s="32"/>
      <c r="U610" s="32"/>
      <c r="V610" s="2"/>
      <c r="W610" s="2"/>
      <c r="X610" s="2"/>
      <c r="Y610" s="2"/>
      <c r="Z610" s="2"/>
    </row>
    <row r="611" spans="1:26" ht="13.8" x14ac:dyDescent="0.3">
      <c r="A611" s="2"/>
      <c r="B611" s="2"/>
      <c r="C611" s="10"/>
      <c r="D611" s="10"/>
      <c r="E611" s="10"/>
      <c r="F611" s="10"/>
      <c r="G611" s="69"/>
      <c r="H611" s="69"/>
      <c r="I611" s="69"/>
      <c r="J611" s="70"/>
      <c r="K611" s="69"/>
      <c r="L611" s="69"/>
      <c r="M611" s="69"/>
      <c r="N611" s="69"/>
      <c r="O611" s="69"/>
      <c r="P611" s="2"/>
      <c r="Q611" s="2"/>
      <c r="R611" s="32"/>
      <c r="S611" s="32"/>
      <c r="T611" s="32"/>
      <c r="U611" s="32"/>
      <c r="V611" s="2"/>
      <c r="W611" s="2"/>
      <c r="X611" s="2"/>
      <c r="Y611" s="2"/>
      <c r="Z611" s="2"/>
    </row>
    <row r="612" spans="1:26" ht="13.8" x14ac:dyDescent="0.3">
      <c r="A612" s="2"/>
      <c r="B612" s="2"/>
      <c r="C612" s="10"/>
      <c r="D612" s="10"/>
      <c r="E612" s="10"/>
      <c r="F612" s="10"/>
      <c r="G612" s="69"/>
      <c r="H612" s="69"/>
      <c r="I612" s="69"/>
      <c r="J612" s="70"/>
      <c r="K612" s="69"/>
      <c r="L612" s="69"/>
      <c r="M612" s="69"/>
      <c r="N612" s="69"/>
      <c r="O612" s="69"/>
      <c r="P612" s="2"/>
      <c r="Q612" s="2"/>
      <c r="R612" s="32"/>
      <c r="S612" s="32"/>
      <c r="T612" s="32"/>
      <c r="U612" s="32"/>
      <c r="V612" s="2"/>
      <c r="W612" s="2"/>
      <c r="X612" s="2"/>
      <c r="Y612" s="2"/>
      <c r="Z612" s="2"/>
    </row>
    <row r="613" spans="1:26" ht="13.8" x14ac:dyDescent="0.3">
      <c r="A613" s="2"/>
      <c r="B613" s="2"/>
      <c r="C613" s="10"/>
      <c r="D613" s="10"/>
      <c r="E613" s="10"/>
      <c r="F613" s="10"/>
      <c r="G613" s="69"/>
      <c r="H613" s="69"/>
      <c r="I613" s="69"/>
      <c r="J613" s="70"/>
      <c r="K613" s="69"/>
      <c r="L613" s="69"/>
      <c r="M613" s="69"/>
      <c r="N613" s="69"/>
      <c r="O613" s="69"/>
      <c r="P613" s="2"/>
      <c r="Q613" s="2"/>
      <c r="R613" s="32"/>
      <c r="S613" s="32"/>
      <c r="T613" s="32"/>
      <c r="U613" s="32"/>
      <c r="V613" s="2"/>
      <c r="W613" s="2"/>
      <c r="X613" s="2"/>
      <c r="Y613" s="2"/>
      <c r="Z613" s="2"/>
    </row>
    <row r="614" spans="1:26" ht="13.8" x14ac:dyDescent="0.3">
      <c r="A614" s="2"/>
      <c r="B614" s="2"/>
      <c r="C614" s="10"/>
      <c r="D614" s="10"/>
      <c r="E614" s="10"/>
      <c r="F614" s="10"/>
      <c r="G614" s="69"/>
      <c r="H614" s="69"/>
      <c r="I614" s="69"/>
      <c r="J614" s="70"/>
      <c r="K614" s="69"/>
      <c r="L614" s="69"/>
      <c r="M614" s="69"/>
      <c r="N614" s="69"/>
      <c r="O614" s="69"/>
      <c r="P614" s="2"/>
      <c r="Q614" s="2"/>
      <c r="R614" s="32"/>
      <c r="S614" s="32"/>
      <c r="T614" s="32"/>
      <c r="U614" s="32"/>
      <c r="V614" s="2"/>
      <c r="W614" s="2"/>
      <c r="X614" s="2"/>
      <c r="Y614" s="2"/>
      <c r="Z614" s="2"/>
    </row>
    <row r="615" spans="1:26" ht="13.8" x14ac:dyDescent="0.3">
      <c r="A615" s="2"/>
      <c r="B615" s="2"/>
      <c r="C615" s="10"/>
      <c r="D615" s="10"/>
      <c r="E615" s="10"/>
      <c r="F615" s="10"/>
      <c r="G615" s="69"/>
      <c r="H615" s="69"/>
      <c r="I615" s="69"/>
      <c r="J615" s="70"/>
      <c r="K615" s="69"/>
      <c r="L615" s="69"/>
      <c r="M615" s="69"/>
      <c r="N615" s="69"/>
      <c r="O615" s="69"/>
      <c r="P615" s="2"/>
      <c r="Q615" s="2"/>
      <c r="R615" s="32"/>
      <c r="S615" s="32"/>
      <c r="T615" s="32"/>
      <c r="U615" s="32"/>
      <c r="V615" s="2"/>
      <c r="W615" s="2"/>
      <c r="X615" s="2"/>
      <c r="Y615" s="2"/>
      <c r="Z615" s="2"/>
    </row>
    <row r="616" spans="1:26" ht="13.8" x14ac:dyDescent="0.3">
      <c r="A616" s="2"/>
      <c r="B616" s="2"/>
      <c r="C616" s="10"/>
      <c r="D616" s="10"/>
      <c r="E616" s="10"/>
      <c r="F616" s="10"/>
      <c r="G616" s="69"/>
      <c r="H616" s="69"/>
      <c r="I616" s="69"/>
      <c r="J616" s="70"/>
      <c r="K616" s="69"/>
      <c r="L616" s="69"/>
      <c r="M616" s="69"/>
      <c r="N616" s="69"/>
      <c r="O616" s="69"/>
      <c r="P616" s="2"/>
      <c r="Q616" s="2"/>
      <c r="R616" s="32"/>
      <c r="S616" s="32"/>
      <c r="T616" s="32"/>
      <c r="U616" s="32"/>
      <c r="V616" s="2"/>
      <c r="W616" s="2"/>
      <c r="X616" s="2"/>
      <c r="Y616" s="2"/>
      <c r="Z616" s="2"/>
    </row>
    <row r="617" spans="1:26" ht="13.8" x14ac:dyDescent="0.3">
      <c r="A617" s="2"/>
      <c r="B617" s="2"/>
      <c r="C617" s="10"/>
      <c r="D617" s="10"/>
      <c r="E617" s="10"/>
      <c r="F617" s="10"/>
      <c r="G617" s="69"/>
      <c r="H617" s="69"/>
      <c r="I617" s="69"/>
      <c r="J617" s="70"/>
      <c r="K617" s="69"/>
      <c r="L617" s="69"/>
      <c r="M617" s="69"/>
      <c r="N617" s="69"/>
      <c r="O617" s="69"/>
      <c r="P617" s="2"/>
      <c r="Q617" s="2"/>
      <c r="R617" s="32"/>
      <c r="S617" s="32"/>
      <c r="T617" s="32"/>
      <c r="U617" s="32"/>
      <c r="V617" s="2"/>
      <c r="W617" s="2"/>
      <c r="X617" s="2"/>
      <c r="Y617" s="2"/>
      <c r="Z617" s="2"/>
    </row>
    <row r="618" spans="1:26" ht="13.8" x14ac:dyDescent="0.3">
      <c r="A618" s="2"/>
      <c r="B618" s="2"/>
      <c r="C618" s="10"/>
      <c r="D618" s="10"/>
      <c r="E618" s="10"/>
      <c r="F618" s="10"/>
      <c r="G618" s="69"/>
      <c r="H618" s="69"/>
      <c r="I618" s="69"/>
      <c r="J618" s="70"/>
      <c r="K618" s="69"/>
      <c r="L618" s="69"/>
      <c r="M618" s="69"/>
      <c r="N618" s="69"/>
      <c r="O618" s="69"/>
      <c r="P618" s="2"/>
      <c r="Q618" s="2"/>
      <c r="R618" s="32"/>
      <c r="S618" s="32"/>
      <c r="T618" s="32"/>
      <c r="U618" s="32"/>
      <c r="V618" s="2"/>
      <c r="W618" s="2"/>
      <c r="X618" s="2"/>
      <c r="Y618" s="2"/>
      <c r="Z618" s="2"/>
    </row>
    <row r="619" spans="1:26" ht="13.8" x14ac:dyDescent="0.3">
      <c r="A619" s="2"/>
      <c r="B619" s="2"/>
      <c r="C619" s="10"/>
      <c r="D619" s="10"/>
      <c r="E619" s="10"/>
      <c r="F619" s="10"/>
      <c r="G619" s="69"/>
      <c r="H619" s="69"/>
      <c r="I619" s="69"/>
      <c r="J619" s="70"/>
      <c r="K619" s="69"/>
      <c r="L619" s="69"/>
      <c r="M619" s="69"/>
      <c r="N619" s="69"/>
      <c r="O619" s="69"/>
      <c r="P619" s="2"/>
      <c r="Q619" s="2"/>
      <c r="R619" s="32"/>
      <c r="S619" s="32"/>
      <c r="T619" s="32"/>
      <c r="U619" s="32"/>
      <c r="V619" s="2"/>
      <c r="W619" s="2"/>
      <c r="X619" s="2"/>
      <c r="Y619" s="2"/>
      <c r="Z619" s="2"/>
    </row>
    <row r="620" spans="1:26" ht="13.8" x14ac:dyDescent="0.3">
      <c r="A620" s="2"/>
      <c r="B620" s="2"/>
      <c r="C620" s="10"/>
      <c r="D620" s="10"/>
      <c r="E620" s="10"/>
      <c r="F620" s="10"/>
      <c r="G620" s="69"/>
      <c r="H620" s="69"/>
      <c r="I620" s="69"/>
      <c r="J620" s="70"/>
      <c r="K620" s="69"/>
      <c r="L620" s="69"/>
      <c r="M620" s="69"/>
      <c r="N620" s="69"/>
      <c r="O620" s="69"/>
      <c r="P620" s="2"/>
      <c r="Q620" s="2"/>
      <c r="R620" s="32"/>
      <c r="S620" s="32"/>
      <c r="T620" s="32"/>
      <c r="U620" s="32"/>
      <c r="V620" s="2"/>
      <c r="W620" s="2"/>
      <c r="X620" s="2"/>
      <c r="Y620" s="2"/>
      <c r="Z620" s="2"/>
    </row>
    <row r="621" spans="1:26" ht="13.8" x14ac:dyDescent="0.3">
      <c r="A621" s="2"/>
      <c r="B621" s="2"/>
      <c r="C621" s="10"/>
      <c r="D621" s="10"/>
      <c r="E621" s="10"/>
      <c r="F621" s="10"/>
      <c r="G621" s="69"/>
      <c r="H621" s="69"/>
      <c r="I621" s="69"/>
      <c r="J621" s="70"/>
      <c r="K621" s="69"/>
      <c r="L621" s="69"/>
      <c r="M621" s="69"/>
      <c r="N621" s="69"/>
      <c r="O621" s="69"/>
      <c r="P621" s="2"/>
      <c r="Q621" s="2"/>
      <c r="R621" s="32"/>
      <c r="S621" s="32"/>
      <c r="T621" s="32"/>
      <c r="U621" s="32"/>
      <c r="V621" s="2"/>
      <c r="W621" s="2"/>
      <c r="X621" s="2"/>
      <c r="Y621" s="2"/>
      <c r="Z621" s="2"/>
    </row>
    <row r="622" spans="1:26" ht="13.8" x14ac:dyDescent="0.3">
      <c r="A622" s="2"/>
      <c r="B622" s="2"/>
      <c r="C622" s="10"/>
      <c r="D622" s="10"/>
      <c r="E622" s="10"/>
      <c r="F622" s="10"/>
      <c r="G622" s="69"/>
      <c r="H622" s="69"/>
      <c r="I622" s="69"/>
      <c r="J622" s="70"/>
      <c r="K622" s="69"/>
      <c r="L622" s="69"/>
      <c r="M622" s="69"/>
      <c r="N622" s="69"/>
      <c r="O622" s="69"/>
      <c r="P622" s="2"/>
      <c r="Q622" s="2"/>
      <c r="R622" s="32"/>
      <c r="S622" s="32"/>
      <c r="T622" s="32"/>
      <c r="U622" s="32"/>
      <c r="V622" s="2"/>
      <c r="W622" s="2"/>
      <c r="X622" s="2"/>
      <c r="Y622" s="2"/>
      <c r="Z622" s="2"/>
    </row>
    <row r="623" spans="1:26" ht="13.8" x14ac:dyDescent="0.3">
      <c r="A623" s="2"/>
      <c r="B623" s="2"/>
      <c r="C623" s="10"/>
      <c r="D623" s="10"/>
      <c r="E623" s="10"/>
      <c r="F623" s="10"/>
      <c r="G623" s="69"/>
      <c r="H623" s="69"/>
      <c r="I623" s="69"/>
      <c r="J623" s="70"/>
      <c r="K623" s="69"/>
      <c r="L623" s="69"/>
      <c r="M623" s="69"/>
      <c r="N623" s="69"/>
      <c r="O623" s="69"/>
      <c r="P623" s="2"/>
      <c r="Q623" s="2"/>
      <c r="R623" s="32"/>
      <c r="S623" s="32"/>
      <c r="T623" s="32"/>
      <c r="U623" s="32"/>
      <c r="V623" s="2"/>
      <c r="W623" s="2"/>
      <c r="X623" s="2"/>
      <c r="Y623" s="2"/>
      <c r="Z623" s="2"/>
    </row>
    <row r="624" spans="1:26" ht="13.8" x14ac:dyDescent="0.3">
      <c r="A624" s="2"/>
      <c r="B624" s="2"/>
      <c r="C624" s="10"/>
      <c r="D624" s="10"/>
      <c r="E624" s="10"/>
      <c r="F624" s="10"/>
      <c r="G624" s="69"/>
      <c r="H624" s="69"/>
      <c r="I624" s="69"/>
      <c r="J624" s="70"/>
      <c r="K624" s="69"/>
      <c r="L624" s="69"/>
      <c r="M624" s="69"/>
      <c r="N624" s="69"/>
      <c r="O624" s="69"/>
      <c r="P624" s="2"/>
      <c r="Q624" s="2"/>
      <c r="R624" s="32"/>
      <c r="S624" s="32"/>
      <c r="T624" s="32"/>
      <c r="U624" s="32"/>
      <c r="V624" s="2"/>
      <c r="W624" s="2"/>
      <c r="X624" s="2"/>
      <c r="Y624" s="2"/>
      <c r="Z624" s="2"/>
    </row>
    <row r="625" spans="1:26" ht="13.8" x14ac:dyDescent="0.3">
      <c r="A625" s="2"/>
      <c r="B625" s="2"/>
      <c r="C625" s="10"/>
      <c r="D625" s="10"/>
      <c r="E625" s="10"/>
      <c r="F625" s="10"/>
      <c r="G625" s="69"/>
      <c r="H625" s="69"/>
      <c r="I625" s="69"/>
      <c r="J625" s="70"/>
      <c r="K625" s="69"/>
      <c r="L625" s="69"/>
      <c r="M625" s="69"/>
      <c r="N625" s="69"/>
      <c r="O625" s="69"/>
      <c r="P625" s="2"/>
      <c r="Q625" s="2"/>
      <c r="R625" s="32"/>
      <c r="S625" s="32"/>
      <c r="T625" s="32"/>
      <c r="U625" s="32"/>
      <c r="V625" s="2"/>
      <c r="W625" s="2"/>
      <c r="X625" s="2"/>
      <c r="Y625" s="2"/>
      <c r="Z625" s="2"/>
    </row>
    <row r="626" spans="1:26" ht="13.8" x14ac:dyDescent="0.3">
      <c r="A626" s="2"/>
      <c r="B626" s="2"/>
      <c r="C626" s="10"/>
      <c r="D626" s="10"/>
      <c r="E626" s="10"/>
      <c r="F626" s="10"/>
      <c r="G626" s="69"/>
      <c r="H626" s="69"/>
      <c r="I626" s="69"/>
      <c r="J626" s="70"/>
      <c r="K626" s="69"/>
      <c r="L626" s="69"/>
      <c r="M626" s="69"/>
      <c r="N626" s="69"/>
      <c r="O626" s="69"/>
      <c r="P626" s="2"/>
      <c r="Q626" s="2"/>
      <c r="R626" s="32"/>
      <c r="S626" s="32"/>
      <c r="T626" s="32"/>
      <c r="U626" s="32"/>
      <c r="V626" s="2"/>
      <c r="W626" s="2"/>
      <c r="X626" s="2"/>
      <c r="Y626" s="2"/>
      <c r="Z626" s="2"/>
    </row>
    <row r="627" spans="1:26" ht="13.8" x14ac:dyDescent="0.3">
      <c r="A627" s="2"/>
      <c r="B627" s="2"/>
      <c r="C627" s="10"/>
      <c r="D627" s="10"/>
      <c r="E627" s="10"/>
      <c r="F627" s="10"/>
      <c r="G627" s="69"/>
      <c r="H627" s="69"/>
      <c r="I627" s="69"/>
      <c r="J627" s="70"/>
      <c r="K627" s="69"/>
      <c r="L627" s="69"/>
      <c r="M627" s="69"/>
      <c r="N627" s="69"/>
      <c r="O627" s="69"/>
      <c r="P627" s="2"/>
      <c r="Q627" s="2"/>
      <c r="R627" s="32"/>
      <c r="S627" s="32"/>
      <c r="T627" s="32"/>
      <c r="U627" s="32"/>
      <c r="V627" s="2"/>
      <c r="W627" s="2"/>
      <c r="X627" s="2"/>
      <c r="Y627" s="2"/>
      <c r="Z627" s="2"/>
    </row>
    <row r="628" spans="1:26" ht="13.8" x14ac:dyDescent="0.3">
      <c r="A628" s="2"/>
      <c r="B628" s="2"/>
      <c r="C628" s="10"/>
      <c r="D628" s="10"/>
      <c r="E628" s="10"/>
      <c r="F628" s="10"/>
      <c r="G628" s="69"/>
      <c r="H628" s="69"/>
      <c r="I628" s="69"/>
      <c r="J628" s="70"/>
      <c r="K628" s="69"/>
      <c r="L628" s="69"/>
      <c r="M628" s="69"/>
      <c r="N628" s="69"/>
      <c r="O628" s="69"/>
      <c r="P628" s="2"/>
      <c r="Q628" s="2"/>
      <c r="R628" s="32"/>
      <c r="S628" s="32"/>
      <c r="T628" s="32"/>
      <c r="U628" s="32"/>
      <c r="V628" s="2"/>
      <c r="W628" s="2"/>
      <c r="X628" s="2"/>
      <c r="Y628" s="2"/>
      <c r="Z628" s="2"/>
    </row>
    <row r="629" spans="1:26" ht="13.8" x14ac:dyDescent="0.3">
      <c r="A629" s="2"/>
      <c r="B629" s="2"/>
      <c r="C629" s="10"/>
      <c r="D629" s="10"/>
      <c r="E629" s="10"/>
      <c r="F629" s="10"/>
      <c r="G629" s="69"/>
      <c r="H629" s="69"/>
      <c r="I629" s="69"/>
      <c r="J629" s="70"/>
      <c r="K629" s="69"/>
      <c r="L629" s="69"/>
      <c r="M629" s="69"/>
      <c r="N629" s="69"/>
      <c r="O629" s="69"/>
      <c r="P629" s="2"/>
      <c r="Q629" s="2"/>
      <c r="R629" s="32"/>
      <c r="S629" s="32"/>
      <c r="T629" s="32"/>
      <c r="U629" s="32"/>
      <c r="V629" s="2"/>
      <c r="W629" s="2"/>
      <c r="X629" s="2"/>
      <c r="Y629" s="2"/>
      <c r="Z629" s="2"/>
    </row>
    <row r="630" spans="1:26" ht="13.8" x14ac:dyDescent="0.3">
      <c r="A630" s="2"/>
      <c r="B630" s="2"/>
      <c r="C630" s="10"/>
      <c r="D630" s="10"/>
      <c r="E630" s="10"/>
      <c r="F630" s="10"/>
      <c r="G630" s="69"/>
      <c r="H630" s="69"/>
      <c r="I630" s="69"/>
      <c r="J630" s="70"/>
      <c r="K630" s="69"/>
      <c r="L630" s="69"/>
      <c r="M630" s="69"/>
      <c r="N630" s="69"/>
      <c r="O630" s="69"/>
      <c r="P630" s="2"/>
      <c r="Q630" s="2"/>
      <c r="R630" s="32"/>
      <c r="S630" s="32"/>
      <c r="T630" s="32"/>
      <c r="U630" s="32"/>
      <c r="V630" s="2"/>
      <c r="W630" s="2"/>
      <c r="X630" s="2"/>
      <c r="Y630" s="2"/>
      <c r="Z630" s="2"/>
    </row>
    <row r="631" spans="1:26" ht="13.8" x14ac:dyDescent="0.3">
      <c r="A631" s="2"/>
      <c r="B631" s="2"/>
      <c r="C631" s="10"/>
      <c r="D631" s="10"/>
      <c r="E631" s="10"/>
      <c r="F631" s="10"/>
      <c r="G631" s="69"/>
      <c r="H631" s="69"/>
      <c r="I631" s="69"/>
      <c r="J631" s="70"/>
      <c r="K631" s="69"/>
      <c r="L631" s="69"/>
      <c r="M631" s="69"/>
      <c r="N631" s="69"/>
      <c r="O631" s="69"/>
      <c r="P631" s="2"/>
      <c r="Q631" s="2"/>
      <c r="R631" s="32"/>
      <c r="S631" s="32"/>
      <c r="T631" s="32"/>
      <c r="U631" s="32"/>
      <c r="V631" s="2"/>
      <c r="W631" s="2"/>
      <c r="X631" s="2"/>
      <c r="Y631" s="2"/>
      <c r="Z631" s="2"/>
    </row>
    <row r="632" spans="1:26" ht="13.8" x14ac:dyDescent="0.3">
      <c r="A632" s="2"/>
      <c r="B632" s="2"/>
      <c r="C632" s="10"/>
      <c r="D632" s="10"/>
      <c r="E632" s="10"/>
      <c r="F632" s="10"/>
      <c r="G632" s="69"/>
      <c r="H632" s="69"/>
      <c r="I632" s="69"/>
      <c r="J632" s="70"/>
      <c r="K632" s="69"/>
      <c r="L632" s="69"/>
      <c r="M632" s="69"/>
      <c r="N632" s="69"/>
      <c r="O632" s="69"/>
      <c r="P632" s="2"/>
      <c r="Q632" s="2"/>
      <c r="R632" s="32"/>
      <c r="S632" s="32"/>
      <c r="T632" s="32"/>
      <c r="U632" s="32"/>
      <c r="V632" s="2"/>
      <c r="W632" s="2"/>
      <c r="X632" s="2"/>
      <c r="Y632" s="2"/>
      <c r="Z632" s="2"/>
    </row>
    <row r="633" spans="1:26" ht="13.8" x14ac:dyDescent="0.3">
      <c r="A633" s="2"/>
      <c r="B633" s="2"/>
      <c r="C633" s="10"/>
      <c r="D633" s="10"/>
      <c r="E633" s="10"/>
      <c r="F633" s="10"/>
      <c r="G633" s="69"/>
      <c r="H633" s="69"/>
      <c r="I633" s="69"/>
      <c r="J633" s="70"/>
      <c r="K633" s="69"/>
      <c r="L633" s="69"/>
      <c r="M633" s="69"/>
      <c r="N633" s="69"/>
      <c r="O633" s="69"/>
      <c r="P633" s="2"/>
      <c r="Q633" s="2"/>
      <c r="R633" s="32"/>
      <c r="S633" s="32"/>
      <c r="T633" s="32"/>
      <c r="U633" s="32"/>
      <c r="V633" s="2"/>
      <c r="W633" s="2"/>
      <c r="X633" s="2"/>
      <c r="Y633" s="2"/>
      <c r="Z633" s="2"/>
    </row>
    <row r="634" spans="1:26" ht="13.8" x14ac:dyDescent="0.3">
      <c r="A634" s="2"/>
      <c r="B634" s="2"/>
      <c r="C634" s="10"/>
      <c r="D634" s="10"/>
      <c r="E634" s="10"/>
      <c r="F634" s="10"/>
      <c r="G634" s="69"/>
      <c r="H634" s="69"/>
      <c r="I634" s="69"/>
      <c r="J634" s="70"/>
      <c r="K634" s="69"/>
      <c r="L634" s="69"/>
      <c r="M634" s="69"/>
      <c r="N634" s="69"/>
      <c r="O634" s="69"/>
      <c r="P634" s="2"/>
      <c r="Q634" s="2"/>
      <c r="R634" s="32"/>
      <c r="S634" s="32"/>
      <c r="T634" s="32"/>
      <c r="U634" s="32"/>
      <c r="V634" s="2"/>
      <c r="W634" s="2"/>
      <c r="X634" s="2"/>
      <c r="Y634" s="2"/>
      <c r="Z634" s="2"/>
    </row>
    <row r="635" spans="1:26" ht="13.8" x14ac:dyDescent="0.3">
      <c r="A635" s="2"/>
      <c r="B635" s="2"/>
      <c r="C635" s="10"/>
      <c r="D635" s="10"/>
      <c r="E635" s="10"/>
      <c r="F635" s="10"/>
      <c r="G635" s="69"/>
      <c r="H635" s="69"/>
      <c r="I635" s="69"/>
      <c r="J635" s="70"/>
      <c r="K635" s="69"/>
      <c r="L635" s="69"/>
      <c r="M635" s="69"/>
      <c r="N635" s="69"/>
      <c r="O635" s="69"/>
      <c r="P635" s="2"/>
      <c r="Q635" s="2"/>
      <c r="R635" s="32"/>
      <c r="S635" s="32"/>
      <c r="T635" s="32"/>
      <c r="U635" s="32"/>
      <c r="V635" s="2"/>
      <c r="W635" s="2"/>
      <c r="X635" s="2"/>
      <c r="Y635" s="2"/>
      <c r="Z635" s="2"/>
    </row>
    <row r="636" spans="1:26" ht="13.8" x14ac:dyDescent="0.3">
      <c r="A636" s="2"/>
      <c r="B636" s="2"/>
      <c r="C636" s="10"/>
      <c r="D636" s="10"/>
      <c r="E636" s="10"/>
      <c r="F636" s="10"/>
      <c r="G636" s="69"/>
      <c r="H636" s="69"/>
      <c r="I636" s="69"/>
      <c r="J636" s="70"/>
      <c r="K636" s="69"/>
      <c r="L636" s="69"/>
      <c r="M636" s="69"/>
      <c r="N636" s="69"/>
      <c r="O636" s="69"/>
      <c r="P636" s="2"/>
      <c r="Q636" s="2"/>
      <c r="R636" s="32"/>
      <c r="S636" s="32"/>
      <c r="T636" s="32"/>
      <c r="U636" s="32"/>
      <c r="V636" s="2"/>
      <c r="W636" s="2"/>
      <c r="X636" s="2"/>
      <c r="Y636" s="2"/>
      <c r="Z636" s="2"/>
    </row>
    <row r="637" spans="1:26" ht="13.8" x14ac:dyDescent="0.3">
      <c r="A637" s="2"/>
      <c r="B637" s="2"/>
      <c r="C637" s="10"/>
      <c r="D637" s="10"/>
      <c r="E637" s="10"/>
      <c r="F637" s="10"/>
      <c r="G637" s="69"/>
      <c r="H637" s="69"/>
      <c r="I637" s="69"/>
      <c r="J637" s="70"/>
      <c r="K637" s="69"/>
      <c r="L637" s="69"/>
      <c r="M637" s="69"/>
      <c r="N637" s="69"/>
      <c r="O637" s="69"/>
      <c r="P637" s="2"/>
      <c r="Q637" s="2"/>
      <c r="R637" s="32"/>
      <c r="S637" s="32"/>
      <c r="T637" s="32"/>
      <c r="U637" s="32"/>
      <c r="V637" s="2"/>
      <c r="W637" s="2"/>
      <c r="X637" s="2"/>
      <c r="Y637" s="2"/>
      <c r="Z637" s="2"/>
    </row>
    <row r="638" spans="1:26" ht="13.8" x14ac:dyDescent="0.3">
      <c r="A638" s="2"/>
      <c r="B638" s="2"/>
      <c r="C638" s="10"/>
      <c r="D638" s="10"/>
      <c r="E638" s="10"/>
      <c r="F638" s="10"/>
      <c r="G638" s="69"/>
      <c r="H638" s="69"/>
      <c r="I638" s="69"/>
      <c r="J638" s="70"/>
      <c r="K638" s="69"/>
      <c r="L638" s="69"/>
      <c r="M638" s="69"/>
      <c r="N638" s="69"/>
      <c r="O638" s="69"/>
      <c r="P638" s="2"/>
      <c r="Q638" s="2"/>
      <c r="R638" s="32"/>
      <c r="S638" s="32"/>
      <c r="T638" s="32"/>
      <c r="U638" s="32"/>
      <c r="V638" s="2"/>
      <c r="W638" s="2"/>
      <c r="X638" s="2"/>
      <c r="Y638" s="2"/>
      <c r="Z638" s="2"/>
    </row>
    <row r="639" spans="1:26" ht="13.8" x14ac:dyDescent="0.3">
      <c r="A639" s="2"/>
      <c r="B639" s="2"/>
      <c r="C639" s="10"/>
      <c r="D639" s="10"/>
      <c r="E639" s="10"/>
      <c r="F639" s="10"/>
      <c r="G639" s="69"/>
      <c r="H639" s="69"/>
      <c r="I639" s="69"/>
      <c r="J639" s="70"/>
      <c r="K639" s="69"/>
      <c r="L639" s="69"/>
      <c r="M639" s="69"/>
      <c r="N639" s="69"/>
      <c r="O639" s="69"/>
      <c r="P639" s="2"/>
      <c r="Q639" s="2"/>
      <c r="R639" s="32"/>
      <c r="S639" s="32"/>
      <c r="T639" s="32"/>
      <c r="U639" s="32"/>
      <c r="V639" s="2"/>
      <c r="W639" s="2"/>
      <c r="X639" s="2"/>
      <c r="Y639" s="2"/>
      <c r="Z639" s="2"/>
    </row>
    <row r="640" spans="1:26" ht="13.8" x14ac:dyDescent="0.3">
      <c r="A640" s="2"/>
      <c r="B640" s="2"/>
      <c r="C640" s="10"/>
      <c r="D640" s="10"/>
      <c r="E640" s="10"/>
      <c r="F640" s="10"/>
      <c r="G640" s="69"/>
      <c r="H640" s="69"/>
      <c r="I640" s="69"/>
      <c r="J640" s="70"/>
      <c r="K640" s="69"/>
      <c r="L640" s="69"/>
      <c r="M640" s="69"/>
      <c r="N640" s="69"/>
      <c r="O640" s="69"/>
      <c r="P640" s="2"/>
      <c r="Q640" s="2"/>
      <c r="R640" s="32"/>
      <c r="S640" s="32"/>
      <c r="T640" s="32"/>
      <c r="U640" s="32"/>
      <c r="V640" s="2"/>
      <c r="W640" s="2"/>
      <c r="X640" s="2"/>
      <c r="Y640" s="2"/>
      <c r="Z640" s="2"/>
    </row>
    <row r="641" spans="1:26" ht="13.8" x14ac:dyDescent="0.3">
      <c r="A641" s="2"/>
      <c r="B641" s="2"/>
      <c r="C641" s="10"/>
      <c r="D641" s="10"/>
      <c r="E641" s="10"/>
      <c r="F641" s="10"/>
      <c r="G641" s="69"/>
      <c r="H641" s="69"/>
      <c r="I641" s="69"/>
      <c r="J641" s="70"/>
      <c r="K641" s="69"/>
      <c r="L641" s="69"/>
      <c r="M641" s="69"/>
      <c r="N641" s="69"/>
      <c r="O641" s="69"/>
      <c r="P641" s="2"/>
      <c r="Q641" s="2"/>
      <c r="R641" s="32"/>
      <c r="S641" s="32"/>
      <c r="T641" s="32"/>
      <c r="U641" s="32"/>
      <c r="V641" s="2"/>
      <c r="W641" s="2"/>
      <c r="X641" s="2"/>
      <c r="Y641" s="2"/>
      <c r="Z641" s="2"/>
    </row>
    <row r="642" spans="1:26" ht="13.8" x14ac:dyDescent="0.3">
      <c r="A642" s="2"/>
      <c r="B642" s="2"/>
      <c r="C642" s="10"/>
      <c r="D642" s="10"/>
      <c r="E642" s="10"/>
      <c r="F642" s="10"/>
      <c r="G642" s="69"/>
      <c r="H642" s="69"/>
      <c r="I642" s="69"/>
      <c r="J642" s="70"/>
      <c r="K642" s="69"/>
      <c r="L642" s="69"/>
      <c r="M642" s="69"/>
      <c r="N642" s="69"/>
      <c r="O642" s="69"/>
      <c r="P642" s="2"/>
      <c r="Q642" s="2"/>
      <c r="R642" s="32"/>
      <c r="S642" s="32"/>
      <c r="T642" s="32"/>
      <c r="U642" s="32"/>
      <c r="V642" s="2"/>
      <c r="W642" s="2"/>
      <c r="X642" s="2"/>
      <c r="Y642" s="2"/>
      <c r="Z642" s="2"/>
    </row>
    <row r="643" spans="1:26" ht="13.8" x14ac:dyDescent="0.3">
      <c r="A643" s="2"/>
      <c r="B643" s="2"/>
      <c r="C643" s="10"/>
      <c r="D643" s="10"/>
      <c r="E643" s="10"/>
      <c r="F643" s="10"/>
      <c r="G643" s="69"/>
      <c r="H643" s="69"/>
      <c r="I643" s="69"/>
      <c r="J643" s="70"/>
      <c r="K643" s="69"/>
      <c r="L643" s="69"/>
      <c r="M643" s="69"/>
      <c r="N643" s="69"/>
      <c r="O643" s="69"/>
      <c r="P643" s="2"/>
      <c r="Q643" s="2"/>
      <c r="R643" s="32"/>
      <c r="S643" s="32"/>
      <c r="T643" s="32"/>
      <c r="U643" s="32"/>
      <c r="V643" s="2"/>
      <c r="W643" s="2"/>
      <c r="X643" s="2"/>
      <c r="Y643" s="2"/>
      <c r="Z643" s="2"/>
    </row>
    <row r="644" spans="1:26" ht="13.8" x14ac:dyDescent="0.3">
      <c r="A644" s="2"/>
      <c r="B644" s="2"/>
      <c r="C644" s="10"/>
      <c r="D644" s="10"/>
      <c r="E644" s="10"/>
      <c r="F644" s="10"/>
      <c r="G644" s="69"/>
      <c r="H644" s="69"/>
      <c r="I644" s="69"/>
      <c r="J644" s="70"/>
      <c r="K644" s="69"/>
      <c r="L644" s="69"/>
      <c r="M644" s="69"/>
      <c r="N644" s="69"/>
      <c r="O644" s="69"/>
      <c r="P644" s="2"/>
      <c r="Q644" s="2"/>
      <c r="R644" s="32"/>
      <c r="S644" s="32"/>
      <c r="T644" s="32"/>
      <c r="U644" s="32"/>
      <c r="V644" s="2"/>
      <c r="W644" s="2"/>
      <c r="X644" s="2"/>
      <c r="Y644" s="2"/>
      <c r="Z644" s="2"/>
    </row>
    <row r="645" spans="1:26" ht="13.8" x14ac:dyDescent="0.3">
      <c r="A645" s="2"/>
      <c r="B645" s="2"/>
      <c r="C645" s="10"/>
      <c r="D645" s="10"/>
      <c r="E645" s="10"/>
      <c r="F645" s="10"/>
      <c r="G645" s="69"/>
      <c r="H645" s="69"/>
      <c r="I645" s="69"/>
      <c r="J645" s="70"/>
      <c r="K645" s="69"/>
      <c r="L645" s="69"/>
      <c r="M645" s="69"/>
      <c r="N645" s="69"/>
      <c r="O645" s="69"/>
      <c r="P645" s="2"/>
      <c r="Q645" s="2"/>
      <c r="R645" s="32"/>
      <c r="S645" s="32"/>
      <c r="T645" s="32"/>
      <c r="U645" s="32"/>
      <c r="V645" s="2"/>
      <c r="W645" s="2"/>
      <c r="X645" s="2"/>
      <c r="Y645" s="2"/>
      <c r="Z645" s="2"/>
    </row>
    <row r="646" spans="1:26" ht="13.8" x14ac:dyDescent="0.3">
      <c r="A646" s="2"/>
      <c r="B646" s="2"/>
      <c r="C646" s="10"/>
      <c r="D646" s="10"/>
      <c r="E646" s="10"/>
      <c r="F646" s="10"/>
      <c r="G646" s="69"/>
      <c r="H646" s="69"/>
      <c r="I646" s="69"/>
      <c r="J646" s="70"/>
      <c r="K646" s="69"/>
      <c r="L646" s="69"/>
      <c r="M646" s="69"/>
      <c r="N646" s="69"/>
      <c r="O646" s="69"/>
      <c r="P646" s="2"/>
      <c r="Q646" s="2"/>
      <c r="R646" s="32"/>
      <c r="S646" s="32"/>
      <c r="T646" s="32"/>
      <c r="U646" s="32"/>
      <c r="V646" s="2"/>
      <c r="W646" s="2"/>
      <c r="X646" s="2"/>
      <c r="Y646" s="2"/>
      <c r="Z646" s="2"/>
    </row>
    <row r="647" spans="1:26" ht="13.8" x14ac:dyDescent="0.3">
      <c r="A647" s="2"/>
      <c r="B647" s="2"/>
      <c r="C647" s="10"/>
      <c r="D647" s="10"/>
      <c r="E647" s="10"/>
      <c r="F647" s="10"/>
      <c r="G647" s="69"/>
      <c r="H647" s="69"/>
      <c r="I647" s="69"/>
      <c r="J647" s="70"/>
      <c r="K647" s="69"/>
      <c r="L647" s="69"/>
      <c r="M647" s="69"/>
      <c r="N647" s="69"/>
      <c r="O647" s="69"/>
      <c r="P647" s="2"/>
      <c r="Q647" s="2"/>
      <c r="R647" s="32"/>
      <c r="S647" s="32"/>
      <c r="T647" s="32"/>
      <c r="U647" s="32"/>
      <c r="V647" s="2"/>
      <c r="W647" s="2"/>
      <c r="X647" s="2"/>
      <c r="Y647" s="2"/>
      <c r="Z647" s="2"/>
    </row>
    <row r="648" spans="1:26" ht="13.8" x14ac:dyDescent="0.3">
      <c r="A648" s="2"/>
      <c r="B648" s="2"/>
      <c r="C648" s="10"/>
      <c r="D648" s="10"/>
      <c r="E648" s="10"/>
      <c r="F648" s="10"/>
      <c r="G648" s="69"/>
      <c r="H648" s="69"/>
      <c r="I648" s="69"/>
      <c r="J648" s="70"/>
      <c r="K648" s="69"/>
      <c r="L648" s="69"/>
      <c r="M648" s="69"/>
      <c r="N648" s="69"/>
      <c r="O648" s="69"/>
      <c r="P648" s="2"/>
      <c r="Q648" s="2"/>
      <c r="R648" s="32"/>
      <c r="S648" s="32"/>
      <c r="T648" s="32"/>
      <c r="U648" s="32"/>
      <c r="V648" s="2"/>
      <c r="W648" s="2"/>
      <c r="X648" s="2"/>
      <c r="Y648" s="2"/>
      <c r="Z648" s="2"/>
    </row>
    <row r="649" spans="1:26" ht="13.8" x14ac:dyDescent="0.3">
      <c r="A649" s="2"/>
      <c r="B649" s="2"/>
      <c r="C649" s="10"/>
      <c r="D649" s="10"/>
      <c r="E649" s="10"/>
      <c r="F649" s="10"/>
      <c r="G649" s="69"/>
      <c r="H649" s="69"/>
      <c r="I649" s="69"/>
      <c r="J649" s="70"/>
      <c r="K649" s="69"/>
      <c r="L649" s="69"/>
      <c r="M649" s="69"/>
      <c r="N649" s="69"/>
      <c r="O649" s="69"/>
      <c r="P649" s="2"/>
      <c r="Q649" s="2"/>
      <c r="R649" s="32"/>
      <c r="S649" s="32"/>
      <c r="T649" s="32"/>
      <c r="U649" s="32"/>
      <c r="V649" s="2"/>
      <c r="W649" s="2"/>
      <c r="X649" s="2"/>
      <c r="Y649" s="2"/>
      <c r="Z649" s="2"/>
    </row>
    <row r="650" spans="1:26" ht="13.8" x14ac:dyDescent="0.3">
      <c r="A650" s="2"/>
      <c r="B650" s="2"/>
      <c r="C650" s="10"/>
      <c r="D650" s="10"/>
      <c r="E650" s="10"/>
      <c r="F650" s="10"/>
      <c r="G650" s="69"/>
      <c r="H650" s="69"/>
      <c r="I650" s="69"/>
      <c r="J650" s="70"/>
      <c r="K650" s="69"/>
      <c r="L650" s="69"/>
      <c r="M650" s="69"/>
      <c r="N650" s="69"/>
      <c r="O650" s="69"/>
      <c r="P650" s="2"/>
      <c r="Q650" s="2"/>
      <c r="R650" s="32"/>
      <c r="S650" s="32"/>
      <c r="T650" s="32"/>
      <c r="U650" s="32"/>
      <c r="V650" s="2"/>
      <c r="W650" s="2"/>
      <c r="X650" s="2"/>
      <c r="Y650" s="2"/>
      <c r="Z650" s="2"/>
    </row>
    <row r="651" spans="1:26" ht="13.8" x14ac:dyDescent="0.3">
      <c r="A651" s="2"/>
      <c r="B651" s="2"/>
      <c r="C651" s="10"/>
      <c r="D651" s="10"/>
      <c r="E651" s="10"/>
      <c r="F651" s="10"/>
      <c r="G651" s="69"/>
      <c r="H651" s="69"/>
      <c r="I651" s="69"/>
      <c r="J651" s="70"/>
      <c r="K651" s="69"/>
      <c r="L651" s="69"/>
      <c r="M651" s="69"/>
      <c r="N651" s="69"/>
      <c r="O651" s="69"/>
      <c r="P651" s="2"/>
      <c r="Q651" s="2"/>
      <c r="R651" s="32"/>
      <c r="S651" s="32"/>
      <c r="T651" s="32"/>
      <c r="U651" s="32"/>
      <c r="V651" s="2"/>
      <c r="W651" s="2"/>
      <c r="X651" s="2"/>
      <c r="Y651" s="2"/>
      <c r="Z651" s="2"/>
    </row>
    <row r="652" spans="1:26" ht="13.8" x14ac:dyDescent="0.3">
      <c r="A652" s="2"/>
      <c r="B652" s="2"/>
      <c r="C652" s="10"/>
      <c r="D652" s="10"/>
      <c r="E652" s="10"/>
      <c r="F652" s="10"/>
      <c r="G652" s="69"/>
      <c r="H652" s="69"/>
      <c r="I652" s="69"/>
      <c r="J652" s="70"/>
      <c r="K652" s="69"/>
      <c r="L652" s="69"/>
      <c r="M652" s="69"/>
      <c r="N652" s="69"/>
      <c r="O652" s="69"/>
      <c r="P652" s="2"/>
      <c r="Q652" s="2"/>
      <c r="R652" s="32"/>
      <c r="S652" s="32"/>
      <c r="T652" s="32"/>
      <c r="U652" s="32"/>
      <c r="V652" s="2"/>
      <c r="W652" s="2"/>
      <c r="X652" s="2"/>
      <c r="Y652" s="2"/>
      <c r="Z652" s="2"/>
    </row>
    <row r="653" spans="1:26" ht="13.8" x14ac:dyDescent="0.3">
      <c r="A653" s="2"/>
      <c r="B653" s="2"/>
      <c r="C653" s="10"/>
      <c r="D653" s="10"/>
      <c r="E653" s="10"/>
      <c r="F653" s="10"/>
      <c r="G653" s="69"/>
      <c r="H653" s="69"/>
      <c r="I653" s="69"/>
      <c r="J653" s="70"/>
      <c r="K653" s="69"/>
      <c r="L653" s="69"/>
      <c r="M653" s="69"/>
      <c r="N653" s="69"/>
      <c r="O653" s="69"/>
      <c r="P653" s="2"/>
      <c r="Q653" s="2"/>
      <c r="R653" s="32"/>
      <c r="S653" s="32"/>
      <c r="T653" s="32"/>
      <c r="U653" s="32"/>
      <c r="V653" s="2"/>
      <c r="W653" s="2"/>
      <c r="X653" s="2"/>
      <c r="Y653" s="2"/>
      <c r="Z653" s="2"/>
    </row>
    <row r="654" spans="1:26" ht="13.8" x14ac:dyDescent="0.3">
      <c r="A654" s="2"/>
      <c r="B654" s="2"/>
      <c r="C654" s="10"/>
      <c r="D654" s="10"/>
      <c r="E654" s="10"/>
      <c r="F654" s="10"/>
      <c r="G654" s="69"/>
      <c r="H654" s="69"/>
      <c r="I654" s="69"/>
      <c r="J654" s="70"/>
      <c r="K654" s="69"/>
      <c r="L654" s="69"/>
      <c r="M654" s="69"/>
      <c r="N654" s="69"/>
      <c r="O654" s="69"/>
      <c r="P654" s="2"/>
      <c r="Q654" s="2"/>
      <c r="R654" s="32"/>
      <c r="S654" s="32"/>
      <c r="T654" s="32"/>
      <c r="U654" s="32"/>
      <c r="V654" s="2"/>
      <c r="W654" s="2"/>
      <c r="X654" s="2"/>
      <c r="Y654" s="2"/>
      <c r="Z654" s="2"/>
    </row>
    <row r="655" spans="1:26" ht="13.8" x14ac:dyDescent="0.3">
      <c r="A655" s="2"/>
      <c r="B655" s="2"/>
      <c r="C655" s="10"/>
      <c r="D655" s="10"/>
      <c r="E655" s="10"/>
      <c r="F655" s="10"/>
      <c r="G655" s="69"/>
      <c r="H655" s="69"/>
      <c r="I655" s="69"/>
      <c r="J655" s="70"/>
      <c r="K655" s="69"/>
      <c r="L655" s="69"/>
      <c r="M655" s="69"/>
      <c r="N655" s="69"/>
      <c r="O655" s="69"/>
      <c r="P655" s="2"/>
      <c r="Q655" s="2"/>
      <c r="R655" s="32"/>
      <c r="S655" s="32"/>
      <c r="T655" s="32"/>
      <c r="U655" s="32"/>
      <c r="V655" s="2"/>
      <c r="W655" s="2"/>
      <c r="X655" s="2"/>
      <c r="Y655" s="2"/>
      <c r="Z655" s="2"/>
    </row>
    <row r="656" spans="1:26" ht="13.8" x14ac:dyDescent="0.3">
      <c r="A656" s="2"/>
      <c r="B656" s="2"/>
      <c r="C656" s="10"/>
      <c r="D656" s="10"/>
      <c r="E656" s="10"/>
      <c r="F656" s="10"/>
      <c r="G656" s="69"/>
      <c r="H656" s="69"/>
      <c r="I656" s="69"/>
      <c r="J656" s="70"/>
      <c r="K656" s="69"/>
      <c r="L656" s="69"/>
      <c r="M656" s="69"/>
      <c r="N656" s="69"/>
      <c r="O656" s="69"/>
      <c r="P656" s="2"/>
      <c r="Q656" s="2"/>
      <c r="R656" s="32"/>
      <c r="S656" s="32"/>
      <c r="T656" s="32"/>
      <c r="U656" s="32"/>
      <c r="V656" s="2"/>
      <c r="W656" s="2"/>
      <c r="X656" s="2"/>
      <c r="Y656" s="2"/>
      <c r="Z656" s="2"/>
    </row>
    <row r="657" spans="1:26" ht="13.8" x14ac:dyDescent="0.3">
      <c r="A657" s="2"/>
      <c r="B657" s="2"/>
      <c r="C657" s="10"/>
      <c r="D657" s="10"/>
      <c r="E657" s="10"/>
      <c r="F657" s="10"/>
      <c r="G657" s="69"/>
      <c r="H657" s="69"/>
      <c r="I657" s="69"/>
      <c r="J657" s="70"/>
      <c r="K657" s="69"/>
      <c r="L657" s="69"/>
      <c r="M657" s="69"/>
      <c r="N657" s="69"/>
      <c r="O657" s="69"/>
      <c r="P657" s="2"/>
      <c r="Q657" s="2"/>
      <c r="R657" s="32"/>
      <c r="S657" s="32"/>
      <c r="T657" s="32"/>
      <c r="U657" s="32"/>
      <c r="V657" s="2"/>
      <c r="W657" s="2"/>
      <c r="X657" s="2"/>
      <c r="Y657" s="2"/>
      <c r="Z657" s="2"/>
    </row>
    <row r="658" spans="1:26" ht="13.8" x14ac:dyDescent="0.3">
      <c r="A658" s="2"/>
      <c r="B658" s="2"/>
      <c r="C658" s="10"/>
      <c r="D658" s="10"/>
      <c r="E658" s="10"/>
      <c r="F658" s="10"/>
      <c r="G658" s="69"/>
      <c r="H658" s="69"/>
      <c r="I658" s="69"/>
      <c r="J658" s="70"/>
      <c r="K658" s="69"/>
      <c r="L658" s="69"/>
      <c r="M658" s="69"/>
      <c r="N658" s="69"/>
      <c r="O658" s="69"/>
      <c r="P658" s="2"/>
      <c r="Q658" s="2"/>
      <c r="R658" s="32"/>
      <c r="S658" s="32"/>
      <c r="T658" s="32"/>
      <c r="U658" s="32"/>
      <c r="V658" s="2"/>
      <c r="W658" s="2"/>
      <c r="X658" s="2"/>
      <c r="Y658" s="2"/>
      <c r="Z658" s="2"/>
    </row>
    <row r="659" spans="1:26" ht="13.8" x14ac:dyDescent="0.3">
      <c r="A659" s="2"/>
      <c r="B659" s="2"/>
      <c r="C659" s="10"/>
      <c r="D659" s="10"/>
      <c r="E659" s="10"/>
      <c r="F659" s="10"/>
      <c r="G659" s="69"/>
      <c r="H659" s="69"/>
      <c r="I659" s="69"/>
      <c r="J659" s="70"/>
      <c r="K659" s="69"/>
      <c r="L659" s="69"/>
      <c r="M659" s="69"/>
      <c r="N659" s="69"/>
      <c r="O659" s="69"/>
      <c r="P659" s="2"/>
      <c r="Q659" s="2"/>
      <c r="R659" s="32"/>
      <c r="S659" s="32"/>
      <c r="T659" s="32"/>
      <c r="U659" s="32"/>
      <c r="V659" s="2"/>
      <c r="W659" s="2"/>
      <c r="X659" s="2"/>
      <c r="Y659" s="2"/>
      <c r="Z659" s="2"/>
    </row>
    <row r="660" spans="1:26" ht="13.8" x14ac:dyDescent="0.3">
      <c r="A660" s="2"/>
      <c r="B660" s="2"/>
      <c r="C660" s="10"/>
      <c r="D660" s="10"/>
      <c r="E660" s="10"/>
      <c r="F660" s="10"/>
      <c r="G660" s="69"/>
      <c r="H660" s="69"/>
      <c r="I660" s="69"/>
      <c r="J660" s="70"/>
      <c r="K660" s="69"/>
      <c r="L660" s="69"/>
      <c r="M660" s="69"/>
      <c r="N660" s="69"/>
      <c r="O660" s="69"/>
      <c r="P660" s="2"/>
      <c r="Q660" s="2"/>
      <c r="R660" s="32"/>
      <c r="S660" s="32"/>
      <c r="T660" s="32"/>
      <c r="U660" s="32"/>
      <c r="V660" s="2"/>
      <c r="W660" s="2"/>
      <c r="X660" s="2"/>
      <c r="Y660" s="2"/>
      <c r="Z660" s="2"/>
    </row>
    <row r="661" spans="1:26" ht="13.8" x14ac:dyDescent="0.3">
      <c r="A661" s="2"/>
      <c r="B661" s="2"/>
      <c r="C661" s="10"/>
      <c r="D661" s="10"/>
      <c r="E661" s="10"/>
      <c r="F661" s="10"/>
      <c r="G661" s="69"/>
      <c r="H661" s="69"/>
      <c r="I661" s="69"/>
      <c r="J661" s="70"/>
      <c r="K661" s="69"/>
      <c r="L661" s="69"/>
      <c r="M661" s="69"/>
      <c r="N661" s="69"/>
      <c r="O661" s="69"/>
      <c r="P661" s="2"/>
      <c r="Q661" s="2"/>
      <c r="R661" s="32"/>
      <c r="S661" s="32"/>
      <c r="T661" s="32"/>
      <c r="U661" s="32"/>
      <c r="V661" s="2"/>
      <c r="W661" s="2"/>
      <c r="X661" s="2"/>
      <c r="Y661" s="2"/>
      <c r="Z661" s="2"/>
    </row>
    <row r="662" spans="1:26" ht="13.8" x14ac:dyDescent="0.3">
      <c r="A662" s="2"/>
      <c r="B662" s="2"/>
      <c r="C662" s="10"/>
      <c r="D662" s="10"/>
      <c r="E662" s="10"/>
      <c r="F662" s="10"/>
      <c r="G662" s="69"/>
      <c r="H662" s="69"/>
      <c r="I662" s="69"/>
      <c r="J662" s="70"/>
      <c r="K662" s="69"/>
      <c r="L662" s="69"/>
      <c r="M662" s="69"/>
      <c r="N662" s="69"/>
      <c r="O662" s="69"/>
      <c r="P662" s="2"/>
      <c r="Q662" s="2"/>
      <c r="R662" s="32"/>
      <c r="S662" s="32"/>
      <c r="T662" s="32"/>
      <c r="U662" s="32"/>
      <c r="V662" s="2"/>
      <c r="W662" s="2"/>
      <c r="X662" s="2"/>
      <c r="Y662" s="2"/>
      <c r="Z662" s="2"/>
    </row>
    <row r="663" spans="1:26" ht="13.8" x14ac:dyDescent="0.3">
      <c r="A663" s="2"/>
      <c r="B663" s="2"/>
      <c r="C663" s="10"/>
      <c r="D663" s="10"/>
      <c r="E663" s="10"/>
      <c r="F663" s="10"/>
      <c r="G663" s="69"/>
      <c r="H663" s="69"/>
      <c r="I663" s="69"/>
      <c r="J663" s="70"/>
      <c r="K663" s="69"/>
      <c r="L663" s="69"/>
      <c r="M663" s="69"/>
      <c r="N663" s="69"/>
      <c r="O663" s="69"/>
      <c r="P663" s="2"/>
      <c r="Q663" s="2"/>
      <c r="R663" s="32"/>
      <c r="S663" s="32"/>
      <c r="T663" s="32"/>
      <c r="U663" s="32"/>
      <c r="V663" s="2"/>
      <c r="W663" s="2"/>
      <c r="X663" s="2"/>
      <c r="Y663" s="2"/>
      <c r="Z663" s="2"/>
    </row>
    <row r="664" spans="1:26" ht="13.8" x14ac:dyDescent="0.3">
      <c r="A664" s="2"/>
      <c r="B664" s="2"/>
      <c r="C664" s="10"/>
      <c r="D664" s="10"/>
      <c r="E664" s="10"/>
      <c r="F664" s="10"/>
      <c r="G664" s="69"/>
      <c r="H664" s="69"/>
      <c r="I664" s="69"/>
      <c r="J664" s="70"/>
      <c r="K664" s="69"/>
      <c r="L664" s="69"/>
      <c r="M664" s="69"/>
      <c r="N664" s="69"/>
      <c r="O664" s="69"/>
      <c r="P664" s="2"/>
      <c r="Q664" s="2"/>
      <c r="R664" s="32"/>
      <c r="S664" s="32"/>
      <c r="T664" s="32"/>
      <c r="U664" s="32"/>
      <c r="V664" s="2"/>
      <c r="W664" s="2"/>
      <c r="X664" s="2"/>
      <c r="Y664" s="2"/>
      <c r="Z664" s="2"/>
    </row>
    <row r="665" spans="1:26" ht="13.8" x14ac:dyDescent="0.3">
      <c r="A665" s="2"/>
      <c r="B665" s="2"/>
      <c r="C665" s="10"/>
      <c r="D665" s="10"/>
      <c r="E665" s="10"/>
      <c r="F665" s="10"/>
      <c r="G665" s="69"/>
      <c r="H665" s="69"/>
      <c r="I665" s="69"/>
      <c r="J665" s="70"/>
      <c r="K665" s="69"/>
      <c r="L665" s="69"/>
      <c r="M665" s="69"/>
      <c r="N665" s="69"/>
      <c r="O665" s="69"/>
      <c r="P665" s="2"/>
      <c r="Q665" s="2"/>
      <c r="R665" s="32"/>
      <c r="S665" s="32"/>
      <c r="T665" s="32"/>
      <c r="U665" s="32"/>
      <c r="V665" s="2"/>
      <c r="W665" s="2"/>
      <c r="X665" s="2"/>
      <c r="Y665" s="2"/>
      <c r="Z665" s="2"/>
    </row>
    <row r="666" spans="1:26" ht="13.8" x14ac:dyDescent="0.3">
      <c r="A666" s="2"/>
      <c r="B666" s="2"/>
      <c r="C666" s="10"/>
      <c r="D666" s="10"/>
      <c r="E666" s="10"/>
      <c r="F666" s="10"/>
      <c r="G666" s="69"/>
      <c r="H666" s="69"/>
      <c r="I666" s="69"/>
      <c r="J666" s="70"/>
      <c r="K666" s="69"/>
      <c r="L666" s="69"/>
      <c r="M666" s="69"/>
      <c r="N666" s="69"/>
      <c r="O666" s="69"/>
      <c r="P666" s="2"/>
      <c r="Q666" s="2"/>
      <c r="R666" s="32"/>
      <c r="S666" s="32"/>
      <c r="T666" s="32"/>
      <c r="U666" s="32"/>
      <c r="V666" s="2"/>
      <c r="W666" s="2"/>
      <c r="X666" s="2"/>
      <c r="Y666" s="2"/>
      <c r="Z666" s="2"/>
    </row>
    <row r="667" spans="1:26" ht="13.8" x14ac:dyDescent="0.3">
      <c r="A667" s="2"/>
      <c r="B667" s="2"/>
      <c r="C667" s="10"/>
      <c r="D667" s="10"/>
      <c r="E667" s="10"/>
      <c r="F667" s="10"/>
      <c r="G667" s="69"/>
      <c r="H667" s="69"/>
      <c r="I667" s="69"/>
      <c r="J667" s="70"/>
      <c r="K667" s="69"/>
      <c r="L667" s="69"/>
      <c r="M667" s="69"/>
      <c r="N667" s="69"/>
      <c r="O667" s="69"/>
      <c r="P667" s="2"/>
      <c r="Q667" s="2"/>
      <c r="R667" s="32"/>
      <c r="S667" s="32"/>
      <c r="T667" s="32"/>
      <c r="U667" s="32"/>
      <c r="V667" s="2"/>
      <c r="W667" s="2"/>
      <c r="X667" s="2"/>
      <c r="Y667" s="2"/>
      <c r="Z667" s="2"/>
    </row>
    <row r="668" spans="1:26" ht="13.8" x14ac:dyDescent="0.3">
      <c r="A668" s="2"/>
      <c r="B668" s="2"/>
      <c r="C668" s="10"/>
      <c r="D668" s="10"/>
      <c r="E668" s="10"/>
      <c r="F668" s="10"/>
      <c r="G668" s="69"/>
      <c r="H668" s="69"/>
      <c r="I668" s="69"/>
      <c r="J668" s="70"/>
      <c r="K668" s="69"/>
      <c r="L668" s="69"/>
      <c r="M668" s="69"/>
      <c r="N668" s="69"/>
      <c r="O668" s="69"/>
      <c r="P668" s="2"/>
      <c r="Q668" s="2"/>
      <c r="R668" s="32"/>
      <c r="S668" s="32"/>
      <c r="T668" s="32"/>
      <c r="U668" s="32"/>
      <c r="V668" s="2"/>
      <c r="W668" s="2"/>
      <c r="X668" s="2"/>
      <c r="Y668" s="2"/>
      <c r="Z668" s="2"/>
    </row>
    <row r="669" spans="1:26" ht="13.8" x14ac:dyDescent="0.3">
      <c r="A669" s="2"/>
      <c r="B669" s="2"/>
      <c r="C669" s="10"/>
      <c r="D669" s="10"/>
      <c r="E669" s="10"/>
      <c r="F669" s="10"/>
      <c r="G669" s="69"/>
      <c r="H669" s="69"/>
      <c r="I669" s="69"/>
      <c r="J669" s="70"/>
      <c r="K669" s="69"/>
      <c r="L669" s="69"/>
      <c r="M669" s="69"/>
      <c r="N669" s="69"/>
      <c r="O669" s="69"/>
      <c r="P669" s="2"/>
      <c r="Q669" s="2"/>
      <c r="R669" s="32"/>
      <c r="S669" s="32"/>
      <c r="T669" s="32"/>
      <c r="U669" s="32"/>
      <c r="V669" s="2"/>
      <c r="W669" s="2"/>
      <c r="X669" s="2"/>
      <c r="Y669" s="2"/>
      <c r="Z669" s="2"/>
    </row>
    <row r="670" spans="1:26" ht="13.8" x14ac:dyDescent="0.3">
      <c r="A670" s="2"/>
      <c r="B670" s="2"/>
      <c r="C670" s="10"/>
      <c r="D670" s="10"/>
      <c r="E670" s="10"/>
      <c r="F670" s="10"/>
      <c r="G670" s="69"/>
      <c r="H670" s="69"/>
      <c r="I670" s="69"/>
      <c r="J670" s="70"/>
      <c r="K670" s="69"/>
      <c r="L670" s="69"/>
      <c r="M670" s="69"/>
      <c r="N670" s="69"/>
      <c r="O670" s="69"/>
      <c r="P670" s="2"/>
      <c r="Q670" s="2"/>
      <c r="R670" s="32"/>
      <c r="S670" s="32"/>
      <c r="T670" s="32"/>
      <c r="U670" s="32"/>
      <c r="V670" s="2"/>
      <c r="W670" s="2"/>
      <c r="X670" s="2"/>
      <c r="Y670" s="2"/>
      <c r="Z670" s="2"/>
    </row>
    <row r="671" spans="1:26" ht="13.8" x14ac:dyDescent="0.3">
      <c r="A671" s="2"/>
      <c r="B671" s="2"/>
      <c r="C671" s="10"/>
      <c r="D671" s="10"/>
      <c r="E671" s="10"/>
      <c r="F671" s="10"/>
      <c r="G671" s="69"/>
      <c r="H671" s="69"/>
      <c r="I671" s="69"/>
      <c r="J671" s="70"/>
      <c r="K671" s="69"/>
      <c r="L671" s="69"/>
      <c r="M671" s="69"/>
      <c r="N671" s="69"/>
      <c r="O671" s="69"/>
      <c r="P671" s="2"/>
      <c r="Q671" s="2"/>
      <c r="R671" s="32"/>
      <c r="S671" s="32"/>
      <c r="T671" s="32"/>
      <c r="U671" s="32"/>
      <c r="V671" s="2"/>
      <c r="W671" s="2"/>
      <c r="X671" s="2"/>
      <c r="Y671" s="2"/>
      <c r="Z671" s="2"/>
    </row>
    <row r="672" spans="1:26" ht="13.8" x14ac:dyDescent="0.3">
      <c r="A672" s="2"/>
      <c r="B672" s="2"/>
      <c r="C672" s="10"/>
      <c r="D672" s="10"/>
      <c r="E672" s="10"/>
      <c r="F672" s="10"/>
      <c r="G672" s="69"/>
      <c r="H672" s="69"/>
      <c r="I672" s="69"/>
      <c r="J672" s="70"/>
      <c r="K672" s="69"/>
      <c r="L672" s="69"/>
      <c r="M672" s="69"/>
      <c r="N672" s="69"/>
      <c r="O672" s="69"/>
      <c r="P672" s="2"/>
      <c r="Q672" s="2"/>
      <c r="R672" s="32"/>
      <c r="S672" s="32"/>
      <c r="T672" s="32"/>
      <c r="U672" s="32"/>
      <c r="V672" s="2"/>
      <c r="W672" s="2"/>
      <c r="X672" s="2"/>
      <c r="Y672" s="2"/>
      <c r="Z672" s="2"/>
    </row>
    <row r="673" spans="1:26" ht="13.8" x14ac:dyDescent="0.3">
      <c r="A673" s="2"/>
      <c r="B673" s="2"/>
      <c r="C673" s="10"/>
      <c r="D673" s="10"/>
      <c r="E673" s="10"/>
      <c r="F673" s="10"/>
      <c r="G673" s="69"/>
      <c r="H673" s="69"/>
      <c r="I673" s="69"/>
      <c r="J673" s="70"/>
      <c r="K673" s="69"/>
      <c r="L673" s="69"/>
      <c r="M673" s="69"/>
      <c r="N673" s="69"/>
      <c r="O673" s="69"/>
      <c r="P673" s="2"/>
      <c r="Q673" s="2"/>
      <c r="R673" s="32"/>
      <c r="S673" s="32"/>
      <c r="T673" s="32"/>
      <c r="U673" s="32"/>
      <c r="V673" s="2"/>
      <c r="W673" s="2"/>
      <c r="X673" s="2"/>
      <c r="Y673" s="2"/>
      <c r="Z673" s="2"/>
    </row>
    <row r="674" spans="1:26" ht="13.8" x14ac:dyDescent="0.3">
      <c r="A674" s="2"/>
      <c r="B674" s="2"/>
      <c r="C674" s="10"/>
      <c r="D674" s="10"/>
      <c r="E674" s="10"/>
      <c r="F674" s="10"/>
      <c r="G674" s="69"/>
      <c r="H674" s="69"/>
      <c r="I674" s="69"/>
      <c r="J674" s="70"/>
      <c r="K674" s="69"/>
      <c r="L674" s="69"/>
      <c r="M674" s="69"/>
      <c r="N674" s="69"/>
      <c r="O674" s="69"/>
      <c r="P674" s="2"/>
      <c r="Q674" s="2"/>
      <c r="R674" s="32"/>
      <c r="S674" s="32"/>
      <c r="T674" s="32"/>
      <c r="U674" s="32"/>
      <c r="V674" s="2"/>
      <c r="W674" s="2"/>
      <c r="X674" s="2"/>
      <c r="Y674" s="2"/>
      <c r="Z674" s="2"/>
    </row>
    <row r="675" spans="1:26" ht="13.8" x14ac:dyDescent="0.3">
      <c r="A675" s="2"/>
      <c r="B675" s="2"/>
      <c r="C675" s="10"/>
      <c r="D675" s="10"/>
      <c r="E675" s="10"/>
      <c r="F675" s="10"/>
      <c r="G675" s="69"/>
      <c r="H675" s="69"/>
      <c r="I675" s="69"/>
      <c r="J675" s="70"/>
      <c r="K675" s="69"/>
      <c r="L675" s="69"/>
      <c r="M675" s="69"/>
      <c r="N675" s="69"/>
      <c r="O675" s="69"/>
      <c r="P675" s="2"/>
      <c r="Q675" s="2"/>
      <c r="R675" s="32"/>
      <c r="S675" s="32"/>
      <c r="T675" s="32"/>
      <c r="U675" s="32"/>
      <c r="V675" s="2"/>
      <c r="W675" s="2"/>
      <c r="X675" s="2"/>
      <c r="Y675" s="2"/>
      <c r="Z675" s="2"/>
    </row>
    <row r="676" spans="1:26" ht="13.8" x14ac:dyDescent="0.3">
      <c r="A676" s="2"/>
      <c r="B676" s="2"/>
      <c r="C676" s="10"/>
      <c r="D676" s="10"/>
      <c r="E676" s="10"/>
      <c r="F676" s="10"/>
      <c r="G676" s="69"/>
      <c r="H676" s="69"/>
      <c r="I676" s="69"/>
      <c r="J676" s="70"/>
      <c r="K676" s="69"/>
      <c r="L676" s="69"/>
      <c r="M676" s="69"/>
      <c r="N676" s="69"/>
      <c r="O676" s="69"/>
      <c r="P676" s="2"/>
      <c r="Q676" s="2"/>
      <c r="R676" s="32"/>
      <c r="S676" s="32"/>
      <c r="T676" s="32"/>
      <c r="U676" s="32"/>
      <c r="V676" s="2"/>
      <c r="W676" s="2"/>
      <c r="X676" s="2"/>
      <c r="Y676" s="2"/>
      <c r="Z676" s="2"/>
    </row>
    <row r="677" spans="1:26" ht="13.8" x14ac:dyDescent="0.3">
      <c r="A677" s="2"/>
      <c r="B677" s="2"/>
      <c r="C677" s="10"/>
      <c r="D677" s="10"/>
      <c r="E677" s="10"/>
      <c r="F677" s="10"/>
      <c r="G677" s="69"/>
      <c r="H677" s="69"/>
      <c r="I677" s="69"/>
      <c r="J677" s="70"/>
      <c r="K677" s="69"/>
      <c r="L677" s="69"/>
      <c r="M677" s="69"/>
      <c r="N677" s="69"/>
      <c r="O677" s="69"/>
      <c r="P677" s="2"/>
      <c r="Q677" s="2"/>
      <c r="R677" s="32"/>
      <c r="S677" s="32"/>
      <c r="T677" s="32"/>
      <c r="U677" s="32"/>
      <c r="V677" s="2"/>
      <c r="W677" s="2"/>
      <c r="X677" s="2"/>
      <c r="Y677" s="2"/>
      <c r="Z677" s="2"/>
    </row>
    <row r="678" spans="1:26" ht="13.8" x14ac:dyDescent="0.3">
      <c r="A678" s="2"/>
      <c r="B678" s="2"/>
      <c r="C678" s="10"/>
      <c r="D678" s="10"/>
      <c r="E678" s="10"/>
      <c r="F678" s="10"/>
      <c r="G678" s="69"/>
      <c r="H678" s="69"/>
      <c r="I678" s="69"/>
      <c r="J678" s="70"/>
      <c r="K678" s="69"/>
      <c r="L678" s="69"/>
      <c r="M678" s="69"/>
      <c r="N678" s="69"/>
      <c r="O678" s="69"/>
      <c r="P678" s="2"/>
      <c r="Q678" s="2"/>
      <c r="R678" s="32"/>
      <c r="S678" s="32"/>
      <c r="T678" s="32"/>
      <c r="U678" s="32"/>
      <c r="V678" s="2"/>
      <c r="W678" s="2"/>
      <c r="X678" s="2"/>
      <c r="Y678" s="2"/>
      <c r="Z678" s="2"/>
    </row>
    <row r="679" spans="1:26" ht="13.8" x14ac:dyDescent="0.3">
      <c r="A679" s="2"/>
      <c r="B679" s="2"/>
      <c r="C679" s="10"/>
      <c r="D679" s="10"/>
      <c r="E679" s="10"/>
      <c r="F679" s="10"/>
      <c r="G679" s="69"/>
      <c r="H679" s="69"/>
      <c r="I679" s="69"/>
      <c r="J679" s="70"/>
      <c r="K679" s="69"/>
      <c r="L679" s="69"/>
      <c r="M679" s="69"/>
      <c r="N679" s="69"/>
      <c r="O679" s="69"/>
      <c r="P679" s="2"/>
      <c r="Q679" s="2"/>
      <c r="R679" s="32"/>
      <c r="S679" s="32"/>
      <c r="T679" s="32"/>
      <c r="U679" s="32"/>
      <c r="V679" s="2"/>
      <c r="W679" s="2"/>
      <c r="X679" s="2"/>
      <c r="Y679" s="2"/>
      <c r="Z679" s="2"/>
    </row>
    <row r="680" spans="1:26" ht="13.8" x14ac:dyDescent="0.3">
      <c r="A680" s="2"/>
      <c r="B680" s="2"/>
      <c r="C680" s="10"/>
      <c r="D680" s="10"/>
      <c r="E680" s="10"/>
      <c r="F680" s="10"/>
      <c r="G680" s="69"/>
      <c r="H680" s="69"/>
      <c r="I680" s="69"/>
      <c r="J680" s="70"/>
      <c r="K680" s="69"/>
      <c r="L680" s="69"/>
      <c r="M680" s="69"/>
      <c r="N680" s="69"/>
      <c r="O680" s="69"/>
      <c r="P680" s="2"/>
      <c r="Q680" s="2"/>
      <c r="R680" s="32"/>
      <c r="S680" s="32"/>
      <c r="T680" s="32"/>
      <c r="U680" s="32"/>
      <c r="V680" s="2"/>
      <c r="W680" s="2"/>
      <c r="X680" s="2"/>
      <c r="Y680" s="2"/>
      <c r="Z680" s="2"/>
    </row>
    <row r="681" spans="1:26" ht="13.8" x14ac:dyDescent="0.3">
      <c r="A681" s="2"/>
      <c r="B681" s="2"/>
      <c r="C681" s="10"/>
      <c r="D681" s="10"/>
      <c r="E681" s="10"/>
      <c r="F681" s="10"/>
      <c r="G681" s="69"/>
      <c r="H681" s="69"/>
      <c r="I681" s="69"/>
      <c r="J681" s="70"/>
      <c r="K681" s="69"/>
      <c r="L681" s="69"/>
      <c r="M681" s="69"/>
      <c r="N681" s="69"/>
      <c r="O681" s="69"/>
      <c r="P681" s="2"/>
      <c r="Q681" s="2"/>
      <c r="R681" s="32"/>
      <c r="S681" s="32"/>
      <c r="T681" s="32"/>
      <c r="U681" s="32"/>
      <c r="V681" s="2"/>
      <c r="W681" s="2"/>
      <c r="X681" s="2"/>
      <c r="Y681" s="2"/>
      <c r="Z681" s="2"/>
    </row>
    <row r="682" spans="1:26" ht="13.8" x14ac:dyDescent="0.3">
      <c r="A682" s="2"/>
      <c r="B682" s="2"/>
      <c r="C682" s="10"/>
      <c r="D682" s="10"/>
      <c r="E682" s="10"/>
      <c r="F682" s="10"/>
      <c r="G682" s="69"/>
      <c r="H682" s="69"/>
      <c r="I682" s="69"/>
      <c r="J682" s="70"/>
      <c r="K682" s="69"/>
      <c r="L682" s="69"/>
      <c r="M682" s="69"/>
      <c r="N682" s="69"/>
      <c r="O682" s="69"/>
      <c r="P682" s="2"/>
      <c r="Q682" s="2"/>
      <c r="R682" s="32"/>
      <c r="S682" s="32"/>
      <c r="T682" s="32"/>
      <c r="U682" s="32"/>
      <c r="V682" s="2"/>
      <c r="W682" s="2"/>
      <c r="X682" s="2"/>
      <c r="Y682" s="2"/>
      <c r="Z682" s="2"/>
    </row>
    <row r="683" spans="1:26" ht="13.8" x14ac:dyDescent="0.3">
      <c r="A683" s="2"/>
      <c r="B683" s="2"/>
      <c r="C683" s="10"/>
      <c r="D683" s="10"/>
      <c r="E683" s="10"/>
      <c r="F683" s="10"/>
      <c r="G683" s="69"/>
      <c r="H683" s="69"/>
      <c r="I683" s="69"/>
      <c r="J683" s="70"/>
      <c r="K683" s="69"/>
      <c r="L683" s="69"/>
      <c r="M683" s="69"/>
      <c r="N683" s="69"/>
      <c r="O683" s="69"/>
      <c r="P683" s="2"/>
      <c r="Q683" s="2"/>
      <c r="R683" s="32"/>
      <c r="S683" s="32"/>
      <c r="T683" s="32"/>
      <c r="U683" s="32"/>
      <c r="V683" s="2"/>
      <c r="W683" s="2"/>
      <c r="X683" s="2"/>
      <c r="Y683" s="2"/>
      <c r="Z683" s="2"/>
    </row>
    <row r="684" spans="1:26" ht="13.8" x14ac:dyDescent="0.3">
      <c r="A684" s="2"/>
      <c r="B684" s="2"/>
      <c r="C684" s="10"/>
      <c r="D684" s="10"/>
      <c r="E684" s="10"/>
      <c r="F684" s="10"/>
      <c r="G684" s="69"/>
      <c r="H684" s="69"/>
      <c r="I684" s="69"/>
      <c r="J684" s="70"/>
      <c r="K684" s="69"/>
      <c r="L684" s="69"/>
      <c r="M684" s="69"/>
      <c r="N684" s="69"/>
      <c r="O684" s="69"/>
      <c r="P684" s="2"/>
      <c r="Q684" s="2"/>
      <c r="R684" s="32"/>
      <c r="S684" s="32"/>
      <c r="T684" s="32"/>
      <c r="U684" s="32"/>
      <c r="V684" s="2"/>
      <c r="W684" s="2"/>
      <c r="X684" s="2"/>
      <c r="Y684" s="2"/>
      <c r="Z684" s="2"/>
    </row>
    <row r="685" spans="1:26" ht="13.8" x14ac:dyDescent="0.3">
      <c r="A685" s="2"/>
      <c r="B685" s="2"/>
      <c r="C685" s="10"/>
      <c r="D685" s="10"/>
      <c r="E685" s="10"/>
      <c r="F685" s="10"/>
      <c r="G685" s="69"/>
      <c r="H685" s="69"/>
      <c r="I685" s="69"/>
      <c r="J685" s="70"/>
      <c r="K685" s="69"/>
      <c r="L685" s="69"/>
      <c r="M685" s="69"/>
      <c r="N685" s="69"/>
      <c r="O685" s="69"/>
      <c r="P685" s="2"/>
      <c r="Q685" s="2"/>
      <c r="R685" s="32"/>
      <c r="S685" s="32"/>
      <c r="T685" s="32"/>
      <c r="U685" s="32"/>
      <c r="V685" s="2"/>
      <c r="W685" s="2"/>
      <c r="X685" s="2"/>
      <c r="Y685" s="2"/>
      <c r="Z685" s="2"/>
    </row>
    <row r="686" spans="1:26" ht="13.8" x14ac:dyDescent="0.3">
      <c r="A686" s="2"/>
      <c r="B686" s="2"/>
      <c r="C686" s="10"/>
      <c r="D686" s="10"/>
      <c r="E686" s="10"/>
      <c r="F686" s="10"/>
      <c r="G686" s="69"/>
      <c r="H686" s="69"/>
      <c r="I686" s="69"/>
      <c r="J686" s="70"/>
      <c r="K686" s="69"/>
      <c r="L686" s="69"/>
      <c r="M686" s="69"/>
      <c r="N686" s="69"/>
      <c r="O686" s="69"/>
      <c r="P686" s="2"/>
      <c r="Q686" s="2"/>
      <c r="R686" s="32"/>
      <c r="S686" s="32"/>
      <c r="T686" s="32"/>
      <c r="U686" s="32"/>
      <c r="V686" s="2"/>
      <c r="W686" s="2"/>
      <c r="X686" s="2"/>
      <c r="Y686" s="2"/>
      <c r="Z686" s="2"/>
    </row>
    <row r="687" spans="1:26" ht="13.8" x14ac:dyDescent="0.3">
      <c r="A687" s="2"/>
      <c r="B687" s="2"/>
      <c r="C687" s="10"/>
      <c r="D687" s="10"/>
      <c r="E687" s="10"/>
      <c r="F687" s="10"/>
      <c r="G687" s="69"/>
      <c r="H687" s="69"/>
      <c r="I687" s="69"/>
      <c r="J687" s="70"/>
      <c r="K687" s="69"/>
      <c r="L687" s="69"/>
      <c r="M687" s="69"/>
      <c r="N687" s="69"/>
      <c r="O687" s="69"/>
      <c r="P687" s="2"/>
      <c r="Q687" s="2"/>
      <c r="R687" s="32"/>
      <c r="S687" s="32"/>
      <c r="T687" s="32"/>
      <c r="U687" s="32"/>
      <c r="V687" s="2"/>
      <c r="W687" s="2"/>
      <c r="X687" s="2"/>
      <c r="Y687" s="2"/>
      <c r="Z687" s="2"/>
    </row>
    <row r="688" spans="1:26" ht="13.8" x14ac:dyDescent="0.3">
      <c r="A688" s="2"/>
      <c r="B688" s="2"/>
      <c r="C688" s="10"/>
      <c r="D688" s="10"/>
      <c r="E688" s="10"/>
      <c r="F688" s="10"/>
      <c r="G688" s="69"/>
      <c r="H688" s="69"/>
      <c r="I688" s="69"/>
      <c r="J688" s="70"/>
      <c r="K688" s="69"/>
      <c r="L688" s="69"/>
      <c r="M688" s="69"/>
      <c r="N688" s="69"/>
      <c r="O688" s="69"/>
      <c r="P688" s="2"/>
      <c r="Q688" s="2"/>
      <c r="R688" s="32"/>
      <c r="S688" s="32"/>
      <c r="T688" s="32"/>
      <c r="U688" s="32"/>
      <c r="V688" s="2"/>
      <c r="W688" s="2"/>
      <c r="X688" s="2"/>
      <c r="Y688" s="2"/>
      <c r="Z688" s="2"/>
    </row>
    <row r="689" spans="1:26" ht="13.8" x14ac:dyDescent="0.3">
      <c r="A689" s="2"/>
      <c r="B689" s="2"/>
      <c r="C689" s="10"/>
      <c r="D689" s="10"/>
      <c r="E689" s="10"/>
      <c r="F689" s="10"/>
      <c r="G689" s="69"/>
      <c r="H689" s="69"/>
      <c r="I689" s="69"/>
      <c r="J689" s="70"/>
      <c r="K689" s="69"/>
      <c r="L689" s="69"/>
      <c r="M689" s="69"/>
      <c r="N689" s="69"/>
      <c r="O689" s="69"/>
      <c r="P689" s="2"/>
      <c r="Q689" s="2"/>
      <c r="R689" s="32"/>
      <c r="S689" s="32"/>
      <c r="T689" s="32"/>
      <c r="U689" s="32"/>
      <c r="V689" s="2"/>
      <c r="W689" s="2"/>
      <c r="X689" s="2"/>
      <c r="Y689" s="2"/>
      <c r="Z689" s="2"/>
    </row>
    <row r="690" spans="1:26" ht="13.8" x14ac:dyDescent="0.3">
      <c r="A690" s="2"/>
      <c r="B690" s="2"/>
      <c r="C690" s="10"/>
      <c r="D690" s="10"/>
      <c r="E690" s="10"/>
      <c r="F690" s="10"/>
      <c r="G690" s="69"/>
      <c r="H690" s="69"/>
      <c r="I690" s="69"/>
      <c r="J690" s="70"/>
      <c r="K690" s="69"/>
      <c r="L690" s="69"/>
      <c r="M690" s="69"/>
      <c r="N690" s="69"/>
      <c r="O690" s="69"/>
      <c r="P690" s="2"/>
      <c r="Q690" s="2"/>
      <c r="R690" s="32"/>
      <c r="S690" s="32"/>
      <c r="T690" s="32"/>
      <c r="U690" s="32"/>
      <c r="V690" s="2"/>
      <c r="W690" s="2"/>
      <c r="X690" s="2"/>
      <c r="Y690" s="2"/>
      <c r="Z690" s="2"/>
    </row>
    <row r="691" spans="1:26" ht="13.8" x14ac:dyDescent="0.3">
      <c r="A691" s="2"/>
      <c r="B691" s="2"/>
      <c r="C691" s="10"/>
      <c r="D691" s="10"/>
      <c r="E691" s="10"/>
      <c r="F691" s="10"/>
      <c r="G691" s="69"/>
      <c r="H691" s="69"/>
      <c r="I691" s="69"/>
      <c r="J691" s="70"/>
      <c r="K691" s="69"/>
      <c r="L691" s="69"/>
      <c r="M691" s="69"/>
      <c r="N691" s="69"/>
      <c r="O691" s="69"/>
      <c r="P691" s="2"/>
      <c r="Q691" s="2"/>
      <c r="R691" s="32"/>
      <c r="S691" s="32"/>
      <c r="T691" s="32"/>
      <c r="U691" s="32"/>
      <c r="V691" s="2"/>
      <c r="W691" s="2"/>
      <c r="X691" s="2"/>
      <c r="Y691" s="2"/>
      <c r="Z691" s="2"/>
    </row>
    <row r="692" spans="1:26" ht="13.8" x14ac:dyDescent="0.3">
      <c r="A692" s="2"/>
      <c r="B692" s="2"/>
      <c r="C692" s="10"/>
      <c r="D692" s="10"/>
      <c r="E692" s="10"/>
      <c r="F692" s="10"/>
      <c r="G692" s="69"/>
      <c r="H692" s="69"/>
      <c r="I692" s="69"/>
      <c r="J692" s="70"/>
      <c r="K692" s="69"/>
      <c r="L692" s="69"/>
      <c r="M692" s="69"/>
      <c r="N692" s="69"/>
      <c r="O692" s="69"/>
      <c r="P692" s="2"/>
      <c r="Q692" s="2"/>
      <c r="R692" s="32"/>
      <c r="S692" s="32"/>
      <c r="T692" s="32"/>
      <c r="U692" s="32"/>
      <c r="V692" s="2"/>
      <c r="W692" s="2"/>
      <c r="X692" s="2"/>
      <c r="Y692" s="2"/>
      <c r="Z692" s="2"/>
    </row>
    <row r="693" spans="1:26" ht="13.8" x14ac:dyDescent="0.3">
      <c r="A693" s="2"/>
      <c r="B693" s="2"/>
      <c r="C693" s="10"/>
      <c r="D693" s="10"/>
      <c r="E693" s="10"/>
      <c r="F693" s="10"/>
      <c r="G693" s="69"/>
      <c r="H693" s="69"/>
      <c r="I693" s="69"/>
      <c r="J693" s="70"/>
      <c r="K693" s="69"/>
      <c r="L693" s="69"/>
      <c r="M693" s="69"/>
      <c r="N693" s="69"/>
      <c r="O693" s="69"/>
      <c r="P693" s="2"/>
      <c r="Q693" s="2"/>
      <c r="R693" s="32"/>
      <c r="S693" s="32"/>
      <c r="T693" s="32"/>
      <c r="U693" s="32"/>
      <c r="V693" s="2"/>
      <c r="W693" s="2"/>
      <c r="X693" s="2"/>
      <c r="Y693" s="2"/>
      <c r="Z693" s="2"/>
    </row>
    <row r="694" spans="1:26" ht="13.8" x14ac:dyDescent="0.3">
      <c r="A694" s="2"/>
      <c r="B694" s="2"/>
      <c r="C694" s="10"/>
      <c r="D694" s="10"/>
      <c r="E694" s="10"/>
      <c r="F694" s="10"/>
      <c r="G694" s="69"/>
      <c r="H694" s="69"/>
      <c r="I694" s="69"/>
      <c r="J694" s="70"/>
      <c r="K694" s="69"/>
      <c r="L694" s="69"/>
      <c r="M694" s="69"/>
      <c r="N694" s="69"/>
      <c r="O694" s="69"/>
      <c r="P694" s="2"/>
      <c r="Q694" s="2"/>
      <c r="R694" s="32"/>
      <c r="S694" s="32"/>
      <c r="T694" s="32"/>
      <c r="U694" s="32"/>
      <c r="V694" s="2"/>
      <c r="W694" s="2"/>
      <c r="X694" s="2"/>
      <c r="Y694" s="2"/>
      <c r="Z694" s="2"/>
    </row>
    <row r="695" spans="1:26" ht="13.8" x14ac:dyDescent="0.3">
      <c r="A695" s="2"/>
      <c r="B695" s="2"/>
      <c r="C695" s="10"/>
      <c r="D695" s="10"/>
      <c r="E695" s="10"/>
      <c r="F695" s="10"/>
      <c r="G695" s="69"/>
      <c r="H695" s="69"/>
      <c r="I695" s="69"/>
      <c r="J695" s="70"/>
      <c r="K695" s="69"/>
      <c r="L695" s="69"/>
      <c r="M695" s="69"/>
      <c r="N695" s="69"/>
      <c r="O695" s="69"/>
      <c r="P695" s="2"/>
      <c r="Q695" s="2"/>
      <c r="R695" s="32"/>
      <c r="S695" s="32"/>
      <c r="T695" s="32"/>
      <c r="U695" s="32"/>
      <c r="V695" s="2"/>
      <c r="W695" s="2"/>
      <c r="X695" s="2"/>
      <c r="Y695" s="2"/>
      <c r="Z695" s="2"/>
    </row>
    <row r="696" spans="1:26" ht="13.8" x14ac:dyDescent="0.3">
      <c r="A696" s="2"/>
      <c r="B696" s="2"/>
      <c r="C696" s="10"/>
      <c r="D696" s="10"/>
      <c r="E696" s="10"/>
      <c r="F696" s="10"/>
      <c r="G696" s="69"/>
      <c r="H696" s="69"/>
      <c r="I696" s="69"/>
      <c r="J696" s="70"/>
      <c r="K696" s="69"/>
      <c r="L696" s="69"/>
      <c r="M696" s="69"/>
      <c r="N696" s="69"/>
      <c r="O696" s="69"/>
      <c r="P696" s="2"/>
      <c r="Q696" s="2"/>
      <c r="R696" s="32"/>
      <c r="S696" s="32"/>
      <c r="T696" s="32"/>
      <c r="U696" s="32"/>
      <c r="V696" s="2"/>
      <c r="W696" s="2"/>
      <c r="X696" s="2"/>
      <c r="Y696" s="2"/>
      <c r="Z696" s="2"/>
    </row>
    <row r="697" spans="1:26" ht="13.8" x14ac:dyDescent="0.3">
      <c r="A697" s="2"/>
      <c r="B697" s="2"/>
      <c r="C697" s="10"/>
      <c r="D697" s="10"/>
      <c r="E697" s="10"/>
      <c r="F697" s="10"/>
      <c r="G697" s="69"/>
      <c r="H697" s="69"/>
      <c r="I697" s="69"/>
      <c r="J697" s="70"/>
      <c r="K697" s="69"/>
      <c r="L697" s="69"/>
      <c r="M697" s="69"/>
      <c r="N697" s="69"/>
      <c r="O697" s="69"/>
      <c r="P697" s="2"/>
      <c r="Q697" s="2"/>
      <c r="R697" s="32"/>
      <c r="S697" s="32"/>
      <c r="T697" s="32"/>
      <c r="U697" s="32"/>
      <c r="V697" s="2"/>
      <c r="W697" s="2"/>
      <c r="X697" s="2"/>
      <c r="Y697" s="2"/>
      <c r="Z697" s="2"/>
    </row>
    <row r="698" spans="1:26" ht="13.8" x14ac:dyDescent="0.3">
      <c r="A698" s="2"/>
      <c r="B698" s="2"/>
      <c r="C698" s="10"/>
      <c r="D698" s="10"/>
      <c r="E698" s="10"/>
      <c r="F698" s="10"/>
      <c r="G698" s="69"/>
      <c r="H698" s="69"/>
      <c r="I698" s="69"/>
      <c r="J698" s="70"/>
      <c r="K698" s="69"/>
      <c r="L698" s="69"/>
      <c r="M698" s="69"/>
      <c r="N698" s="69"/>
      <c r="O698" s="69"/>
      <c r="P698" s="2"/>
      <c r="Q698" s="2"/>
      <c r="R698" s="32"/>
      <c r="S698" s="32"/>
      <c r="T698" s="32"/>
      <c r="U698" s="32"/>
      <c r="V698" s="2"/>
      <c r="W698" s="2"/>
      <c r="X698" s="2"/>
      <c r="Y698" s="2"/>
      <c r="Z698" s="2"/>
    </row>
    <row r="699" spans="1:26" ht="13.8" x14ac:dyDescent="0.3">
      <c r="A699" s="2"/>
      <c r="B699" s="2"/>
      <c r="C699" s="10"/>
      <c r="D699" s="10"/>
      <c r="E699" s="10"/>
      <c r="F699" s="10"/>
      <c r="G699" s="69"/>
      <c r="H699" s="69"/>
      <c r="I699" s="69"/>
      <c r="J699" s="70"/>
      <c r="K699" s="69"/>
      <c r="L699" s="69"/>
      <c r="M699" s="69"/>
      <c r="N699" s="69"/>
      <c r="O699" s="69"/>
      <c r="P699" s="2"/>
      <c r="Q699" s="2"/>
      <c r="R699" s="32"/>
      <c r="S699" s="32"/>
      <c r="T699" s="32"/>
      <c r="U699" s="32"/>
      <c r="V699" s="2"/>
      <c r="W699" s="2"/>
      <c r="X699" s="2"/>
      <c r="Y699" s="2"/>
      <c r="Z699" s="2"/>
    </row>
    <row r="700" spans="1:26" ht="13.8" x14ac:dyDescent="0.3">
      <c r="A700" s="2"/>
      <c r="B700" s="2"/>
      <c r="C700" s="10"/>
      <c r="D700" s="10"/>
      <c r="E700" s="10"/>
      <c r="F700" s="10"/>
      <c r="G700" s="69"/>
      <c r="H700" s="69"/>
      <c r="I700" s="69"/>
      <c r="J700" s="70"/>
      <c r="K700" s="69"/>
      <c r="L700" s="69"/>
      <c r="M700" s="69"/>
      <c r="N700" s="69"/>
      <c r="O700" s="69"/>
      <c r="P700" s="2"/>
      <c r="Q700" s="2"/>
      <c r="R700" s="32"/>
      <c r="S700" s="32"/>
      <c r="T700" s="32"/>
      <c r="U700" s="32"/>
      <c r="V700" s="2"/>
      <c r="W700" s="2"/>
      <c r="X700" s="2"/>
      <c r="Y700" s="2"/>
      <c r="Z700" s="2"/>
    </row>
    <row r="701" spans="1:26" ht="13.8" x14ac:dyDescent="0.3">
      <c r="A701" s="2"/>
      <c r="B701" s="2"/>
      <c r="C701" s="10"/>
      <c r="D701" s="10"/>
      <c r="E701" s="10"/>
      <c r="F701" s="10"/>
      <c r="G701" s="69"/>
      <c r="H701" s="69"/>
      <c r="I701" s="69"/>
      <c r="J701" s="70"/>
      <c r="K701" s="69"/>
      <c r="L701" s="69"/>
      <c r="M701" s="69"/>
      <c r="N701" s="69"/>
      <c r="O701" s="69"/>
      <c r="P701" s="2"/>
      <c r="Q701" s="2"/>
      <c r="R701" s="32"/>
      <c r="S701" s="32"/>
      <c r="T701" s="32"/>
      <c r="U701" s="32"/>
      <c r="V701" s="2"/>
      <c r="W701" s="2"/>
      <c r="X701" s="2"/>
      <c r="Y701" s="2"/>
      <c r="Z701" s="2"/>
    </row>
    <row r="702" spans="1:26" ht="13.8" x14ac:dyDescent="0.3">
      <c r="A702" s="2"/>
      <c r="B702" s="2"/>
      <c r="C702" s="10"/>
      <c r="D702" s="10"/>
      <c r="E702" s="10"/>
      <c r="F702" s="10"/>
      <c r="G702" s="69"/>
      <c r="H702" s="69"/>
      <c r="I702" s="69"/>
      <c r="J702" s="70"/>
      <c r="K702" s="69"/>
      <c r="L702" s="69"/>
      <c r="M702" s="69"/>
      <c r="N702" s="69"/>
      <c r="O702" s="69"/>
      <c r="P702" s="2"/>
      <c r="Q702" s="2"/>
      <c r="R702" s="32"/>
      <c r="S702" s="32"/>
      <c r="T702" s="32"/>
      <c r="U702" s="32"/>
      <c r="V702" s="2"/>
      <c r="W702" s="2"/>
      <c r="X702" s="2"/>
      <c r="Y702" s="2"/>
      <c r="Z702" s="2"/>
    </row>
    <row r="703" spans="1:26" ht="13.8" x14ac:dyDescent="0.3">
      <c r="A703" s="2"/>
      <c r="B703" s="2"/>
      <c r="C703" s="10"/>
      <c r="D703" s="10"/>
      <c r="E703" s="10"/>
      <c r="F703" s="10"/>
      <c r="G703" s="69"/>
      <c r="H703" s="69"/>
      <c r="I703" s="69"/>
      <c r="J703" s="70"/>
      <c r="K703" s="69"/>
      <c r="L703" s="69"/>
      <c r="M703" s="69"/>
      <c r="N703" s="69"/>
      <c r="O703" s="69"/>
      <c r="P703" s="2"/>
      <c r="Q703" s="2"/>
      <c r="R703" s="32"/>
      <c r="S703" s="32"/>
      <c r="T703" s="32"/>
      <c r="U703" s="32"/>
      <c r="V703" s="2"/>
      <c r="W703" s="2"/>
      <c r="X703" s="2"/>
      <c r="Y703" s="2"/>
      <c r="Z703" s="2"/>
    </row>
    <row r="704" spans="1:26" ht="13.8" x14ac:dyDescent="0.3">
      <c r="A704" s="2"/>
      <c r="B704" s="2"/>
      <c r="C704" s="10"/>
      <c r="D704" s="10"/>
      <c r="E704" s="10"/>
      <c r="F704" s="10"/>
      <c r="G704" s="69"/>
      <c r="H704" s="69"/>
      <c r="I704" s="69"/>
      <c r="J704" s="70"/>
      <c r="K704" s="69"/>
      <c r="L704" s="69"/>
      <c r="M704" s="69"/>
      <c r="N704" s="69"/>
      <c r="O704" s="69"/>
      <c r="P704" s="2"/>
      <c r="Q704" s="2"/>
      <c r="R704" s="32"/>
      <c r="S704" s="32"/>
      <c r="T704" s="32"/>
      <c r="U704" s="32"/>
      <c r="V704" s="2"/>
      <c r="W704" s="2"/>
      <c r="X704" s="2"/>
      <c r="Y704" s="2"/>
      <c r="Z704" s="2"/>
    </row>
    <row r="705" spans="1:26" ht="13.8" x14ac:dyDescent="0.3">
      <c r="A705" s="2"/>
      <c r="B705" s="2"/>
      <c r="C705" s="10"/>
      <c r="D705" s="10"/>
      <c r="E705" s="10"/>
      <c r="F705" s="10"/>
      <c r="G705" s="69"/>
      <c r="H705" s="69"/>
      <c r="I705" s="69"/>
      <c r="J705" s="70"/>
      <c r="K705" s="69"/>
      <c r="L705" s="69"/>
      <c r="M705" s="69"/>
      <c r="N705" s="69"/>
      <c r="O705" s="69"/>
      <c r="P705" s="2"/>
      <c r="Q705" s="2"/>
      <c r="R705" s="32"/>
      <c r="S705" s="32"/>
      <c r="T705" s="32"/>
      <c r="U705" s="32"/>
      <c r="V705" s="2"/>
      <c r="W705" s="2"/>
      <c r="X705" s="2"/>
      <c r="Y705" s="2"/>
      <c r="Z705" s="2"/>
    </row>
    <row r="706" spans="1:26" ht="13.8" x14ac:dyDescent="0.3">
      <c r="A706" s="2"/>
      <c r="B706" s="2"/>
      <c r="C706" s="10"/>
      <c r="D706" s="10"/>
      <c r="E706" s="10"/>
      <c r="F706" s="10"/>
      <c r="G706" s="69"/>
      <c r="H706" s="69"/>
      <c r="I706" s="69"/>
      <c r="J706" s="70"/>
      <c r="K706" s="69"/>
      <c r="L706" s="69"/>
      <c r="M706" s="69"/>
      <c r="N706" s="69"/>
      <c r="O706" s="69"/>
      <c r="P706" s="2"/>
      <c r="Q706" s="2"/>
      <c r="R706" s="32"/>
      <c r="S706" s="32"/>
      <c r="T706" s="32"/>
      <c r="U706" s="32"/>
      <c r="V706" s="2"/>
      <c r="W706" s="2"/>
      <c r="X706" s="2"/>
      <c r="Y706" s="2"/>
      <c r="Z706" s="2"/>
    </row>
    <row r="707" spans="1:26" ht="13.8" x14ac:dyDescent="0.3">
      <c r="A707" s="2"/>
      <c r="B707" s="2"/>
      <c r="C707" s="10"/>
      <c r="D707" s="10"/>
      <c r="E707" s="10"/>
      <c r="F707" s="10"/>
      <c r="G707" s="69"/>
      <c r="H707" s="69"/>
      <c r="I707" s="69"/>
      <c r="J707" s="70"/>
      <c r="K707" s="69"/>
      <c r="L707" s="69"/>
      <c r="M707" s="69"/>
      <c r="N707" s="69"/>
      <c r="O707" s="69"/>
      <c r="P707" s="2"/>
      <c r="Q707" s="2"/>
      <c r="R707" s="32"/>
      <c r="S707" s="32"/>
      <c r="T707" s="32"/>
      <c r="U707" s="32"/>
      <c r="V707" s="2"/>
      <c r="W707" s="2"/>
      <c r="X707" s="2"/>
      <c r="Y707" s="2"/>
      <c r="Z707" s="2"/>
    </row>
    <row r="708" spans="1:26" ht="13.8" x14ac:dyDescent="0.3">
      <c r="A708" s="2"/>
      <c r="B708" s="2"/>
      <c r="C708" s="10"/>
      <c r="D708" s="10"/>
      <c r="E708" s="10"/>
      <c r="F708" s="10"/>
      <c r="G708" s="69"/>
      <c r="H708" s="69"/>
      <c r="I708" s="69"/>
      <c r="J708" s="70"/>
      <c r="K708" s="69"/>
      <c r="L708" s="69"/>
      <c r="M708" s="69"/>
      <c r="N708" s="69"/>
      <c r="O708" s="69"/>
      <c r="P708" s="2"/>
      <c r="Q708" s="2"/>
      <c r="R708" s="32"/>
      <c r="S708" s="32"/>
      <c r="T708" s="32"/>
      <c r="U708" s="32"/>
      <c r="V708" s="2"/>
      <c r="W708" s="2"/>
      <c r="X708" s="2"/>
      <c r="Y708" s="2"/>
      <c r="Z708" s="2"/>
    </row>
    <row r="709" spans="1:26" ht="13.8" x14ac:dyDescent="0.3">
      <c r="A709" s="2"/>
      <c r="B709" s="2"/>
      <c r="C709" s="10"/>
      <c r="D709" s="10"/>
      <c r="E709" s="10"/>
      <c r="F709" s="10"/>
      <c r="G709" s="69"/>
      <c r="H709" s="69"/>
      <c r="I709" s="69"/>
      <c r="J709" s="70"/>
      <c r="K709" s="69"/>
      <c r="L709" s="69"/>
      <c r="M709" s="69"/>
      <c r="N709" s="69"/>
      <c r="O709" s="69"/>
      <c r="P709" s="2"/>
      <c r="Q709" s="2"/>
      <c r="R709" s="32"/>
      <c r="S709" s="32"/>
      <c r="T709" s="32"/>
      <c r="U709" s="32"/>
      <c r="V709" s="2"/>
      <c r="W709" s="2"/>
      <c r="X709" s="2"/>
      <c r="Y709" s="2"/>
      <c r="Z709" s="2"/>
    </row>
    <row r="710" spans="1:26" ht="13.8" x14ac:dyDescent="0.3">
      <c r="A710" s="2"/>
      <c r="B710" s="2"/>
      <c r="C710" s="10"/>
      <c r="D710" s="10"/>
      <c r="E710" s="10"/>
      <c r="F710" s="10"/>
      <c r="G710" s="69"/>
      <c r="H710" s="69"/>
      <c r="I710" s="69"/>
      <c r="J710" s="70"/>
      <c r="K710" s="69"/>
      <c r="L710" s="69"/>
      <c r="M710" s="69"/>
      <c r="N710" s="69"/>
      <c r="O710" s="69"/>
      <c r="P710" s="2"/>
      <c r="Q710" s="2"/>
      <c r="R710" s="32"/>
      <c r="S710" s="32"/>
      <c r="T710" s="32"/>
      <c r="U710" s="32"/>
      <c r="V710" s="2"/>
      <c r="W710" s="2"/>
      <c r="X710" s="2"/>
      <c r="Y710" s="2"/>
      <c r="Z710" s="2"/>
    </row>
    <row r="711" spans="1:26" ht="13.8" x14ac:dyDescent="0.3">
      <c r="A711" s="2"/>
      <c r="B711" s="2"/>
      <c r="C711" s="10"/>
      <c r="D711" s="10"/>
      <c r="E711" s="10"/>
      <c r="F711" s="10"/>
      <c r="G711" s="69"/>
      <c r="H711" s="69"/>
      <c r="I711" s="69"/>
      <c r="J711" s="70"/>
      <c r="K711" s="69"/>
      <c r="L711" s="69"/>
      <c r="M711" s="69"/>
      <c r="N711" s="69"/>
      <c r="O711" s="69"/>
      <c r="P711" s="2"/>
      <c r="Q711" s="2"/>
      <c r="R711" s="32"/>
      <c r="S711" s="32"/>
      <c r="T711" s="32"/>
      <c r="U711" s="32"/>
      <c r="V711" s="2"/>
      <c r="W711" s="2"/>
      <c r="X711" s="2"/>
      <c r="Y711" s="2"/>
      <c r="Z711" s="2"/>
    </row>
    <row r="712" spans="1:26" ht="13.8" x14ac:dyDescent="0.3">
      <c r="A712" s="2"/>
      <c r="B712" s="2"/>
      <c r="C712" s="10"/>
      <c r="D712" s="10"/>
      <c r="E712" s="10"/>
      <c r="F712" s="10"/>
      <c r="G712" s="69"/>
      <c r="H712" s="69"/>
      <c r="I712" s="69"/>
      <c r="J712" s="70"/>
      <c r="K712" s="69"/>
      <c r="L712" s="69"/>
      <c r="M712" s="69"/>
      <c r="N712" s="69"/>
      <c r="O712" s="69"/>
      <c r="P712" s="2"/>
      <c r="Q712" s="2"/>
      <c r="R712" s="32"/>
      <c r="S712" s="32"/>
      <c r="T712" s="32"/>
      <c r="U712" s="32"/>
      <c r="V712" s="2"/>
      <c r="W712" s="2"/>
      <c r="X712" s="2"/>
      <c r="Y712" s="2"/>
      <c r="Z712" s="2"/>
    </row>
    <row r="713" spans="1:26" ht="13.8" x14ac:dyDescent="0.3">
      <c r="A713" s="2"/>
      <c r="B713" s="2"/>
      <c r="C713" s="10"/>
      <c r="D713" s="10"/>
      <c r="E713" s="10"/>
      <c r="F713" s="10"/>
      <c r="G713" s="69"/>
      <c r="H713" s="69"/>
      <c r="I713" s="69"/>
      <c r="J713" s="70"/>
      <c r="K713" s="69"/>
      <c r="L713" s="69"/>
      <c r="M713" s="69"/>
      <c r="N713" s="69"/>
      <c r="O713" s="69"/>
      <c r="P713" s="2"/>
      <c r="Q713" s="2"/>
      <c r="R713" s="32"/>
      <c r="S713" s="32"/>
      <c r="T713" s="32"/>
      <c r="U713" s="32"/>
      <c r="V713" s="2"/>
      <c r="W713" s="2"/>
      <c r="X713" s="2"/>
      <c r="Y713" s="2"/>
      <c r="Z713" s="2"/>
    </row>
    <row r="714" spans="1:26" ht="13.8" x14ac:dyDescent="0.3">
      <c r="A714" s="2"/>
      <c r="B714" s="2"/>
      <c r="C714" s="10"/>
      <c r="D714" s="10"/>
      <c r="E714" s="10"/>
      <c r="F714" s="10"/>
      <c r="G714" s="69"/>
      <c r="H714" s="69"/>
      <c r="I714" s="69"/>
      <c r="J714" s="70"/>
      <c r="K714" s="69"/>
      <c r="L714" s="69"/>
      <c r="M714" s="69"/>
      <c r="N714" s="69"/>
      <c r="O714" s="69"/>
      <c r="P714" s="2"/>
      <c r="Q714" s="2"/>
      <c r="R714" s="32"/>
      <c r="S714" s="32"/>
      <c r="T714" s="32"/>
      <c r="U714" s="32"/>
      <c r="V714" s="2"/>
      <c r="W714" s="2"/>
      <c r="X714" s="2"/>
      <c r="Y714" s="2"/>
      <c r="Z714" s="2"/>
    </row>
    <row r="715" spans="1:26" ht="13.8" x14ac:dyDescent="0.3">
      <c r="A715" s="2"/>
      <c r="B715" s="2"/>
      <c r="C715" s="10"/>
      <c r="D715" s="10"/>
      <c r="E715" s="10"/>
      <c r="F715" s="10"/>
      <c r="G715" s="69"/>
      <c r="H715" s="69"/>
      <c r="I715" s="69"/>
      <c r="J715" s="70"/>
      <c r="K715" s="69"/>
      <c r="L715" s="69"/>
      <c r="M715" s="69"/>
      <c r="N715" s="69"/>
      <c r="O715" s="69"/>
      <c r="P715" s="2"/>
      <c r="Q715" s="2"/>
      <c r="R715" s="32"/>
      <c r="S715" s="32"/>
      <c r="T715" s="32"/>
      <c r="U715" s="32"/>
      <c r="V715" s="2"/>
      <c r="W715" s="2"/>
      <c r="X715" s="2"/>
      <c r="Y715" s="2"/>
      <c r="Z715" s="2"/>
    </row>
    <row r="716" spans="1:26" ht="13.8" x14ac:dyDescent="0.3">
      <c r="A716" s="2"/>
      <c r="B716" s="2"/>
      <c r="C716" s="10"/>
      <c r="D716" s="10"/>
      <c r="E716" s="10"/>
      <c r="F716" s="10"/>
      <c r="G716" s="69"/>
      <c r="H716" s="69"/>
      <c r="I716" s="69"/>
      <c r="J716" s="70"/>
      <c r="K716" s="69"/>
      <c r="L716" s="69"/>
      <c r="M716" s="69"/>
      <c r="N716" s="69"/>
      <c r="O716" s="69"/>
      <c r="P716" s="2"/>
      <c r="Q716" s="2"/>
      <c r="R716" s="32"/>
      <c r="S716" s="32"/>
      <c r="T716" s="32"/>
      <c r="U716" s="32"/>
      <c r="V716" s="2"/>
      <c r="W716" s="2"/>
      <c r="X716" s="2"/>
      <c r="Y716" s="2"/>
      <c r="Z716" s="2"/>
    </row>
    <row r="717" spans="1:26" ht="13.8" x14ac:dyDescent="0.3">
      <c r="A717" s="2"/>
      <c r="B717" s="2"/>
      <c r="C717" s="10"/>
      <c r="D717" s="10"/>
      <c r="E717" s="10"/>
      <c r="F717" s="10"/>
      <c r="G717" s="69"/>
      <c r="H717" s="69"/>
      <c r="I717" s="69"/>
      <c r="J717" s="70"/>
      <c r="K717" s="69"/>
      <c r="L717" s="69"/>
      <c r="M717" s="69"/>
      <c r="N717" s="69"/>
      <c r="O717" s="69"/>
      <c r="P717" s="2"/>
      <c r="Q717" s="2"/>
      <c r="R717" s="32"/>
      <c r="S717" s="32"/>
      <c r="T717" s="32"/>
      <c r="U717" s="32"/>
      <c r="V717" s="2"/>
      <c r="W717" s="2"/>
      <c r="X717" s="2"/>
      <c r="Y717" s="2"/>
      <c r="Z717" s="2"/>
    </row>
    <row r="718" spans="1:26" ht="13.8" x14ac:dyDescent="0.3">
      <c r="A718" s="2"/>
      <c r="B718" s="2"/>
      <c r="C718" s="10"/>
      <c r="D718" s="10"/>
      <c r="E718" s="10"/>
      <c r="F718" s="10"/>
      <c r="G718" s="69"/>
      <c r="H718" s="69"/>
      <c r="I718" s="69"/>
      <c r="J718" s="70"/>
      <c r="K718" s="69"/>
      <c r="L718" s="69"/>
      <c r="M718" s="69"/>
      <c r="N718" s="69"/>
      <c r="O718" s="69"/>
      <c r="P718" s="2"/>
      <c r="Q718" s="2"/>
      <c r="R718" s="32"/>
      <c r="S718" s="32"/>
      <c r="T718" s="32"/>
      <c r="U718" s="32"/>
      <c r="V718" s="2"/>
      <c r="W718" s="2"/>
      <c r="X718" s="2"/>
      <c r="Y718" s="2"/>
      <c r="Z718" s="2"/>
    </row>
    <row r="719" spans="1:26" ht="13.8" x14ac:dyDescent="0.3">
      <c r="A719" s="2"/>
      <c r="B719" s="2"/>
      <c r="C719" s="10"/>
      <c r="D719" s="10"/>
      <c r="E719" s="10"/>
      <c r="F719" s="10"/>
      <c r="G719" s="69"/>
      <c r="H719" s="69"/>
      <c r="I719" s="69"/>
      <c r="J719" s="70"/>
      <c r="K719" s="69"/>
      <c r="L719" s="69"/>
      <c r="M719" s="69"/>
      <c r="N719" s="69"/>
      <c r="O719" s="69"/>
      <c r="P719" s="2"/>
      <c r="Q719" s="2"/>
      <c r="R719" s="32"/>
      <c r="S719" s="32"/>
      <c r="T719" s="32"/>
      <c r="U719" s="32"/>
      <c r="V719" s="2"/>
      <c r="W719" s="2"/>
      <c r="X719" s="2"/>
      <c r="Y719" s="2"/>
      <c r="Z719" s="2"/>
    </row>
    <row r="720" spans="1:26" ht="13.8" x14ac:dyDescent="0.3">
      <c r="A720" s="2"/>
      <c r="B720" s="2"/>
      <c r="C720" s="10"/>
      <c r="D720" s="10"/>
      <c r="E720" s="10"/>
      <c r="F720" s="10"/>
      <c r="G720" s="69"/>
      <c r="H720" s="69"/>
      <c r="I720" s="69"/>
      <c r="J720" s="70"/>
      <c r="K720" s="69"/>
      <c r="L720" s="69"/>
      <c r="M720" s="69"/>
      <c r="N720" s="69"/>
      <c r="O720" s="69"/>
      <c r="P720" s="2"/>
      <c r="Q720" s="2"/>
      <c r="R720" s="32"/>
      <c r="S720" s="32"/>
      <c r="T720" s="32"/>
      <c r="U720" s="32"/>
      <c r="V720" s="2"/>
      <c r="W720" s="2"/>
      <c r="X720" s="2"/>
      <c r="Y720" s="2"/>
      <c r="Z720" s="2"/>
    </row>
    <row r="721" spans="1:26" ht="13.8" x14ac:dyDescent="0.3">
      <c r="A721" s="2"/>
      <c r="B721" s="2"/>
      <c r="C721" s="10"/>
      <c r="D721" s="10"/>
      <c r="E721" s="10"/>
      <c r="F721" s="10"/>
      <c r="G721" s="69"/>
      <c r="H721" s="69"/>
      <c r="I721" s="69"/>
      <c r="J721" s="70"/>
      <c r="K721" s="69"/>
      <c r="L721" s="69"/>
      <c r="M721" s="69"/>
      <c r="N721" s="69"/>
      <c r="O721" s="69"/>
      <c r="P721" s="2"/>
      <c r="Q721" s="2"/>
      <c r="R721" s="32"/>
      <c r="S721" s="32"/>
      <c r="T721" s="32"/>
      <c r="U721" s="32"/>
      <c r="V721" s="2"/>
      <c r="W721" s="2"/>
      <c r="X721" s="2"/>
      <c r="Y721" s="2"/>
      <c r="Z721" s="2"/>
    </row>
    <row r="722" spans="1:26" ht="13.8" x14ac:dyDescent="0.3">
      <c r="A722" s="2"/>
      <c r="B722" s="2"/>
      <c r="C722" s="10"/>
      <c r="D722" s="10"/>
      <c r="E722" s="10"/>
      <c r="F722" s="10"/>
      <c r="G722" s="69"/>
      <c r="H722" s="69"/>
      <c r="I722" s="69"/>
      <c r="J722" s="70"/>
      <c r="K722" s="69"/>
      <c r="L722" s="69"/>
      <c r="M722" s="69"/>
      <c r="N722" s="69"/>
      <c r="O722" s="69"/>
      <c r="P722" s="2"/>
      <c r="Q722" s="2"/>
      <c r="R722" s="32"/>
      <c r="S722" s="32"/>
      <c r="T722" s="32"/>
      <c r="U722" s="32"/>
      <c r="V722" s="2"/>
      <c r="W722" s="2"/>
      <c r="X722" s="2"/>
      <c r="Y722" s="2"/>
      <c r="Z722" s="2"/>
    </row>
    <row r="723" spans="1:26" ht="13.8" x14ac:dyDescent="0.3">
      <c r="A723" s="2"/>
      <c r="B723" s="2"/>
      <c r="C723" s="10"/>
      <c r="D723" s="10"/>
      <c r="E723" s="10"/>
      <c r="F723" s="10"/>
      <c r="G723" s="69"/>
      <c r="H723" s="69"/>
      <c r="I723" s="69"/>
      <c r="J723" s="70"/>
      <c r="K723" s="69"/>
      <c r="L723" s="69"/>
      <c r="M723" s="69"/>
      <c r="N723" s="69"/>
      <c r="O723" s="69"/>
      <c r="P723" s="2"/>
      <c r="Q723" s="2"/>
      <c r="R723" s="32"/>
      <c r="S723" s="32"/>
      <c r="T723" s="32"/>
      <c r="U723" s="32"/>
      <c r="V723" s="2"/>
      <c r="W723" s="2"/>
      <c r="X723" s="2"/>
      <c r="Y723" s="2"/>
      <c r="Z723" s="2"/>
    </row>
    <row r="724" spans="1:26" ht="13.8" x14ac:dyDescent="0.3">
      <c r="A724" s="2"/>
      <c r="B724" s="2"/>
      <c r="C724" s="10"/>
      <c r="D724" s="10"/>
      <c r="E724" s="10"/>
      <c r="F724" s="10"/>
      <c r="G724" s="69"/>
      <c r="H724" s="69"/>
      <c r="I724" s="69"/>
      <c r="J724" s="70"/>
      <c r="K724" s="69"/>
      <c r="L724" s="69"/>
      <c r="M724" s="69"/>
      <c r="N724" s="69"/>
      <c r="O724" s="69"/>
      <c r="P724" s="2"/>
      <c r="Q724" s="2"/>
      <c r="R724" s="32"/>
      <c r="S724" s="32"/>
      <c r="T724" s="32"/>
      <c r="U724" s="32"/>
      <c r="V724" s="2"/>
      <c r="W724" s="2"/>
      <c r="X724" s="2"/>
      <c r="Y724" s="2"/>
      <c r="Z724" s="2"/>
    </row>
    <row r="725" spans="1:26" ht="13.8" x14ac:dyDescent="0.3">
      <c r="A725" s="2"/>
      <c r="B725" s="2"/>
      <c r="C725" s="10"/>
      <c r="D725" s="10"/>
      <c r="E725" s="10"/>
      <c r="F725" s="10"/>
      <c r="G725" s="69"/>
      <c r="H725" s="69"/>
      <c r="I725" s="69"/>
      <c r="J725" s="70"/>
      <c r="K725" s="69"/>
      <c r="L725" s="69"/>
      <c r="M725" s="69"/>
      <c r="N725" s="69"/>
      <c r="O725" s="69"/>
      <c r="P725" s="2"/>
      <c r="Q725" s="2"/>
      <c r="R725" s="32"/>
      <c r="S725" s="32"/>
      <c r="T725" s="32"/>
      <c r="U725" s="32"/>
      <c r="V725" s="2"/>
      <c r="W725" s="2"/>
      <c r="X725" s="2"/>
      <c r="Y725" s="2"/>
      <c r="Z725" s="2"/>
    </row>
    <row r="726" spans="1:26" ht="13.8" x14ac:dyDescent="0.3">
      <c r="A726" s="2"/>
      <c r="B726" s="2"/>
      <c r="C726" s="10"/>
      <c r="D726" s="10"/>
      <c r="E726" s="10"/>
      <c r="F726" s="10"/>
      <c r="G726" s="69"/>
      <c r="H726" s="69"/>
      <c r="I726" s="69"/>
      <c r="J726" s="70"/>
      <c r="K726" s="69"/>
      <c r="L726" s="69"/>
      <c r="M726" s="69"/>
      <c r="N726" s="69"/>
      <c r="O726" s="69"/>
      <c r="P726" s="2"/>
      <c r="Q726" s="2"/>
      <c r="R726" s="32"/>
      <c r="S726" s="32"/>
      <c r="T726" s="32"/>
      <c r="U726" s="32"/>
      <c r="V726" s="2"/>
      <c r="W726" s="2"/>
      <c r="X726" s="2"/>
      <c r="Y726" s="2"/>
      <c r="Z726" s="2"/>
    </row>
    <row r="727" spans="1:26" ht="13.8" x14ac:dyDescent="0.3">
      <c r="A727" s="2"/>
      <c r="B727" s="2"/>
      <c r="C727" s="10"/>
      <c r="D727" s="10"/>
      <c r="E727" s="10"/>
      <c r="F727" s="10"/>
      <c r="G727" s="69"/>
      <c r="H727" s="69"/>
      <c r="I727" s="69"/>
      <c r="J727" s="70"/>
      <c r="K727" s="69"/>
      <c r="L727" s="69"/>
      <c r="M727" s="69"/>
      <c r="N727" s="69"/>
      <c r="O727" s="69"/>
      <c r="P727" s="2"/>
      <c r="Q727" s="2"/>
      <c r="R727" s="32"/>
      <c r="S727" s="32"/>
      <c r="T727" s="32"/>
      <c r="U727" s="32"/>
      <c r="V727" s="2"/>
      <c r="W727" s="2"/>
      <c r="X727" s="2"/>
      <c r="Y727" s="2"/>
      <c r="Z727" s="2"/>
    </row>
    <row r="728" spans="1:26" ht="13.8" x14ac:dyDescent="0.3">
      <c r="A728" s="2"/>
      <c r="B728" s="2"/>
      <c r="C728" s="10"/>
      <c r="D728" s="10"/>
      <c r="E728" s="10"/>
      <c r="F728" s="10"/>
      <c r="G728" s="69"/>
      <c r="H728" s="69"/>
      <c r="I728" s="69"/>
      <c r="J728" s="70"/>
      <c r="K728" s="69"/>
      <c r="L728" s="69"/>
      <c r="M728" s="69"/>
      <c r="N728" s="69"/>
      <c r="O728" s="69"/>
      <c r="P728" s="2"/>
      <c r="Q728" s="2"/>
      <c r="R728" s="32"/>
      <c r="S728" s="32"/>
      <c r="T728" s="32"/>
      <c r="U728" s="32"/>
      <c r="V728" s="2"/>
      <c r="W728" s="2"/>
      <c r="X728" s="2"/>
      <c r="Y728" s="2"/>
      <c r="Z728" s="2"/>
    </row>
    <row r="729" spans="1:26" ht="13.8" x14ac:dyDescent="0.3">
      <c r="A729" s="2"/>
      <c r="B729" s="2"/>
      <c r="C729" s="10"/>
      <c r="D729" s="10"/>
      <c r="E729" s="10"/>
      <c r="F729" s="10"/>
      <c r="G729" s="69"/>
      <c r="H729" s="69"/>
      <c r="I729" s="69"/>
      <c r="J729" s="70"/>
      <c r="K729" s="69"/>
      <c r="L729" s="69"/>
      <c r="M729" s="69"/>
      <c r="N729" s="69"/>
      <c r="O729" s="69"/>
      <c r="P729" s="2"/>
      <c r="Q729" s="2"/>
      <c r="R729" s="32"/>
      <c r="S729" s="32"/>
      <c r="T729" s="32"/>
      <c r="U729" s="32"/>
      <c r="V729" s="2"/>
      <c r="W729" s="2"/>
      <c r="X729" s="2"/>
      <c r="Y729" s="2"/>
      <c r="Z729" s="2"/>
    </row>
    <row r="730" spans="1:26" ht="13.8" x14ac:dyDescent="0.3">
      <c r="A730" s="2"/>
      <c r="B730" s="2"/>
      <c r="C730" s="10"/>
      <c r="D730" s="10"/>
      <c r="E730" s="10"/>
      <c r="F730" s="10"/>
      <c r="G730" s="69"/>
      <c r="H730" s="69"/>
      <c r="I730" s="69"/>
      <c r="J730" s="70"/>
      <c r="K730" s="69"/>
      <c r="L730" s="69"/>
      <c r="M730" s="69"/>
      <c r="N730" s="69"/>
      <c r="O730" s="69"/>
      <c r="P730" s="2"/>
      <c r="Q730" s="2"/>
      <c r="R730" s="32"/>
      <c r="S730" s="32"/>
      <c r="T730" s="32"/>
      <c r="U730" s="32"/>
      <c r="V730" s="2"/>
      <c r="W730" s="2"/>
      <c r="X730" s="2"/>
      <c r="Y730" s="2"/>
      <c r="Z730" s="2"/>
    </row>
    <row r="731" spans="1:26" ht="13.8" x14ac:dyDescent="0.3">
      <c r="A731" s="2"/>
      <c r="B731" s="2"/>
      <c r="C731" s="10"/>
      <c r="D731" s="10"/>
      <c r="E731" s="10"/>
      <c r="F731" s="10"/>
      <c r="G731" s="69"/>
      <c r="H731" s="69"/>
      <c r="I731" s="69"/>
      <c r="J731" s="70"/>
      <c r="K731" s="69"/>
      <c r="L731" s="69"/>
      <c r="M731" s="69"/>
      <c r="N731" s="69"/>
      <c r="O731" s="69"/>
      <c r="P731" s="2"/>
      <c r="Q731" s="2"/>
      <c r="R731" s="32"/>
      <c r="S731" s="32"/>
      <c r="T731" s="32"/>
      <c r="U731" s="32"/>
      <c r="V731" s="2"/>
      <c r="W731" s="2"/>
      <c r="X731" s="2"/>
      <c r="Y731" s="2"/>
      <c r="Z731" s="2"/>
    </row>
    <row r="732" spans="1:26" ht="13.8" x14ac:dyDescent="0.3">
      <c r="A732" s="2"/>
      <c r="B732" s="2"/>
      <c r="C732" s="10"/>
      <c r="D732" s="10"/>
      <c r="E732" s="10"/>
      <c r="F732" s="10"/>
      <c r="G732" s="69"/>
      <c r="H732" s="69"/>
      <c r="I732" s="69"/>
      <c r="J732" s="70"/>
      <c r="K732" s="69"/>
      <c r="L732" s="69"/>
      <c r="M732" s="69"/>
      <c r="N732" s="69"/>
      <c r="O732" s="69"/>
      <c r="P732" s="2"/>
      <c r="Q732" s="2"/>
      <c r="R732" s="32"/>
      <c r="S732" s="32"/>
      <c r="T732" s="32"/>
      <c r="U732" s="32"/>
      <c r="V732" s="2"/>
      <c r="W732" s="2"/>
      <c r="X732" s="2"/>
      <c r="Y732" s="2"/>
      <c r="Z732" s="2"/>
    </row>
    <row r="733" spans="1:26" ht="13.8" x14ac:dyDescent="0.3">
      <c r="A733" s="2"/>
      <c r="B733" s="2"/>
      <c r="C733" s="10"/>
      <c r="D733" s="10"/>
      <c r="E733" s="10"/>
      <c r="F733" s="10"/>
      <c r="G733" s="69"/>
      <c r="H733" s="69"/>
      <c r="I733" s="69"/>
      <c r="J733" s="70"/>
      <c r="K733" s="69"/>
      <c r="L733" s="69"/>
      <c r="M733" s="69"/>
      <c r="N733" s="69"/>
      <c r="O733" s="69"/>
      <c r="P733" s="2"/>
      <c r="Q733" s="2"/>
      <c r="R733" s="32"/>
      <c r="S733" s="32"/>
      <c r="T733" s="32"/>
      <c r="U733" s="32"/>
      <c r="V733" s="2"/>
      <c r="W733" s="2"/>
      <c r="X733" s="2"/>
      <c r="Y733" s="2"/>
      <c r="Z733" s="2"/>
    </row>
    <row r="734" spans="1:26" ht="13.8" x14ac:dyDescent="0.3">
      <c r="A734" s="2"/>
      <c r="B734" s="2"/>
      <c r="C734" s="10"/>
      <c r="D734" s="10"/>
      <c r="E734" s="10"/>
      <c r="F734" s="10"/>
      <c r="G734" s="69"/>
      <c r="H734" s="69"/>
      <c r="I734" s="69"/>
      <c r="J734" s="70"/>
      <c r="K734" s="69"/>
      <c r="L734" s="69"/>
      <c r="M734" s="69"/>
      <c r="N734" s="69"/>
      <c r="O734" s="69"/>
      <c r="P734" s="2"/>
      <c r="Q734" s="2"/>
      <c r="R734" s="32"/>
      <c r="S734" s="32"/>
      <c r="T734" s="32"/>
      <c r="U734" s="32"/>
      <c r="V734" s="2"/>
      <c r="W734" s="2"/>
      <c r="X734" s="2"/>
      <c r="Y734" s="2"/>
      <c r="Z734" s="2"/>
    </row>
    <row r="735" spans="1:26" ht="13.8" x14ac:dyDescent="0.3">
      <c r="A735" s="2"/>
      <c r="B735" s="2"/>
      <c r="C735" s="10"/>
      <c r="D735" s="10"/>
      <c r="E735" s="10"/>
      <c r="F735" s="10"/>
      <c r="G735" s="69"/>
      <c r="H735" s="69"/>
      <c r="I735" s="69"/>
      <c r="J735" s="70"/>
      <c r="K735" s="69"/>
      <c r="L735" s="69"/>
      <c r="M735" s="69"/>
      <c r="N735" s="69"/>
      <c r="O735" s="69"/>
      <c r="P735" s="2"/>
      <c r="Q735" s="2"/>
      <c r="R735" s="32"/>
      <c r="S735" s="32"/>
      <c r="T735" s="32"/>
      <c r="U735" s="32"/>
      <c r="V735" s="2"/>
      <c r="W735" s="2"/>
      <c r="X735" s="2"/>
      <c r="Y735" s="2"/>
      <c r="Z735" s="2"/>
    </row>
    <row r="736" spans="1:26" ht="13.8" x14ac:dyDescent="0.3">
      <c r="A736" s="2"/>
      <c r="B736" s="2"/>
      <c r="C736" s="10"/>
      <c r="D736" s="10"/>
      <c r="E736" s="10"/>
      <c r="F736" s="10"/>
      <c r="G736" s="69"/>
      <c r="H736" s="69"/>
      <c r="I736" s="69"/>
      <c r="J736" s="70"/>
      <c r="K736" s="69"/>
      <c r="L736" s="69"/>
      <c r="M736" s="69"/>
      <c r="N736" s="69"/>
      <c r="O736" s="69"/>
      <c r="P736" s="2"/>
      <c r="Q736" s="2"/>
      <c r="R736" s="32"/>
      <c r="S736" s="32"/>
      <c r="T736" s="32"/>
      <c r="U736" s="32"/>
      <c r="V736" s="2"/>
      <c r="W736" s="2"/>
      <c r="X736" s="2"/>
      <c r="Y736" s="2"/>
      <c r="Z736" s="2"/>
    </row>
    <row r="737" spans="1:26" ht="13.8" x14ac:dyDescent="0.3">
      <c r="A737" s="2"/>
      <c r="B737" s="2"/>
      <c r="C737" s="10"/>
      <c r="D737" s="10"/>
      <c r="E737" s="10"/>
      <c r="F737" s="10"/>
      <c r="G737" s="69"/>
      <c r="H737" s="69"/>
      <c r="I737" s="69"/>
      <c r="J737" s="70"/>
      <c r="K737" s="69"/>
      <c r="L737" s="69"/>
      <c r="M737" s="69"/>
      <c r="N737" s="69"/>
      <c r="O737" s="69"/>
      <c r="P737" s="2"/>
      <c r="Q737" s="2"/>
      <c r="R737" s="32"/>
      <c r="S737" s="32"/>
      <c r="T737" s="32"/>
      <c r="U737" s="32"/>
      <c r="V737" s="2"/>
      <c r="W737" s="2"/>
      <c r="X737" s="2"/>
      <c r="Y737" s="2"/>
      <c r="Z737" s="2"/>
    </row>
    <row r="738" spans="1:26" ht="13.8" x14ac:dyDescent="0.3">
      <c r="A738" s="2"/>
      <c r="B738" s="2"/>
      <c r="C738" s="10"/>
      <c r="D738" s="10"/>
      <c r="E738" s="10"/>
      <c r="F738" s="10"/>
      <c r="G738" s="69"/>
      <c r="H738" s="69"/>
      <c r="I738" s="69"/>
      <c r="J738" s="70"/>
      <c r="K738" s="69"/>
      <c r="L738" s="69"/>
      <c r="M738" s="69"/>
      <c r="N738" s="69"/>
      <c r="O738" s="69"/>
      <c r="P738" s="2"/>
      <c r="Q738" s="2"/>
      <c r="R738" s="32"/>
      <c r="S738" s="32"/>
      <c r="T738" s="32"/>
      <c r="U738" s="32"/>
      <c r="V738" s="2"/>
      <c r="W738" s="2"/>
      <c r="X738" s="2"/>
      <c r="Y738" s="2"/>
      <c r="Z738" s="2"/>
    </row>
    <row r="739" spans="1:26" ht="13.8" x14ac:dyDescent="0.3">
      <c r="A739" s="2"/>
      <c r="B739" s="2"/>
      <c r="C739" s="10"/>
      <c r="D739" s="10"/>
      <c r="E739" s="10"/>
      <c r="F739" s="10"/>
      <c r="G739" s="69"/>
      <c r="H739" s="69"/>
      <c r="I739" s="69"/>
      <c r="J739" s="70"/>
      <c r="K739" s="69"/>
      <c r="L739" s="69"/>
      <c r="M739" s="69"/>
      <c r="N739" s="69"/>
      <c r="O739" s="69"/>
      <c r="P739" s="2"/>
      <c r="Q739" s="2"/>
      <c r="R739" s="32"/>
      <c r="S739" s="32"/>
      <c r="T739" s="32"/>
      <c r="U739" s="32"/>
      <c r="V739" s="2"/>
      <c r="W739" s="2"/>
      <c r="X739" s="2"/>
      <c r="Y739" s="2"/>
      <c r="Z739" s="2"/>
    </row>
    <row r="740" spans="1:26" ht="13.8" x14ac:dyDescent="0.3">
      <c r="A740" s="2"/>
      <c r="B740" s="2"/>
      <c r="C740" s="10"/>
      <c r="D740" s="10"/>
      <c r="E740" s="10"/>
      <c r="F740" s="10"/>
      <c r="G740" s="69"/>
      <c r="H740" s="69"/>
      <c r="I740" s="69"/>
      <c r="J740" s="70"/>
      <c r="K740" s="69"/>
      <c r="L740" s="69"/>
      <c r="M740" s="69"/>
      <c r="N740" s="69"/>
      <c r="O740" s="69"/>
      <c r="P740" s="2"/>
      <c r="Q740" s="2"/>
      <c r="R740" s="32"/>
      <c r="S740" s="32"/>
      <c r="T740" s="32"/>
      <c r="U740" s="32"/>
      <c r="V740" s="2"/>
      <c r="W740" s="2"/>
      <c r="X740" s="2"/>
      <c r="Y740" s="2"/>
      <c r="Z740" s="2"/>
    </row>
    <row r="741" spans="1:26" ht="13.8" x14ac:dyDescent="0.3">
      <c r="A741" s="2"/>
      <c r="B741" s="2"/>
      <c r="C741" s="10"/>
      <c r="D741" s="10"/>
      <c r="E741" s="10"/>
      <c r="F741" s="10"/>
      <c r="G741" s="69"/>
      <c r="H741" s="69"/>
      <c r="I741" s="69"/>
      <c r="J741" s="70"/>
      <c r="K741" s="69"/>
      <c r="L741" s="69"/>
      <c r="M741" s="69"/>
      <c r="N741" s="69"/>
      <c r="O741" s="69"/>
      <c r="P741" s="2"/>
      <c r="Q741" s="2"/>
      <c r="R741" s="32"/>
      <c r="S741" s="32"/>
      <c r="T741" s="32"/>
      <c r="U741" s="32"/>
      <c r="V741" s="2"/>
      <c r="W741" s="2"/>
      <c r="X741" s="2"/>
      <c r="Y741" s="2"/>
      <c r="Z741" s="2"/>
    </row>
    <row r="742" spans="1:26" ht="13.8" x14ac:dyDescent="0.3">
      <c r="A742" s="2"/>
      <c r="B742" s="2"/>
      <c r="C742" s="10"/>
      <c r="D742" s="10"/>
      <c r="E742" s="10"/>
      <c r="F742" s="10"/>
      <c r="G742" s="69"/>
      <c r="H742" s="69"/>
      <c r="I742" s="69"/>
      <c r="J742" s="70"/>
      <c r="K742" s="69"/>
      <c r="L742" s="69"/>
      <c r="M742" s="69"/>
      <c r="N742" s="69"/>
      <c r="O742" s="69"/>
      <c r="P742" s="2"/>
      <c r="Q742" s="2"/>
      <c r="R742" s="32"/>
      <c r="S742" s="32"/>
      <c r="T742" s="32"/>
      <c r="U742" s="32"/>
      <c r="V742" s="2"/>
      <c r="W742" s="2"/>
      <c r="X742" s="2"/>
      <c r="Y742" s="2"/>
      <c r="Z742" s="2"/>
    </row>
    <row r="743" spans="1:26" ht="13.8" x14ac:dyDescent="0.3">
      <c r="A743" s="2"/>
      <c r="B743" s="2"/>
      <c r="C743" s="10"/>
      <c r="D743" s="10"/>
      <c r="E743" s="10"/>
      <c r="F743" s="10"/>
      <c r="G743" s="69"/>
      <c r="H743" s="69"/>
      <c r="I743" s="69"/>
      <c r="J743" s="70"/>
      <c r="K743" s="69"/>
      <c r="L743" s="69"/>
      <c r="M743" s="69"/>
      <c r="N743" s="69"/>
      <c r="O743" s="69"/>
      <c r="P743" s="2"/>
      <c r="Q743" s="2"/>
      <c r="R743" s="32"/>
      <c r="S743" s="32"/>
      <c r="T743" s="32"/>
      <c r="U743" s="32"/>
      <c r="V743" s="2"/>
      <c r="W743" s="2"/>
      <c r="X743" s="2"/>
      <c r="Y743" s="2"/>
      <c r="Z743" s="2"/>
    </row>
    <row r="744" spans="1:26" ht="13.8" x14ac:dyDescent="0.3">
      <c r="A744" s="2"/>
      <c r="B744" s="2"/>
      <c r="C744" s="10"/>
      <c r="D744" s="10"/>
      <c r="E744" s="10"/>
      <c r="F744" s="10"/>
      <c r="G744" s="69"/>
      <c r="H744" s="69"/>
      <c r="I744" s="69"/>
      <c r="J744" s="70"/>
      <c r="K744" s="69"/>
      <c r="L744" s="69"/>
      <c r="M744" s="69"/>
      <c r="N744" s="69"/>
      <c r="O744" s="69"/>
      <c r="P744" s="2"/>
      <c r="Q744" s="2"/>
      <c r="R744" s="32"/>
      <c r="S744" s="32"/>
      <c r="T744" s="32"/>
      <c r="U744" s="32"/>
      <c r="V744" s="2"/>
      <c r="W744" s="2"/>
      <c r="X744" s="2"/>
      <c r="Y744" s="2"/>
      <c r="Z744" s="2"/>
    </row>
    <row r="745" spans="1:26" ht="13.8" x14ac:dyDescent="0.3">
      <c r="A745" s="2"/>
      <c r="B745" s="2"/>
      <c r="C745" s="10"/>
      <c r="D745" s="10"/>
      <c r="E745" s="10"/>
      <c r="F745" s="10"/>
      <c r="G745" s="69"/>
      <c r="H745" s="69"/>
      <c r="I745" s="69"/>
      <c r="J745" s="70"/>
      <c r="K745" s="69"/>
      <c r="L745" s="69"/>
      <c r="M745" s="69"/>
      <c r="N745" s="69"/>
      <c r="O745" s="69"/>
      <c r="P745" s="2"/>
      <c r="Q745" s="2"/>
      <c r="R745" s="32"/>
      <c r="S745" s="32"/>
      <c r="T745" s="32"/>
      <c r="U745" s="32"/>
      <c r="V745" s="2"/>
      <c r="W745" s="2"/>
      <c r="X745" s="2"/>
      <c r="Y745" s="2"/>
      <c r="Z745" s="2"/>
    </row>
    <row r="746" spans="1:26" ht="13.8" x14ac:dyDescent="0.3">
      <c r="A746" s="2"/>
      <c r="B746" s="2"/>
      <c r="C746" s="10"/>
      <c r="D746" s="10"/>
      <c r="E746" s="10"/>
      <c r="F746" s="10"/>
      <c r="G746" s="69"/>
      <c r="H746" s="69"/>
      <c r="I746" s="69"/>
      <c r="J746" s="70"/>
      <c r="K746" s="69"/>
      <c r="L746" s="69"/>
      <c r="M746" s="69"/>
      <c r="N746" s="69"/>
      <c r="O746" s="69"/>
      <c r="P746" s="2"/>
      <c r="Q746" s="2"/>
      <c r="R746" s="32"/>
      <c r="S746" s="32"/>
      <c r="T746" s="32"/>
      <c r="U746" s="32"/>
      <c r="V746" s="2"/>
      <c r="W746" s="2"/>
      <c r="X746" s="2"/>
      <c r="Y746" s="2"/>
      <c r="Z746" s="2"/>
    </row>
    <row r="747" spans="1:26" ht="13.8" x14ac:dyDescent="0.3">
      <c r="A747" s="2"/>
      <c r="B747" s="2"/>
      <c r="C747" s="10"/>
      <c r="D747" s="10"/>
      <c r="E747" s="10"/>
      <c r="F747" s="10"/>
      <c r="G747" s="69"/>
      <c r="H747" s="69"/>
      <c r="I747" s="69"/>
      <c r="J747" s="70"/>
      <c r="K747" s="69"/>
      <c r="L747" s="69"/>
      <c r="M747" s="69"/>
      <c r="N747" s="69"/>
      <c r="O747" s="69"/>
      <c r="P747" s="2"/>
      <c r="Q747" s="2"/>
      <c r="R747" s="32"/>
      <c r="S747" s="32"/>
      <c r="T747" s="32"/>
      <c r="U747" s="32"/>
      <c r="V747" s="2"/>
      <c r="W747" s="2"/>
      <c r="X747" s="2"/>
      <c r="Y747" s="2"/>
      <c r="Z747" s="2"/>
    </row>
    <row r="748" spans="1:26" ht="13.8" x14ac:dyDescent="0.3">
      <c r="A748" s="2"/>
      <c r="B748" s="2"/>
      <c r="C748" s="10"/>
      <c r="D748" s="10"/>
      <c r="E748" s="10"/>
      <c r="F748" s="10"/>
      <c r="G748" s="69"/>
      <c r="H748" s="69"/>
      <c r="I748" s="69"/>
      <c r="J748" s="70"/>
      <c r="K748" s="69"/>
      <c r="L748" s="69"/>
      <c r="M748" s="69"/>
      <c r="N748" s="69"/>
      <c r="O748" s="69"/>
      <c r="P748" s="2"/>
      <c r="Q748" s="2"/>
      <c r="R748" s="32"/>
      <c r="S748" s="32"/>
      <c r="T748" s="32"/>
      <c r="U748" s="32"/>
      <c r="V748" s="2"/>
      <c r="W748" s="2"/>
      <c r="X748" s="2"/>
      <c r="Y748" s="2"/>
      <c r="Z748" s="2"/>
    </row>
    <row r="749" spans="1:26" ht="13.8" x14ac:dyDescent="0.3">
      <c r="A749" s="2"/>
      <c r="B749" s="2"/>
      <c r="C749" s="10"/>
      <c r="D749" s="10"/>
      <c r="E749" s="10"/>
      <c r="F749" s="10"/>
      <c r="G749" s="69"/>
      <c r="H749" s="69"/>
      <c r="I749" s="69"/>
      <c r="J749" s="70"/>
      <c r="K749" s="69"/>
      <c r="L749" s="69"/>
      <c r="M749" s="69"/>
      <c r="N749" s="69"/>
      <c r="O749" s="69"/>
      <c r="P749" s="2"/>
      <c r="Q749" s="2"/>
      <c r="R749" s="32"/>
      <c r="S749" s="32"/>
      <c r="T749" s="32"/>
      <c r="U749" s="32"/>
      <c r="V749" s="2"/>
      <c r="W749" s="2"/>
      <c r="X749" s="2"/>
      <c r="Y749" s="2"/>
      <c r="Z749" s="2"/>
    </row>
    <row r="750" spans="1:26" ht="13.8" x14ac:dyDescent="0.3">
      <c r="A750" s="2"/>
      <c r="B750" s="2"/>
      <c r="C750" s="10"/>
      <c r="D750" s="10"/>
      <c r="E750" s="10"/>
      <c r="F750" s="10"/>
      <c r="G750" s="69"/>
      <c r="H750" s="69"/>
      <c r="I750" s="69"/>
      <c r="J750" s="70"/>
      <c r="K750" s="69"/>
      <c r="L750" s="69"/>
      <c r="M750" s="69"/>
      <c r="N750" s="69"/>
      <c r="O750" s="69"/>
      <c r="P750" s="2"/>
      <c r="Q750" s="2"/>
      <c r="R750" s="32"/>
      <c r="S750" s="32"/>
      <c r="T750" s="32"/>
      <c r="U750" s="32"/>
      <c r="V750" s="2"/>
      <c r="W750" s="2"/>
      <c r="X750" s="2"/>
      <c r="Y750" s="2"/>
      <c r="Z750" s="2"/>
    </row>
    <row r="751" spans="1:26" ht="13.8" x14ac:dyDescent="0.3">
      <c r="A751" s="2"/>
      <c r="B751" s="2"/>
      <c r="C751" s="10"/>
      <c r="D751" s="10"/>
      <c r="E751" s="10"/>
      <c r="F751" s="10"/>
      <c r="G751" s="69"/>
      <c r="H751" s="69"/>
      <c r="I751" s="69"/>
      <c r="J751" s="70"/>
      <c r="K751" s="69"/>
      <c r="L751" s="69"/>
      <c r="M751" s="69"/>
      <c r="N751" s="69"/>
      <c r="O751" s="69"/>
      <c r="P751" s="2"/>
      <c r="Q751" s="2"/>
      <c r="R751" s="32"/>
      <c r="S751" s="32"/>
      <c r="T751" s="32"/>
      <c r="U751" s="32"/>
      <c r="V751" s="2"/>
      <c r="W751" s="2"/>
      <c r="X751" s="2"/>
      <c r="Y751" s="2"/>
      <c r="Z751" s="2"/>
    </row>
    <row r="752" spans="1:26" ht="13.8" x14ac:dyDescent="0.3">
      <c r="A752" s="2"/>
      <c r="B752" s="2"/>
      <c r="C752" s="10"/>
      <c r="D752" s="10"/>
      <c r="E752" s="10"/>
      <c r="F752" s="10"/>
      <c r="G752" s="69"/>
      <c r="H752" s="69"/>
      <c r="I752" s="69"/>
      <c r="J752" s="70"/>
      <c r="K752" s="69"/>
      <c r="L752" s="69"/>
      <c r="M752" s="69"/>
      <c r="N752" s="69"/>
      <c r="O752" s="69"/>
      <c r="P752" s="2"/>
      <c r="Q752" s="2"/>
      <c r="R752" s="32"/>
      <c r="S752" s="32"/>
      <c r="T752" s="32"/>
      <c r="U752" s="32"/>
      <c r="V752" s="2"/>
      <c r="W752" s="2"/>
      <c r="X752" s="2"/>
      <c r="Y752" s="2"/>
      <c r="Z752" s="2"/>
    </row>
    <row r="753" spans="1:26" ht="13.8" x14ac:dyDescent="0.3">
      <c r="A753" s="2"/>
      <c r="B753" s="2"/>
      <c r="C753" s="10"/>
      <c r="D753" s="10"/>
      <c r="E753" s="10"/>
      <c r="F753" s="10"/>
      <c r="G753" s="69"/>
      <c r="H753" s="69"/>
      <c r="I753" s="69"/>
      <c r="J753" s="70"/>
      <c r="K753" s="69"/>
      <c r="L753" s="69"/>
      <c r="M753" s="69"/>
      <c r="N753" s="69"/>
      <c r="O753" s="69"/>
      <c r="P753" s="2"/>
      <c r="Q753" s="2"/>
      <c r="R753" s="32"/>
      <c r="S753" s="32"/>
      <c r="T753" s="32"/>
      <c r="U753" s="32"/>
      <c r="V753" s="2"/>
      <c r="W753" s="2"/>
      <c r="X753" s="2"/>
      <c r="Y753" s="2"/>
      <c r="Z753" s="2"/>
    </row>
    <row r="754" spans="1:26" ht="13.8" x14ac:dyDescent="0.3">
      <c r="A754" s="2"/>
      <c r="B754" s="2"/>
      <c r="C754" s="10"/>
      <c r="D754" s="10"/>
      <c r="E754" s="10"/>
      <c r="F754" s="10"/>
      <c r="G754" s="69"/>
      <c r="H754" s="69"/>
      <c r="I754" s="69"/>
      <c r="J754" s="70"/>
      <c r="K754" s="69"/>
      <c r="L754" s="69"/>
      <c r="M754" s="69"/>
      <c r="N754" s="69"/>
      <c r="O754" s="69"/>
      <c r="P754" s="2"/>
      <c r="Q754" s="2"/>
      <c r="R754" s="32"/>
      <c r="S754" s="32"/>
      <c r="T754" s="32"/>
      <c r="U754" s="32"/>
      <c r="V754" s="2"/>
      <c r="W754" s="2"/>
      <c r="X754" s="2"/>
      <c r="Y754" s="2"/>
      <c r="Z754" s="2"/>
    </row>
    <row r="755" spans="1:26" ht="13.8" x14ac:dyDescent="0.3">
      <c r="A755" s="2"/>
      <c r="B755" s="2"/>
      <c r="C755" s="10"/>
      <c r="D755" s="10"/>
      <c r="E755" s="10"/>
      <c r="F755" s="10"/>
      <c r="G755" s="69"/>
      <c r="H755" s="69"/>
      <c r="I755" s="69"/>
      <c r="J755" s="70"/>
      <c r="K755" s="69"/>
      <c r="L755" s="69"/>
      <c r="M755" s="69"/>
      <c r="N755" s="69"/>
      <c r="O755" s="69"/>
      <c r="P755" s="2"/>
      <c r="Q755" s="2"/>
      <c r="R755" s="32"/>
      <c r="S755" s="32"/>
      <c r="T755" s="32"/>
      <c r="U755" s="32"/>
      <c r="V755" s="2"/>
      <c r="W755" s="2"/>
      <c r="X755" s="2"/>
      <c r="Y755" s="2"/>
      <c r="Z755" s="2"/>
    </row>
    <row r="756" spans="1:26" ht="13.8" x14ac:dyDescent="0.3">
      <c r="A756" s="2"/>
      <c r="B756" s="2"/>
      <c r="C756" s="10"/>
      <c r="D756" s="10"/>
      <c r="E756" s="10"/>
      <c r="F756" s="10"/>
      <c r="G756" s="69"/>
      <c r="H756" s="69"/>
      <c r="I756" s="69"/>
      <c r="J756" s="70"/>
      <c r="K756" s="69"/>
      <c r="L756" s="69"/>
      <c r="M756" s="69"/>
      <c r="N756" s="69"/>
      <c r="O756" s="69"/>
      <c r="P756" s="2"/>
      <c r="Q756" s="2"/>
      <c r="R756" s="32"/>
      <c r="S756" s="32"/>
      <c r="T756" s="32"/>
      <c r="U756" s="32"/>
      <c r="V756" s="2"/>
      <c r="W756" s="2"/>
      <c r="X756" s="2"/>
      <c r="Y756" s="2"/>
      <c r="Z756" s="2"/>
    </row>
    <row r="757" spans="1:26" ht="13.8" x14ac:dyDescent="0.3">
      <c r="A757" s="2"/>
      <c r="B757" s="2"/>
      <c r="C757" s="10"/>
      <c r="D757" s="10"/>
      <c r="E757" s="10"/>
      <c r="F757" s="10"/>
      <c r="G757" s="69"/>
      <c r="H757" s="69"/>
      <c r="I757" s="69"/>
      <c r="J757" s="70"/>
      <c r="K757" s="69"/>
      <c r="L757" s="69"/>
      <c r="M757" s="69"/>
      <c r="N757" s="69"/>
      <c r="O757" s="69"/>
      <c r="P757" s="2"/>
      <c r="Q757" s="2"/>
      <c r="R757" s="32"/>
      <c r="S757" s="32"/>
      <c r="T757" s="32"/>
      <c r="U757" s="32"/>
      <c r="V757" s="2"/>
      <c r="W757" s="2"/>
      <c r="X757" s="2"/>
      <c r="Y757" s="2"/>
      <c r="Z757" s="2"/>
    </row>
    <row r="758" spans="1:26" ht="13.8" x14ac:dyDescent="0.3">
      <c r="A758" s="2"/>
      <c r="B758" s="2"/>
      <c r="C758" s="10"/>
      <c r="D758" s="10"/>
      <c r="E758" s="10"/>
      <c r="F758" s="10"/>
      <c r="G758" s="69"/>
      <c r="H758" s="69"/>
      <c r="I758" s="69"/>
      <c r="J758" s="70"/>
      <c r="K758" s="69"/>
      <c r="L758" s="69"/>
      <c r="M758" s="69"/>
      <c r="N758" s="69"/>
      <c r="O758" s="69"/>
      <c r="P758" s="2"/>
      <c r="Q758" s="2"/>
      <c r="R758" s="32"/>
      <c r="S758" s="32"/>
      <c r="T758" s="32"/>
      <c r="U758" s="32"/>
      <c r="V758" s="2"/>
      <c r="W758" s="2"/>
      <c r="X758" s="2"/>
      <c r="Y758" s="2"/>
      <c r="Z758" s="2"/>
    </row>
    <row r="759" spans="1:26" ht="13.8" x14ac:dyDescent="0.3">
      <c r="A759" s="2"/>
      <c r="B759" s="2"/>
      <c r="C759" s="10"/>
      <c r="D759" s="10"/>
      <c r="E759" s="10"/>
      <c r="F759" s="10"/>
      <c r="G759" s="69"/>
      <c r="H759" s="69"/>
      <c r="I759" s="69"/>
      <c r="J759" s="70"/>
      <c r="K759" s="69"/>
      <c r="L759" s="69"/>
      <c r="M759" s="69"/>
      <c r="N759" s="69"/>
      <c r="O759" s="69"/>
      <c r="P759" s="2"/>
      <c r="Q759" s="2"/>
      <c r="R759" s="32"/>
      <c r="S759" s="32"/>
      <c r="T759" s="32"/>
      <c r="U759" s="32"/>
      <c r="V759" s="2"/>
      <c r="W759" s="2"/>
      <c r="X759" s="2"/>
      <c r="Y759" s="2"/>
      <c r="Z759" s="2"/>
    </row>
    <row r="760" spans="1:26" ht="13.8" x14ac:dyDescent="0.3">
      <c r="A760" s="2"/>
      <c r="B760" s="2"/>
      <c r="C760" s="10"/>
      <c r="D760" s="10"/>
      <c r="E760" s="10"/>
      <c r="F760" s="10"/>
      <c r="G760" s="69"/>
      <c r="H760" s="69"/>
      <c r="I760" s="69"/>
      <c r="J760" s="70"/>
      <c r="K760" s="69"/>
      <c r="L760" s="69"/>
      <c r="M760" s="69"/>
      <c r="N760" s="69"/>
      <c r="O760" s="69"/>
      <c r="P760" s="2"/>
      <c r="Q760" s="2"/>
      <c r="R760" s="32"/>
      <c r="S760" s="32"/>
      <c r="T760" s="32"/>
      <c r="U760" s="32"/>
      <c r="V760" s="2"/>
      <c r="W760" s="2"/>
      <c r="X760" s="2"/>
      <c r="Y760" s="2"/>
      <c r="Z760" s="2"/>
    </row>
    <row r="761" spans="1:26" ht="13.8" x14ac:dyDescent="0.3">
      <c r="A761" s="2"/>
      <c r="B761" s="2"/>
      <c r="C761" s="10"/>
      <c r="D761" s="10"/>
      <c r="E761" s="10"/>
      <c r="F761" s="10"/>
      <c r="G761" s="69"/>
      <c r="H761" s="69"/>
      <c r="I761" s="69"/>
      <c r="J761" s="70"/>
      <c r="K761" s="69"/>
      <c r="L761" s="69"/>
      <c r="M761" s="69"/>
      <c r="N761" s="69"/>
      <c r="O761" s="69"/>
      <c r="P761" s="2"/>
      <c r="Q761" s="2"/>
      <c r="R761" s="32"/>
      <c r="S761" s="32"/>
      <c r="T761" s="32"/>
      <c r="U761" s="32"/>
      <c r="V761" s="2"/>
      <c r="W761" s="2"/>
      <c r="X761" s="2"/>
      <c r="Y761" s="2"/>
      <c r="Z761" s="2"/>
    </row>
    <row r="762" spans="1:26" ht="13.8" x14ac:dyDescent="0.3">
      <c r="A762" s="2"/>
      <c r="B762" s="2"/>
      <c r="C762" s="10"/>
      <c r="D762" s="10"/>
      <c r="E762" s="10"/>
      <c r="F762" s="10"/>
      <c r="G762" s="69"/>
      <c r="H762" s="69"/>
      <c r="I762" s="69"/>
      <c r="J762" s="70"/>
      <c r="K762" s="69"/>
      <c r="L762" s="69"/>
      <c r="M762" s="69"/>
      <c r="N762" s="69"/>
      <c r="O762" s="69"/>
      <c r="P762" s="2"/>
      <c r="Q762" s="2"/>
      <c r="R762" s="32"/>
      <c r="S762" s="32"/>
      <c r="T762" s="32"/>
      <c r="U762" s="32"/>
      <c r="V762" s="2"/>
      <c r="W762" s="2"/>
      <c r="X762" s="2"/>
      <c r="Y762" s="2"/>
      <c r="Z762" s="2"/>
    </row>
    <row r="763" spans="1:26" ht="13.8" x14ac:dyDescent="0.3">
      <c r="A763" s="2"/>
      <c r="B763" s="2"/>
      <c r="C763" s="10"/>
      <c r="D763" s="10"/>
      <c r="E763" s="10"/>
      <c r="F763" s="10"/>
      <c r="G763" s="69"/>
      <c r="H763" s="69"/>
      <c r="I763" s="69"/>
      <c r="J763" s="70"/>
      <c r="K763" s="69"/>
      <c r="L763" s="69"/>
      <c r="M763" s="69"/>
      <c r="N763" s="69"/>
      <c r="O763" s="69"/>
      <c r="P763" s="2"/>
      <c r="Q763" s="2"/>
      <c r="R763" s="32"/>
      <c r="S763" s="32"/>
      <c r="T763" s="32"/>
      <c r="U763" s="32"/>
      <c r="V763" s="2"/>
      <c r="W763" s="2"/>
      <c r="X763" s="2"/>
      <c r="Y763" s="2"/>
      <c r="Z763" s="2"/>
    </row>
    <row r="764" spans="1:26" ht="13.8" x14ac:dyDescent="0.3">
      <c r="A764" s="2"/>
      <c r="B764" s="2"/>
      <c r="C764" s="10"/>
      <c r="D764" s="10"/>
      <c r="E764" s="10"/>
      <c r="F764" s="10"/>
      <c r="G764" s="69"/>
      <c r="H764" s="69"/>
      <c r="I764" s="69"/>
      <c r="J764" s="70"/>
      <c r="K764" s="69"/>
      <c r="L764" s="69"/>
      <c r="M764" s="69"/>
      <c r="N764" s="69"/>
      <c r="O764" s="69"/>
      <c r="P764" s="2"/>
      <c r="Q764" s="2"/>
      <c r="R764" s="32"/>
      <c r="S764" s="32"/>
      <c r="T764" s="32"/>
      <c r="U764" s="32"/>
      <c r="V764" s="2"/>
      <c r="W764" s="2"/>
      <c r="X764" s="2"/>
      <c r="Y764" s="2"/>
      <c r="Z764" s="2"/>
    </row>
    <row r="765" spans="1:26" ht="13.8" x14ac:dyDescent="0.3">
      <c r="A765" s="2"/>
      <c r="B765" s="2"/>
      <c r="C765" s="10"/>
      <c r="D765" s="10"/>
      <c r="E765" s="10"/>
      <c r="F765" s="10"/>
      <c r="G765" s="69"/>
      <c r="H765" s="69"/>
      <c r="I765" s="69"/>
      <c r="J765" s="70"/>
      <c r="K765" s="69"/>
      <c r="L765" s="69"/>
      <c r="M765" s="69"/>
      <c r="N765" s="69"/>
      <c r="O765" s="69"/>
      <c r="P765" s="2"/>
      <c r="Q765" s="2"/>
      <c r="R765" s="32"/>
      <c r="S765" s="32"/>
      <c r="T765" s="32"/>
      <c r="U765" s="32"/>
      <c r="V765" s="2"/>
      <c r="W765" s="2"/>
      <c r="X765" s="2"/>
      <c r="Y765" s="2"/>
      <c r="Z765" s="2"/>
    </row>
    <row r="766" spans="1:26" ht="13.8" x14ac:dyDescent="0.3">
      <c r="A766" s="2"/>
      <c r="B766" s="2"/>
      <c r="C766" s="10"/>
      <c r="D766" s="10"/>
      <c r="E766" s="10"/>
      <c r="F766" s="10"/>
      <c r="G766" s="69"/>
      <c r="H766" s="69"/>
      <c r="I766" s="69"/>
      <c r="J766" s="70"/>
      <c r="K766" s="69"/>
      <c r="L766" s="69"/>
      <c r="M766" s="69"/>
      <c r="N766" s="69"/>
      <c r="O766" s="69"/>
      <c r="P766" s="2"/>
      <c r="Q766" s="2"/>
      <c r="R766" s="32"/>
      <c r="S766" s="32"/>
      <c r="T766" s="32"/>
      <c r="U766" s="32"/>
      <c r="V766" s="2"/>
      <c r="W766" s="2"/>
      <c r="X766" s="2"/>
      <c r="Y766" s="2"/>
      <c r="Z766" s="2"/>
    </row>
    <row r="767" spans="1:26" ht="13.8" x14ac:dyDescent="0.3">
      <c r="A767" s="2"/>
      <c r="B767" s="2"/>
      <c r="C767" s="10"/>
      <c r="D767" s="10"/>
      <c r="E767" s="10"/>
      <c r="F767" s="10"/>
      <c r="G767" s="69"/>
      <c r="H767" s="69"/>
      <c r="I767" s="69"/>
      <c r="J767" s="70"/>
      <c r="K767" s="69"/>
      <c r="L767" s="69"/>
      <c r="M767" s="69"/>
      <c r="N767" s="69"/>
      <c r="O767" s="69"/>
      <c r="P767" s="2"/>
      <c r="Q767" s="2"/>
      <c r="R767" s="32"/>
      <c r="S767" s="32"/>
      <c r="T767" s="32"/>
      <c r="U767" s="32"/>
      <c r="V767" s="2"/>
      <c r="W767" s="2"/>
      <c r="X767" s="2"/>
      <c r="Y767" s="2"/>
      <c r="Z767" s="2"/>
    </row>
    <row r="768" spans="1:26" ht="13.8" x14ac:dyDescent="0.3">
      <c r="A768" s="2"/>
      <c r="B768" s="2"/>
      <c r="C768" s="10"/>
      <c r="D768" s="10"/>
      <c r="E768" s="10"/>
      <c r="F768" s="10"/>
      <c r="G768" s="69"/>
      <c r="H768" s="69"/>
      <c r="I768" s="69"/>
      <c r="J768" s="70"/>
      <c r="K768" s="69"/>
      <c r="L768" s="69"/>
      <c r="M768" s="69"/>
      <c r="N768" s="69"/>
      <c r="O768" s="69"/>
      <c r="P768" s="2"/>
      <c r="Q768" s="2"/>
      <c r="R768" s="32"/>
      <c r="S768" s="32"/>
      <c r="T768" s="32"/>
      <c r="U768" s="32"/>
      <c r="V768" s="2"/>
      <c r="W768" s="2"/>
      <c r="X768" s="2"/>
      <c r="Y768" s="2"/>
      <c r="Z768" s="2"/>
    </row>
    <row r="769" spans="1:26" ht="13.8" x14ac:dyDescent="0.3">
      <c r="A769" s="2"/>
      <c r="B769" s="2"/>
      <c r="C769" s="10"/>
      <c r="D769" s="10"/>
      <c r="E769" s="10"/>
      <c r="F769" s="10"/>
      <c r="G769" s="69"/>
      <c r="H769" s="69"/>
      <c r="I769" s="69"/>
      <c r="J769" s="70"/>
      <c r="K769" s="69"/>
      <c r="L769" s="69"/>
      <c r="M769" s="69"/>
      <c r="N769" s="69"/>
      <c r="O769" s="69"/>
      <c r="P769" s="2"/>
      <c r="Q769" s="2"/>
      <c r="R769" s="32"/>
      <c r="S769" s="32"/>
      <c r="T769" s="32"/>
      <c r="U769" s="32"/>
      <c r="V769" s="2"/>
      <c r="W769" s="2"/>
      <c r="X769" s="2"/>
      <c r="Y769" s="2"/>
      <c r="Z769" s="2"/>
    </row>
    <row r="770" spans="1:26" ht="13.8" x14ac:dyDescent="0.3">
      <c r="A770" s="2"/>
      <c r="B770" s="2"/>
      <c r="C770" s="10"/>
      <c r="D770" s="10"/>
      <c r="E770" s="10"/>
      <c r="F770" s="10"/>
      <c r="G770" s="69"/>
      <c r="H770" s="69"/>
      <c r="I770" s="69"/>
      <c r="J770" s="70"/>
      <c r="K770" s="69"/>
      <c r="L770" s="69"/>
      <c r="M770" s="69"/>
      <c r="N770" s="69"/>
      <c r="O770" s="69"/>
      <c r="P770" s="2"/>
      <c r="Q770" s="2"/>
      <c r="R770" s="32"/>
      <c r="S770" s="32"/>
      <c r="T770" s="32"/>
      <c r="U770" s="32"/>
      <c r="V770" s="2"/>
      <c r="W770" s="2"/>
      <c r="X770" s="2"/>
      <c r="Y770" s="2"/>
      <c r="Z770" s="2"/>
    </row>
    <row r="771" spans="1:26" ht="13.8" x14ac:dyDescent="0.3">
      <c r="A771" s="2"/>
      <c r="B771" s="2"/>
      <c r="C771" s="10"/>
      <c r="D771" s="10"/>
      <c r="E771" s="10"/>
      <c r="F771" s="10"/>
      <c r="G771" s="69"/>
      <c r="H771" s="69"/>
      <c r="I771" s="69"/>
      <c r="J771" s="70"/>
      <c r="K771" s="69"/>
      <c r="L771" s="69"/>
      <c r="M771" s="69"/>
      <c r="N771" s="69"/>
      <c r="O771" s="69"/>
      <c r="P771" s="2"/>
      <c r="Q771" s="2"/>
      <c r="R771" s="32"/>
      <c r="S771" s="32"/>
      <c r="T771" s="32"/>
      <c r="U771" s="32"/>
      <c r="V771" s="2"/>
      <c r="W771" s="2"/>
      <c r="X771" s="2"/>
      <c r="Y771" s="2"/>
      <c r="Z771" s="2"/>
    </row>
    <row r="772" spans="1:26" ht="13.8" x14ac:dyDescent="0.3">
      <c r="A772" s="2"/>
      <c r="B772" s="2"/>
      <c r="C772" s="10"/>
      <c r="D772" s="10"/>
      <c r="E772" s="10"/>
      <c r="F772" s="10"/>
      <c r="G772" s="69"/>
      <c r="H772" s="69"/>
      <c r="I772" s="69"/>
      <c r="J772" s="70"/>
      <c r="K772" s="69"/>
      <c r="L772" s="69"/>
      <c r="M772" s="69"/>
      <c r="N772" s="69"/>
      <c r="O772" s="69"/>
      <c r="P772" s="2"/>
      <c r="Q772" s="2"/>
      <c r="R772" s="32"/>
      <c r="S772" s="32"/>
      <c r="T772" s="32"/>
      <c r="U772" s="32"/>
      <c r="V772" s="2"/>
      <c r="W772" s="2"/>
      <c r="X772" s="2"/>
      <c r="Y772" s="2"/>
      <c r="Z772" s="2"/>
    </row>
    <row r="773" spans="1:26" ht="13.8" x14ac:dyDescent="0.3">
      <c r="A773" s="2"/>
      <c r="B773" s="2"/>
      <c r="C773" s="10"/>
      <c r="D773" s="10"/>
      <c r="E773" s="10"/>
      <c r="F773" s="10"/>
      <c r="G773" s="69"/>
      <c r="H773" s="69"/>
      <c r="I773" s="69"/>
      <c r="J773" s="70"/>
      <c r="K773" s="69"/>
      <c r="L773" s="69"/>
      <c r="M773" s="69"/>
      <c r="N773" s="69"/>
      <c r="O773" s="69"/>
      <c r="P773" s="2"/>
      <c r="Q773" s="2"/>
      <c r="R773" s="32"/>
      <c r="S773" s="32"/>
      <c r="T773" s="32"/>
      <c r="U773" s="32"/>
      <c r="V773" s="2"/>
      <c r="W773" s="2"/>
      <c r="X773" s="2"/>
      <c r="Y773" s="2"/>
      <c r="Z773" s="2"/>
    </row>
    <row r="774" spans="1:26" ht="13.8" x14ac:dyDescent="0.3">
      <c r="A774" s="2"/>
      <c r="B774" s="2"/>
      <c r="C774" s="10"/>
      <c r="D774" s="10"/>
      <c r="E774" s="10"/>
      <c r="F774" s="10"/>
      <c r="G774" s="69"/>
      <c r="H774" s="69"/>
      <c r="I774" s="69"/>
      <c r="J774" s="70"/>
      <c r="K774" s="69"/>
      <c r="L774" s="69"/>
      <c r="M774" s="69"/>
      <c r="N774" s="69"/>
      <c r="O774" s="69"/>
      <c r="P774" s="2"/>
      <c r="Q774" s="2"/>
      <c r="R774" s="32"/>
      <c r="S774" s="32"/>
      <c r="T774" s="32"/>
      <c r="U774" s="32"/>
      <c r="V774" s="2"/>
      <c r="W774" s="2"/>
      <c r="X774" s="2"/>
      <c r="Y774" s="2"/>
      <c r="Z774" s="2"/>
    </row>
    <row r="775" spans="1:26" ht="13.8" x14ac:dyDescent="0.3">
      <c r="A775" s="2"/>
      <c r="B775" s="2"/>
      <c r="C775" s="10"/>
      <c r="D775" s="10"/>
      <c r="E775" s="10"/>
      <c r="F775" s="10"/>
      <c r="G775" s="69"/>
      <c r="H775" s="69"/>
      <c r="I775" s="69"/>
      <c r="J775" s="70"/>
      <c r="K775" s="69"/>
      <c r="L775" s="69"/>
      <c r="M775" s="69"/>
      <c r="N775" s="69"/>
      <c r="O775" s="69"/>
      <c r="P775" s="2"/>
      <c r="Q775" s="2"/>
      <c r="R775" s="32"/>
      <c r="S775" s="32"/>
      <c r="T775" s="32"/>
      <c r="U775" s="32"/>
      <c r="V775" s="2"/>
      <c r="W775" s="2"/>
      <c r="X775" s="2"/>
      <c r="Y775" s="2"/>
      <c r="Z775" s="2"/>
    </row>
    <row r="776" spans="1:26" ht="13.8" x14ac:dyDescent="0.3">
      <c r="A776" s="2"/>
      <c r="B776" s="2"/>
      <c r="C776" s="10"/>
      <c r="D776" s="10"/>
      <c r="E776" s="10"/>
      <c r="F776" s="10"/>
      <c r="G776" s="69"/>
      <c r="H776" s="69"/>
      <c r="I776" s="69"/>
      <c r="J776" s="70"/>
      <c r="K776" s="69"/>
      <c r="L776" s="69"/>
      <c r="M776" s="69"/>
      <c r="N776" s="69"/>
      <c r="O776" s="69"/>
      <c r="P776" s="2"/>
      <c r="Q776" s="2"/>
      <c r="R776" s="32"/>
      <c r="S776" s="32"/>
      <c r="T776" s="32"/>
      <c r="U776" s="32"/>
      <c r="V776" s="2"/>
      <c r="W776" s="2"/>
      <c r="X776" s="2"/>
      <c r="Y776" s="2"/>
      <c r="Z776" s="2"/>
    </row>
    <row r="777" spans="1:26" ht="13.8" x14ac:dyDescent="0.3">
      <c r="A777" s="2"/>
      <c r="B777" s="2"/>
      <c r="C777" s="10"/>
      <c r="D777" s="10"/>
      <c r="E777" s="10"/>
      <c r="F777" s="10"/>
      <c r="G777" s="69"/>
      <c r="H777" s="69"/>
      <c r="I777" s="69"/>
      <c r="J777" s="70"/>
      <c r="K777" s="69"/>
      <c r="L777" s="69"/>
      <c r="M777" s="69"/>
      <c r="N777" s="69"/>
      <c r="O777" s="69"/>
      <c r="P777" s="2"/>
      <c r="Q777" s="2"/>
      <c r="R777" s="32"/>
      <c r="S777" s="32"/>
      <c r="T777" s="32"/>
      <c r="U777" s="32"/>
      <c r="V777" s="2"/>
      <c r="W777" s="2"/>
      <c r="X777" s="2"/>
      <c r="Y777" s="2"/>
      <c r="Z777" s="2"/>
    </row>
    <row r="778" spans="1:26" ht="13.8" x14ac:dyDescent="0.3">
      <c r="A778" s="2"/>
      <c r="B778" s="2"/>
      <c r="C778" s="10"/>
      <c r="D778" s="10"/>
      <c r="E778" s="10"/>
      <c r="F778" s="10"/>
      <c r="G778" s="69"/>
      <c r="H778" s="69"/>
      <c r="I778" s="69"/>
      <c r="J778" s="70"/>
      <c r="K778" s="69"/>
      <c r="L778" s="69"/>
      <c r="M778" s="69"/>
      <c r="N778" s="69"/>
      <c r="O778" s="69"/>
      <c r="P778" s="2"/>
      <c r="Q778" s="2"/>
      <c r="R778" s="32"/>
      <c r="S778" s="32"/>
      <c r="T778" s="32"/>
      <c r="U778" s="32"/>
      <c r="V778" s="2"/>
      <c r="W778" s="2"/>
      <c r="X778" s="2"/>
      <c r="Y778" s="2"/>
      <c r="Z778" s="2"/>
    </row>
    <row r="779" spans="1:26" ht="13.8" x14ac:dyDescent="0.3">
      <c r="A779" s="2"/>
      <c r="B779" s="2"/>
      <c r="C779" s="10"/>
      <c r="D779" s="10"/>
      <c r="E779" s="10"/>
      <c r="F779" s="10"/>
      <c r="G779" s="69"/>
      <c r="H779" s="69"/>
      <c r="I779" s="69"/>
      <c r="J779" s="70"/>
      <c r="K779" s="69"/>
      <c r="L779" s="69"/>
      <c r="M779" s="69"/>
      <c r="N779" s="69"/>
      <c r="O779" s="69"/>
      <c r="P779" s="2"/>
      <c r="Q779" s="2"/>
      <c r="R779" s="32"/>
      <c r="S779" s="32"/>
      <c r="T779" s="32"/>
      <c r="U779" s="32"/>
      <c r="V779" s="2"/>
      <c r="W779" s="2"/>
      <c r="X779" s="2"/>
      <c r="Y779" s="2"/>
      <c r="Z779" s="2"/>
    </row>
    <row r="780" spans="1:26" ht="13.8" x14ac:dyDescent="0.3">
      <c r="A780" s="2"/>
      <c r="B780" s="2"/>
      <c r="C780" s="10"/>
      <c r="D780" s="10"/>
      <c r="E780" s="10"/>
      <c r="F780" s="10"/>
      <c r="G780" s="69"/>
      <c r="H780" s="69"/>
      <c r="I780" s="69"/>
      <c r="J780" s="70"/>
      <c r="K780" s="69"/>
      <c r="L780" s="69"/>
      <c r="M780" s="69"/>
      <c r="N780" s="69"/>
      <c r="O780" s="69"/>
      <c r="P780" s="2"/>
      <c r="Q780" s="2"/>
      <c r="R780" s="32"/>
      <c r="S780" s="32"/>
      <c r="T780" s="32"/>
      <c r="U780" s="32"/>
      <c r="V780" s="2"/>
      <c r="W780" s="2"/>
      <c r="X780" s="2"/>
      <c r="Y780" s="2"/>
      <c r="Z780" s="2"/>
    </row>
    <row r="781" spans="1:26" ht="13.8" x14ac:dyDescent="0.3">
      <c r="A781" s="2"/>
      <c r="B781" s="2"/>
      <c r="C781" s="10"/>
      <c r="D781" s="10"/>
      <c r="E781" s="10"/>
      <c r="F781" s="10"/>
      <c r="G781" s="69"/>
      <c r="H781" s="69"/>
      <c r="I781" s="69"/>
      <c r="J781" s="70"/>
      <c r="K781" s="69"/>
      <c r="L781" s="69"/>
      <c r="M781" s="69"/>
      <c r="N781" s="69"/>
      <c r="O781" s="69"/>
      <c r="P781" s="2"/>
      <c r="Q781" s="2"/>
      <c r="R781" s="32"/>
      <c r="S781" s="32"/>
      <c r="T781" s="32"/>
      <c r="U781" s="32"/>
      <c r="V781" s="2"/>
      <c r="W781" s="2"/>
      <c r="X781" s="2"/>
      <c r="Y781" s="2"/>
      <c r="Z781" s="2"/>
    </row>
    <row r="782" spans="1:26" ht="13.8" x14ac:dyDescent="0.3">
      <c r="A782" s="2"/>
      <c r="B782" s="2"/>
      <c r="C782" s="10"/>
      <c r="D782" s="10"/>
      <c r="E782" s="10"/>
      <c r="F782" s="10"/>
      <c r="G782" s="69"/>
      <c r="H782" s="69"/>
      <c r="I782" s="69"/>
      <c r="J782" s="70"/>
      <c r="K782" s="69"/>
      <c r="L782" s="69"/>
      <c r="M782" s="69"/>
      <c r="N782" s="69"/>
      <c r="O782" s="69"/>
      <c r="P782" s="2"/>
      <c r="Q782" s="2"/>
      <c r="R782" s="32"/>
      <c r="S782" s="32"/>
      <c r="T782" s="32"/>
      <c r="U782" s="32"/>
      <c r="V782" s="2"/>
      <c r="W782" s="2"/>
      <c r="X782" s="2"/>
      <c r="Y782" s="2"/>
      <c r="Z782" s="2"/>
    </row>
    <row r="783" spans="1:26" ht="13.8" x14ac:dyDescent="0.3">
      <c r="A783" s="2"/>
      <c r="B783" s="2"/>
      <c r="C783" s="10"/>
      <c r="D783" s="10"/>
      <c r="E783" s="10"/>
      <c r="F783" s="10"/>
      <c r="G783" s="69"/>
      <c r="H783" s="69"/>
      <c r="I783" s="69"/>
      <c r="J783" s="70"/>
      <c r="K783" s="69"/>
      <c r="L783" s="69"/>
      <c r="M783" s="69"/>
      <c r="N783" s="69"/>
      <c r="O783" s="69"/>
      <c r="P783" s="2"/>
      <c r="Q783" s="2"/>
      <c r="R783" s="32"/>
      <c r="S783" s="32"/>
      <c r="T783" s="32"/>
      <c r="U783" s="32"/>
      <c r="V783" s="2"/>
      <c r="W783" s="2"/>
      <c r="X783" s="2"/>
      <c r="Y783" s="2"/>
      <c r="Z783" s="2"/>
    </row>
    <row r="784" spans="1:26" ht="13.8" x14ac:dyDescent="0.3">
      <c r="A784" s="2"/>
      <c r="B784" s="2"/>
      <c r="C784" s="10"/>
      <c r="D784" s="10"/>
      <c r="E784" s="10"/>
      <c r="F784" s="10"/>
      <c r="G784" s="69"/>
      <c r="H784" s="69"/>
      <c r="I784" s="69"/>
      <c r="J784" s="70"/>
      <c r="K784" s="69"/>
      <c r="L784" s="69"/>
      <c r="M784" s="69"/>
      <c r="N784" s="69"/>
      <c r="O784" s="69"/>
      <c r="P784" s="2"/>
      <c r="Q784" s="2"/>
      <c r="R784" s="32"/>
      <c r="S784" s="32"/>
      <c r="T784" s="32"/>
      <c r="U784" s="32"/>
      <c r="V784" s="2"/>
      <c r="W784" s="2"/>
      <c r="X784" s="2"/>
      <c r="Y784" s="2"/>
      <c r="Z784" s="2"/>
    </row>
    <row r="785" spans="1:26" ht="13.8" x14ac:dyDescent="0.3">
      <c r="A785" s="2"/>
      <c r="B785" s="2"/>
      <c r="C785" s="10"/>
      <c r="D785" s="10"/>
      <c r="E785" s="10"/>
      <c r="F785" s="10"/>
      <c r="G785" s="69"/>
      <c r="H785" s="69"/>
      <c r="I785" s="69"/>
      <c r="J785" s="70"/>
      <c r="K785" s="69"/>
      <c r="L785" s="69"/>
      <c r="M785" s="69"/>
      <c r="N785" s="69"/>
      <c r="O785" s="69"/>
      <c r="P785" s="2"/>
      <c r="Q785" s="2"/>
      <c r="R785" s="32"/>
      <c r="S785" s="32"/>
      <c r="T785" s="32"/>
      <c r="U785" s="32"/>
      <c r="V785" s="2"/>
      <c r="W785" s="2"/>
      <c r="X785" s="2"/>
      <c r="Y785" s="2"/>
      <c r="Z785" s="2"/>
    </row>
    <row r="786" spans="1:26" ht="13.8" x14ac:dyDescent="0.3">
      <c r="A786" s="2"/>
      <c r="B786" s="2"/>
      <c r="C786" s="10"/>
      <c r="D786" s="10"/>
      <c r="E786" s="10"/>
      <c r="F786" s="10"/>
      <c r="G786" s="69"/>
      <c r="H786" s="69"/>
      <c r="I786" s="69"/>
      <c r="J786" s="70"/>
      <c r="K786" s="69"/>
      <c r="L786" s="69"/>
      <c r="M786" s="69"/>
      <c r="N786" s="69"/>
      <c r="O786" s="69"/>
      <c r="P786" s="2"/>
      <c r="Q786" s="2"/>
      <c r="R786" s="32"/>
      <c r="S786" s="32"/>
      <c r="T786" s="32"/>
      <c r="U786" s="32"/>
      <c r="V786" s="2"/>
      <c r="W786" s="2"/>
      <c r="X786" s="2"/>
      <c r="Y786" s="2"/>
      <c r="Z786" s="2"/>
    </row>
    <row r="787" spans="1:26" ht="13.8" x14ac:dyDescent="0.3">
      <c r="A787" s="2"/>
      <c r="B787" s="2"/>
      <c r="C787" s="10"/>
      <c r="D787" s="10"/>
      <c r="E787" s="10"/>
      <c r="F787" s="10"/>
      <c r="G787" s="69"/>
      <c r="H787" s="69"/>
      <c r="I787" s="69"/>
      <c r="J787" s="70"/>
      <c r="K787" s="69"/>
      <c r="L787" s="69"/>
      <c r="M787" s="69"/>
      <c r="N787" s="69"/>
      <c r="O787" s="69"/>
      <c r="P787" s="2"/>
      <c r="Q787" s="2"/>
      <c r="R787" s="32"/>
      <c r="S787" s="32"/>
      <c r="T787" s="32"/>
      <c r="U787" s="32"/>
      <c r="V787" s="2"/>
      <c r="W787" s="2"/>
      <c r="X787" s="2"/>
      <c r="Y787" s="2"/>
      <c r="Z787" s="2"/>
    </row>
    <row r="788" spans="1:26" ht="13.8" x14ac:dyDescent="0.3">
      <c r="A788" s="2"/>
      <c r="B788" s="2"/>
      <c r="C788" s="10"/>
      <c r="D788" s="10"/>
      <c r="E788" s="10"/>
      <c r="F788" s="10"/>
      <c r="G788" s="69"/>
      <c r="H788" s="69"/>
      <c r="I788" s="69"/>
      <c r="J788" s="70"/>
      <c r="K788" s="69"/>
      <c r="L788" s="69"/>
      <c r="M788" s="69"/>
      <c r="N788" s="69"/>
      <c r="O788" s="69"/>
      <c r="P788" s="2"/>
      <c r="Q788" s="2"/>
      <c r="R788" s="32"/>
      <c r="S788" s="32"/>
      <c r="T788" s="32"/>
      <c r="U788" s="32"/>
      <c r="V788" s="2"/>
      <c r="W788" s="2"/>
      <c r="X788" s="2"/>
      <c r="Y788" s="2"/>
      <c r="Z788" s="2"/>
    </row>
    <row r="789" spans="1:26" ht="13.8" x14ac:dyDescent="0.3">
      <c r="A789" s="2"/>
      <c r="B789" s="2"/>
      <c r="C789" s="10"/>
      <c r="D789" s="10"/>
      <c r="E789" s="10"/>
      <c r="F789" s="10"/>
      <c r="G789" s="69"/>
      <c r="H789" s="69"/>
      <c r="I789" s="69"/>
      <c r="J789" s="70"/>
      <c r="K789" s="69"/>
      <c r="L789" s="69"/>
      <c r="M789" s="69"/>
      <c r="N789" s="69"/>
      <c r="O789" s="69"/>
      <c r="P789" s="2"/>
      <c r="Q789" s="2"/>
      <c r="R789" s="32"/>
      <c r="S789" s="32"/>
      <c r="T789" s="32"/>
      <c r="U789" s="32"/>
      <c r="V789" s="2"/>
      <c r="W789" s="2"/>
      <c r="X789" s="2"/>
      <c r="Y789" s="2"/>
      <c r="Z789" s="2"/>
    </row>
    <row r="790" spans="1:26" ht="13.8" x14ac:dyDescent="0.3">
      <c r="A790" s="2"/>
      <c r="B790" s="2"/>
      <c r="C790" s="10"/>
      <c r="D790" s="10"/>
      <c r="E790" s="10"/>
      <c r="F790" s="10"/>
      <c r="G790" s="69"/>
      <c r="H790" s="69"/>
      <c r="I790" s="69"/>
      <c r="J790" s="70"/>
      <c r="K790" s="69"/>
      <c r="L790" s="69"/>
      <c r="M790" s="69"/>
      <c r="N790" s="69"/>
      <c r="O790" s="69"/>
      <c r="P790" s="2"/>
      <c r="Q790" s="2"/>
      <c r="R790" s="32"/>
      <c r="S790" s="32"/>
      <c r="T790" s="32"/>
      <c r="U790" s="32"/>
      <c r="V790" s="2"/>
      <c r="W790" s="2"/>
      <c r="X790" s="2"/>
      <c r="Y790" s="2"/>
      <c r="Z790" s="2"/>
    </row>
    <row r="791" spans="1:26" ht="13.8" x14ac:dyDescent="0.3">
      <c r="A791" s="2"/>
      <c r="B791" s="2"/>
      <c r="C791" s="10"/>
      <c r="D791" s="10"/>
      <c r="E791" s="10"/>
      <c r="F791" s="10"/>
      <c r="G791" s="69"/>
      <c r="H791" s="69"/>
      <c r="I791" s="69"/>
      <c r="J791" s="70"/>
      <c r="K791" s="69"/>
      <c r="L791" s="69"/>
      <c r="M791" s="69"/>
      <c r="N791" s="69"/>
      <c r="O791" s="69"/>
      <c r="P791" s="2"/>
      <c r="Q791" s="2"/>
      <c r="R791" s="32"/>
      <c r="S791" s="32"/>
      <c r="T791" s="32"/>
      <c r="U791" s="32"/>
      <c r="V791" s="2"/>
      <c r="W791" s="2"/>
      <c r="X791" s="2"/>
      <c r="Y791" s="2"/>
      <c r="Z791" s="2"/>
    </row>
    <row r="792" spans="1:26" ht="13.8" x14ac:dyDescent="0.3">
      <c r="A792" s="2"/>
      <c r="B792" s="2"/>
      <c r="C792" s="10"/>
      <c r="D792" s="10"/>
      <c r="E792" s="10"/>
      <c r="F792" s="10"/>
      <c r="G792" s="69"/>
      <c r="H792" s="69"/>
      <c r="I792" s="69"/>
      <c r="J792" s="70"/>
      <c r="K792" s="69"/>
      <c r="L792" s="69"/>
      <c r="M792" s="69"/>
      <c r="N792" s="69"/>
      <c r="O792" s="69"/>
      <c r="P792" s="2"/>
      <c r="Q792" s="2"/>
      <c r="R792" s="32"/>
      <c r="S792" s="32"/>
      <c r="T792" s="32"/>
      <c r="U792" s="32"/>
      <c r="V792" s="2"/>
      <c r="W792" s="2"/>
      <c r="X792" s="2"/>
      <c r="Y792" s="2"/>
      <c r="Z792" s="2"/>
    </row>
    <row r="793" spans="1:26" ht="13.8" x14ac:dyDescent="0.3">
      <c r="A793" s="2"/>
      <c r="B793" s="2"/>
      <c r="C793" s="10"/>
      <c r="D793" s="10"/>
      <c r="E793" s="10"/>
      <c r="F793" s="10"/>
      <c r="G793" s="69"/>
      <c r="H793" s="69"/>
      <c r="I793" s="69"/>
      <c r="J793" s="70"/>
      <c r="K793" s="69"/>
      <c r="L793" s="69"/>
      <c r="M793" s="69"/>
      <c r="N793" s="69"/>
      <c r="O793" s="69"/>
      <c r="P793" s="2"/>
      <c r="Q793" s="2"/>
      <c r="R793" s="32"/>
      <c r="S793" s="32"/>
      <c r="T793" s="32"/>
      <c r="U793" s="32"/>
      <c r="V793" s="2"/>
      <c r="W793" s="2"/>
      <c r="X793" s="2"/>
      <c r="Y793" s="2"/>
      <c r="Z793" s="2"/>
    </row>
    <row r="794" spans="1:26" ht="13.8" x14ac:dyDescent="0.3">
      <c r="A794" s="2"/>
      <c r="B794" s="2"/>
      <c r="C794" s="10"/>
      <c r="D794" s="10"/>
      <c r="E794" s="10"/>
      <c r="F794" s="10"/>
      <c r="G794" s="69"/>
      <c r="H794" s="69"/>
      <c r="I794" s="69"/>
      <c r="J794" s="70"/>
      <c r="K794" s="69"/>
      <c r="L794" s="69"/>
      <c r="M794" s="69"/>
      <c r="N794" s="69"/>
      <c r="O794" s="69"/>
      <c r="P794" s="2"/>
      <c r="Q794" s="2"/>
      <c r="R794" s="32"/>
      <c r="S794" s="32"/>
      <c r="T794" s="32"/>
      <c r="U794" s="32"/>
      <c r="V794" s="2"/>
      <c r="W794" s="2"/>
      <c r="X794" s="2"/>
      <c r="Y794" s="2"/>
      <c r="Z794" s="2"/>
    </row>
    <row r="795" spans="1:26" ht="13.8" x14ac:dyDescent="0.3">
      <c r="A795" s="2"/>
      <c r="B795" s="2"/>
      <c r="C795" s="10"/>
      <c r="D795" s="10"/>
      <c r="E795" s="10"/>
      <c r="F795" s="10"/>
      <c r="G795" s="69"/>
      <c r="H795" s="69"/>
      <c r="I795" s="69"/>
      <c r="J795" s="70"/>
      <c r="K795" s="69"/>
      <c r="L795" s="69"/>
      <c r="M795" s="69"/>
      <c r="N795" s="69"/>
      <c r="O795" s="69"/>
      <c r="P795" s="2"/>
      <c r="Q795" s="2"/>
      <c r="R795" s="32"/>
      <c r="S795" s="32"/>
      <c r="T795" s="32"/>
      <c r="U795" s="32"/>
      <c r="V795" s="2"/>
      <c r="W795" s="2"/>
      <c r="X795" s="2"/>
      <c r="Y795" s="2"/>
      <c r="Z795" s="2"/>
    </row>
    <row r="796" spans="1:26" ht="13.8" x14ac:dyDescent="0.3">
      <c r="A796" s="2"/>
      <c r="B796" s="2"/>
      <c r="C796" s="10"/>
      <c r="D796" s="10"/>
      <c r="E796" s="10"/>
      <c r="F796" s="10"/>
      <c r="G796" s="69"/>
      <c r="H796" s="69"/>
      <c r="I796" s="69"/>
      <c r="J796" s="70"/>
      <c r="K796" s="69"/>
      <c r="L796" s="69"/>
      <c r="M796" s="69"/>
      <c r="N796" s="69"/>
      <c r="O796" s="69"/>
      <c r="P796" s="2"/>
      <c r="Q796" s="2"/>
      <c r="R796" s="32"/>
      <c r="S796" s="32"/>
      <c r="T796" s="32"/>
      <c r="U796" s="32"/>
      <c r="V796" s="2"/>
      <c r="W796" s="2"/>
      <c r="X796" s="2"/>
      <c r="Y796" s="2"/>
      <c r="Z796" s="2"/>
    </row>
    <row r="797" spans="1:26" ht="13.8" x14ac:dyDescent="0.3">
      <c r="A797" s="2"/>
      <c r="B797" s="2"/>
      <c r="C797" s="10"/>
      <c r="D797" s="10"/>
      <c r="E797" s="10"/>
      <c r="F797" s="10"/>
      <c r="G797" s="69"/>
      <c r="H797" s="69"/>
      <c r="I797" s="69"/>
      <c r="J797" s="70"/>
      <c r="K797" s="69"/>
      <c r="L797" s="69"/>
      <c r="M797" s="69"/>
      <c r="N797" s="69"/>
      <c r="O797" s="69"/>
      <c r="P797" s="2"/>
      <c r="Q797" s="2"/>
      <c r="R797" s="32"/>
      <c r="S797" s="32"/>
      <c r="T797" s="32"/>
      <c r="U797" s="32"/>
      <c r="V797" s="2"/>
      <c r="W797" s="2"/>
      <c r="X797" s="2"/>
      <c r="Y797" s="2"/>
      <c r="Z797" s="2"/>
    </row>
    <row r="798" spans="1:26" ht="13.8" x14ac:dyDescent="0.3">
      <c r="A798" s="2"/>
      <c r="B798" s="2"/>
      <c r="C798" s="10"/>
      <c r="D798" s="10"/>
      <c r="E798" s="10"/>
      <c r="F798" s="10"/>
      <c r="G798" s="69"/>
      <c r="H798" s="69"/>
      <c r="I798" s="69"/>
      <c r="J798" s="70"/>
      <c r="K798" s="69"/>
      <c r="L798" s="69"/>
      <c r="M798" s="69"/>
      <c r="N798" s="69"/>
      <c r="O798" s="69"/>
      <c r="P798" s="2"/>
      <c r="Q798" s="2"/>
      <c r="R798" s="32"/>
      <c r="S798" s="32"/>
      <c r="T798" s="32"/>
      <c r="U798" s="32"/>
      <c r="V798" s="2"/>
      <c r="W798" s="2"/>
      <c r="X798" s="2"/>
      <c r="Y798" s="2"/>
      <c r="Z798" s="2"/>
    </row>
    <row r="799" spans="1:26" ht="13.8" x14ac:dyDescent="0.3">
      <c r="A799" s="2"/>
      <c r="B799" s="2"/>
      <c r="C799" s="10"/>
      <c r="D799" s="10"/>
      <c r="E799" s="10"/>
      <c r="F799" s="10"/>
      <c r="G799" s="69"/>
      <c r="H799" s="69"/>
      <c r="I799" s="69"/>
      <c r="J799" s="70"/>
      <c r="K799" s="69"/>
      <c r="L799" s="69"/>
      <c r="M799" s="69"/>
      <c r="N799" s="69"/>
      <c r="O799" s="69"/>
      <c r="P799" s="2"/>
      <c r="Q799" s="2"/>
      <c r="R799" s="32"/>
      <c r="S799" s="32"/>
      <c r="T799" s="32"/>
      <c r="U799" s="32"/>
      <c r="V799" s="2"/>
      <c r="W799" s="2"/>
      <c r="X799" s="2"/>
      <c r="Y799" s="2"/>
      <c r="Z799" s="2"/>
    </row>
    <row r="800" spans="1:26" ht="13.8" x14ac:dyDescent="0.3">
      <c r="A800" s="2"/>
      <c r="B800" s="2"/>
      <c r="C800" s="10"/>
      <c r="D800" s="10"/>
      <c r="E800" s="10"/>
      <c r="F800" s="10"/>
      <c r="G800" s="69"/>
      <c r="H800" s="69"/>
      <c r="I800" s="69"/>
      <c r="J800" s="70"/>
      <c r="K800" s="69"/>
      <c r="L800" s="69"/>
      <c r="M800" s="69"/>
      <c r="N800" s="69"/>
      <c r="O800" s="69"/>
      <c r="P800" s="2"/>
      <c r="Q800" s="2"/>
      <c r="R800" s="32"/>
      <c r="S800" s="32"/>
      <c r="T800" s="32"/>
      <c r="U800" s="32"/>
      <c r="V800" s="2"/>
      <c r="W800" s="2"/>
      <c r="X800" s="2"/>
      <c r="Y800" s="2"/>
      <c r="Z800" s="2"/>
    </row>
    <row r="801" spans="1:26" ht="13.8" x14ac:dyDescent="0.3">
      <c r="A801" s="2"/>
      <c r="B801" s="2"/>
      <c r="C801" s="10"/>
      <c r="D801" s="10"/>
      <c r="E801" s="10"/>
      <c r="F801" s="10"/>
      <c r="G801" s="69"/>
      <c r="H801" s="69"/>
      <c r="I801" s="69"/>
      <c r="J801" s="70"/>
      <c r="K801" s="69"/>
      <c r="L801" s="69"/>
      <c r="M801" s="69"/>
      <c r="N801" s="69"/>
      <c r="O801" s="69"/>
      <c r="P801" s="2"/>
      <c r="Q801" s="2"/>
      <c r="R801" s="32"/>
      <c r="S801" s="32"/>
      <c r="T801" s="32"/>
      <c r="U801" s="32"/>
      <c r="V801" s="2"/>
      <c r="W801" s="2"/>
      <c r="X801" s="2"/>
      <c r="Y801" s="2"/>
      <c r="Z801" s="2"/>
    </row>
    <row r="802" spans="1:26" ht="13.8" x14ac:dyDescent="0.3">
      <c r="A802" s="2"/>
      <c r="B802" s="2"/>
      <c r="C802" s="10"/>
      <c r="D802" s="10"/>
      <c r="E802" s="10"/>
      <c r="F802" s="10"/>
      <c r="G802" s="69"/>
      <c r="H802" s="69"/>
      <c r="I802" s="69"/>
      <c r="J802" s="70"/>
      <c r="K802" s="69"/>
      <c r="L802" s="69"/>
      <c r="M802" s="69"/>
      <c r="N802" s="69"/>
      <c r="O802" s="69"/>
      <c r="P802" s="2"/>
      <c r="Q802" s="2"/>
      <c r="R802" s="32"/>
      <c r="S802" s="32"/>
      <c r="T802" s="32"/>
      <c r="U802" s="32"/>
      <c r="V802" s="2"/>
      <c r="W802" s="2"/>
      <c r="X802" s="2"/>
      <c r="Y802" s="2"/>
      <c r="Z802" s="2"/>
    </row>
    <row r="803" spans="1:26" ht="13.8" x14ac:dyDescent="0.3">
      <c r="A803" s="2"/>
      <c r="B803" s="2"/>
      <c r="C803" s="10"/>
      <c r="D803" s="10"/>
      <c r="E803" s="10"/>
      <c r="F803" s="10"/>
      <c r="G803" s="69"/>
      <c r="H803" s="69"/>
      <c r="I803" s="69"/>
      <c r="J803" s="70"/>
      <c r="K803" s="69"/>
      <c r="L803" s="69"/>
      <c r="M803" s="69"/>
      <c r="N803" s="69"/>
      <c r="O803" s="69"/>
      <c r="P803" s="2"/>
      <c r="Q803" s="2"/>
      <c r="R803" s="32"/>
      <c r="S803" s="32"/>
      <c r="T803" s="32"/>
      <c r="U803" s="32"/>
      <c r="V803" s="2"/>
      <c r="W803" s="2"/>
      <c r="X803" s="2"/>
      <c r="Y803" s="2"/>
      <c r="Z803" s="2"/>
    </row>
    <row r="804" spans="1:26" ht="13.8" x14ac:dyDescent="0.3">
      <c r="A804" s="2"/>
      <c r="B804" s="2"/>
      <c r="C804" s="10"/>
      <c r="D804" s="10"/>
      <c r="E804" s="10"/>
      <c r="F804" s="10"/>
      <c r="G804" s="69"/>
      <c r="H804" s="69"/>
      <c r="I804" s="69"/>
      <c r="J804" s="70"/>
      <c r="K804" s="69"/>
      <c r="L804" s="69"/>
      <c r="M804" s="69"/>
      <c r="N804" s="69"/>
      <c r="O804" s="69"/>
      <c r="P804" s="2"/>
      <c r="Q804" s="2"/>
      <c r="R804" s="32"/>
      <c r="S804" s="32"/>
      <c r="T804" s="32"/>
      <c r="U804" s="32"/>
      <c r="V804" s="2"/>
      <c r="W804" s="2"/>
      <c r="X804" s="2"/>
      <c r="Y804" s="2"/>
      <c r="Z804" s="2"/>
    </row>
    <row r="805" spans="1:26" ht="13.8" x14ac:dyDescent="0.3">
      <c r="A805" s="2"/>
      <c r="B805" s="2"/>
      <c r="C805" s="10"/>
      <c r="D805" s="10"/>
      <c r="E805" s="10"/>
      <c r="F805" s="10"/>
      <c r="G805" s="69"/>
      <c r="H805" s="69"/>
      <c r="I805" s="69"/>
      <c r="J805" s="70"/>
      <c r="K805" s="69"/>
      <c r="L805" s="69"/>
      <c r="M805" s="69"/>
      <c r="N805" s="69"/>
      <c r="O805" s="69"/>
      <c r="P805" s="2"/>
      <c r="Q805" s="2"/>
      <c r="R805" s="32"/>
      <c r="S805" s="32"/>
      <c r="T805" s="32"/>
      <c r="U805" s="32"/>
      <c r="V805" s="2"/>
      <c r="W805" s="2"/>
      <c r="X805" s="2"/>
      <c r="Y805" s="2"/>
      <c r="Z805" s="2"/>
    </row>
    <row r="806" spans="1:26" ht="13.8" x14ac:dyDescent="0.3">
      <c r="A806" s="2"/>
      <c r="B806" s="2"/>
      <c r="C806" s="10"/>
      <c r="D806" s="10"/>
      <c r="E806" s="10"/>
      <c r="F806" s="10"/>
      <c r="G806" s="69"/>
      <c r="H806" s="69"/>
      <c r="I806" s="69"/>
      <c r="J806" s="70"/>
      <c r="K806" s="69"/>
      <c r="L806" s="69"/>
      <c r="M806" s="69"/>
      <c r="N806" s="69"/>
      <c r="O806" s="69"/>
      <c r="P806" s="2"/>
      <c r="Q806" s="2"/>
      <c r="R806" s="32"/>
      <c r="S806" s="32"/>
      <c r="T806" s="32"/>
      <c r="U806" s="32"/>
      <c r="V806" s="2"/>
      <c r="W806" s="2"/>
      <c r="X806" s="2"/>
      <c r="Y806" s="2"/>
      <c r="Z806" s="2"/>
    </row>
    <row r="807" spans="1:26" ht="13.8" x14ac:dyDescent="0.3">
      <c r="A807" s="2"/>
      <c r="B807" s="2"/>
      <c r="C807" s="10"/>
      <c r="D807" s="10"/>
      <c r="E807" s="10"/>
      <c r="F807" s="10"/>
      <c r="G807" s="69"/>
      <c r="H807" s="69"/>
      <c r="I807" s="69"/>
      <c r="J807" s="70"/>
      <c r="K807" s="69"/>
      <c r="L807" s="69"/>
      <c r="M807" s="69"/>
      <c r="N807" s="69"/>
      <c r="O807" s="69"/>
      <c r="P807" s="2"/>
      <c r="Q807" s="2"/>
      <c r="R807" s="32"/>
      <c r="S807" s="32"/>
      <c r="T807" s="32"/>
      <c r="U807" s="32"/>
      <c r="V807" s="2"/>
      <c r="W807" s="2"/>
      <c r="X807" s="2"/>
      <c r="Y807" s="2"/>
      <c r="Z807" s="2"/>
    </row>
    <row r="808" spans="1:26" ht="13.8" x14ac:dyDescent="0.3">
      <c r="A808" s="2"/>
      <c r="B808" s="2"/>
      <c r="C808" s="10"/>
      <c r="D808" s="10"/>
      <c r="E808" s="10"/>
      <c r="F808" s="10"/>
      <c r="G808" s="69"/>
      <c r="H808" s="69"/>
      <c r="I808" s="69"/>
      <c r="J808" s="70"/>
      <c r="K808" s="69"/>
      <c r="L808" s="69"/>
      <c r="M808" s="69"/>
      <c r="N808" s="69"/>
      <c r="O808" s="69"/>
      <c r="P808" s="2"/>
      <c r="Q808" s="2"/>
      <c r="R808" s="32"/>
      <c r="S808" s="32"/>
      <c r="T808" s="32"/>
      <c r="U808" s="32"/>
      <c r="V808" s="2"/>
      <c r="W808" s="2"/>
      <c r="X808" s="2"/>
      <c r="Y808" s="2"/>
      <c r="Z808" s="2"/>
    </row>
    <row r="809" spans="1:26" ht="13.8" x14ac:dyDescent="0.3">
      <c r="A809" s="2"/>
      <c r="B809" s="2"/>
      <c r="C809" s="10"/>
      <c r="D809" s="10"/>
      <c r="E809" s="10"/>
      <c r="F809" s="10"/>
      <c r="G809" s="69"/>
      <c r="H809" s="69"/>
      <c r="I809" s="69"/>
      <c r="J809" s="70"/>
      <c r="K809" s="69"/>
      <c r="L809" s="69"/>
      <c r="M809" s="69"/>
      <c r="N809" s="69"/>
      <c r="O809" s="69"/>
      <c r="P809" s="2"/>
      <c r="Q809" s="2"/>
      <c r="R809" s="32"/>
      <c r="S809" s="32"/>
      <c r="T809" s="32"/>
      <c r="U809" s="32"/>
      <c r="V809" s="2"/>
      <c r="W809" s="2"/>
      <c r="X809" s="2"/>
      <c r="Y809" s="2"/>
      <c r="Z809" s="2"/>
    </row>
    <row r="810" spans="1:26" ht="13.8" x14ac:dyDescent="0.3">
      <c r="A810" s="2"/>
      <c r="B810" s="2"/>
      <c r="C810" s="10"/>
      <c r="D810" s="10"/>
      <c r="E810" s="10"/>
      <c r="F810" s="10"/>
      <c r="G810" s="69"/>
      <c r="H810" s="69"/>
      <c r="I810" s="69"/>
      <c r="J810" s="70"/>
      <c r="K810" s="69"/>
      <c r="L810" s="69"/>
      <c r="M810" s="69"/>
      <c r="N810" s="69"/>
      <c r="O810" s="69"/>
      <c r="P810" s="2"/>
      <c r="Q810" s="2"/>
      <c r="R810" s="32"/>
      <c r="S810" s="32"/>
      <c r="T810" s="32"/>
      <c r="U810" s="32"/>
      <c r="V810" s="2"/>
      <c r="W810" s="2"/>
      <c r="X810" s="2"/>
      <c r="Y810" s="2"/>
      <c r="Z810" s="2"/>
    </row>
    <row r="811" spans="1:26" ht="13.8" x14ac:dyDescent="0.3">
      <c r="A811" s="2"/>
      <c r="B811" s="2"/>
      <c r="C811" s="10"/>
      <c r="D811" s="10"/>
      <c r="E811" s="10"/>
      <c r="F811" s="10"/>
      <c r="G811" s="69"/>
      <c r="H811" s="69"/>
      <c r="I811" s="69"/>
      <c r="J811" s="70"/>
      <c r="K811" s="69"/>
      <c r="L811" s="69"/>
      <c r="M811" s="69"/>
      <c r="N811" s="69"/>
      <c r="O811" s="69"/>
      <c r="P811" s="2"/>
      <c r="Q811" s="2"/>
      <c r="R811" s="32"/>
      <c r="S811" s="32"/>
      <c r="T811" s="32"/>
      <c r="U811" s="32"/>
      <c r="V811" s="2"/>
      <c r="W811" s="2"/>
      <c r="X811" s="2"/>
      <c r="Y811" s="2"/>
      <c r="Z811" s="2"/>
    </row>
    <row r="812" spans="1:26" ht="13.8" x14ac:dyDescent="0.3">
      <c r="A812" s="2"/>
      <c r="B812" s="2"/>
      <c r="C812" s="10"/>
      <c r="D812" s="10"/>
      <c r="E812" s="10"/>
      <c r="F812" s="10"/>
      <c r="G812" s="69"/>
      <c r="H812" s="69"/>
      <c r="I812" s="69"/>
      <c r="J812" s="70"/>
      <c r="K812" s="69"/>
      <c r="L812" s="69"/>
      <c r="M812" s="69"/>
      <c r="N812" s="69"/>
      <c r="O812" s="69"/>
      <c r="P812" s="2"/>
      <c r="Q812" s="2"/>
      <c r="R812" s="32"/>
      <c r="S812" s="32"/>
      <c r="T812" s="32"/>
      <c r="U812" s="32"/>
      <c r="V812" s="2"/>
      <c r="W812" s="2"/>
      <c r="X812" s="2"/>
      <c r="Y812" s="2"/>
      <c r="Z812" s="2"/>
    </row>
    <row r="813" spans="1:26" ht="13.8" x14ac:dyDescent="0.3">
      <c r="A813" s="2"/>
      <c r="B813" s="2"/>
      <c r="C813" s="10"/>
      <c r="D813" s="10"/>
      <c r="E813" s="10"/>
      <c r="F813" s="10"/>
      <c r="G813" s="69"/>
      <c r="H813" s="69"/>
      <c r="I813" s="69"/>
      <c r="J813" s="70"/>
      <c r="K813" s="69"/>
      <c r="L813" s="69"/>
      <c r="M813" s="69"/>
      <c r="N813" s="69"/>
      <c r="O813" s="69"/>
      <c r="P813" s="2"/>
      <c r="Q813" s="2"/>
      <c r="R813" s="32"/>
      <c r="S813" s="32"/>
      <c r="T813" s="32"/>
      <c r="U813" s="32"/>
      <c r="V813" s="2"/>
      <c r="W813" s="2"/>
      <c r="X813" s="2"/>
      <c r="Y813" s="2"/>
      <c r="Z813" s="2"/>
    </row>
    <row r="814" spans="1:26" ht="13.8" x14ac:dyDescent="0.3">
      <c r="A814" s="2"/>
      <c r="B814" s="2"/>
      <c r="C814" s="10"/>
      <c r="D814" s="10"/>
      <c r="E814" s="10"/>
      <c r="F814" s="10"/>
      <c r="G814" s="69"/>
      <c r="H814" s="69"/>
      <c r="I814" s="69"/>
      <c r="J814" s="70"/>
      <c r="K814" s="69"/>
      <c r="L814" s="69"/>
      <c r="M814" s="69"/>
      <c r="N814" s="69"/>
      <c r="O814" s="69"/>
      <c r="P814" s="2"/>
      <c r="Q814" s="2"/>
      <c r="R814" s="32"/>
      <c r="S814" s="32"/>
      <c r="T814" s="32"/>
      <c r="U814" s="32"/>
      <c r="V814" s="2"/>
      <c r="W814" s="2"/>
      <c r="X814" s="2"/>
      <c r="Y814" s="2"/>
      <c r="Z814" s="2"/>
    </row>
    <row r="815" spans="1:26" ht="13.8" x14ac:dyDescent="0.3">
      <c r="A815" s="2"/>
      <c r="B815" s="2"/>
      <c r="C815" s="10"/>
      <c r="D815" s="10"/>
      <c r="E815" s="10"/>
      <c r="F815" s="10"/>
      <c r="G815" s="69"/>
      <c r="H815" s="69"/>
      <c r="I815" s="69"/>
      <c r="J815" s="70"/>
      <c r="K815" s="69"/>
      <c r="L815" s="69"/>
      <c r="M815" s="69"/>
      <c r="N815" s="69"/>
      <c r="O815" s="69"/>
      <c r="P815" s="2"/>
      <c r="Q815" s="2"/>
      <c r="R815" s="32"/>
      <c r="S815" s="32"/>
      <c r="T815" s="32"/>
      <c r="U815" s="32"/>
      <c r="V815" s="2"/>
      <c r="W815" s="2"/>
      <c r="X815" s="2"/>
      <c r="Y815" s="2"/>
      <c r="Z815" s="2"/>
    </row>
    <row r="816" spans="1:26" ht="13.8" x14ac:dyDescent="0.3">
      <c r="A816" s="2"/>
      <c r="B816" s="2"/>
      <c r="C816" s="10"/>
      <c r="D816" s="10"/>
      <c r="E816" s="10"/>
      <c r="F816" s="10"/>
      <c r="G816" s="69"/>
      <c r="H816" s="69"/>
      <c r="I816" s="69"/>
      <c r="J816" s="70"/>
      <c r="K816" s="69"/>
      <c r="L816" s="69"/>
      <c r="M816" s="69"/>
      <c r="N816" s="69"/>
      <c r="O816" s="69"/>
      <c r="P816" s="2"/>
      <c r="Q816" s="2"/>
      <c r="R816" s="32"/>
      <c r="S816" s="32"/>
      <c r="T816" s="32"/>
      <c r="U816" s="32"/>
      <c r="V816" s="2"/>
      <c r="W816" s="2"/>
      <c r="X816" s="2"/>
      <c r="Y816" s="2"/>
      <c r="Z816" s="2"/>
    </row>
    <row r="817" spans="1:26" ht="13.8" x14ac:dyDescent="0.3">
      <c r="A817" s="2"/>
      <c r="B817" s="2"/>
      <c r="C817" s="10"/>
      <c r="D817" s="10"/>
      <c r="E817" s="10"/>
      <c r="F817" s="10"/>
      <c r="G817" s="69"/>
      <c r="H817" s="69"/>
      <c r="I817" s="69"/>
      <c r="J817" s="70"/>
      <c r="K817" s="69"/>
      <c r="L817" s="69"/>
      <c r="M817" s="69"/>
      <c r="N817" s="69"/>
      <c r="O817" s="69"/>
      <c r="P817" s="2"/>
      <c r="Q817" s="2"/>
      <c r="R817" s="32"/>
      <c r="S817" s="32"/>
      <c r="T817" s="32"/>
      <c r="U817" s="32"/>
      <c r="V817" s="2"/>
      <c r="W817" s="2"/>
      <c r="X817" s="2"/>
      <c r="Y817" s="2"/>
      <c r="Z817" s="2"/>
    </row>
    <row r="818" spans="1:26" ht="13.8" x14ac:dyDescent="0.3">
      <c r="A818" s="2"/>
      <c r="B818" s="2"/>
      <c r="C818" s="10"/>
      <c r="D818" s="10"/>
      <c r="E818" s="10"/>
      <c r="F818" s="10"/>
      <c r="G818" s="69"/>
      <c r="H818" s="69"/>
      <c r="I818" s="69"/>
      <c r="J818" s="70"/>
      <c r="K818" s="69"/>
      <c r="L818" s="69"/>
      <c r="M818" s="69"/>
      <c r="N818" s="69"/>
      <c r="O818" s="69"/>
      <c r="P818" s="2"/>
      <c r="Q818" s="2"/>
      <c r="R818" s="32"/>
      <c r="S818" s="32"/>
      <c r="T818" s="32"/>
      <c r="U818" s="32"/>
      <c r="V818" s="2"/>
      <c r="W818" s="2"/>
      <c r="X818" s="2"/>
      <c r="Y818" s="2"/>
      <c r="Z818" s="2"/>
    </row>
    <row r="819" spans="1:26" ht="13.8" x14ac:dyDescent="0.3">
      <c r="A819" s="2"/>
      <c r="B819" s="2"/>
      <c r="C819" s="10"/>
      <c r="D819" s="10"/>
      <c r="E819" s="10"/>
      <c r="F819" s="10"/>
      <c r="G819" s="69"/>
      <c r="H819" s="69"/>
      <c r="I819" s="69"/>
      <c r="J819" s="70"/>
      <c r="K819" s="69"/>
      <c r="L819" s="69"/>
      <c r="M819" s="69"/>
      <c r="N819" s="69"/>
      <c r="O819" s="69"/>
      <c r="P819" s="2"/>
      <c r="Q819" s="2"/>
      <c r="R819" s="32"/>
      <c r="S819" s="32"/>
      <c r="T819" s="32"/>
      <c r="U819" s="32"/>
      <c r="V819" s="2"/>
      <c r="W819" s="2"/>
      <c r="X819" s="2"/>
      <c r="Y819" s="2"/>
      <c r="Z819" s="2"/>
    </row>
    <row r="820" spans="1:26" ht="13.8" x14ac:dyDescent="0.3">
      <c r="A820" s="2"/>
      <c r="B820" s="2"/>
      <c r="C820" s="10"/>
      <c r="D820" s="10"/>
      <c r="E820" s="10"/>
      <c r="F820" s="10"/>
      <c r="G820" s="69"/>
      <c r="H820" s="69"/>
      <c r="I820" s="69"/>
      <c r="J820" s="70"/>
      <c r="K820" s="69"/>
      <c r="L820" s="69"/>
      <c r="M820" s="69"/>
      <c r="N820" s="69"/>
      <c r="O820" s="69"/>
      <c r="P820" s="2"/>
      <c r="Q820" s="2"/>
      <c r="R820" s="32"/>
      <c r="S820" s="32"/>
      <c r="T820" s="32"/>
      <c r="U820" s="32"/>
      <c r="V820" s="2"/>
      <c r="W820" s="2"/>
      <c r="X820" s="2"/>
      <c r="Y820" s="2"/>
      <c r="Z820" s="2"/>
    </row>
    <row r="821" spans="1:26" ht="13.8" x14ac:dyDescent="0.3">
      <c r="A821" s="2"/>
      <c r="B821" s="2"/>
      <c r="C821" s="10"/>
      <c r="D821" s="10"/>
      <c r="E821" s="10"/>
      <c r="F821" s="10"/>
      <c r="G821" s="69"/>
      <c r="H821" s="69"/>
      <c r="I821" s="69"/>
      <c r="J821" s="70"/>
      <c r="K821" s="69"/>
      <c r="L821" s="69"/>
      <c r="M821" s="69"/>
      <c r="N821" s="69"/>
      <c r="O821" s="69"/>
      <c r="P821" s="2"/>
      <c r="Q821" s="2"/>
      <c r="R821" s="32"/>
      <c r="S821" s="32"/>
      <c r="T821" s="32"/>
      <c r="U821" s="32"/>
      <c r="V821" s="2"/>
      <c r="W821" s="2"/>
      <c r="X821" s="2"/>
      <c r="Y821" s="2"/>
      <c r="Z821" s="2"/>
    </row>
    <row r="822" spans="1:26" ht="13.8" x14ac:dyDescent="0.3">
      <c r="A822" s="2"/>
      <c r="B822" s="2"/>
      <c r="C822" s="10"/>
      <c r="D822" s="10"/>
      <c r="E822" s="10"/>
      <c r="F822" s="10"/>
      <c r="G822" s="69"/>
      <c r="H822" s="69"/>
      <c r="I822" s="69"/>
      <c r="J822" s="70"/>
      <c r="K822" s="69"/>
      <c r="L822" s="69"/>
      <c r="M822" s="69"/>
      <c r="N822" s="69"/>
      <c r="O822" s="69"/>
      <c r="P822" s="2"/>
      <c r="Q822" s="2"/>
      <c r="R822" s="32"/>
      <c r="S822" s="32"/>
      <c r="T822" s="32"/>
      <c r="U822" s="32"/>
      <c r="V822" s="2"/>
      <c r="W822" s="2"/>
      <c r="X822" s="2"/>
      <c r="Y822" s="2"/>
      <c r="Z822" s="2"/>
    </row>
    <row r="823" spans="1:26" ht="13.8" x14ac:dyDescent="0.3">
      <c r="A823" s="2"/>
      <c r="B823" s="2"/>
      <c r="C823" s="10"/>
      <c r="D823" s="10"/>
      <c r="E823" s="10"/>
      <c r="F823" s="10"/>
      <c r="G823" s="69"/>
      <c r="H823" s="69"/>
      <c r="I823" s="69"/>
      <c r="J823" s="70"/>
      <c r="K823" s="69"/>
      <c r="L823" s="69"/>
      <c r="M823" s="69"/>
      <c r="N823" s="69"/>
      <c r="O823" s="69"/>
      <c r="P823" s="2"/>
      <c r="Q823" s="2"/>
      <c r="R823" s="32"/>
      <c r="S823" s="32"/>
      <c r="T823" s="32"/>
      <c r="U823" s="32"/>
      <c r="V823" s="2"/>
      <c r="W823" s="2"/>
      <c r="X823" s="2"/>
      <c r="Y823" s="2"/>
      <c r="Z823" s="2"/>
    </row>
    <row r="824" spans="1:26" ht="13.8" x14ac:dyDescent="0.3">
      <c r="A824" s="2"/>
      <c r="B824" s="2"/>
      <c r="C824" s="10"/>
      <c r="D824" s="10"/>
      <c r="E824" s="10"/>
      <c r="F824" s="10"/>
      <c r="G824" s="69"/>
      <c r="H824" s="69"/>
      <c r="I824" s="69"/>
      <c r="J824" s="70"/>
      <c r="K824" s="69"/>
      <c r="L824" s="69"/>
      <c r="M824" s="69"/>
      <c r="N824" s="69"/>
      <c r="O824" s="69"/>
      <c r="P824" s="2"/>
      <c r="Q824" s="2"/>
      <c r="R824" s="32"/>
      <c r="S824" s="32"/>
      <c r="T824" s="32"/>
      <c r="U824" s="32"/>
      <c r="V824" s="2"/>
      <c r="W824" s="2"/>
      <c r="X824" s="2"/>
      <c r="Y824" s="2"/>
      <c r="Z824" s="2"/>
    </row>
    <row r="825" spans="1:26" ht="13.8" x14ac:dyDescent="0.3">
      <c r="A825" s="2"/>
      <c r="B825" s="2"/>
      <c r="C825" s="10"/>
      <c r="D825" s="10"/>
      <c r="E825" s="10"/>
      <c r="F825" s="10"/>
      <c r="G825" s="69"/>
      <c r="H825" s="69"/>
      <c r="I825" s="69"/>
      <c r="J825" s="70"/>
      <c r="K825" s="69"/>
      <c r="L825" s="69"/>
      <c r="M825" s="69"/>
      <c r="N825" s="69"/>
      <c r="O825" s="69"/>
      <c r="P825" s="2"/>
      <c r="Q825" s="2"/>
      <c r="R825" s="32"/>
      <c r="S825" s="32"/>
      <c r="T825" s="32"/>
      <c r="U825" s="32"/>
      <c r="V825" s="2"/>
      <c r="W825" s="2"/>
      <c r="X825" s="2"/>
      <c r="Y825" s="2"/>
      <c r="Z825" s="2"/>
    </row>
    <row r="826" spans="1:26" ht="13.8" x14ac:dyDescent="0.3">
      <c r="A826" s="2"/>
      <c r="B826" s="2"/>
      <c r="C826" s="10"/>
      <c r="D826" s="10"/>
      <c r="E826" s="10"/>
      <c r="F826" s="10"/>
      <c r="G826" s="69"/>
      <c r="H826" s="69"/>
      <c r="I826" s="69"/>
      <c r="J826" s="70"/>
      <c r="K826" s="69"/>
      <c r="L826" s="69"/>
      <c r="M826" s="69"/>
      <c r="N826" s="69"/>
      <c r="O826" s="69"/>
      <c r="P826" s="2"/>
      <c r="Q826" s="2"/>
      <c r="R826" s="32"/>
      <c r="S826" s="32"/>
      <c r="T826" s="32"/>
      <c r="U826" s="32"/>
      <c r="V826" s="2"/>
      <c r="W826" s="2"/>
      <c r="X826" s="2"/>
      <c r="Y826" s="2"/>
      <c r="Z826" s="2"/>
    </row>
    <row r="827" spans="1:26" ht="13.8" x14ac:dyDescent="0.3">
      <c r="A827" s="2"/>
      <c r="B827" s="2"/>
      <c r="C827" s="10"/>
      <c r="D827" s="10"/>
      <c r="E827" s="10"/>
      <c r="F827" s="10"/>
      <c r="G827" s="69"/>
      <c r="H827" s="69"/>
      <c r="I827" s="69"/>
      <c r="J827" s="70"/>
      <c r="K827" s="69"/>
      <c r="L827" s="69"/>
      <c r="M827" s="69"/>
      <c r="N827" s="69"/>
      <c r="O827" s="69"/>
      <c r="P827" s="2"/>
      <c r="Q827" s="2"/>
      <c r="R827" s="32"/>
      <c r="S827" s="32"/>
      <c r="T827" s="32"/>
      <c r="U827" s="32"/>
      <c r="V827" s="2"/>
      <c r="W827" s="2"/>
      <c r="X827" s="2"/>
      <c r="Y827" s="2"/>
      <c r="Z827" s="2"/>
    </row>
    <row r="828" spans="1:26" ht="13.8" x14ac:dyDescent="0.3">
      <c r="A828" s="2"/>
      <c r="B828" s="2"/>
      <c r="C828" s="10"/>
      <c r="D828" s="10"/>
      <c r="E828" s="10"/>
      <c r="F828" s="10"/>
      <c r="G828" s="69"/>
      <c r="H828" s="69"/>
      <c r="I828" s="69"/>
      <c r="J828" s="70"/>
      <c r="K828" s="69"/>
      <c r="L828" s="69"/>
      <c r="M828" s="69"/>
      <c r="N828" s="69"/>
      <c r="O828" s="69"/>
      <c r="P828" s="2"/>
      <c r="Q828" s="2"/>
      <c r="R828" s="32"/>
      <c r="S828" s="32"/>
      <c r="T828" s="32"/>
      <c r="U828" s="32"/>
      <c r="V828" s="2"/>
      <c r="W828" s="2"/>
      <c r="X828" s="2"/>
      <c r="Y828" s="2"/>
      <c r="Z828" s="2"/>
    </row>
    <row r="829" spans="1:26" ht="13.8" x14ac:dyDescent="0.3">
      <c r="A829" s="2"/>
      <c r="B829" s="2"/>
      <c r="C829" s="10"/>
      <c r="D829" s="10"/>
      <c r="E829" s="10"/>
      <c r="F829" s="10"/>
      <c r="G829" s="69"/>
      <c r="H829" s="69"/>
      <c r="I829" s="69"/>
      <c r="J829" s="70"/>
      <c r="K829" s="69"/>
      <c r="L829" s="69"/>
      <c r="M829" s="69"/>
      <c r="N829" s="69"/>
      <c r="O829" s="69"/>
      <c r="P829" s="2"/>
      <c r="Q829" s="2"/>
      <c r="R829" s="32"/>
      <c r="S829" s="32"/>
      <c r="T829" s="32"/>
      <c r="U829" s="32"/>
      <c r="V829" s="2"/>
      <c r="W829" s="2"/>
      <c r="X829" s="2"/>
      <c r="Y829" s="2"/>
      <c r="Z829" s="2"/>
    </row>
    <row r="830" spans="1:26" ht="13.8" x14ac:dyDescent="0.3">
      <c r="A830" s="2"/>
      <c r="B830" s="2"/>
      <c r="C830" s="10"/>
      <c r="D830" s="10"/>
      <c r="E830" s="10"/>
      <c r="F830" s="10"/>
      <c r="G830" s="69"/>
      <c r="H830" s="69"/>
      <c r="I830" s="69"/>
      <c r="J830" s="70"/>
      <c r="K830" s="69"/>
      <c r="L830" s="69"/>
      <c r="M830" s="69"/>
      <c r="N830" s="69"/>
      <c r="O830" s="69"/>
      <c r="P830" s="2"/>
      <c r="Q830" s="2"/>
      <c r="R830" s="32"/>
      <c r="S830" s="32"/>
      <c r="T830" s="32"/>
      <c r="U830" s="32"/>
      <c r="V830" s="2"/>
      <c r="W830" s="2"/>
      <c r="X830" s="2"/>
      <c r="Y830" s="2"/>
      <c r="Z830" s="2"/>
    </row>
    <row r="831" spans="1:26" ht="13.8" x14ac:dyDescent="0.3">
      <c r="A831" s="2"/>
      <c r="B831" s="2"/>
      <c r="C831" s="10"/>
      <c r="D831" s="10"/>
      <c r="E831" s="10"/>
      <c r="F831" s="10"/>
      <c r="G831" s="69"/>
      <c r="H831" s="69"/>
      <c r="I831" s="69"/>
      <c r="J831" s="70"/>
      <c r="K831" s="69"/>
      <c r="L831" s="69"/>
      <c r="M831" s="69"/>
      <c r="N831" s="69"/>
      <c r="O831" s="69"/>
      <c r="P831" s="2"/>
      <c r="Q831" s="2"/>
      <c r="R831" s="32"/>
      <c r="S831" s="32"/>
      <c r="T831" s="32"/>
      <c r="U831" s="32"/>
      <c r="V831" s="2"/>
      <c r="W831" s="2"/>
      <c r="X831" s="2"/>
      <c r="Y831" s="2"/>
      <c r="Z831" s="2"/>
    </row>
    <row r="832" spans="1:26" ht="13.8" x14ac:dyDescent="0.3">
      <c r="A832" s="2"/>
      <c r="B832" s="2"/>
      <c r="C832" s="10"/>
      <c r="D832" s="10"/>
      <c r="E832" s="10"/>
      <c r="F832" s="10"/>
      <c r="G832" s="69"/>
      <c r="H832" s="69"/>
      <c r="I832" s="69"/>
      <c r="J832" s="70"/>
      <c r="K832" s="69"/>
      <c r="L832" s="69"/>
      <c r="M832" s="69"/>
      <c r="N832" s="69"/>
      <c r="O832" s="69"/>
      <c r="P832" s="2"/>
      <c r="Q832" s="2"/>
      <c r="R832" s="32"/>
      <c r="S832" s="32"/>
      <c r="T832" s="32"/>
      <c r="U832" s="32"/>
      <c r="V832" s="2"/>
      <c r="W832" s="2"/>
      <c r="X832" s="2"/>
      <c r="Y832" s="2"/>
      <c r="Z832" s="2"/>
    </row>
    <row r="833" spans="1:26" ht="13.8" x14ac:dyDescent="0.3">
      <c r="A833" s="2"/>
      <c r="B833" s="2"/>
      <c r="C833" s="10"/>
      <c r="D833" s="10"/>
      <c r="E833" s="10"/>
      <c r="F833" s="10"/>
      <c r="G833" s="69"/>
      <c r="H833" s="69"/>
      <c r="I833" s="69"/>
      <c r="J833" s="70"/>
      <c r="K833" s="69"/>
      <c r="L833" s="69"/>
      <c r="M833" s="69"/>
      <c r="N833" s="69"/>
      <c r="O833" s="69"/>
      <c r="P833" s="2"/>
      <c r="Q833" s="2"/>
      <c r="R833" s="32"/>
      <c r="S833" s="32"/>
      <c r="T833" s="32"/>
      <c r="U833" s="32"/>
      <c r="V833" s="2"/>
      <c r="W833" s="2"/>
      <c r="X833" s="2"/>
      <c r="Y833" s="2"/>
      <c r="Z833" s="2"/>
    </row>
    <row r="834" spans="1:26" ht="13.8" x14ac:dyDescent="0.3">
      <c r="A834" s="2"/>
      <c r="B834" s="2"/>
      <c r="C834" s="10"/>
      <c r="D834" s="10"/>
      <c r="E834" s="10"/>
      <c r="F834" s="10"/>
      <c r="G834" s="69"/>
      <c r="H834" s="69"/>
      <c r="I834" s="69"/>
      <c r="J834" s="70"/>
      <c r="K834" s="69"/>
      <c r="L834" s="69"/>
      <c r="M834" s="69"/>
      <c r="N834" s="69"/>
      <c r="O834" s="69"/>
      <c r="P834" s="2"/>
      <c r="Q834" s="2"/>
      <c r="R834" s="32"/>
      <c r="S834" s="32"/>
      <c r="T834" s="32"/>
      <c r="U834" s="32"/>
      <c r="V834" s="2"/>
      <c r="W834" s="2"/>
      <c r="X834" s="2"/>
      <c r="Y834" s="2"/>
      <c r="Z834" s="2"/>
    </row>
    <row r="835" spans="1:26" ht="13.8" x14ac:dyDescent="0.3">
      <c r="A835" s="2"/>
      <c r="B835" s="2"/>
      <c r="C835" s="10"/>
      <c r="D835" s="10"/>
      <c r="E835" s="10"/>
      <c r="F835" s="10"/>
      <c r="G835" s="69"/>
      <c r="H835" s="69"/>
      <c r="I835" s="69"/>
      <c r="J835" s="70"/>
      <c r="K835" s="69"/>
      <c r="L835" s="69"/>
      <c r="M835" s="69"/>
      <c r="N835" s="69"/>
      <c r="O835" s="69"/>
      <c r="P835" s="2"/>
      <c r="Q835" s="2"/>
      <c r="R835" s="32"/>
      <c r="S835" s="32"/>
      <c r="T835" s="32"/>
      <c r="U835" s="32"/>
      <c r="V835" s="2"/>
      <c r="W835" s="2"/>
      <c r="X835" s="2"/>
      <c r="Y835" s="2"/>
      <c r="Z835" s="2"/>
    </row>
    <row r="836" spans="1:26" ht="13.8" x14ac:dyDescent="0.3">
      <c r="A836" s="2"/>
      <c r="B836" s="2"/>
      <c r="C836" s="10"/>
      <c r="D836" s="10"/>
      <c r="E836" s="10"/>
      <c r="F836" s="10"/>
      <c r="G836" s="69"/>
      <c r="H836" s="69"/>
      <c r="I836" s="69"/>
      <c r="J836" s="70"/>
      <c r="K836" s="69"/>
      <c r="L836" s="69"/>
      <c r="M836" s="69"/>
      <c r="N836" s="69"/>
      <c r="O836" s="69"/>
      <c r="P836" s="2"/>
      <c r="Q836" s="2"/>
      <c r="R836" s="32"/>
      <c r="S836" s="32"/>
      <c r="T836" s="32"/>
      <c r="U836" s="32"/>
      <c r="V836" s="2"/>
      <c r="W836" s="2"/>
      <c r="X836" s="2"/>
      <c r="Y836" s="2"/>
      <c r="Z836" s="2"/>
    </row>
    <row r="837" spans="1:26" ht="13.8" x14ac:dyDescent="0.3">
      <c r="A837" s="2"/>
      <c r="B837" s="2"/>
      <c r="C837" s="10"/>
      <c r="D837" s="10"/>
      <c r="E837" s="10"/>
      <c r="F837" s="10"/>
      <c r="G837" s="69"/>
      <c r="H837" s="69"/>
      <c r="I837" s="69"/>
      <c r="J837" s="70"/>
      <c r="K837" s="69"/>
      <c r="L837" s="69"/>
      <c r="M837" s="69"/>
      <c r="N837" s="69"/>
      <c r="O837" s="69"/>
      <c r="P837" s="2"/>
      <c r="Q837" s="2"/>
      <c r="R837" s="32"/>
      <c r="S837" s="32"/>
      <c r="T837" s="32"/>
      <c r="U837" s="32"/>
      <c r="V837" s="2"/>
      <c r="W837" s="2"/>
      <c r="X837" s="2"/>
      <c r="Y837" s="2"/>
      <c r="Z837" s="2"/>
    </row>
    <row r="838" spans="1:26" ht="13.8" x14ac:dyDescent="0.3">
      <c r="A838" s="2"/>
      <c r="B838" s="2"/>
      <c r="C838" s="10"/>
      <c r="D838" s="10"/>
      <c r="E838" s="10"/>
      <c r="F838" s="10"/>
      <c r="G838" s="69"/>
      <c r="H838" s="69"/>
      <c r="I838" s="69"/>
      <c r="J838" s="70"/>
      <c r="K838" s="69"/>
      <c r="L838" s="69"/>
      <c r="M838" s="69"/>
      <c r="N838" s="69"/>
      <c r="O838" s="69"/>
      <c r="P838" s="2"/>
      <c r="Q838" s="2"/>
      <c r="R838" s="32"/>
      <c r="S838" s="32"/>
      <c r="T838" s="32"/>
      <c r="U838" s="32"/>
      <c r="V838" s="2"/>
      <c r="W838" s="2"/>
      <c r="X838" s="2"/>
      <c r="Y838" s="2"/>
      <c r="Z838" s="2"/>
    </row>
    <row r="839" spans="1:26" ht="13.8" x14ac:dyDescent="0.3">
      <c r="A839" s="2"/>
      <c r="B839" s="2"/>
      <c r="C839" s="10"/>
      <c r="D839" s="10"/>
      <c r="E839" s="10"/>
      <c r="F839" s="10"/>
      <c r="G839" s="69"/>
      <c r="H839" s="69"/>
      <c r="I839" s="69"/>
      <c r="J839" s="70"/>
      <c r="K839" s="69"/>
      <c r="L839" s="69"/>
      <c r="M839" s="69"/>
      <c r="N839" s="69"/>
      <c r="O839" s="69"/>
      <c r="P839" s="2"/>
      <c r="Q839" s="2"/>
      <c r="R839" s="32"/>
      <c r="S839" s="32"/>
      <c r="T839" s="32"/>
      <c r="U839" s="32"/>
      <c r="V839" s="2"/>
      <c r="W839" s="2"/>
      <c r="X839" s="2"/>
      <c r="Y839" s="2"/>
      <c r="Z839" s="2"/>
    </row>
    <row r="840" spans="1:26" ht="13.8" x14ac:dyDescent="0.3">
      <c r="A840" s="2"/>
      <c r="B840" s="2"/>
      <c r="C840" s="10"/>
      <c r="D840" s="10"/>
      <c r="E840" s="10"/>
      <c r="F840" s="10"/>
      <c r="G840" s="69"/>
      <c r="H840" s="69"/>
      <c r="I840" s="69"/>
      <c r="J840" s="70"/>
      <c r="K840" s="69"/>
      <c r="L840" s="69"/>
      <c r="M840" s="69"/>
      <c r="N840" s="69"/>
      <c r="O840" s="69"/>
      <c r="P840" s="2"/>
      <c r="Q840" s="2"/>
      <c r="R840" s="32"/>
      <c r="S840" s="32"/>
      <c r="T840" s="32"/>
      <c r="U840" s="32"/>
      <c r="V840" s="2"/>
      <c r="W840" s="2"/>
      <c r="X840" s="2"/>
      <c r="Y840" s="2"/>
      <c r="Z840" s="2"/>
    </row>
    <row r="841" spans="1:26" ht="13.8" x14ac:dyDescent="0.3">
      <c r="A841" s="2"/>
      <c r="B841" s="2"/>
      <c r="C841" s="10"/>
      <c r="D841" s="10"/>
      <c r="E841" s="10"/>
      <c r="F841" s="10"/>
      <c r="G841" s="69"/>
      <c r="H841" s="69"/>
      <c r="I841" s="69"/>
      <c r="J841" s="70"/>
      <c r="K841" s="69"/>
      <c r="L841" s="69"/>
      <c r="M841" s="69"/>
      <c r="N841" s="69"/>
      <c r="O841" s="69"/>
      <c r="P841" s="2"/>
      <c r="Q841" s="2"/>
      <c r="R841" s="32"/>
      <c r="S841" s="32"/>
      <c r="T841" s="32"/>
      <c r="U841" s="32"/>
      <c r="V841" s="2"/>
      <c r="W841" s="2"/>
      <c r="X841" s="2"/>
      <c r="Y841" s="2"/>
      <c r="Z841" s="2"/>
    </row>
    <row r="842" spans="1:26" ht="13.8" x14ac:dyDescent="0.3">
      <c r="A842" s="2"/>
      <c r="B842" s="2"/>
      <c r="C842" s="10"/>
      <c r="D842" s="10"/>
      <c r="E842" s="10"/>
      <c r="F842" s="10"/>
      <c r="G842" s="69"/>
      <c r="H842" s="69"/>
      <c r="I842" s="69"/>
      <c r="J842" s="70"/>
      <c r="K842" s="69"/>
      <c r="L842" s="69"/>
      <c r="M842" s="69"/>
      <c r="N842" s="69"/>
      <c r="O842" s="69"/>
      <c r="P842" s="2"/>
      <c r="Q842" s="2"/>
      <c r="R842" s="32"/>
      <c r="S842" s="32"/>
      <c r="T842" s="32"/>
      <c r="U842" s="32"/>
      <c r="V842" s="2"/>
      <c r="W842" s="2"/>
      <c r="X842" s="2"/>
      <c r="Y842" s="2"/>
      <c r="Z842" s="2"/>
    </row>
    <row r="843" spans="1:26" ht="13.8" x14ac:dyDescent="0.3">
      <c r="A843" s="2"/>
      <c r="B843" s="2"/>
      <c r="C843" s="10"/>
      <c r="D843" s="10"/>
      <c r="E843" s="10"/>
      <c r="F843" s="10"/>
      <c r="G843" s="69"/>
      <c r="H843" s="69"/>
      <c r="I843" s="69"/>
      <c r="J843" s="70"/>
      <c r="K843" s="69"/>
      <c r="L843" s="69"/>
      <c r="M843" s="69"/>
      <c r="N843" s="69"/>
      <c r="O843" s="69"/>
      <c r="P843" s="2"/>
      <c r="Q843" s="2"/>
      <c r="R843" s="32"/>
      <c r="S843" s="32"/>
      <c r="T843" s="32"/>
      <c r="U843" s="32"/>
      <c r="V843" s="2"/>
      <c r="W843" s="2"/>
      <c r="X843" s="2"/>
      <c r="Y843" s="2"/>
      <c r="Z843" s="2"/>
    </row>
    <row r="844" spans="1:26" ht="13.8" x14ac:dyDescent="0.3">
      <c r="A844" s="2"/>
      <c r="B844" s="2"/>
      <c r="C844" s="10"/>
      <c r="D844" s="10"/>
      <c r="E844" s="10"/>
      <c r="F844" s="10"/>
      <c r="G844" s="69"/>
      <c r="H844" s="69"/>
      <c r="I844" s="69"/>
      <c r="J844" s="70"/>
      <c r="K844" s="69"/>
      <c r="L844" s="69"/>
      <c r="M844" s="69"/>
      <c r="N844" s="69"/>
      <c r="O844" s="69"/>
      <c r="P844" s="2"/>
      <c r="Q844" s="2"/>
      <c r="R844" s="32"/>
      <c r="S844" s="32"/>
      <c r="T844" s="32"/>
      <c r="U844" s="32"/>
      <c r="V844" s="2"/>
      <c r="W844" s="2"/>
      <c r="X844" s="2"/>
      <c r="Y844" s="2"/>
      <c r="Z844" s="2"/>
    </row>
    <row r="845" spans="1:26" ht="13.8" x14ac:dyDescent="0.3">
      <c r="A845" s="2"/>
      <c r="B845" s="2"/>
      <c r="C845" s="10"/>
      <c r="D845" s="10"/>
      <c r="E845" s="10"/>
      <c r="F845" s="10"/>
      <c r="G845" s="69"/>
      <c r="H845" s="69"/>
      <c r="I845" s="69"/>
      <c r="J845" s="70"/>
      <c r="K845" s="69"/>
      <c r="L845" s="69"/>
      <c r="M845" s="69"/>
      <c r="N845" s="69"/>
      <c r="O845" s="69"/>
      <c r="P845" s="2"/>
      <c r="Q845" s="2"/>
      <c r="R845" s="32"/>
      <c r="S845" s="32"/>
      <c r="T845" s="32"/>
      <c r="U845" s="32"/>
      <c r="V845" s="2"/>
      <c r="W845" s="2"/>
      <c r="X845" s="2"/>
      <c r="Y845" s="2"/>
      <c r="Z845" s="2"/>
    </row>
    <row r="846" spans="1:26" ht="13.8" x14ac:dyDescent="0.3">
      <c r="A846" s="2"/>
      <c r="B846" s="2"/>
      <c r="C846" s="10"/>
      <c r="D846" s="10"/>
      <c r="E846" s="10"/>
      <c r="F846" s="10"/>
      <c r="G846" s="69"/>
      <c r="H846" s="69"/>
      <c r="I846" s="69"/>
      <c r="J846" s="70"/>
      <c r="K846" s="69"/>
      <c r="L846" s="69"/>
      <c r="M846" s="69"/>
      <c r="N846" s="69"/>
      <c r="O846" s="69"/>
      <c r="P846" s="2"/>
      <c r="Q846" s="2"/>
      <c r="R846" s="32"/>
      <c r="S846" s="32"/>
      <c r="T846" s="32"/>
      <c r="U846" s="32"/>
      <c r="V846" s="2"/>
      <c r="W846" s="2"/>
      <c r="X846" s="2"/>
      <c r="Y846" s="2"/>
      <c r="Z846" s="2"/>
    </row>
    <row r="847" spans="1:26" ht="13.8" x14ac:dyDescent="0.3">
      <c r="A847" s="2"/>
      <c r="B847" s="2"/>
      <c r="C847" s="10"/>
      <c r="D847" s="10"/>
      <c r="E847" s="10"/>
      <c r="F847" s="10"/>
      <c r="G847" s="69"/>
      <c r="H847" s="69"/>
      <c r="I847" s="69"/>
      <c r="J847" s="70"/>
      <c r="K847" s="69"/>
      <c r="L847" s="69"/>
      <c r="M847" s="69"/>
      <c r="N847" s="69"/>
      <c r="O847" s="69"/>
      <c r="P847" s="2"/>
      <c r="Q847" s="2"/>
      <c r="R847" s="32"/>
      <c r="S847" s="32"/>
      <c r="T847" s="32"/>
      <c r="U847" s="32"/>
      <c r="V847" s="2"/>
      <c r="W847" s="2"/>
      <c r="X847" s="2"/>
      <c r="Y847" s="2"/>
      <c r="Z847" s="2"/>
    </row>
    <row r="848" spans="1:26" ht="13.8" x14ac:dyDescent="0.3">
      <c r="A848" s="2"/>
      <c r="B848" s="2"/>
      <c r="C848" s="10"/>
      <c r="D848" s="10"/>
      <c r="E848" s="10"/>
      <c r="F848" s="10"/>
      <c r="G848" s="69"/>
      <c r="H848" s="69"/>
      <c r="I848" s="69"/>
      <c r="J848" s="70"/>
      <c r="K848" s="69"/>
      <c r="L848" s="69"/>
      <c r="M848" s="69"/>
      <c r="N848" s="69"/>
      <c r="O848" s="69"/>
      <c r="P848" s="2"/>
      <c r="Q848" s="2"/>
      <c r="R848" s="32"/>
      <c r="S848" s="32"/>
      <c r="T848" s="32"/>
      <c r="U848" s="32"/>
      <c r="V848" s="2"/>
      <c r="W848" s="2"/>
      <c r="X848" s="2"/>
      <c r="Y848" s="2"/>
      <c r="Z848" s="2"/>
    </row>
    <row r="849" spans="1:26" ht="13.8" x14ac:dyDescent="0.3">
      <c r="A849" s="2"/>
      <c r="B849" s="2"/>
      <c r="C849" s="10"/>
      <c r="D849" s="10"/>
      <c r="E849" s="10"/>
      <c r="F849" s="10"/>
      <c r="G849" s="69"/>
      <c r="H849" s="69"/>
      <c r="I849" s="69"/>
      <c r="J849" s="70"/>
      <c r="K849" s="69"/>
      <c r="L849" s="69"/>
      <c r="M849" s="69"/>
      <c r="N849" s="69"/>
      <c r="O849" s="69"/>
      <c r="P849" s="2"/>
      <c r="Q849" s="2"/>
      <c r="R849" s="32"/>
      <c r="S849" s="32"/>
      <c r="T849" s="32"/>
      <c r="U849" s="32"/>
      <c r="V849" s="2"/>
      <c r="W849" s="2"/>
      <c r="X849" s="2"/>
      <c r="Y849" s="2"/>
      <c r="Z849" s="2"/>
    </row>
    <row r="850" spans="1:26" ht="13.8" x14ac:dyDescent="0.3">
      <c r="A850" s="2"/>
      <c r="B850" s="2"/>
      <c r="C850" s="10"/>
      <c r="D850" s="10"/>
      <c r="E850" s="10"/>
      <c r="F850" s="10"/>
      <c r="G850" s="69"/>
      <c r="H850" s="69"/>
      <c r="I850" s="69"/>
      <c r="J850" s="70"/>
      <c r="K850" s="69"/>
      <c r="L850" s="69"/>
      <c r="M850" s="69"/>
      <c r="N850" s="69"/>
      <c r="O850" s="69"/>
      <c r="P850" s="2"/>
      <c r="Q850" s="2"/>
      <c r="R850" s="32"/>
      <c r="S850" s="32"/>
      <c r="T850" s="32"/>
      <c r="U850" s="32"/>
      <c r="V850" s="2"/>
      <c r="W850" s="2"/>
      <c r="X850" s="2"/>
      <c r="Y850" s="2"/>
      <c r="Z850" s="2"/>
    </row>
    <row r="851" spans="1:26" ht="13.8" x14ac:dyDescent="0.3">
      <c r="A851" s="2"/>
      <c r="B851" s="2"/>
      <c r="C851" s="10"/>
      <c r="D851" s="10"/>
      <c r="E851" s="10"/>
      <c r="F851" s="10"/>
      <c r="G851" s="69"/>
      <c r="H851" s="69"/>
      <c r="I851" s="69"/>
      <c r="J851" s="70"/>
      <c r="K851" s="69"/>
      <c r="L851" s="69"/>
      <c r="M851" s="69"/>
      <c r="N851" s="69"/>
      <c r="O851" s="69"/>
      <c r="P851" s="2"/>
      <c r="Q851" s="2"/>
      <c r="R851" s="32"/>
      <c r="S851" s="32"/>
      <c r="T851" s="32"/>
      <c r="U851" s="32"/>
      <c r="V851" s="2"/>
      <c r="W851" s="2"/>
      <c r="X851" s="2"/>
      <c r="Y851" s="2"/>
      <c r="Z851" s="2"/>
    </row>
    <row r="852" spans="1:26" ht="13.8" x14ac:dyDescent="0.3">
      <c r="A852" s="2"/>
      <c r="B852" s="2"/>
      <c r="C852" s="10"/>
      <c r="D852" s="10"/>
      <c r="E852" s="10"/>
      <c r="F852" s="10"/>
      <c r="G852" s="69"/>
      <c r="H852" s="69"/>
      <c r="I852" s="69"/>
      <c r="J852" s="70"/>
      <c r="K852" s="69"/>
      <c r="L852" s="69"/>
      <c r="M852" s="69"/>
      <c r="N852" s="69"/>
      <c r="O852" s="69"/>
      <c r="P852" s="2"/>
      <c r="Q852" s="2"/>
      <c r="R852" s="32"/>
      <c r="S852" s="32"/>
      <c r="T852" s="32"/>
      <c r="U852" s="32"/>
      <c r="V852" s="2"/>
      <c r="W852" s="2"/>
      <c r="X852" s="2"/>
      <c r="Y852" s="2"/>
      <c r="Z852" s="2"/>
    </row>
    <row r="853" spans="1:26" ht="13.8" x14ac:dyDescent="0.3">
      <c r="A853" s="2"/>
      <c r="B853" s="2"/>
      <c r="C853" s="10"/>
      <c r="D853" s="10"/>
      <c r="E853" s="10"/>
      <c r="F853" s="10"/>
      <c r="G853" s="69"/>
      <c r="H853" s="69"/>
      <c r="I853" s="69"/>
      <c r="J853" s="70"/>
      <c r="K853" s="69"/>
      <c r="L853" s="69"/>
      <c r="M853" s="69"/>
      <c r="N853" s="69"/>
      <c r="O853" s="69"/>
      <c r="P853" s="2"/>
      <c r="Q853" s="2"/>
      <c r="R853" s="32"/>
      <c r="S853" s="32"/>
      <c r="T853" s="32"/>
      <c r="U853" s="32"/>
      <c r="V853" s="2"/>
      <c r="W853" s="2"/>
      <c r="X853" s="2"/>
      <c r="Y853" s="2"/>
      <c r="Z853" s="2"/>
    </row>
    <row r="854" spans="1:26" ht="13.8" x14ac:dyDescent="0.3">
      <c r="A854" s="2"/>
      <c r="B854" s="2"/>
      <c r="C854" s="10"/>
      <c r="D854" s="10"/>
      <c r="E854" s="10"/>
      <c r="F854" s="10"/>
      <c r="G854" s="69"/>
      <c r="H854" s="69"/>
      <c r="I854" s="69"/>
      <c r="J854" s="70"/>
      <c r="K854" s="69"/>
      <c r="L854" s="69"/>
      <c r="M854" s="69"/>
      <c r="N854" s="69"/>
      <c r="O854" s="69"/>
      <c r="P854" s="2"/>
      <c r="Q854" s="2"/>
      <c r="R854" s="32"/>
      <c r="S854" s="32"/>
      <c r="T854" s="32"/>
      <c r="U854" s="32"/>
      <c r="V854" s="2"/>
      <c r="W854" s="2"/>
      <c r="X854" s="2"/>
      <c r="Y854" s="2"/>
      <c r="Z854" s="2"/>
    </row>
    <row r="855" spans="1:26" ht="13.8" x14ac:dyDescent="0.3">
      <c r="A855" s="2"/>
      <c r="B855" s="2"/>
      <c r="C855" s="10"/>
      <c r="D855" s="10"/>
      <c r="E855" s="10"/>
      <c r="F855" s="10"/>
      <c r="G855" s="69"/>
      <c r="H855" s="69"/>
      <c r="I855" s="69"/>
      <c r="J855" s="70"/>
      <c r="K855" s="69"/>
      <c r="L855" s="69"/>
      <c r="M855" s="69"/>
      <c r="N855" s="69"/>
      <c r="O855" s="69"/>
      <c r="P855" s="2"/>
      <c r="Q855" s="2"/>
      <c r="R855" s="32"/>
      <c r="S855" s="32"/>
      <c r="T855" s="32"/>
      <c r="U855" s="32"/>
      <c r="V855" s="2"/>
      <c r="W855" s="2"/>
      <c r="X855" s="2"/>
      <c r="Y855" s="2"/>
      <c r="Z855" s="2"/>
    </row>
    <row r="856" spans="1:26" ht="13.8" x14ac:dyDescent="0.3">
      <c r="A856" s="2"/>
      <c r="B856" s="2"/>
      <c r="C856" s="10"/>
      <c r="D856" s="10"/>
      <c r="E856" s="10"/>
      <c r="F856" s="10"/>
      <c r="G856" s="69"/>
      <c r="H856" s="69"/>
      <c r="I856" s="69"/>
      <c r="J856" s="70"/>
      <c r="K856" s="69"/>
      <c r="L856" s="69"/>
      <c r="M856" s="69"/>
      <c r="N856" s="69"/>
      <c r="O856" s="69"/>
      <c r="P856" s="2"/>
      <c r="Q856" s="2"/>
      <c r="R856" s="32"/>
      <c r="S856" s="32"/>
      <c r="T856" s="32"/>
      <c r="U856" s="32"/>
      <c r="V856" s="2"/>
      <c r="W856" s="2"/>
      <c r="X856" s="2"/>
      <c r="Y856" s="2"/>
      <c r="Z856" s="2"/>
    </row>
    <row r="857" spans="1:26" ht="13.8" x14ac:dyDescent="0.3">
      <c r="A857" s="2"/>
      <c r="B857" s="2"/>
      <c r="C857" s="10"/>
      <c r="D857" s="10"/>
      <c r="E857" s="10"/>
      <c r="F857" s="10"/>
      <c r="G857" s="69"/>
      <c r="H857" s="69"/>
      <c r="I857" s="69"/>
      <c r="J857" s="70"/>
      <c r="K857" s="69"/>
      <c r="L857" s="69"/>
      <c r="M857" s="69"/>
      <c r="N857" s="69"/>
      <c r="O857" s="69"/>
      <c r="P857" s="2"/>
      <c r="Q857" s="2"/>
      <c r="R857" s="32"/>
      <c r="S857" s="32"/>
      <c r="T857" s="32"/>
      <c r="U857" s="32"/>
      <c r="V857" s="2"/>
      <c r="W857" s="2"/>
      <c r="X857" s="2"/>
      <c r="Y857" s="2"/>
      <c r="Z857" s="2"/>
    </row>
    <row r="858" spans="1:26" ht="13.8" x14ac:dyDescent="0.3">
      <c r="A858" s="2"/>
      <c r="B858" s="2"/>
      <c r="C858" s="10"/>
      <c r="D858" s="10"/>
      <c r="E858" s="10"/>
      <c r="F858" s="10"/>
      <c r="G858" s="69"/>
      <c r="H858" s="69"/>
      <c r="I858" s="69"/>
      <c r="J858" s="70"/>
      <c r="K858" s="69"/>
      <c r="L858" s="69"/>
      <c r="M858" s="69"/>
      <c r="N858" s="69"/>
      <c r="O858" s="69"/>
      <c r="P858" s="2"/>
      <c r="Q858" s="2"/>
      <c r="R858" s="32"/>
      <c r="S858" s="32"/>
      <c r="T858" s="32"/>
      <c r="U858" s="32"/>
      <c r="V858" s="2"/>
      <c r="W858" s="2"/>
      <c r="X858" s="2"/>
      <c r="Y858" s="2"/>
      <c r="Z858" s="2"/>
    </row>
    <row r="859" spans="1:26" ht="13.8" x14ac:dyDescent="0.3">
      <c r="A859" s="2"/>
      <c r="B859" s="2"/>
      <c r="C859" s="10"/>
      <c r="D859" s="10"/>
      <c r="E859" s="10"/>
      <c r="F859" s="10"/>
      <c r="G859" s="69"/>
      <c r="H859" s="69"/>
      <c r="I859" s="69"/>
      <c r="J859" s="70"/>
      <c r="K859" s="69"/>
      <c r="L859" s="69"/>
      <c r="M859" s="69"/>
      <c r="N859" s="69"/>
      <c r="O859" s="69"/>
      <c r="P859" s="2"/>
      <c r="Q859" s="2"/>
      <c r="R859" s="32"/>
      <c r="S859" s="32"/>
      <c r="T859" s="32"/>
      <c r="U859" s="32"/>
      <c r="V859" s="2"/>
      <c r="W859" s="2"/>
      <c r="X859" s="2"/>
      <c r="Y859" s="2"/>
      <c r="Z859" s="2"/>
    </row>
    <row r="860" spans="1:26" ht="13.8" x14ac:dyDescent="0.3">
      <c r="A860" s="2"/>
      <c r="B860" s="2"/>
      <c r="C860" s="10"/>
      <c r="D860" s="10"/>
      <c r="E860" s="10"/>
      <c r="F860" s="10"/>
      <c r="G860" s="69"/>
      <c r="H860" s="69"/>
      <c r="I860" s="69"/>
      <c r="J860" s="70"/>
      <c r="K860" s="69"/>
      <c r="L860" s="69"/>
      <c r="M860" s="69"/>
      <c r="N860" s="69"/>
      <c r="O860" s="69"/>
      <c r="P860" s="2"/>
      <c r="Q860" s="2"/>
      <c r="R860" s="32"/>
      <c r="S860" s="32"/>
      <c r="T860" s="32"/>
      <c r="U860" s="32"/>
      <c r="V860" s="2"/>
      <c r="W860" s="2"/>
      <c r="X860" s="2"/>
      <c r="Y860" s="2"/>
      <c r="Z860" s="2"/>
    </row>
    <row r="861" spans="1:26" ht="13.8" x14ac:dyDescent="0.3">
      <c r="A861" s="2"/>
      <c r="B861" s="2"/>
      <c r="C861" s="10"/>
      <c r="D861" s="10"/>
      <c r="E861" s="10"/>
      <c r="F861" s="10"/>
      <c r="G861" s="69"/>
      <c r="H861" s="69"/>
      <c r="I861" s="69"/>
      <c r="J861" s="70"/>
      <c r="K861" s="69"/>
      <c r="L861" s="69"/>
      <c r="M861" s="69"/>
      <c r="N861" s="69"/>
      <c r="O861" s="69"/>
      <c r="P861" s="2"/>
      <c r="Q861" s="2"/>
      <c r="R861" s="32"/>
      <c r="S861" s="32"/>
      <c r="T861" s="32"/>
      <c r="U861" s="32"/>
      <c r="V861" s="2"/>
      <c r="W861" s="2"/>
      <c r="X861" s="2"/>
      <c r="Y861" s="2"/>
      <c r="Z861" s="2"/>
    </row>
    <row r="862" spans="1:26" ht="13.8" x14ac:dyDescent="0.3">
      <c r="A862" s="2"/>
      <c r="B862" s="2"/>
      <c r="C862" s="10"/>
      <c r="D862" s="10"/>
      <c r="E862" s="10"/>
      <c r="F862" s="10"/>
      <c r="G862" s="69"/>
      <c r="H862" s="69"/>
      <c r="I862" s="69"/>
      <c r="J862" s="70"/>
      <c r="K862" s="69"/>
      <c r="L862" s="69"/>
      <c r="M862" s="69"/>
      <c r="N862" s="69"/>
      <c r="O862" s="69"/>
      <c r="P862" s="2"/>
      <c r="Q862" s="2"/>
      <c r="R862" s="32"/>
      <c r="S862" s="32"/>
      <c r="T862" s="32"/>
      <c r="U862" s="32"/>
      <c r="V862" s="2"/>
      <c r="W862" s="2"/>
      <c r="X862" s="2"/>
      <c r="Y862" s="2"/>
      <c r="Z862" s="2"/>
    </row>
    <row r="863" spans="1:26" ht="13.8" x14ac:dyDescent="0.3">
      <c r="A863" s="2"/>
      <c r="B863" s="2"/>
      <c r="C863" s="10"/>
      <c r="D863" s="10"/>
      <c r="E863" s="10"/>
      <c r="F863" s="10"/>
      <c r="G863" s="69"/>
      <c r="H863" s="69"/>
      <c r="I863" s="69"/>
      <c r="J863" s="70"/>
      <c r="K863" s="69"/>
      <c r="L863" s="69"/>
      <c r="M863" s="69"/>
      <c r="N863" s="69"/>
      <c r="O863" s="69"/>
      <c r="P863" s="2"/>
      <c r="Q863" s="2"/>
      <c r="R863" s="32"/>
      <c r="S863" s="32"/>
      <c r="T863" s="32"/>
      <c r="U863" s="32"/>
      <c r="V863" s="2"/>
      <c r="W863" s="2"/>
      <c r="X863" s="2"/>
      <c r="Y863" s="2"/>
      <c r="Z863" s="2"/>
    </row>
    <row r="864" spans="1:26" ht="13.8" x14ac:dyDescent="0.3">
      <c r="A864" s="2"/>
      <c r="B864" s="2"/>
      <c r="C864" s="10"/>
      <c r="D864" s="10"/>
      <c r="E864" s="10"/>
      <c r="F864" s="10"/>
      <c r="G864" s="69"/>
      <c r="H864" s="69"/>
      <c r="I864" s="69"/>
      <c r="J864" s="70"/>
      <c r="K864" s="69"/>
      <c r="L864" s="69"/>
      <c r="M864" s="69"/>
      <c r="N864" s="69"/>
      <c r="O864" s="69"/>
      <c r="P864" s="2"/>
      <c r="Q864" s="2"/>
      <c r="R864" s="32"/>
      <c r="S864" s="32"/>
      <c r="T864" s="32"/>
      <c r="U864" s="32"/>
      <c r="V864" s="2"/>
      <c r="W864" s="2"/>
      <c r="X864" s="2"/>
      <c r="Y864" s="2"/>
      <c r="Z864" s="2"/>
    </row>
    <row r="865" spans="1:26" ht="13.8" x14ac:dyDescent="0.3">
      <c r="A865" s="2"/>
      <c r="B865" s="2"/>
      <c r="C865" s="10"/>
      <c r="D865" s="10"/>
      <c r="E865" s="10"/>
      <c r="F865" s="10"/>
      <c r="G865" s="69"/>
      <c r="H865" s="69"/>
      <c r="I865" s="69"/>
      <c r="J865" s="70"/>
      <c r="K865" s="69"/>
      <c r="L865" s="69"/>
      <c r="M865" s="69"/>
      <c r="N865" s="69"/>
      <c r="O865" s="69"/>
      <c r="P865" s="2"/>
      <c r="Q865" s="2"/>
      <c r="R865" s="32"/>
      <c r="S865" s="32"/>
      <c r="T865" s="32"/>
      <c r="U865" s="32"/>
      <c r="V865" s="2"/>
      <c r="W865" s="2"/>
      <c r="X865" s="2"/>
      <c r="Y865" s="2"/>
      <c r="Z865" s="2"/>
    </row>
    <row r="866" spans="1:26" ht="13.8" x14ac:dyDescent="0.3">
      <c r="A866" s="2"/>
      <c r="B866" s="2"/>
      <c r="C866" s="10"/>
      <c r="D866" s="10"/>
      <c r="E866" s="10"/>
      <c r="F866" s="10"/>
      <c r="G866" s="69"/>
      <c r="H866" s="69"/>
      <c r="I866" s="69"/>
      <c r="J866" s="70"/>
      <c r="K866" s="69"/>
      <c r="L866" s="69"/>
      <c r="M866" s="69"/>
      <c r="N866" s="69"/>
      <c r="O866" s="69"/>
      <c r="P866" s="2"/>
      <c r="Q866" s="2"/>
      <c r="R866" s="32"/>
      <c r="S866" s="32"/>
      <c r="T866" s="32"/>
      <c r="U866" s="32"/>
      <c r="V866" s="2"/>
      <c r="W866" s="2"/>
      <c r="X866" s="2"/>
      <c r="Y866" s="2"/>
      <c r="Z866" s="2"/>
    </row>
    <row r="867" spans="1:26" ht="13.8" x14ac:dyDescent="0.3">
      <c r="A867" s="2"/>
      <c r="B867" s="2"/>
      <c r="C867" s="10"/>
      <c r="D867" s="10"/>
      <c r="E867" s="10"/>
      <c r="F867" s="10"/>
      <c r="G867" s="69"/>
      <c r="H867" s="69"/>
      <c r="I867" s="69"/>
      <c r="J867" s="70"/>
      <c r="K867" s="69"/>
      <c r="L867" s="69"/>
      <c r="M867" s="69"/>
      <c r="N867" s="69"/>
      <c r="O867" s="69"/>
      <c r="P867" s="2"/>
      <c r="Q867" s="2"/>
      <c r="R867" s="32"/>
      <c r="S867" s="32"/>
      <c r="T867" s="32"/>
      <c r="U867" s="32"/>
      <c r="V867" s="2"/>
      <c r="W867" s="2"/>
      <c r="X867" s="2"/>
      <c r="Y867" s="2"/>
      <c r="Z867" s="2"/>
    </row>
    <row r="868" spans="1:26" ht="13.8" x14ac:dyDescent="0.3">
      <c r="A868" s="2"/>
      <c r="B868" s="2"/>
      <c r="C868" s="10"/>
      <c r="D868" s="10"/>
      <c r="E868" s="10"/>
      <c r="F868" s="10"/>
      <c r="G868" s="69"/>
      <c r="H868" s="69"/>
      <c r="I868" s="69"/>
      <c r="J868" s="70"/>
      <c r="K868" s="69"/>
      <c r="L868" s="69"/>
      <c r="M868" s="69"/>
      <c r="N868" s="69"/>
      <c r="O868" s="69"/>
      <c r="P868" s="2"/>
      <c r="Q868" s="2"/>
      <c r="R868" s="32"/>
      <c r="S868" s="32"/>
      <c r="T868" s="32"/>
      <c r="U868" s="32"/>
      <c r="V868" s="2"/>
      <c r="W868" s="2"/>
      <c r="X868" s="2"/>
      <c r="Y868" s="2"/>
      <c r="Z868" s="2"/>
    </row>
    <row r="869" spans="1:26" ht="13.8" x14ac:dyDescent="0.3">
      <c r="A869" s="2"/>
      <c r="B869" s="2"/>
      <c r="C869" s="10"/>
      <c r="D869" s="10"/>
      <c r="E869" s="10"/>
      <c r="F869" s="10"/>
      <c r="G869" s="69"/>
      <c r="H869" s="69"/>
      <c r="I869" s="69"/>
      <c r="J869" s="70"/>
      <c r="K869" s="69"/>
      <c r="L869" s="69"/>
      <c r="M869" s="69"/>
      <c r="N869" s="69"/>
      <c r="O869" s="69"/>
      <c r="P869" s="2"/>
      <c r="Q869" s="2"/>
      <c r="R869" s="32"/>
      <c r="S869" s="32"/>
      <c r="T869" s="32"/>
      <c r="U869" s="32"/>
      <c r="V869" s="2"/>
      <c r="W869" s="2"/>
      <c r="X869" s="2"/>
      <c r="Y869" s="2"/>
      <c r="Z869" s="2"/>
    </row>
    <row r="870" spans="1:26" ht="13.8" x14ac:dyDescent="0.3">
      <c r="A870" s="2"/>
      <c r="B870" s="2"/>
      <c r="C870" s="10"/>
      <c r="D870" s="10"/>
      <c r="E870" s="10"/>
      <c r="F870" s="10"/>
      <c r="G870" s="69"/>
      <c r="H870" s="69"/>
      <c r="I870" s="69"/>
      <c r="J870" s="70"/>
      <c r="K870" s="69"/>
      <c r="L870" s="69"/>
      <c r="M870" s="69"/>
      <c r="N870" s="69"/>
      <c r="O870" s="69"/>
      <c r="P870" s="2"/>
      <c r="Q870" s="2"/>
      <c r="R870" s="32"/>
      <c r="S870" s="32"/>
      <c r="T870" s="32"/>
      <c r="U870" s="32"/>
      <c r="V870" s="2"/>
      <c r="W870" s="2"/>
      <c r="X870" s="2"/>
      <c r="Y870" s="2"/>
      <c r="Z870" s="2"/>
    </row>
    <row r="871" spans="1:26" ht="13.8" x14ac:dyDescent="0.3">
      <c r="A871" s="2"/>
      <c r="B871" s="2"/>
      <c r="C871" s="10"/>
      <c r="D871" s="10"/>
      <c r="E871" s="10"/>
      <c r="F871" s="10"/>
      <c r="G871" s="69"/>
      <c r="H871" s="69"/>
      <c r="I871" s="69"/>
      <c r="J871" s="70"/>
      <c r="K871" s="69"/>
      <c r="L871" s="69"/>
      <c r="M871" s="69"/>
      <c r="N871" s="69"/>
      <c r="O871" s="69"/>
      <c r="P871" s="2"/>
      <c r="Q871" s="2"/>
      <c r="R871" s="32"/>
      <c r="S871" s="32"/>
      <c r="T871" s="32"/>
      <c r="U871" s="32"/>
      <c r="V871" s="2"/>
      <c r="W871" s="2"/>
      <c r="X871" s="2"/>
      <c r="Y871" s="2"/>
      <c r="Z871" s="2"/>
    </row>
    <row r="872" spans="1:26" ht="13.8" x14ac:dyDescent="0.3">
      <c r="A872" s="2"/>
      <c r="B872" s="2"/>
      <c r="C872" s="10"/>
      <c r="D872" s="10"/>
      <c r="E872" s="10"/>
      <c r="F872" s="10"/>
      <c r="G872" s="69"/>
      <c r="H872" s="69"/>
      <c r="I872" s="69"/>
      <c r="J872" s="70"/>
      <c r="K872" s="69"/>
      <c r="L872" s="69"/>
      <c r="M872" s="69"/>
      <c r="N872" s="69"/>
      <c r="O872" s="69"/>
      <c r="P872" s="2"/>
      <c r="Q872" s="2"/>
      <c r="R872" s="32"/>
      <c r="S872" s="32"/>
      <c r="T872" s="32"/>
      <c r="U872" s="32"/>
      <c r="V872" s="2"/>
      <c r="W872" s="2"/>
      <c r="X872" s="2"/>
      <c r="Y872" s="2"/>
      <c r="Z872" s="2"/>
    </row>
    <row r="873" spans="1:26" ht="13.8" x14ac:dyDescent="0.3">
      <c r="A873" s="2"/>
      <c r="B873" s="2"/>
      <c r="C873" s="10"/>
      <c r="D873" s="10"/>
      <c r="E873" s="10"/>
      <c r="F873" s="10"/>
      <c r="G873" s="69"/>
      <c r="H873" s="69"/>
      <c r="I873" s="69"/>
      <c r="J873" s="70"/>
      <c r="K873" s="69"/>
      <c r="L873" s="69"/>
      <c r="M873" s="69"/>
      <c r="N873" s="69"/>
      <c r="O873" s="69"/>
      <c r="P873" s="2"/>
      <c r="Q873" s="2"/>
      <c r="R873" s="32"/>
      <c r="S873" s="32"/>
      <c r="T873" s="32"/>
      <c r="U873" s="32"/>
      <c r="V873" s="2"/>
      <c r="W873" s="2"/>
      <c r="X873" s="2"/>
      <c r="Y873" s="2"/>
      <c r="Z873" s="2"/>
    </row>
    <row r="874" spans="1:26" ht="13.8" x14ac:dyDescent="0.3">
      <c r="A874" s="2"/>
      <c r="B874" s="2"/>
      <c r="C874" s="10"/>
      <c r="D874" s="10"/>
      <c r="E874" s="10"/>
      <c r="F874" s="10"/>
      <c r="G874" s="69"/>
      <c r="H874" s="69"/>
      <c r="I874" s="69"/>
      <c r="J874" s="70"/>
      <c r="K874" s="69"/>
      <c r="L874" s="69"/>
      <c r="M874" s="69"/>
      <c r="N874" s="69"/>
      <c r="O874" s="69"/>
      <c r="P874" s="2"/>
      <c r="Q874" s="2"/>
      <c r="R874" s="32"/>
      <c r="S874" s="32"/>
      <c r="T874" s="32"/>
      <c r="U874" s="32"/>
      <c r="V874" s="2"/>
      <c r="W874" s="2"/>
      <c r="X874" s="2"/>
      <c r="Y874" s="2"/>
      <c r="Z874" s="2"/>
    </row>
    <row r="875" spans="1:26" ht="13.8" x14ac:dyDescent="0.3">
      <c r="A875" s="2"/>
      <c r="B875" s="2"/>
      <c r="C875" s="10"/>
      <c r="D875" s="10"/>
      <c r="E875" s="10"/>
      <c r="F875" s="10"/>
      <c r="G875" s="69"/>
      <c r="H875" s="69"/>
      <c r="I875" s="69"/>
      <c r="J875" s="70"/>
      <c r="K875" s="69"/>
      <c r="L875" s="69"/>
      <c r="M875" s="69"/>
      <c r="N875" s="69"/>
      <c r="O875" s="69"/>
      <c r="P875" s="2"/>
      <c r="Q875" s="2"/>
      <c r="R875" s="32"/>
      <c r="S875" s="32"/>
      <c r="T875" s="32"/>
      <c r="U875" s="32"/>
      <c r="V875" s="2"/>
      <c r="W875" s="2"/>
      <c r="X875" s="2"/>
      <c r="Y875" s="2"/>
      <c r="Z875" s="2"/>
    </row>
    <row r="876" spans="1:26" ht="13.8" x14ac:dyDescent="0.3">
      <c r="A876" s="2"/>
      <c r="B876" s="2"/>
      <c r="C876" s="10"/>
      <c r="D876" s="10"/>
      <c r="E876" s="10"/>
      <c r="F876" s="10"/>
      <c r="G876" s="69"/>
      <c r="H876" s="69"/>
      <c r="I876" s="69"/>
      <c r="J876" s="70"/>
      <c r="K876" s="69"/>
      <c r="L876" s="69"/>
      <c r="M876" s="69"/>
      <c r="N876" s="69"/>
      <c r="O876" s="69"/>
      <c r="P876" s="2"/>
      <c r="Q876" s="2"/>
      <c r="R876" s="32"/>
      <c r="S876" s="32"/>
      <c r="T876" s="32"/>
      <c r="U876" s="32"/>
      <c r="V876" s="2"/>
      <c r="W876" s="2"/>
      <c r="X876" s="2"/>
      <c r="Y876" s="2"/>
      <c r="Z876" s="2"/>
    </row>
    <row r="877" spans="1:26" ht="13.8" x14ac:dyDescent="0.3">
      <c r="A877" s="2"/>
      <c r="B877" s="2"/>
      <c r="C877" s="10"/>
      <c r="D877" s="10"/>
      <c r="E877" s="10"/>
      <c r="F877" s="10"/>
      <c r="G877" s="69"/>
      <c r="H877" s="69"/>
      <c r="I877" s="69"/>
      <c r="J877" s="70"/>
      <c r="K877" s="69"/>
      <c r="L877" s="69"/>
      <c r="M877" s="69"/>
      <c r="N877" s="69"/>
      <c r="O877" s="69"/>
      <c r="P877" s="2"/>
      <c r="Q877" s="2"/>
      <c r="R877" s="32"/>
      <c r="S877" s="32"/>
      <c r="T877" s="32"/>
      <c r="U877" s="32"/>
      <c r="V877" s="2"/>
      <c r="W877" s="2"/>
      <c r="X877" s="2"/>
      <c r="Y877" s="2"/>
      <c r="Z877" s="2"/>
    </row>
    <row r="878" spans="1:26" ht="13.8" x14ac:dyDescent="0.3">
      <c r="A878" s="2"/>
      <c r="B878" s="2"/>
      <c r="C878" s="10"/>
      <c r="D878" s="10"/>
      <c r="E878" s="10"/>
      <c r="F878" s="10"/>
      <c r="G878" s="69"/>
      <c r="H878" s="69"/>
      <c r="I878" s="69"/>
      <c r="J878" s="70"/>
      <c r="K878" s="69"/>
      <c r="L878" s="69"/>
      <c r="M878" s="69"/>
      <c r="N878" s="69"/>
      <c r="O878" s="69"/>
      <c r="P878" s="2"/>
      <c r="Q878" s="2"/>
      <c r="R878" s="32"/>
      <c r="S878" s="32"/>
      <c r="T878" s="32"/>
      <c r="U878" s="32"/>
      <c r="V878" s="2"/>
      <c r="W878" s="2"/>
      <c r="X878" s="2"/>
      <c r="Y878" s="2"/>
      <c r="Z878" s="2"/>
    </row>
    <row r="879" spans="1:26" ht="13.8" x14ac:dyDescent="0.3">
      <c r="A879" s="2"/>
      <c r="B879" s="2"/>
      <c r="C879" s="10"/>
      <c r="D879" s="10"/>
      <c r="E879" s="10"/>
      <c r="F879" s="10"/>
      <c r="G879" s="69"/>
      <c r="H879" s="69"/>
      <c r="I879" s="69"/>
      <c r="J879" s="70"/>
      <c r="K879" s="69"/>
      <c r="L879" s="69"/>
      <c r="M879" s="69"/>
      <c r="N879" s="69"/>
      <c r="O879" s="69"/>
      <c r="P879" s="2"/>
      <c r="Q879" s="2"/>
      <c r="R879" s="32"/>
      <c r="S879" s="32"/>
      <c r="T879" s="32"/>
      <c r="U879" s="32"/>
      <c r="V879" s="2"/>
      <c r="W879" s="2"/>
      <c r="X879" s="2"/>
      <c r="Y879" s="2"/>
      <c r="Z879" s="2"/>
    </row>
    <row r="880" spans="1:26" ht="13.8" x14ac:dyDescent="0.3">
      <c r="A880" s="2"/>
      <c r="B880" s="2"/>
      <c r="C880" s="10"/>
      <c r="D880" s="10"/>
      <c r="E880" s="10"/>
      <c r="F880" s="10"/>
      <c r="G880" s="69"/>
      <c r="H880" s="69"/>
      <c r="I880" s="69"/>
      <c r="J880" s="70"/>
      <c r="K880" s="69"/>
      <c r="L880" s="69"/>
      <c r="M880" s="69"/>
      <c r="N880" s="69"/>
      <c r="O880" s="69"/>
      <c r="P880" s="2"/>
      <c r="Q880" s="2"/>
      <c r="R880" s="32"/>
      <c r="S880" s="32"/>
      <c r="T880" s="32"/>
      <c r="U880" s="32"/>
      <c r="V880" s="2"/>
      <c r="W880" s="2"/>
      <c r="X880" s="2"/>
      <c r="Y880" s="2"/>
      <c r="Z880" s="2"/>
    </row>
    <row r="881" spans="1:26" ht="13.8" x14ac:dyDescent="0.3">
      <c r="A881" s="2"/>
      <c r="B881" s="2"/>
      <c r="C881" s="10"/>
      <c r="D881" s="10"/>
      <c r="E881" s="10"/>
      <c r="F881" s="10"/>
      <c r="G881" s="69"/>
      <c r="H881" s="69"/>
      <c r="I881" s="69"/>
      <c r="J881" s="70"/>
      <c r="K881" s="69"/>
      <c r="L881" s="69"/>
      <c r="M881" s="69"/>
      <c r="N881" s="69"/>
      <c r="O881" s="69"/>
      <c r="P881" s="2"/>
      <c r="Q881" s="2"/>
      <c r="R881" s="32"/>
      <c r="S881" s="32"/>
      <c r="T881" s="32"/>
      <c r="U881" s="32"/>
      <c r="V881" s="2"/>
      <c r="W881" s="2"/>
      <c r="X881" s="2"/>
      <c r="Y881" s="2"/>
      <c r="Z881" s="2"/>
    </row>
    <row r="882" spans="1:26" ht="13.8" x14ac:dyDescent="0.3">
      <c r="A882" s="2"/>
      <c r="B882" s="2"/>
      <c r="C882" s="10"/>
      <c r="D882" s="10"/>
      <c r="E882" s="10"/>
      <c r="F882" s="10"/>
      <c r="G882" s="69"/>
      <c r="H882" s="69"/>
      <c r="I882" s="69"/>
      <c r="J882" s="70"/>
      <c r="K882" s="69"/>
      <c r="L882" s="69"/>
      <c r="M882" s="69"/>
      <c r="N882" s="69"/>
      <c r="O882" s="69"/>
      <c r="P882" s="2"/>
      <c r="Q882" s="2"/>
      <c r="R882" s="32"/>
      <c r="S882" s="32"/>
      <c r="T882" s="32"/>
      <c r="U882" s="32"/>
      <c r="V882" s="2"/>
      <c r="W882" s="2"/>
      <c r="X882" s="2"/>
      <c r="Y882" s="2"/>
      <c r="Z882" s="2"/>
    </row>
    <row r="883" spans="1:26" ht="13.8" x14ac:dyDescent="0.3">
      <c r="A883" s="2"/>
      <c r="B883" s="2"/>
      <c r="C883" s="10"/>
      <c r="D883" s="10"/>
      <c r="E883" s="10"/>
      <c r="F883" s="10"/>
      <c r="G883" s="69"/>
      <c r="H883" s="69"/>
      <c r="I883" s="69"/>
      <c r="J883" s="70"/>
      <c r="K883" s="69"/>
      <c r="L883" s="69"/>
      <c r="M883" s="69"/>
      <c r="N883" s="69"/>
      <c r="O883" s="69"/>
      <c r="P883" s="2"/>
      <c r="Q883" s="2"/>
      <c r="R883" s="32"/>
      <c r="S883" s="32"/>
      <c r="T883" s="32"/>
      <c r="U883" s="32"/>
      <c r="V883" s="2"/>
      <c r="W883" s="2"/>
      <c r="X883" s="2"/>
      <c r="Y883" s="2"/>
      <c r="Z883" s="2"/>
    </row>
    <row r="884" spans="1:26" ht="13.8" x14ac:dyDescent="0.3">
      <c r="A884" s="2"/>
      <c r="B884" s="2"/>
      <c r="C884" s="10"/>
      <c r="D884" s="10"/>
      <c r="E884" s="10"/>
      <c r="F884" s="10"/>
      <c r="G884" s="69"/>
      <c r="H884" s="69"/>
      <c r="I884" s="69"/>
      <c r="J884" s="70"/>
      <c r="K884" s="69"/>
      <c r="L884" s="69"/>
      <c r="M884" s="69"/>
      <c r="N884" s="69"/>
      <c r="O884" s="69"/>
      <c r="P884" s="2"/>
      <c r="Q884" s="2"/>
      <c r="R884" s="32"/>
      <c r="S884" s="32"/>
      <c r="T884" s="32"/>
      <c r="U884" s="32"/>
      <c r="V884" s="2"/>
      <c r="W884" s="2"/>
      <c r="X884" s="2"/>
      <c r="Y884" s="2"/>
      <c r="Z884" s="2"/>
    </row>
    <row r="885" spans="1:26" ht="13.8" x14ac:dyDescent="0.3">
      <c r="A885" s="2"/>
      <c r="B885" s="2"/>
      <c r="C885" s="10"/>
      <c r="D885" s="10"/>
      <c r="E885" s="10"/>
      <c r="F885" s="10"/>
      <c r="G885" s="69"/>
      <c r="H885" s="69"/>
      <c r="I885" s="69"/>
      <c r="J885" s="70"/>
      <c r="K885" s="69"/>
      <c r="L885" s="69"/>
      <c r="M885" s="69"/>
      <c r="N885" s="69"/>
      <c r="O885" s="69"/>
      <c r="P885" s="2"/>
      <c r="Q885" s="2"/>
      <c r="R885" s="32"/>
      <c r="S885" s="32"/>
      <c r="T885" s="32"/>
      <c r="U885" s="32"/>
      <c r="V885" s="2"/>
      <c r="W885" s="2"/>
      <c r="X885" s="2"/>
      <c r="Y885" s="2"/>
      <c r="Z885" s="2"/>
    </row>
    <row r="886" spans="1:26" ht="13.8" x14ac:dyDescent="0.3">
      <c r="A886" s="2"/>
      <c r="B886" s="2"/>
      <c r="C886" s="10"/>
      <c r="D886" s="10"/>
      <c r="E886" s="10"/>
      <c r="F886" s="10"/>
      <c r="G886" s="69"/>
      <c r="H886" s="69"/>
      <c r="I886" s="69"/>
      <c r="J886" s="70"/>
      <c r="K886" s="69"/>
      <c r="L886" s="69"/>
      <c r="M886" s="69"/>
      <c r="N886" s="69"/>
      <c r="O886" s="69"/>
      <c r="P886" s="2"/>
      <c r="Q886" s="2"/>
      <c r="R886" s="32"/>
      <c r="S886" s="32"/>
      <c r="T886" s="32"/>
      <c r="U886" s="32"/>
      <c r="V886" s="2"/>
      <c r="W886" s="2"/>
      <c r="X886" s="2"/>
      <c r="Y886" s="2"/>
      <c r="Z886" s="2"/>
    </row>
    <row r="887" spans="1:26" ht="13.8" x14ac:dyDescent="0.3">
      <c r="A887" s="2"/>
      <c r="B887" s="2"/>
      <c r="C887" s="10"/>
      <c r="D887" s="10"/>
      <c r="E887" s="10"/>
      <c r="F887" s="10"/>
      <c r="G887" s="69"/>
      <c r="H887" s="69"/>
      <c r="I887" s="69"/>
      <c r="J887" s="70"/>
      <c r="K887" s="69"/>
      <c r="L887" s="69"/>
      <c r="M887" s="69"/>
      <c r="N887" s="69"/>
      <c r="O887" s="69"/>
      <c r="P887" s="2"/>
      <c r="Q887" s="2"/>
      <c r="R887" s="32"/>
      <c r="S887" s="32"/>
      <c r="T887" s="32"/>
      <c r="U887" s="32"/>
      <c r="V887" s="2"/>
      <c r="W887" s="2"/>
      <c r="X887" s="2"/>
      <c r="Y887" s="2"/>
      <c r="Z887" s="2"/>
    </row>
    <row r="888" spans="1:26" ht="13.8" x14ac:dyDescent="0.3">
      <c r="A888" s="2"/>
      <c r="B888" s="2"/>
      <c r="C888" s="10"/>
      <c r="D888" s="10"/>
      <c r="E888" s="10"/>
      <c r="F888" s="10"/>
      <c r="G888" s="69"/>
      <c r="H888" s="69"/>
      <c r="I888" s="69"/>
      <c r="J888" s="70"/>
      <c r="K888" s="69"/>
      <c r="L888" s="69"/>
      <c r="M888" s="69"/>
      <c r="N888" s="69"/>
      <c r="O888" s="69"/>
      <c r="P888" s="2"/>
      <c r="Q888" s="2"/>
      <c r="R888" s="32"/>
      <c r="S888" s="32"/>
      <c r="T888" s="32"/>
      <c r="U888" s="32"/>
      <c r="V888" s="2"/>
      <c r="W888" s="2"/>
      <c r="X888" s="2"/>
      <c r="Y888" s="2"/>
      <c r="Z888" s="2"/>
    </row>
    <row r="889" spans="1:26" ht="13.8" x14ac:dyDescent="0.3">
      <c r="A889" s="2"/>
      <c r="B889" s="2"/>
      <c r="C889" s="10"/>
      <c r="D889" s="10"/>
      <c r="E889" s="10"/>
      <c r="F889" s="10"/>
      <c r="G889" s="69"/>
      <c r="H889" s="69"/>
      <c r="I889" s="69"/>
      <c r="J889" s="70"/>
      <c r="K889" s="69"/>
      <c r="L889" s="69"/>
      <c r="M889" s="69"/>
      <c r="N889" s="69"/>
      <c r="O889" s="69"/>
      <c r="P889" s="2"/>
      <c r="Q889" s="2"/>
      <c r="R889" s="32"/>
      <c r="S889" s="32"/>
      <c r="T889" s="32"/>
      <c r="U889" s="32"/>
      <c r="V889" s="2"/>
      <c r="W889" s="2"/>
      <c r="X889" s="2"/>
      <c r="Y889" s="2"/>
      <c r="Z889" s="2"/>
    </row>
    <row r="890" spans="1:26" ht="13.8" x14ac:dyDescent="0.3">
      <c r="A890" s="2"/>
      <c r="B890" s="2"/>
      <c r="C890" s="10"/>
      <c r="D890" s="10"/>
      <c r="E890" s="10"/>
      <c r="F890" s="10"/>
      <c r="G890" s="69"/>
      <c r="H890" s="69"/>
      <c r="I890" s="69"/>
      <c r="J890" s="70"/>
      <c r="K890" s="69"/>
      <c r="L890" s="69"/>
      <c r="M890" s="69"/>
      <c r="N890" s="69"/>
      <c r="O890" s="69"/>
      <c r="P890" s="2"/>
      <c r="Q890" s="2"/>
      <c r="R890" s="32"/>
      <c r="S890" s="32"/>
      <c r="T890" s="32"/>
      <c r="U890" s="32"/>
      <c r="V890" s="2"/>
      <c r="W890" s="2"/>
      <c r="X890" s="2"/>
      <c r="Y890" s="2"/>
      <c r="Z890" s="2"/>
    </row>
    <row r="891" spans="1:26" ht="13.8" x14ac:dyDescent="0.3">
      <c r="A891" s="2"/>
      <c r="B891" s="2"/>
      <c r="C891" s="10"/>
      <c r="D891" s="10"/>
      <c r="E891" s="10"/>
      <c r="F891" s="10"/>
      <c r="G891" s="69"/>
      <c r="H891" s="69"/>
      <c r="I891" s="69"/>
      <c r="J891" s="70"/>
      <c r="K891" s="69"/>
      <c r="L891" s="69"/>
      <c r="M891" s="69"/>
      <c r="N891" s="69"/>
      <c r="O891" s="69"/>
      <c r="P891" s="2"/>
      <c r="Q891" s="2"/>
      <c r="R891" s="32"/>
      <c r="S891" s="32"/>
      <c r="T891" s="32"/>
      <c r="U891" s="32"/>
      <c r="V891" s="2"/>
      <c r="W891" s="2"/>
      <c r="X891" s="2"/>
      <c r="Y891" s="2"/>
      <c r="Z891" s="2"/>
    </row>
    <row r="892" spans="1:26" ht="13.8" x14ac:dyDescent="0.3">
      <c r="A892" s="2"/>
      <c r="B892" s="2"/>
      <c r="C892" s="10"/>
      <c r="D892" s="10"/>
      <c r="E892" s="10"/>
      <c r="F892" s="10"/>
      <c r="G892" s="69"/>
      <c r="H892" s="69"/>
      <c r="I892" s="69"/>
      <c r="J892" s="70"/>
      <c r="K892" s="69"/>
      <c r="L892" s="69"/>
      <c r="M892" s="69"/>
      <c r="N892" s="69"/>
      <c r="O892" s="69"/>
      <c r="P892" s="2"/>
      <c r="Q892" s="2"/>
      <c r="R892" s="32"/>
      <c r="S892" s="32"/>
      <c r="T892" s="32"/>
      <c r="U892" s="32"/>
      <c r="V892" s="2"/>
      <c r="W892" s="2"/>
      <c r="X892" s="2"/>
      <c r="Y892" s="2"/>
      <c r="Z892" s="2"/>
    </row>
    <row r="893" spans="1:26" ht="13.8" x14ac:dyDescent="0.3">
      <c r="A893" s="2"/>
      <c r="B893" s="2"/>
      <c r="C893" s="10"/>
      <c r="D893" s="10"/>
      <c r="E893" s="10"/>
      <c r="F893" s="10"/>
      <c r="G893" s="69"/>
      <c r="H893" s="69"/>
      <c r="I893" s="69"/>
      <c r="J893" s="70"/>
      <c r="K893" s="69"/>
      <c r="L893" s="69"/>
      <c r="M893" s="69"/>
      <c r="N893" s="69"/>
      <c r="O893" s="69"/>
      <c r="P893" s="2"/>
      <c r="Q893" s="2"/>
      <c r="R893" s="32"/>
      <c r="S893" s="32"/>
      <c r="T893" s="32"/>
      <c r="U893" s="32"/>
      <c r="V893" s="2"/>
      <c r="W893" s="2"/>
      <c r="X893" s="2"/>
      <c r="Y893" s="2"/>
      <c r="Z893" s="2"/>
    </row>
    <row r="894" spans="1:26" ht="13.8" x14ac:dyDescent="0.3">
      <c r="A894" s="2"/>
      <c r="B894" s="2"/>
      <c r="C894" s="10"/>
      <c r="D894" s="10"/>
      <c r="E894" s="10"/>
      <c r="F894" s="10"/>
      <c r="G894" s="69"/>
      <c r="H894" s="69"/>
      <c r="I894" s="69"/>
      <c r="J894" s="70"/>
      <c r="K894" s="69"/>
      <c r="L894" s="69"/>
      <c r="M894" s="69"/>
      <c r="N894" s="69"/>
      <c r="O894" s="69"/>
      <c r="P894" s="2"/>
      <c r="Q894" s="2"/>
      <c r="R894" s="32"/>
      <c r="S894" s="32"/>
      <c r="T894" s="32"/>
      <c r="U894" s="32"/>
      <c r="V894" s="2"/>
      <c r="W894" s="2"/>
      <c r="X894" s="2"/>
      <c r="Y894" s="2"/>
      <c r="Z894" s="2"/>
    </row>
    <row r="895" spans="1:26" ht="13.8" x14ac:dyDescent="0.3">
      <c r="A895" s="2"/>
      <c r="B895" s="2"/>
      <c r="C895" s="10"/>
      <c r="D895" s="10"/>
      <c r="E895" s="10"/>
      <c r="F895" s="10"/>
      <c r="G895" s="69"/>
      <c r="H895" s="69"/>
      <c r="I895" s="69"/>
      <c r="J895" s="70"/>
      <c r="K895" s="69"/>
      <c r="L895" s="69"/>
      <c r="M895" s="69"/>
      <c r="N895" s="69"/>
      <c r="O895" s="69"/>
      <c r="P895" s="2"/>
      <c r="Q895" s="2"/>
      <c r="R895" s="32"/>
      <c r="S895" s="32"/>
      <c r="T895" s="32"/>
      <c r="U895" s="32"/>
      <c r="V895" s="2"/>
      <c r="W895" s="2"/>
      <c r="X895" s="2"/>
      <c r="Y895" s="2"/>
      <c r="Z895" s="2"/>
    </row>
    <row r="896" spans="1:26" ht="13.8" x14ac:dyDescent="0.3">
      <c r="A896" s="2"/>
      <c r="B896" s="2"/>
      <c r="C896" s="10"/>
      <c r="D896" s="10"/>
      <c r="E896" s="10"/>
      <c r="F896" s="10"/>
      <c r="G896" s="69"/>
      <c r="H896" s="69"/>
      <c r="I896" s="69"/>
      <c r="J896" s="70"/>
      <c r="K896" s="69"/>
      <c r="L896" s="69"/>
      <c r="M896" s="69"/>
      <c r="N896" s="69"/>
      <c r="O896" s="69"/>
      <c r="P896" s="2"/>
      <c r="Q896" s="2"/>
      <c r="R896" s="32"/>
      <c r="S896" s="32"/>
      <c r="T896" s="32"/>
      <c r="U896" s="32"/>
      <c r="V896" s="2"/>
      <c r="W896" s="2"/>
      <c r="X896" s="2"/>
      <c r="Y896" s="2"/>
      <c r="Z896" s="2"/>
    </row>
    <row r="897" spans="1:26" ht="13.8" x14ac:dyDescent="0.3">
      <c r="A897" s="2"/>
      <c r="B897" s="2"/>
      <c r="C897" s="10"/>
      <c r="D897" s="10"/>
      <c r="E897" s="10"/>
      <c r="F897" s="10"/>
      <c r="G897" s="69"/>
      <c r="H897" s="69"/>
      <c r="I897" s="69"/>
      <c r="J897" s="70"/>
      <c r="K897" s="69"/>
      <c r="L897" s="69"/>
      <c r="M897" s="69"/>
      <c r="N897" s="69"/>
      <c r="O897" s="69"/>
      <c r="P897" s="2"/>
      <c r="Q897" s="2"/>
      <c r="R897" s="32"/>
      <c r="S897" s="32"/>
      <c r="T897" s="32"/>
      <c r="U897" s="32"/>
      <c r="V897" s="2"/>
      <c r="W897" s="2"/>
      <c r="X897" s="2"/>
      <c r="Y897" s="2"/>
      <c r="Z897" s="2"/>
    </row>
    <row r="898" spans="1:26" ht="13.8" x14ac:dyDescent="0.3">
      <c r="A898" s="2"/>
      <c r="B898" s="2"/>
      <c r="C898" s="10"/>
      <c r="D898" s="10"/>
      <c r="E898" s="10"/>
      <c r="F898" s="10"/>
      <c r="G898" s="69"/>
      <c r="H898" s="69"/>
      <c r="I898" s="69"/>
      <c r="J898" s="70"/>
      <c r="K898" s="69"/>
      <c r="L898" s="69"/>
      <c r="M898" s="69"/>
      <c r="N898" s="69"/>
      <c r="O898" s="69"/>
      <c r="P898" s="2"/>
      <c r="Q898" s="2"/>
      <c r="R898" s="32"/>
      <c r="S898" s="32"/>
      <c r="T898" s="32"/>
      <c r="U898" s="32"/>
      <c r="V898" s="2"/>
      <c r="W898" s="2"/>
      <c r="X898" s="2"/>
      <c r="Y898" s="2"/>
      <c r="Z898" s="2"/>
    </row>
    <row r="899" spans="1:26" ht="13.8" x14ac:dyDescent="0.3">
      <c r="A899" s="2"/>
      <c r="B899" s="2"/>
      <c r="C899" s="10"/>
      <c r="D899" s="10"/>
      <c r="E899" s="10"/>
      <c r="F899" s="10"/>
      <c r="G899" s="69"/>
      <c r="H899" s="69"/>
      <c r="I899" s="69"/>
      <c r="J899" s="70"/>
      <c r="K899" s="69"/>
      <c r="L899" s="69"/>
      <c r="M899" s="69"/>
      <c r="N899" s="69"/>
      <c r="O899" s="69"/>
      <c r="P899" s="2"/>
      <c r="Q899" s="2"/>
      <c r="R899" s="32"/>
      <c r="S899" s="32"/>
      <c r="T899" s="32"/>
      <c r="U899" s="32"/>
      <c r="V899" s="2"/>
      <c r="W899" s="2"/>
      <c r="X899" s="2"/>
      <c r="Y899" s="2"/>
      <c r="Z899" s="2"/>
    </row>
    <row r="900" spans="1:26" ht="13.8" x14ac:dyDescent="0.3">
      <c r="A900" s="2"/>
      <c r="B900" s="2"/>
      <c r="C900" s="10"/>
      <c r="D900" s="10"/>
      <c r="E900" s="10"/>
      <c r="F900" s="10"/>
      <c r="G900" s="69"/>
      <c r="H900" s="69"/>
      <c r="I900" s="69"/>
      <c r="J900" s="70"/>
      <c r="K900" s="69"/>
      <c r="L900" s="69"/>
      <c r="M900" s="69"/>
      <c r="N900" s="69"/>
      <c r="O900" s="69"/>
      <c r="P900" s="2"/>
      <c r="Q900" s="2"/>
      <c r="R900" s="32"/>
      <c r="S900" s="32"/>
      <c r="T900" s="32"/>
      <c r="U900" s="32"/>
      <c r="V900" s="2"/>
      <c r="W900" s="2"/>
      <c r="X900" s="2"/>
      <c r="Y900" s="2"/>
      <c r="Z900" s="2"/>
    </row>
    <row r="901" spans="1:26" ht="13.8" x14ac:dyDescent="0.3">
      <c r="A901" s="2"/>
      <c r="B901" s="2"/>
      <c r="C901" s="10"/>
      <c r="D901" s="10"/>
      <c r="E901" s="10"/>
      <c r="F901" s="10"/>
      <c r="G901" s="69"/>
      <c r="H901" s="69"/>
      <c r="I901" s="69"/>
      <c r="J901" s="70"/>
      <c r="K901" s="69"/>
      <c r="L901" s="69"/>
      <c r="M901" s="69"/>
      <c r="N901" s="69"/>
      <c r="O901" s="69"/>
      <c r="P901" s="2"/>
      <c r="Q901" s="2"/>
      <c r="R901" s="32"/>
      <c r="S901" s="32"/>
      <c r="T901" s="32"/>
      <c r="U901" s="32"/>
      <c r="V901" s="2"/>
      <c r="W901" s="2"/>
      <c r="X901" s="2"/>
      <c r="Y901" s="2"/>
      <c r="Z901" s="2"/>
    </row>
    <row r="902" spans="1:26" ht="13.8" x14ac:dyDescent="0.3">
      <c r="A902" s="2"/>
      <c r="B902" s="2"/>
      <c r="C902" s="10"/>
      <c r="D902" s="10"/>
      <c r="E902" s="10"/>
      <c r="F902" s="10"/>
      <c r="G902" s="69"/>
      <c r="H902" s="69"/>
      <c r="I902" s="69"/>
      <c r="J902" s="70"/>
      <c r="K902" s="69"/>
      <c r="L902" s="69"/>
      <c r="M902" s="69"/>
      <c r="N902" s="69"/>
      <c r="O902" s="69"/>
      <c r="P902" s="2"/>
      <c r="Q902" s="2"/>
      <c r="R902" s="32"/>
      <c r="S902" s="32"/>
      <c r="T902" s="32"/>
      <c r="U902" s="32"/>
      <c r="V902" s="2"/>
      <c r="W902" s="2"/>
      <c r="X902" s="2"/>
      <c r="Y902" s="2"/>
      <c r="Z902" s="2"/>
    </row>
    <row r="903" spans="1:26" ht="13.8" x14ac:dyDescent="0.3">
      <c r="A903" s="2"/>
      <c r="B903" s="2"/>
      <c r="C903" s="10"/>
      <c r="D903" s="10"/>
      <c r="E903" s="10"/>
      <c r="F903" s="10"/>
      <c r="G903" s="69"/>
      <c r="H903" s="69"/>
      <c r="I903" s="69"/>
      <c r="J903" s="70"/>
      <c r="K903" s="69"/>
      <c r="L903" s="69"/>
      <c r="M903" s="69"/>
      <c r="N903" s="69"/>
      <c r="O903" s="69"/>
      <c r="P903" s="2"/>
      <c r="Q903" s="2"/>
      <c r="R903" s="32"/>
      <c r="S903" s="32"/>
      <c r="T903" s="32"/>
      <c r="U903" s="32"/>
      <c r="V903" s="2"/>
      <c r="W903" s="2"/>
      <c r="X903" s="2"/>
      <c r="Y903" s="2"/>
      <c r="Z903" s="2"/>
    </row>
    <row r="904" spans="1:26" ht="13.8" x14ac:dyDescent="0.3">
      <c r="A904" s="2"/>
      <c r="B904" s="2"/>
      <c r="C904" s="10"/>
      <c r="D904" s="10"/>
      <c r="E904" s="10"/>
      <c r="F904" s="10"/>
      <c r="G904" s="69"/>
      <c r="H904" s="69"/>
      <c r="I904" s="69"/>
      <c r="J904" s="70"/>
      <c r="K904" s="69"/>
      <c r="L904" s="69"/>
      <c r="M904" s="69"/>
      <c r="N904" s="69"/>
      <c r="O904" s="69"/>
      <c r="P904" s="2"/>
      <c r="Q904" s="2"/>
      <c r="R904" s="32"/>
      <c r="S904" s="32"/>
      <c r="T904" s="32"/>
      <c r="U904" s="32"/>
      <c r="V904" s="2"/>
      <c r="W904" s="2"/>
      <c r="X904" s="2"/>
      <c r="Y904" s="2"/>
      <c r="Z904" s="2"/>
    </row>
    <row r="905" spans="1:26" ht="13.8" x14ac:dyDescent="0.3">
      <c r="A905" s="2"/>
      <c r="B905" s="2"/>
      <c r="C905" s="10"/>
      <c r="D905" s="10"/>
      <c r="E905" s="10"/>
      <c r="F905" s="10"/>
      <c r="G905" s="69"/>
      <c r="H905" s="69"/>
      <c r="I905" s="69"/>
      <c r="J905" s="70"/>
      <c r="K905" s="69"/>
      <c r="L905" s="69"/>
      <c r="M905" s="69"/>
      <c r="N905" s="69"/>
      <c r="O905" s="69"/>
      <c r="P905" s="2"/>
      <c r="Q905" s="2"/>
      <c r="R905" s="32"/>
      <c r="S905" s="32"/>
      <c r="T905" s="32"/>
      <c r="U905" s="32"/>
      <c r="V905" s="2"/>
      <c r="W905" s="2"/>
      <c r="X905" s="2"/>
      <c r="Y905" s="2"/>
      <c r="Z905" s="2"/>
    </row>
    <row r="906" spans="1:26" ht="13.8" x14ac:dyDescent="0.3">
      <c r="A906" s="2"/>
      <c r="B906" s="2"/>
      <c r="C906" s="10"/>
      <c r="D906" s="10"/>
      <c r="E906" s="10"/>
      <c r="F906" s="10"/>
      <c r="G906" s="69"/>
      <c r="H906" s="69"/>
      <c r="I906" s="69"/>
      <c r="J906" s="70"/>
      <c r="K906" s="69"/>
      <c r="L906" s="69"/>
      <c r="M906" s="69"/>
      <c r="N906" s="69"/>
      <c r="O906" s="69"/>
      <c r="P906" s="2"/>
      <c r="Q906" s="2"/>
      <c r="R906" s="32"/>
      <c r="S906" s="32"/>
      <c r="T906" s="32"/>
      <c r="U906" s="32"/>
      <c r="V906" s="2"/>
      <c r="W906" s="2"/>
      <c r="X906" s="2"/>
      <c r="Y906" s="2"/>
      <c r="Z906" s="2"/>
    </row>
    <row r="907" spans="1:26" ht="13.8" x14ac:dyDescent="0.3">
      <c r="A907" s="2"/>
      <c r="B907" s="2"/>
      <c r="C907" s="10"/>
      <c r="D907" s="10"/>
      <c r="E907" s="10"/>
      <c r="F907" s="10"/>
      <c r="G907" s="69"/>
      <c r="H907" s="69"/>
      <c r="I907" s="69"/>
      <c r="J907" s="70"/>
      <c r="K907" s="69"/>
      <c r="L907" s="69"/>
      <c r="M907" s="69"/>
      <c r="N907" s="69"/>
      <c r="O907" s="69"/>
      <c r="P907" s="2"/>
      <c r="Q907" s="2"/>
      <c r="R907" s="32"/>
      <c r="S907" s="32"/>
      <c r="T907" s="32"/>
      <c r="U907" s="32"/>
      <c r="V907" s="2"/>
      <c r="W907" s="2"/>
      <c r="X907" s="2"/>
      <c r="Y907" s="2"/>
      <c r="Z907" s="2"/>
    </row>
    <row r="908" spans="1:26" ht="13.8" x14ac:dyDescent="0.3">
      <c r="A908" s="2"/>
      <c r="B908" s="2"/>
      <c r="C908" s="10"/>
      <c r="D908" s="10"/>
      <c r="E908" s="10"/>
      <c r="F908" s="10"/>
      <c r="G908" s="69"/>
      <c r="H908" s="69"/>
      <c r="I908" s="69"/>
      <c r="J908" s="70"/>
      <c r="K908" s="69"/>
      <c r="L908" s="69"/>
      <c r="M908" s="69"/>
      <c r="N908" s="69"/>
      <c r="O908" s="69"/>
      <c r="P908" s="2"/>
      <c r="Q908" s="2"/>
      <c r="R908" s="32"/>
      <c r="S908" s="32"/>
      <c r="T908" s="32"/>
      <c r="U908" s="32"/>
      <c r="V908" s="2"/>
      <c r="W908" s="2"/>
      <c r="X908" s="2"/>
      <c r="Y908" s="2"/>
      <c r="Z908" s="2"/>
    </row>
    <row r="909" spans="1:26" ht="13.8" x14ac:dyDescent="0.3">
      <c r="A909" s="2"/>
      <c r="B909" s="2"/>
      <c r="C909" s="10"/>
      <c r="D909" s="10"/>
      <c r="E909" s="10"/>
      <c r="F909" s="10"/>
      <c r="G909" s="69"/>
      <c r="H909" s="69"/>
      <c r="I909" s="69"/>
      <c r="J909" s="70"/>
      <c r="K909" s="69"/>
      <c r="L909" s="69"/>
      <c r="M909" s="69"/>
      <c r="N909" s="69"/>
      <c r="O909" s="69"/>
      <c r="P909" s="2"/>
      <c r="Q909" s="2"/>
      <c r="R909" s="32"/>
      <c r="S909" s="32"/>
      <c r="T909" s="32"/>
      <c r="U909" s="32"/>
      <c r="V909" s="2"/>
      <c r="W909" s="2"/>
      <c r="X909" s="2"/>
      <c r="Y909" s="2"/>
      <c r="Z909" s="2"/>
    </row>
    <row r="910" spans="1:26" ht="13.8" x14ac:dyDescent="0.3">
      <c r="A910" s="2"/>
      <c r="B910" s="2"/>
      <c r="C910" s="10"/>
      <c r="D910" s="10"/>
      <c r="E910" s="10"/>
      <c r="F910" s="10"/>
      <c r="G910" s="69"/>
      <c r="H910" s="69"/>
      <c r="I910" s="69"/>
      <c r="J910" s="70"/>
      <c r="K910" s="69"/>
      <c r="L910" s="69"/>
      <c r="M910" s="69"/>
      <c r="N910" s="69"/>
      <c r="O910" s="69"/>
      <c r="P910" s="2"/>
      <c r="Q910" s="2"/>
      <c r="R910" s="32"/>
      <c r="S910" s="32"/>
      <c r="T910" s="32"/>
      <c r="U910" s="32"/>
      <c r="V910" s="2"/>
      <c r="W910" s="2"/>
      <c r="X910" s="2"/>
      <c r="Y910" s="2"/>
      <c r="Z910" s="2"/>
    </row>
    <row r="911" spans="1:26" ht="13.8" x14ac:dyDescent="0.3">
      <c r="A911" s="2"/>
      <c r="B911" s="2"/>
      <c r="C911" s="10"/>
      <c r="D911" s="10"/>
      <c r="E911" s="10"/>
      <c r="F911" s="10"/>
      <c r="G911" s="69"/>
      <c r="H911" s="69"/>
      <c r="I911" s="69"/>
      <c r="J911" s="70"/>
      <c r="K911" s="69"/>
      <c r="L911" s="69"/>
      <c r="M911" s="69"/>
      <c r="N911" s="69"/>
      <c r="O911" s="69"/>
      <c r="P911" s="2"/>
      <c r="Q911" s="2"/>
      <c r="R911" s="32"/>
      <c r="S911" s="32"/>
      <c r="T911" s="32"/>
      <c r="U911" s="32"/>
      <c r="V911" s="2"/>
      <c r="W911" s="2"/>
      <c r="X911" s="2"/>
      <c r="Y911" s="2"/>
      <c r="Z911" s="2"/>
    </row>
    <row r="912" spans="1:26" ht="13.8" x14ac:dyDescent="0.3">
      <c r="A912" s="2"/>
      <c r="B912" s="2"/>
      <c r="C912" s="10"/>
      <c r="D912" s="10"/>
      <c r="E912" s="10"/>
      <c r="F912" s="10"/>
      <c r="G912" s="69"/>
      <c r="H912" s="69"/>
      <c r="I912" s="69"/>
      <c r="J912" s="70"/>
      <c r="K912" s="69"/>
      <c r="L912" s="69"/>
      <c r="M912" s="69"/>
      <c r="N912" s="69"/>
      <c r="O912" s="69"/>
      <c r="P912" s="2"/>
      <c r="Q912" s="2"/>
      <c r="R912" s="32"/>
      <c r="S912" s="32"/>
      <c r="T912" s="32"/>
      <c r="U912" s="32"/>
      <c r="V912" s="2"/>
      <c r="W912" s="2"/>
      <c r="X912" s="2"/>
      <c r="Y912" s="2"/>
      <c r="Z912" s="2"/>
    </row>
    <row r="913" spans="1:26" ht="13.8" x14ac:dyDescent="0.3">
      <c r="A913" s="2"/>
      <c r="B913" s="2"/>
      <c r="C913" s="10"/>
      <c r="D913" s="10"/>
      <c r="E913" s="10"/>
      <c r="F913" s="10"/>
      <c r="G913" s="69"/>
      <c r="H913" s="69"/>
      <c r="I913" s="69"/>
      <c r="J913" s="70"/>
      <c r="K913" s="69"/>
      <c r="L913" s="69"/>
      <c r="M913" s="69"/>
      <c r="N913" s="69"/>
      <c r="O913" s="69"/>
      <c r="P913" s="2"/>
      <c r="Q913" s="2"/>
      <c r="R913" s="32"/>
      <c r="S913" s="32"/>
      <c r="T913" s="32"/>
      <c r="U913" s="32"/>
      <c r="V913" s="2"/>
      <c r="W913" s="2"/>
      <c r="X913" s="2"/>
      <c r="Y913" s="2"/>
      <c r="Z913" s="2"/>
    </row>
    <row r="914" spans="1:26" ht="13.8" x14ac:dyDescent="0.3">
      <c r="A914" s="2"/>
      <c r="B914" s="2"/>
      <c r="C914" s="10"/>
      <c r="D914" s="10"/>
      <c r="E914" s="10"/>
      <c r="F914" s="10"/>
      <c r="G914" s="69"/>
      <c r="H914" s="69"/>
      <c r="I914" s="69"/>
      <c r="J914" s="70"/>
      <c r="K914" s="69"/>
      <c r="L914" s="69"/>
      <c r="M914" s="69"/>
      <c r="N914" s="69"/>
      <c r="O914" s="69"/>
      <c r="P914" s="2"/>
      <c r="Q914" s="2"/>
      <c r="R914" s="32"/>
      <c r="S914" s="32"/>
      <c r="T914" s="32"/>
      <c r="U914" s="32"/>
      <c r="V914" s="2"/>
      <c r="W914" s="2"/>
      <c r="X914" s="2"/>
      <c r="Y914" s="2"/>
      <c r="Z914" s="2"/>
    </row>
    <row r="915" spans="1:26" ht="13.8" x14ac:dyDescent="0.3">
      <c r="A915" s="2"/>
      <c r="B915" s="2"/>
      <c r="C915" s="10"/>
      <c r="D915" s="10"/>
      <c r="E915" s="10"/>
      <c r="F915" s="10"/>
      <c r="G915" s="69"/>
      <c r="H915" s="69"/>
      <c r="I915" s="69"/>
      <c r="J915" s="70"/>
      <c r="K915" s="69"/>
      <c r="L915" s="69"/>
      <c r="M915" s="69"/>
      <c r="N915" s="69"/>
      <c r="O915" s="69"/>
      <c r="P915" s="2"/>
      <c r="Q915" s="2"/>
      <c r="R915" s="32"/>
      <c r="S915" s="32"/>
      <c r="T915" s="32"/>
      <c r="U915" s="32"/>
      <c r="V915" s="2"/>
      <c r="W915" s="2"/>
      <c r="X915" s="2"/>
      <c r="Y915" s="2"/>
      <c r="Z915" s="2"/>
    </row>
    <row r="916" spans="1:26" ht="13.8" x14ac:dyDescent="0.3">
      <c r="A916" s="2"/>
      <c r="B916" s="2"/>
      <c r="C916" s="10"/>
      <c r="D916" s="10"/>
      <c r="E916" s="10"/>
      <c r="F916" s="10"/>
      <c r="G916" s="69"/>
      <c r="H916" s="69"/>
      <c r="I916" s="69"/>
      <c r="J916" s="70"/>
      <c r="K916" s="69"/>
      <c r="L916" s="69"/>
      <c r="M916" s="69"/>
      <c r="N916" s="69"/>
      <c r="O916" s="69"/>
      <c r="P916" s="2"/>
      <c r="Q916" s="2"/>
      <c r="R916" s="32"/>
      <c r="S916" s="32"/>
      <c r="T916" s="32"/>
      <c r="U916" s="32"/>
      <c r="V916" s="2"/>
      <c r="W916" s="2"/>
      <c r="X916" s="2"/>
      <c r="Y916" s="2"/>
      <c r="Z916" s="2"/>
    </row>
    <row r="917" spans="1:26" ht="13.8" x14ac:dyDescent="0.3">
      <c r="A917" s="2"/>
      <c r="B917" s="2"/>
      <c r="C917" s="10"/>
      <c r="D917" s="10"/>
      <c r="E917" s="10"/>
      <c r="F917" s="10"/>
      <c r="G917" s="69"/>
      <c r="H917" s="69"/>
      <c r="I917" s="69"/>
      <c r="J917" s="70"/>
      <c r="K917" s="69"/>
      <c r="L917" s="69"/>
      <c r="M917" s="69"/>
      <c r="N917" s="69"/>
      <c r="O917" s="69"/>
      <c r="P917" s="2"/>
      <c r="Q917" s="2"/>
      <c r="R917" s="32"/>
      <c r="S917" s="32"/>
      <c r="T917" s="32"/>
      <c r="U917" s="32"/>
      <c r="V917" s="2"/>
      <c r="W917" s="2"/>
      <c r="X917" s="2"/>
      <c r="Y917" s="2"/>
      <c r="Z917" s="2"/>
    </row>
    <row r="918" spans="1:26" ht="13.8" x14ac:dyDescent="0.3">
      <c r="A918" s="2"/>
      <c r="B918" s="2"/>
      <c r="C918" s="10"/>
      <c r="D918" s="10"/>
      <c r="E918" s="10"/>
      <c r="F918" s="10"/>
      <c r="G918" s="69"/>
      <c r="H918" s="69"/>
      <c r="I918" s="69"/>
      <c r="J918" s="70"/>
      <c r="K918" s="69"/>
      <c r="L918" s="69"/>
      <c r="M918" s="69"/>
      <c r="N918" s="69"/>
      <c r="O918" s="69"/>
      <c r="P918" s="2"/>
      <c r="Q918" s="2"/>
      <c r="R918" s="32"/>
      <c r="S918" s="32"/>
      <c r="T918" s="32"/>
      <c r="U918" s="32"/>
      <c r="V918" s="2"/>
      <c r="W918" s="2"/>
      <c r="X918" s="2"/>
      <c r="Y918" s="2"/>
      <c r="Z918" s="2"/>
    </row>
    <row r="919" spans="1:26" ht="13.8" x14ac:dyDescent="0.3">
      <c r="A919" s="2"/>
      <c r="B919" s="2"/>
      <c r="C919" s="10"/>
      <c r="D919" s="10"/>
      <c r="E919" s="10"/>
      <c r="F919" s="10"/>
      <c r="G919" s="69"/>
      <c r="H919" s="69"/>
      <c r="I919" s="69"/>
      <c r="J919" s="70"/>
      <c r="K919" s="69"/>
      <c r="L919" s="69"/>
      <c r="M919" s="69"/>
      <c r="N919" s="69"/>
      <c r="O919" s="69"/>
      <c r="P919" s="2"/>
      <c r="Q919" s="2"/>
      <c r="R919" s="32"/>
      <c r="S919" s="32"/>
      <c r="T919" s="32"/>
      <c r="U919" s="32"/>
      <c r="V919" s="2"/>
      <c r="W919" s="2"/>
      <c r="X919" s="2"/>
      <c r="Y919" s="2"/>
      <c r="Z919" s="2"/>
    </row>
    <row r="920" spans="1:26" ht="13.8" x14ac:dyDescent="0.3">
      <c r="A920" s="2"/>
      <c r="B920" s="2"/>
      <c r="C920" s="10"/>
      <c r="D920" s="10"/>
      <c r="E920" s="10"/>
      <c r="F920" s="10"/>
      <c r="G920" s="69"/>
      <c r="H920" s="69"/>
      <c r="I920" s="69"/>
      <c r="J920" s="70"/>
      <c r="K920" s="69"/>
      <c r="L920" s="69"/>
      <c r="M920" s="69"/>
      <c r="N920" s="69"/>
      <c r="O920" s="69"/>
      <c r="P920" s="2"/>
      <c r="Q920" s="2"/>
      <c r="R920" s="32"/>
      <c r="S920" s="32"/>
      <c r="T920" s="32"/>
      <c r="U920" s="32"/>
      <c r="V920" s="2"/>
      <c r="W920" s="2"/>
      <c r="X920" s="2"/>
      <c r="Y920" s="2"/>
      <c r="Z920" s="2"/>
    </row>
    <row r="921" spans="1:26" ht="13.8" x14ac:dyDescent="0.3">
      <c r="A921" s="2"/>
      <c r="B921" s="2"/>
      <c r="C921" s="10"/>
      <c r="D921" s="10"/>
      <c r="E921" s="10"/>
      <c r="F921" s="10"/>
      <c r="G921" s="69"/>
      <c r="H921" s="69"/>
      <c r="I921" s="69"/>
      <c r="J921" s="70"/>
      <c r="K921" s="69"/>
      <c r="L921" s="69"/>
      <c r="M921" s="69"/>
      <c r="N921" s="69"/>
      <c r="O921" s="69"/>
      <c r="P921" s="2"/>
      <c r="Q921" s="2"/>
      <c r="R921" s="32"/>
      <c r="S921" s="32"/>
      <c r="T921" s="32"/>
      <c r="U921" s="32"/>
      <c r="V921" s="2"/>
      <c r="W921" s="2"/>
      <c r="X921" s="2"/>
      <c r="Y921" s="2"/>
      <c r="Z921" s="2"/>
    </row>
    <row r="922" spans="1:26" ht="13.8" x14ac:dyDescent="0.3">
      <c r="A922" s="2"/>
      <c r="B922" s="2"/>
      <c r="C922" s="10"/>
      <c r="D922" s="10"/>
      <c r="E922" s="10"/>
      <c r="F922" s="10"/>
      <c r="G922" s="69"/>
      <c r="H922" s="69"/>
      <c r="I922" s="69"/>
      <c r="J922" s="70"/>
      <c r="K922" s="69"/>
      <c r="L922" s="69"/>
      <c r="M922" s="69"/>
      <c r="N922" s="69"/>
      <c r="O922" s="69"/>
      <c r="P922" s="2"/>
      <c r="Q922" s="2"/>
      <c r="R922" s="32"/>
      <c r="S922" s="32"/>
      <c r="T922" s="32"/>
      <c r="U922" s="32"/>
      <c r="V922" s="2"/>
      <c r="W922" s="2"/>
      <c r="X922" s="2"/>
      <c r="Y922" s="2"/>
      <c r="Z922" s="2"/>
    </row>
    <row r="923" spans="1:26" ht="13.8" x14ac:dyDescent="0.3">
      <c r="A923" s="2"/>
      <c r="B923" s="2"/>
      <c r="C923" s="10"/>
      <c r="D923" s="10"/>
      <c r="E923" s="10"/>
      <c r="F923" s="10"/>
      <c r="G923" s="69"/>
      <c r="H923" s="69"/>
      <c r="I923" s="69"/>
      <c r="J923" s="70"/>
      <c r="K923" s="69"/>
      <c r="L923" s="69"/>
      <c r="M923" s="69"/>
      <c r="N923" s="69"/>
      <c r="O923" s="69"/>
      <c r="P923" s="2"/>
      <c r="Q923" s="2"/>
      <c r="R923" s="32"/>
      <c r="S923" s="32"/>
      <c r="T923" s="32"/>
      <c r="U923" s="32"/>
      <c r="V923" s="2"/>
      <c r="W923" s="2"/>
      <c r="X923" s="2"/>
      <c r="Y923" s="2"/>
      <c r="Z923" s="2"/>
    </row>
    <row r="924" spans="1:26" ht="13.8" x14ac:dyDescent="0.3">
      <c r="A924" s="2"/>
      <c r="B924" s="2"/>
      <c r="C924" s="10"/>
      <c r="D924" s="10"/>
      <c r="E924" s="10"/>
      <c r="F924" s="10"/>
      <c r="G924" s="69"/>
      <c r="H924" s="69"/>
      <c r="I924" s="69"/>
      <c r="J924" s="70"/>
      <c r="K924" s="69"/>
      <c r="L924" s="69"/>
      <c r="M924" s="69"/>
      <c r="N924" s="69"/>
      <c r="O924" s="69"/>
      <c r="P924" s="2"/>
      <c r="Q924" s="2"/>
      <c r="R924" s="32"/>
      <c r="S924" s="32"/>
      <c r="T924" s="32"/>
      <c r="U924" s="32"/>
      <c r="V924" s="2"/>
      <c r="W924" s="2"/>
      <c r="X924" s="2"/>
      <c r="Y924" s="2"/>
      <c r="Z924" s="2"/>
    </row>
    <row r="925" spans="1:26" ht="13.8" x14ac:dyDescent="0.3">
      <c r="A925" s="2"/>
      <c r="B925" s="2"/>
      <c r="C925" s="10"/>
      <c r="D925" s="10"/>
      <c r="E925" s="10"/>
      <c r="F925" s="10"/>
      <c r="G925" s="69"/>
      <c r="H925" s="69"/>
      <c r="I925" s="69"/>
      <c r="J925" s="70"/>
      <c r="K925" s="69"/>
      <c r="L925" s="69"/>
      <c r="M925" s="69"/>
      <c r="N925" s="69"/>
      <c r="O925" s="69"/>
      <c r="P925" s="2"/>
      <c r="Q925" s="2"/>
      <c r="R925" s="32"/>
      <c r="S925" s="32"/>
      <c r="T925" s="32"/>
      <c r="U925" s="32"/>
      <c r="V925" s="2"/>
      <c r="W925" s="2"/>
      <c r="X925" s="2"/>
      <c r="Y925" s="2"/>
      <c r="Z925" s="2"/>
    </row>
    <row r="926" spans="1:26" ht="13.8" x14ac:dyDescent="0.3">
      <c r="A926" s="2"/>
      <c r="B926" s="2"/>
      <c r="C926" s="10"/>
      <c r="D926" s="10"/>
      <c r="E926" s="10"/>
      <c r="F926" s="10"/>
      <c r="G926" s="69"/>
      <c r="H926" s="69"/>
      <c r="I926" s="69"/>
      <c r="J926" s="70"/>
      <c r="K926" s="69"/>
      <c r="L926" s="69"/>
      <c r="M926" s="69"/>
      <c r="N926" s="69"/>
      <c r="O926" s="69"/>
      <c r="P926" s="2"/>
      <c r="Q926" s="2"/>
      <c r="R926" s="32"/>
      <c r="S926" s="32"/>
      <c r="T926" s="32"/>
      <c r="U926" s="32"/>
      <c r="V926" s="2"/>
      <c r="W926" s="2"/>
      <c r="X926" s="2"/>
      <c r="Y926" s="2"/>
      <c r="Z926" s="2"/>
    </row>
    <row r="927" spans="1:26" ht="13.8" x14ac:dyDescent="0.3">
      <c r="A927" s="2"/>
      <c r="B927" s="2"/>
      <c r="C927" s="10"/>
      <c r="D927" s="10"/>
      <c r="E927" s="10"/>
      <c r="F927" s="10"/>
      <c r="G927" s="69"/>
      <c r="H927" s="69"/>
      <c r="I927" s="69"/>
      <c r="J927" s="70"/>
      <c r="K927" s="69"/>
      <c r="L927" s="69"/>
      <c r="M927" s="69"/>
      <c r="N927" s="69"/>
      <c r="O927" s="69"/>
      <c r="P927" s="2"/>
      <c r="Q927" s="2"/>
      <c r="R927" s="32"/>
      <c r="S927" s="32"/>
      <c r="T927" s="32"/>
      <c r="U927" s="32"/>
      <c r="V927" s="2"/>
      <c r="W927" s="2"/>
      <c r="X927" s="2"/>
      <c r="Y927" s="2"/>
      <c r="Z927" s="2"/>
    </row>
    <row r="928" spans="1:26" ht="13.8" x14ac:dyDescent="0.3">
      <c r="A928" s="2"/>
      <c r="B928" s="2"/>
      <c r="C928" s="10"/>
      <c r="D928" s="10"/>
      <c r="E928" s="10"/>
      <c r="F928" s="10"/>
      <c r="G928" s="69"/>
      <c r="H928" s="69"/>
      <c r="I928" s="69"/>
      <c r="J928" s="70"/>
      <c r="K928" s="69"/>
      <c r="L928" s="69"/>
      <c r="M928" s="69"/>
      <c r="N928" s="69"/>
      <c r="O928" s="69"/>
      <c r="P928" s="2"/>
      <c r="Q928" s="2"/>
      <c r="R928" s="32"/>
      <c r="S928" s="32"/>
      <c r="T928" s="32"/>
      <c r="U928" s="32"/>
      <c r="V928" s="2"/>
      <c r="W928" s="2"/>
      <c r="X928" s="2"/>
      <c r="Y928" s="2"/>
      <c r="Z928" s="2"/>
    </row>
    <row r="929" spans="1:26" ht="13.8" x14ac:dyDescent="0.3">
      <c r="A929" s="2"/>
      <c r="B929" s="2"/>
      <c r="C929" s="10"/>
      <c r="D929" s="10"/>
      <c r="E929" s="10"/>
      <c r="F929" s="10"/>
      <c r="G929" s="69"/>
      <c r="H929" s="69"/>
      <c r="I929" s="69"/>
      <c r="J929" s="70"/>
      <c r="K929" s="69"/>
      <c r="L929" s="69"/>
      <c r="M929" s="69"/>
      <c r="N929" s="69"/>
      <c r="O929" s="69"/>
      <c r="P929" s="2"/>
      <c r="Q929" s="2"/>
      <c r="R929" s="32"/>
      <c r="S929" s="32"/>
      <c r="T929" s="32"/>
      <c r="U929" s="32"/>
      <c r="V929" s="2"/>
      <c r="W929" s="2"/>
      <c r="X929" s="2"/>
      <c r="Y929" s="2"/>
      <c r="Z929" s="2"/>
    </row>
    <row r="930" spans="1:26" ht="13.8" x14ac:dyDescent="0.3">
      <c r="A930" s="2"/>
      <c r="B930" s="2"/>
      <c r="C930" s="10"/>
      <c r="D930" s="10"/>
      <c r="E930" s="10"/>
      <c r="F930" s="10"/>
      <c r="G930" s="69"/>
      <c r="H930" s="69"/>
      <c r="I930" s="69"/>
      <c r="J930" s="70"/>
      <c r="K930" s="69"/>
      <c r="L930" s="69"/>
      <c r="M930" s="69"/>
      <c r="N930" s="69"/>
      <c r="O930" s="69"/>
      <c r="P930" s="2"/>
      <c r="Q930" s="2"/>
      <c r="R930" s="32"/>
      <c r="S930" s="32"/>
      <c r="T930" s="32"/>
      <c r="U930" s="32"/>
      <c r="V930" s="2"/>
      <c r="W930" s="2"/>
      <c r="X930" s="2"/>
      <c r="Y930" s="2"/>
      <c r="Z930" s="2"/>
    </row>
    <row r="931" spans="1:26" ht="13.8" x14ac:dyDescent="0.3">
      <c r="A931" s="2"/>
      <c r="B931" s="2"/>
      <c r="C931" s="10"/>
      <c r="D931" s="10"/>
      <c r="E931" s="10"/>
      <c r="F931" s="10"/>
      <c r="G931" s="69"/>
      <c r="H931" s="69"/>
      <c r="I931" s="69"/>
      <c r="J931" s="70"/>
      <c r="K931" s="69"/>
      <c r="L931" s="69"/>
      <c r="M931" s="69"/>
      <c r="N931" s="69"/>
      <c r="O931" s="69"/>
      <c r="P931" s="2"/>
      <c r="Q931" s="2"/>
      <c r="R931" s="32"/>
      <c r="S931" s="32"/>
      <c r="T931" s="32"/>
      <c r="U931" s="32"/>
      <c r="V931" s="2"/>
      <c r="W931" s="2"/>
      <c r="X931" s="2"/>
      <c r="Y931" s="2"/>
      <c r="Z931" s="2"/>
    </row>
    <row r="932" spans="1:26" ht="13.8" x14ac:dyDescent="0.3">
      <c r="A932" s="2"/>
      <c r="B932" s="2"/>
      <c r="C932" s="10"/>
      <c r="D932" s="10"/>
      <c r="E932" s="10"/>
      <c r="F932" s="10"/>
      <c r="G932" s="69"/>
      <c r="H932" s="69"/>
      <c r="I932" s="69"/>
      <c r="J932" s="70"/>
      <c r="K932" s="69"/>
      <c r="L932" s="69"/>
      <c r="M932" s="69"/>
      <c r="N932" s="69"/>
      <c r="O932" s="69"/>
      <c r="P932" s="2"/>
      <c r="Q932" s="2"/>
      <c r="R932" s="32"/>
      <c r="S932" s="32"/>
      <c r="T932" s="32"/>
      <c r="U932" s="32"/>
      <c r="V932" s="2"/>
      <c r="W932" s="2"/>
      <c r="X932" s="2"/>
      <c r="Y932" s="2"/>
      <c r="Z932" s="2"/>
    </row>
    <row r="933" spans="1:26" ht="13.8" x14ac:dyDescent="0.3">
      <c r="A933" s="2"/>
      <c r="B933" s="2"/>
      <c r="C933" s="10"/>
      <c r="D933" s="10"/>
      <c r="E933" s="10"/>
      <c r="F933" s="10"/>
      <c r="G933" s="69"/>
      <c r="H933" s="69"/>
      <c r="I933" s="69"/>
      <c r="J933" s="70"/>
      <c r="K933" s="69"/>
      <c r="L933" s="69"/>
      <c r="M933" s="69"/>
      <c r="N933" s="69"/>
      <c r="O933" s="69"/>
      <c r="P933" s="2"/>
      <c r="Q933" s="2"/>
      <c r="R933" s="32"/>
      <c r="S933" s="32"/>
      <c r="T933" s="32"/>
      <c r="U933" s="32"/>
      <c r="V933" s="2"/>
      <c r="W933" s="2"/>
      <c r="X933" s="2"/>
      <c r="Y933" s="2"/>
      <c r="Z933" s="2"/>
    </row>
    <row r="934" spans="1:26" ht="13.8" x14ac:dyDescent="0.3">
      <c r="A934" s="2"/>
      <c r="B934" s="2"/>
      <c r="C934" s="10"/>
      <c r="D934" s="10"/>
      <c r="E934" s="10"/>
      <c r="F934" s="10"/>
      <c r="G934" s="69"/>
      <c r="H934" s="69"/>
      <c r="I934" s="69"/>
      <c r="J934" s="70"/>
      <c r="K934" s="69"/>
      <c r="L934" s="69"/>
      <c r="M934" s="69"/>
      <c r="N934" s="69"/>
      <c r="O934" s="69"/>
      <c r="P934" s="2"/>
      <c r="Q934" s="2"/>
      <c r="R934" s="32"/>
      <c r="S934" s="32"/>
      <c r="T934" s="32"/>
      <c r="U934" s="32"/>
      <c r="V934" s="2"/>
      <c r="W934" s="2"/>
      <c r="X934" s="2"/>
      <c r="Y934" s="2"/>
      <c r="Z934" s="2"/>
    </row>
    <row r="935" spans="1:26" ht="13.8" x14ac:dyDescent="0.3">
      <c r="A935" s="2"/>
      <c r="B935" s="2"/>
      <c r="C935" s="10"/>
      <c r="D935" s="10"/>
      <c r="E935" s="10"/>
      <c r="F935" s="10"/>
      <c r="G935" s="69"/>
      <c r="H935" s="69"/>
      <c r="I935" s="69"/>
      <c r="J935" s="70"/>
      <c r="K935" s="69"/>
      <c r="L935" s="69"/>
      <c r="M935" s="69"/>
      <c r="N935" s="69"/>
      <c r="O935" s="69"/>
      <c r="P935" s="2"/>
      <c r="Q935" s="2"/>
      <c r="R935" s="32"/>
      <c r="S935" s="32"/>
      <c r="T935" s="32"/>
      <c r="U935" s="32"/>
      <c r="V935" s="2"/>
      <c r="W935" s="2"/>
      <c r="X935" s="2"/>
      <c r="Y935" s="2"/>
      <c r="Z935" s="2"/>
    </row>
    <row r="936" spans="1:26" ht="13.8" x14ac:dyDescent="0.3">
      <c r="A936" s="2"/>
      <c r="B936" s="2"/>
      <c r="C936" s="10"/>
      <c r="D936" s="10"/>
      <c r="E936" s="10"/>
      <c r="F936" s="10"/>
      <c r="G936" s="69"/>
      <c r="H936" s="69"/>
      <c r="I936" s="69"/>
      <c r="J936" s="70"/>
      <c r="K936" s="69"/>
      <c r="L936" s="69"/>
      <c r="M936" s="69"/>
      <c r="N936" s="69"/>
      <c r="O936" s="69"/>
      <c r="P936" s="2"/>
      <c r="Q936" s="2"/>
      <c r="R936" s="32"/>
      <c r="S936" s="32"/>
      <c r="T936" s="32"/>
      <c r="U936" s="32"/>
      <c r="V936" s="2"/>
      <c r="W936" s="2"/>
      <c r="X936" s="2"/>
      <c r="Y936" s="2"/>
      <c r="Z936" s="2"/>
    </row>
    <row r="937" spans="1:26" ht="13.8" x14ac:dyDescent="0.3">
      <c r="A937" s="2"/>
      <c r="B937" s="2"/>
      <c r="C937" s="10"/>
      <c r="D937" s="10"/>
      <c r="E937" s="10"/>
      <c r="F937" s="10"/>
      <c r="G937" s="69"/>
      <c r="H937" s="69"/>
      <c r="I937" s="69"/>
      <c r="J937" s="70"/>
      <c r="K937" s="69"/>
      <c r="L937" s="69"/>
      <c r="M937" s="69"/>
      <c r="N937" s="69"/>
      <c r="O937" s="69"/>
      <c r="P937" s="2"/>
      <c r="Q937" s="2"/>
      <c r="R937" s="32"/>
      <c r="S937" s="32"/>
      <c r="T937" s="32"/>
      <c r="U937" s="32"/>
      <c r="V937" s="2"/>
      <c r="W937" s="2"/>
      <c r="X937" s="2"/>
      <c r="Y937" s="2"/>
      <c r="Z937" s="2"/>
    </row>
    <row r="938" spans="1:26" ht="13.8" x14ac:dyDescent="0.3">
      <c r="A938" s="2"/>
      <c r="B938" s="2"/>
      <c r="C938" s="10"/>
      <c r="D938" s="10"/>
      <c r="E938" s="10"/>
      <c r="F938" s="10"/>
      <c r="G938" s="69"/>
      <c r="H938" s="69"/>
      <c r="I938" s="69"/>
      <c r="J938" s="70"/>
      <c r="K938" s="69"/>
      <c r="L938" s="69"/>
      <c r="M938" s="69"/>
      <c r="N938" s="69"/>
      <c r="O938" s="69"/>
      <c r="P938" s="2"/>
      <c r="Q938" s="2"/>
      <c r="R938" s="32"/>
      <c r="S938" s="32"/>
      <c r="T938" s="32"/>
      <c r="U938" s="32"/>
      <c r="V938" s="2"/>
      <c r="W938" s="2"/>
      <c r="X938" s="2"/>
      <c r="Y938" s="2"/>
      <c r="Z938" s="2"/>
    </row>
    <row r="939" spans="1:26" ht="13.8" x14ac:dyDescent="0.3">
      <c r="A939" s="2"/>
      <c r="B939" s="2"/>
      <c r="C939" s="10"/>
      <c r="D939" s="10"/>
      <c r="E939" s="10"/>
      <c r="F939" s="10"/>
      <c r="G939" s="69"/>
      <c r="H939" s="69"/>
      <c r="I939" s="69"/>
      <c r="J939" s="70"/>
      <c r="K939" s="69"/>
      <c r="L939" s="69"/>
      <c r="M939" s="69"/>
      <c r="N939" s="69"/>
      <c r="O939" s="69"/>
      <c r="P939" s="2"/>
      <c r="Q939" s="2"/>
      <c r="R939" s="32"/>
      <c r="S939" s="32"/>
      <c r="T939" s="32"/>
      <c r="U939" s="32"/>
      <c r="V939" s="2"/>
      <c r="W939" s="2"/>
      <c r="X939" s="2"/>
      <c r="Y939" s="2"/>
      <c r="Z939" s="2"/>
    </row>
    <row r="940" spans="1:26" ht="13.8" x14ac:dyDescent="0.3">
      <c r="A940" s="2"/>
      <c r="B940" s="2"/>
      <c r="C940" s="10"/>
      <c r="D940" s="10"/>
      <c r="E940" s="10"/>
      <c r="F940" s="10"/>
      <c r="G940" s="69"/>
      <c r="H940" s="69"/>
      <c r="I940" s="69"/>
      <c r="J940" s="70"/>
      <c r="K940" s="69"/>
      <c r="L940" s="69"/>
      <c r="M940" s="69"/>
      <c r="N940" s="69"/>
      <c r="O940" s="69"/>
      <c r="P940" s="2"/>
      <c r="Q940" s="2"/>
      <c r="R940" s="32"/>
      <c r="S940" s="32"/>
      <c r="T940" s="32"/>
      <c r="U940" s="32"/>
      <c r="V940" s="2"/>
      <c r="W940" s="2"/>
      <c r="X940" s="2"/>
      <c r="Y940" s="2"/>
      <c r="Z940" s="2"/>
    </row>
    <row r="941" spans="1:26" ht="13.8" x14ac:dyDescent="0.3">
      <c r="A941" s="2"/>
      <c r="B941" s="2"/>
      <c r="C941" s="10"/>
      <c r="D941" s="10"/>
      <c r="E941" s="10"/>
      <c r="F941" s="10"/>
      <c r="G941" s="69"/>
      <c r="H941" s="69"/>
      <c r="I941" s="69"/>
      <c r="J941" s="70"/>
      <c r="K941" s="69"/>
      <c r="L941" s="69"/>
      <c r="M941" s="69"/>
      <c r="N941" s="69"/>
      <c r="O941" s="69"/>
      <c r="P941" s="2"/>
      <c r="Q941" s="2"/>
      <c r="R941" s="32"/>
      <c r="S941" s="32"/>
      <c r="T941" s="32"/>
      <c r="U941" s="32"/>
      <c r="V941" s="2"/>
      <c r="W941" s="2"/>
      <c r="X941" s="2"/>
      <c r="Y941" s="2"/>
      <c r="Z941" s="2"/>
    </row>
    <row r="942" spans="1:26" ht="13.8" x14ac:dyDescent="0.3">
      <c r="A942" s="2"/>
      <c r="B942" s="2"/>
      <c r="C942" s="10"/>
      <c r="D942" s="10"/>
      <c r="E942" s="10"/>
      <c r="F942" s="10"/>
      <c r="G942" s="69"/>
      <c r="H942" s="69"/>
      <c r="I942" s="69"/>
      <c r="J942" s="70"/>
      <c r="K942" s="69"/>
      <c r="L942" s="69"/>
      <c r="M942" s="69"/>
      <c r="N942" s="69"/>
      <c r="O942" s="69"/>
      <c r="P942" s="2"/>
      <c r="Q942" s="2"/>
      <c r="R942" s="32"/>
      <c r="S942" s="32"/>
      <c r="T942" s="32"/>
      <c r="U942" s="32"/>
      <c r="V942" s="2"/>
      <c r="W942" s="2"/>
      <c r="X942" s="2"/>
      <c r="Y942" s="2"/>
      <c r="Z942" s="2"/>
    </row>
    <row r="943" spans="1:26" ht="13.8" x14ac:dyDescent="0.3">
      <c r="A943" s="2"/>
      <c r="B943" s="2"/>
      <c r="C943" s="10"/>
      <c r="D943" s="10"/>
      <c r="E943" s="10"/>
      <c r="F943" s="10"/>
      <c r="G943" s="69"/>
      <c r="H943" s="69"/>
      <c r="I943" s="69"/>
      <c r="J943" s="70"/>
      <c r="K943" s="69"/>
      <c r="L943" s="69"/>
      <c r="M943" s="69"/>
      <c r="N943" s="69"/>
      <c r="O943" s="69"/>
      <c r="P943" s="2"/>
      <c r="Q943" s="2"/>
      <c r="R943" s="32"/>
      <c r="S943" s="32"/>
      <c r="T943" s="32"/>
      <c r="U943" s="32"/>
      <c r="V943" s="2"/>
      <c r="W943" s="2"/>
      <c r="X943" s="2"/>
      <c r="Y943" s="2"/>
      <c r="Z943" s="2"/>
    </row>
    <row r="944" spans="1:26" ht="13.8" x14ac:dyDescent="0.3">
      <c r="A944" s="2"/>
      <c r="B944" s="2"/>
      <c r="C944" s="10"/>
      <c r="D944" s="10"/>
      <c r="E944" s="10"/>
      <c r="F944" s="10"/>
      <c r="G944" s="69"/>
      <c r="H944" s="69"/>
      <c r="I944" s="69"/>
      <c r="J944" s="70"/>
      <c r="K944" s="69"/>
      <c r="L944" s="69"/>
      <c r="M944" s="69"/>
      <c r="N944" s="69"/>
      <c r="O944" s="69"/>
      <c r="P944" s="2"/>
      <c r="Q944" s="2"/>
      <c r="R944" s="32"/>
      <c r="S944" s="32"/>
      <c r="T944" s="32"/>
      <c r="U944" s="32"/>
      <c r="V944" s="2"/>
      <c r="W944" s="2"/>
      <c r="X944" s="2"/>
      <c r="Y944" s="2"/>
      <c r="Z944" s="2"/>
    </row>
    <row r="945" spans="1:26" ht="13.8" x14ac:dyDescent="0.3">
      <c r="A945" s="2"/>
      <c r="B945" s="2"/>
      <c r="C945" s="10"/>
      <c r="D945" s="10"/>
      <c r="E945" s="10"/>
      <c r="F945" s="10"/>
      <c r="G945" s="69"/>
      <c r="H945" s="69"/>
      <c r="I945" s="69"/>
      <c r="J945" s="70"/>
      <c r="K945" s="69"/>
      <c r="L945" s="69"/>
      <c r="M945" s="69"/>
      <c r="N945" s="69"/>
      <c r="O945" s="69"/>
      <c r="P945" s="2"/>
      <c r="Q945" s="2"/>
      <c r="R945" s="32"/>
      <c r="S945" s="32"/>
      <c r="T945" s="32"/>
      <c r="U945" s="32"/>
      <c r="V945" s="2"/>
      <c r="W945" s="2"/>
      <c r="X945" s="2"/>
      <c r="Y945" s="2"/>
      <c r="Z945" s="2"/>
    </row>
    <row r="946" spans="1:26" ht="13.8" x14ac:dyDescent="0.3">
      <c r="A946" s="2"/>
      <c r="B946" s="2"/>
      <c r="C946" s="10"/>
      <c r="D946" s="10"/>
      <c r="E946" s="10"/>
      <c r="F946" s="10"/>
      <c r="G946" s="69"/>
      <c r="H946" s="69"/>
      <c r="I946" s="69"/>
      <c r="J946" s="70"/>
      <c r="K946" s="69"/>
      <c r="L946" s="69"/>
      <c r="M946" s="69"/>
      <c r="N946" s="69"/>
      <c r="O946" s="69"/>
      <c r="P946" s="2"/>
      <c r="Q946" s="2"/>
      <c r="R946" s="32"/>
      <c r="S946" s="32"/>
      <c r="T946" s="32"/>
      <c r="U946" s="32"/>
      <c r="V946" s="2"/>
      <c r="W946" s="2"/>
      <c r="X946" s="2"/>
      <c r="Y946" s="2"/>
      <c r="Z946" s="2"/>
    </row>
    <row r="947" spans="1:26" ht="13.8" x14ac:dyDescent="0.3">
      <c r="A947" s="2"/>
      <c r="B947" s="2"/>
      <c r="C947" s="10"/>
      <c r="D947" s="10"/>
      <c r="E947" s="10"/>
      <c r="F947" s="10"/>
      <c r="G947" s="69"/>
      <c r="H947" s="69"/>
      <c r="I947" s="69"/>
      <c r="J947" s="70"/>
      <c r="K947" s="69"/>
      <c r="L947" s="69"/>
      <c r="M947" s="69"/>
      <c r="N947" s="69"/>
      <c r="O947" s="69"/>
      <c r="P947" s="2"/>
      <c r="Q947" s="2"/>
      <c r="R947" s="32"/>
      <c r="S947" s="32"/>
      <c r="T947" s="32"/>
      <c r="U947" s="32"/>
      <c r="V947" s="2"/>
      <c r="W947" s="2"/>
      <c r="X947" s="2"/>
      <c r="Y947" s="2"/>
      <c r="Z947" s="2"/>
    </row>
    <row r="948" spans="1:26" ht="13.8" x14ac:dyDescent="0.3">
      <c r="A948" s="2"/>
      <c r="B948" s="2"/>
      <c r="C948" s="10"/>
      <c r="D948" s="10"/>
      <c r="E948" s="10"/>
      <c r="F948" s="10"/>
      <c r="G948" s="69"/>
      <c r="H948" s="69"/>
      <c r="I948" s="69"/>
      <c r="J948" s="70"/>
      <c r="K948" s="69"/>
      <c r="L948" s="69"/>
      <c r="M948" s="69"/>
      <c r="N948" s="69"/>
      <c r="O948" s="69"/>
      <c r="P948" s="2"/>
      <c r="Q948" s="2"/>
      <c r="R948" s="32"/>
      <c r="S948" s="32"/>
      <c r="T948" s="32"/>
      <c r="U948" s="32"/>
      <c r="V948" s="2"/>
      <c r="W948" s="2"/>
      <c r="X948" s="2"/>
      <c r="Y948" s="2"/>
      <c r="Z948" s="2"/>
    </row>
    <row r="949" spans="1:26" ht="13.8" x14ac:dyDescent="0.3">
      <c r="A949" s="2"/>
      <c r="B949" s="2"/>
      <c r="C949" s="10"/>
      <c r="D949" s="10"/>
      <c r="E949" s="10"/>
      <c r="F949" s="10"/>
      <c r="G949" s="69"/>
      <c r="H949" s="69"/>
      <c r="I949" s="69"/>
      <c r="J949" s="70"/>
      <c r="K949" s="69"/>
      <c r="L949" s="69"/>
      <c r="M949" s="69"/>
      <c r="N949" s="69"/>
      <c r="O949" s="69"/>
      <c r="P949" s="2"/>
      <c r="Q949" s="2"/>
      <c r="R949" s="32"/>
      <c r="S949" s="32"/>
      <c r="T949" s="32"/>
      <c r="U949" s="32"/>
      <c r="V949" s="2"/>
      <c r="W949" s="2"/>
      <c r="X949" s="2"/>
      <c r="Y949" s="2"/>
      <c r="Z949" s="2"/>
    </row>
    <row r="950" spans="1:26" ht="13.8" x14ac:dyDescent="0.3">
      <c r="A950" s="2"/>
      <c r="B950" s="2"/>
      <c r="C950" s="10"/>
      <c r="D950" s="10"/>
      <c r="E950" s="10"/>
      <c r="F950" s="10"/>
      <c r="G950" s="69"/>
      <c r="H950" s="69"/>
      <c r="I950" s="69"/>
      <c r="J950" s="70"/>
      <c r="K950" s="69"/>
      <c r="L950" s="69"/>
      <c r="M950" s="69"/>
      <c r="N950" s="69"/>
      <c r="O950" s="69"/>
      <c r="P950" s="2"/>
      <c r="Q950" s="2"/>
      <c r="R950" s="32"/>
      <c r="S950" s="32"/>
      <c r="T950" s="32"/>
      <c r="U950" s="32"/>
      <c r="V950" s="2"/>
      <c r="W950" s="2"/>
      <c r="X950" s="2"/>
      <c r="Y950" s="2"/>
      <c r="Z950" s="2"/>
    </row>
    <row r="951" spans="1:26" ht="13.8" x14ac:dyDescent="0.3">
      <c r="A951" s="2"/>
      <c r="B951" s="2"/>
      <c r="C951" s="10"/>
      <c r="D951" s="10"/>
      <c r="E951" s="10"/>
      <c r="F951" s="10"/>
      <c r="G951" s="69"/>
      <c r="H951" s="69"/>
      <c r="I951" s="69"/>
      <c r="J951" s="70"/>
      <c r="K951" s="69"/>
      <c r="L951" s="69"/>
      <c r="M951" s="69"/>
      <c r="N951" s="69"/>
      <c r="O951" s="69"/>
      <c r="P951" s="2"/>
      <c r="Q951" s="2"/>
      <c r="R951" s="32"/>
      <c r="S951" s="32"/>
      <c r="T951" s="32"/>
      <c r="U951" s="32"/>
      <c r="V951" s="2"/>
      <c r="W951" s="2"/>
      <c r="X951" s="2"/>
      <c r="Y951" s="2"/>
      <c r="Z951" s="2"/>
    </row>
    <row r="952" spans="1:26" ht="13.8" x14ac:dyDescent="0.3">
      <c r="A952" s="2"/>
      <c r="B952" s="2"/>
      <c r="C952" s="10"/>
      <c r="D952" s="10"/>
      <c r="E952" s="10"/>
      <c r="F952" s="10"/>
      <c r="G952" s="69"/>
      <c r="H952" s="69"/>
      <c r="I952" s="69"/>
      <c r="J952" s="70"/>
      <c r="K952" s="69"/>
      <c r="L952" s="69"/>
      <c r="M952" s="69"/>
      <c r="N952" s="69"/>
      <c r="O952" s="69"/>
      <c r="P952" s="2"/>
      <c r="Q952" s="2"/>
      <c r="R952" s="32"/>
      <c r="S952" s="32"/>
      <c r="T952" s="32"/>
      <c r="U952" s="32"/>
      <c r="V952" s="2"/>
      <c r="W952" s="2"/>
      <c r="X952" s="2"/>
      <c r="Y952" s="2"/>
      <c r="Z952" s="2"/>
    </row>
    <row r="953" spans="1:26" ht="13.8" x14ac:dyDescent="0.3">
      <c r="A953" s="2"/>
      <c r="B953" s="2"/>
      <c r="C953" s="10"/>
      <c r="D953" s="10"/>
      <c r="E953" s="10"/>
      <c r="F953" s="10"/>
      <c r="G953" s="69"/>
      <c r="H953" s="69"/>
      <c r="I953" s="69"/>
      <c r="J953" s="70"/>
      <c r="K953" s="69"/>
      <c r="L953" s="69"/>
      <c r="M953" s="69"/>
      <c r="N953" s="69"/>
      <c r="O953" s="69"/>
      <c r="P953" s="2"/>
      <c r="Q953" s="2"/>
      <c r="R953" s="32"/>
      <c r="S953" s="32"/>
      <c r="T953" s="32"/>
      <c r="U953" s="32"/>
      <c r="V953" s="2"/>
      <c r="W953" s="2"/>
      <c r="X953" s="2"/>
      <c r="Y953" s="2"/>
      <c r="Z953" s="2"/>
    </row>
    <row r="954" spans="1:26" ht="13.8" x14ac:dyDescent="0.3">
      <c r="A954" s="2"/>
      <c r="B954" s="2"/>
      <c r="C954" s="10"/>
      <c r="D954" s="10"/>
      <c r="E954" s="10"/>
      <c r="F954" s="10"/>
      <c r="G954" s="69"/>
      <c r="H954" s="69"/>
      <c r="I954" s="69"/>
      <c r="J954" s="70"/>
      <c r="K954" s="69"/>
      <c r="L954" s="69"/>
      <c r="M954" s="69"/>
      <c r="N954" s="69"/>
      <c r="O954" s="69"/>
      <c r="P954" s="2"/>
      <c r="Q954" s="2"/>
      <c r="R954" s="32"/>
      <c r="S954" s="32"/>
      <c r="T954" s="32"/>
      <c r="U954" s="32"/>
      <c r="V954" s="2"/>
      <c r="W954" s="2"/>
      <c r="X954" s="2"/>
      <c r="Y954" s="2"/>
      <c r="Z954" s="2"/>
    </row>
    <row r="955" spans="1:26" ht="13.8" x14ac:dyDescent="0.3">
      <c r="A955" s="2"/>
      <c r="B955" s="2"/>
      <c r="C955" s="10"/>
      <c r="D955" s="10"/>
      <c r="E955" s="10"/>
      <c r="F955" s="10"/>
      <c r="G955" s="69"/>
      <c r="H955" s="69"/>
      <c r="I955" s="69"/>
      <c r="J955" s="70"/>
      <c r="K955" s="69"/>
      <c r="L955" s="69"/>
      <c r="M955" s="69"/>
      <c r="N955" s="69"/>
      <c r="O955" s="69"/>
      <c r="P955" s="2"/>
      <c r="Q955" s="2"/>
      <c r="R955" s="32"/>
      <c r="S955" s="32"/>
      <c r="T955" s="32"/>
      <c r="U955" s="32"/>
      <c r="V955" s="2"/>
      <c r="W955" s="2"/>
      <c r="X955" s="2"/>
      <c r="Y955" s="2"/>
      <c r="Z955" s="2"/>
    </row>
    <row r="956" spans="1:26" ht="13.8" x14ac:dyDescent="0.3">
      <c r="A956" s="2"/>
      <c r="B956" s="2"/>
      <c r="C956" s="10"/>
      <c r="D956" s="10"/>
      <c r="E956" s="10"/>
      <c r="F956" s="10"/>
      <c r="G956" s="69"/>
      <c r="H956" s="69"/>
      <c r="I956" s="69"/>
      <c r="J956" s="70"/>
      <c r="K956" s="69"/>
      <c r="L956" s="69"/>
      <c r="M956" s="69"/>
      <c r="N956" s="69"/>
      <c r="O956" s="69"/>
      <c r="P956" s="2"/>
      <c r="Q956" s="2"/>
      <c r="R956" s="32"/>
      <c r="S956" s="32"/>
      <c r="T956" s="32"/>
      <c r="U956" s="32"/>
      <c r="V956" s="2"/>
      <c r="W956" s="2"/>
      <c r="X956" s="2"/>
      <c r="Y956" s="2"/>
      <c r="Z956" s="2"/>
    </row>
    <row r="957" spans="1:26" ht="13.8" x14ac:dyDescent="0.3">
      <c r="A957" s="2"/>
      <c r="B957" s="2"/>
      <c r="C957" s="10"/>
      <c r="D957" s="10"/>
      <c r="E957" s="10"/>
      <c r="F957" s="10"/>
      <c r="G957" s="69"/>
      <c r="H957" s="69"/>
      <c r="I957" s="69"/>
      <c r="J957" s="70"/>
      <c r="K957" s="69"/>
      <c r="L957" s="69"/>
      <c r="M957" s="69"/>
      <c r="N957" s="69"/>
      <c r="O957" s="69"/>
      <c r="P957" s="2"/>
      <c r="Q957" s="2"/>
      <c r="R957" s="32"/>
      <c r="S957" s="32"/>
      <c r="T957" s="32"/>
      <c r="U957" s="32"/>
      <c r="V957" s="2"/>
      <c r="W957" s="2"/>
      <c r="X957" s="2"/>
      <c r="Y957" s="2"/>
      <c r="Z957" s="2"/>
    </row>
    <row r="958" spans="1:26" ht="13.8" x14ac:dyDescent="0.3">
      <c r="A958" s="2"/>
      <c r="B958" s="2"/>
      <c r="C958" s="10"/>
      <c r="D958" s="10"/>
      <c r="E958" s="10"/>
      <c r="F958" s="10"/>
      <c r="G958" s="69"/>
      <c r="H958" s="69"/>
      <c r="I958" s="69"/>
      <c r="J958" s="70"/>
      <c r="K958" s="69"/>
      <c r="L958" s="69"/>
      <c r="M958" s="69"/>
      <c r="N958" s="69"/>
      <c r="O958" s="69"/>
      <c r="P958" s="2"/>
      <c r="Q958" s="2"/>
      <c r="R958" s="32"/>
      <c r="S958" s="32"/>
      <c r="T958" s="32"/>
      <c r="U958" s="32"/>
      <c r="V958" s="2"/>
      <c r="W958" s="2"/>
      <c r="X958" s="2"/>
      <c r="Y958" s="2"/>
      <c r="Z958" s="2"/>
    </row>
    <row r="959" spans="1:26" ht="13.8" x14ac:dyDescent="0.3">
      <c r="A959" s="2"/>
      <c r="B959" s="2"/>
      <c r="C959" s="10"/>
      <c r="D959" s="10"/>
      <c r="E959" s="10"/>
      <c r="F959" s="10"/>
      <c r="G959" s="69"/>
      <c r="H959" s="69"/>
      <c r="I959" s="69"/>
      <c r="J959" s="70"/>
      <c r="K959" s="69"/>
      <c r="L959" s="69"/>
      <c r="M959" s="69"/>
      <c r="N959" s="69"/>
      <c r="O959" s="69"/>
      <c r="P959" s="2"/>
      <c r="Q959" s="2"/>
      <c r="R959" s="32"/>
      <c r="S959" s="32"/>
      <c r="T959" s="32"/>
      <c r="U959" s="32"/>
      <c r="V959" s="2"/>
      <c r="W959" s="2"/>
      <c r="X959" s="2"/>
      <c r="Y959" s="2"/>
      <c r="Z959" s="2"/>
    </row>
    <row r="960" spans="1:26" ht="13.8" x14ac:dyDescent="0.3">
      <c r="A960" s="2"/>
      <c r="B960" s="2"/>
      <c r="C960" s="10"/>
      <c r="D960" s="10"/>
      <c r="E960" s="10"/>
      <c r="F960" s="10"/>
      <c r="G960" s="69"/>
      <c r="H960" s="69"/>
      <c r="I960" s="69"/>
      <c r="J960" s="70"/>
      <c r="K960" s="69"/>
      <c r="L960" s="69"/>
      <c r="M960" s="69"/>
      <c r="N960" s="69"/>
      <c r="O960" s="69"/>
      <c r="P960" s="2"/>
      <c r="Q960" s="2"/>
      <c r="R960" s="32"/>
      <c r="S960" s="32"/>
      <c r="T960" s="32"/>
      <c r="U960" s="32"/>
      <c r="V960" s="2"/>
      <c r="W960" s="2"/>
      <c r="X960" s="2"/>
      <c r="Y960" s="2"/>
      <c r="Z960" s="2"/>
    </row>
    <row r="961" spans="1:26" ht="13.8" x14ac:dyDescent="0.3">
      <c r="A961" s="2"/>
      <c r="B961" s="2"/>
      <c r="C961" s="10"/>
      <c r="D961" s="10"/>
      <c r="E961" s="10"/>
      <c r="F961" s="10"/>
      <c r="G961" s="69"/>
      <c r="H961" s="69"/>
      <c r="I961" s="69"/>
      <c r="J961" s="70"/>
      <c r="K961" s="69"/>
      <c r="L961" s="69"/>
      <c r="M961" s="69"/>
      <c r="N961" s="69"/>
      <c r="O961" s="69"/>
      <c r="P961" s="2"/>
      <c r="Q961" s="2"/>
      <c r="R961" s="32"/>
      <c r="S961" s="32"/>
      <c r="T961" s="32"/>
      <c r="U961" s="32"/>
      <c r="V961" s="2"/>
      <c r="W961" s="2"/>
      <c r="X961" s="2"/>
      <c r="Y961" s="2"/>
      <c r="Z961" s="2"/>
    </row>
    <row r="962" spans="1:26" ht="13.8" x14ac:dyDescent="0.3">
      <c r="A962" s="2"/>
      <c r="B962" s="2"/>
      <c r="C962" s="10"/>
      <c r="D962" s="10"/>
      <c r="E962" s="10"/>
      <c r="F962" s="10"/>
      <c r="G962" s="69"/>
      <c r="H962" s="69"/>
      <c r="I962" s="69"/>
      <c r="J962" s="70"/>
      <c r="K962" s="69"/>
      <c r="L962" s="69"/>
      <c r="M962" s="69"/>
      <c r="N962" s="69"/>
      <c r="O962" s="69"/>
      <c r="P962" s="2"/>
      <c r="Q962" s="2"/>
      <c r="R962" s="32"/>
      <c r="S962" s="32"/>
      <c r="T962" s="32"/>
      <c r="U962" s="32"/>
      <c r="V962" s="2"/>
      <c r="W962" s="2"/>
      <c r="X962" s="2"/>
      <c r="Y962" s="2"/>
      <c r="Z962" s="2"/>
    </row>
    <row r="963" spans="1:26" ht="13.8" x14ac:dyDescent="0.3">
      <c r="A963" s="2"/>
      <c r="B963" s="2"/>
      <c r="C963" s="10"/>
      <c r="D963" s="10"/>
      <c r="E963" s="10"/>
      <c r="F963" s="10"/>
      <c r="G963" s="69"/>
      <c r="H963" s="69"/>
      <c r="I963" s="69"/>
      <c r="J963" s="70"/>
      <c r="K963" s="69"/>
      <c r="L963" s="69"/>
      <c r="M963" s="69"/>
      <c r="N963" s="69"/>
      <c r="O963" s="69"/>
      <c r="P963" s="2"/>
      <c r="Q963" s="2"/>
      <c r="R963" s="32"/>
      <c r="S963" s="32"/>
      <c r="T963" s="32"/>
      <c r="U963" s="32"/>
      <c r="V963" s="2"/>
      <c r="W963" s="2"/>
      <c r="X963" s="2"/>
      <c r="Y963" s="2"/>
      <c r="Z963" s="2"/>
    </row>
    <row r="964" spans="1:26" ht="13.8" x14ac:dyDescent="0.3">
      <c r="A964" s="2"/>
      <c r="B964" s="2"/>
      <c r="C964" s="10"/>
      <c r="D964" s="10"/>
      <c r="E964" s="10"/>
      <c r="F964" s="10"/>
      <c r="G964" s="69"/>
      <c r="H964" s="69"/>
      <c r="I964" s="69"/>
      <c r="J964" s="70"/>
      <c r="K964" s="69"/>
      <c r="L964" s="69"/>
      <c r="M964" s="69"/>
      <c r="N964" s="69"/>
      <c r="O964" s="69"/>
      <c r="P964" s="2"/>
      <c r="Q964" s="2"/>
      <c r="R964" s="32"/>
      <c r="S964" s="32"/>
      <c r="T964" s="32"/>
      <c r="U964" s="32"/>
      <c r="V964" s="2"/>
      <c r="W964" s="2"/>
      <c r="X964" s="2"/>
      <c r="Y964" s="2"/>
      <c r="Z964" s="2"/>
    </row>
    <row r="965" spans="1:26" ht="13.8" x14ac:dyDescent="0.3">
      <c r="A965" s="2"/>
      <c r="B965" s="2"/>
      <c r="C965" s="10"/>
      <c r="D965" s="10"/>
      <c r="E965" s="10"/>
      <c r="F965" s="10"/>
      <c r="G965" s="69"/>
      <c r="H965" s="69"/>
      <c r="I965" s="69"/>
      <c r="J965" s="70"/>
      <c r="K965" s="69"/>
      <c r="L965" s="69"/>
      <c r="M965" s="69"/>
      <c r="N965" s="69"/>
      <c r="O965" s="69"/>
      <c r="P965" s="2"/>
      <c r="Q965" s="2"/>
      <c r="R965" s="32"/>
      <c r="S965" s="32"/>
      <c r="T965" s="32"/>
      <c r="U965" s="32"/>
      <c r="V965" s="2"/>
      <c r="W965" s="2"/>
      <c r="X965" s="2"/>
      <c r="Y965" s="2"/>
      <c r="Z965" s="2"/>
    </row>
    <row r="966" spans="1:26" ht="13.8" x14ac:dyDescent="0.3">
      <c r="A966" s="2"/>
      <c r="B966" s="2"/>
      <c r="C966" s="10"/>
      <c r="D966" s="10"/>
      <c r="E966" s="10"/>
      <c r="F966" s="10"/>
      <c r="G966" s="69"/>
      <c r="H966" s="69"/>
      <c r="I966" s="69"/>
      <c r="J966" s="70"/>
      <c r="K966" s="69"/>
      <c r="L966" s="69"/>
      <c r="M966" s="69"/>
      <c r="N966" s="69"/>
      <c r="O966" s="69"/>
      <c r="P966" s="2"/>
      <c r="Q966" s="2"/>
      <c r="R966" s="32"/>
      <c r="S966" s="32"/>
      <c r="T966" s="32"/>
      <c r="U966" s="32"/>
      <c r="V966" s="2"/>
      <c r="W966" s="2"/>
      <c r="X966" s="2"/>
      <c r="Y966" s="2"/>
      <c r="Z966" s="2"/>
    </row>
    <row r="967" spans="1:26" ht="13.8" x14ac:dyDescent="0.3">
      <c r="A967" s="2"/>
      <c r="B967" s="2"/>
      <c r="C967" s="10"/>
      <c r="D967" s="10"/>
      <c r="E967" s="10"/>
      <c r="F967" s="10"/>
      <c r="G967" s="69"/>
      <c r="H967" s="69"/>
      <c r="I967" s="69"/>
      <c r="J967" s="70"/>
      <c r="K967" s="69"/>
      <c r="L967" s="69"/>
      <c r="M967" s="69"/>
      <c r="N967" s="69"/>
      <c r="O967" s="69"/>
      <c r="P967" s="2"/>
      <c r="Q967" s="2"/>
      <c r="R967" s="32"/>
      <c r="S967" s="32"/>
      <c r="T967" s="32"/>
      <c r="U967" s="32"/>
      <c r="V967" s="2"/>
      <c r="W967" s="2"/>
      <c r="X967" s="2"/>
      <c r="Y967" s="2"/>
      <c r="Z967" s="2"/>
    </row>
    <row r="968" spans="1:26" ht="13.8" x14ac:dyDescent="0.3">
      <c r="A968" s="2"/>
      <c r="B968" s="2"/>
      <c r="C968" s="10"/>
      <c r="D968" s="10"/>
      <c r="E968" s="10"/>
      <c r="F968" s="10"/>
      <c r="G968" s="69"/>
      <c r="H968" s="69"/>
      <c r="I968" s="69"/>
      <c r="J968" s="70"/>
      <c r="K968" s="69"/>
      <c r="L968" s="69"/>
      <c r="M968" s="69"/>
      <c r="N968" s="69"/>
      <c r="O968" s="69"/>
      <c r="P968" s="2"/>
      <c r="Q968" s="2"/>
      <c r="R968" s="32"/>
      <c r="S968" s="32"/>
      <c r="T968" s="32"/>
      <c r="U968" s="32"/>
      <c r="V968" s="2"/>
      <c r="W968" s="2"/>
      <c r="X968" s="2"/>
      <c r="Y968" s="2"/>
      <c r="Z968" s="2"/>
    </row>
    <row r="969" spans="1:26" ht="13.8" x14ac:dyDescent="0.3">
      <c r="A969" s="2"/>
      <c r="B969" s="2"/>
      <c r="C969" s="10"/>
      <c r="D969" s="10"/>
      <c r="E969" s="10"/>
      <c r="F969" s="10"/>
      <c r="G969" s="69"/>
      <c r="H969" s="69"/>
      <c r="I969" s="69"/>
      <c r="J969" s="70"/>
      <c r="K969" s="69"/>
      <c r="L969" s="69"/>
      <c r="M969" s="69"/>
      <c r="N969" s="69"/>
      <c r="O969" s="69"/>
      <c r="P969" s="2"/>
      <c r="Q969" s="2"/>
      <c r="R969" s="32"/>
      <c r="S969" s="32"/>
      <c r="T969" s="32"/>
      <c r="U969" s="32"/>
      <c r="V969" s="2"/>
      <c r="W969" s="2"/>
      <c r="X969" s="2"/>
      <c r="Y969" s="2"/>
      <c r="Z969" s="2"/>
    </row>
    <row r="970" spans="1:26" ht="13.8" x14ac:dyDescent="0.3">
      <c r="A970" s="2"/>
      <c r="B970" s="2"/>
      <c r="C970" s="10"/>
      <c r="D970" s="10"/>
      <c r="E970" s="10"/>
      <c r="F970" s="10"/>
      <c r="G970" s="69"/>
      <c r="H970" s="69"/>
      <c r="I970" s="69"/>
      <c r="J970" s="70"/>
      <c r="K970" s="69"/>
      <c r="L970" s="69"/>
      <c r="M970" s="69"/>
      <c r="N970" s="69"/>
      <c r="O970" s="69"/>
      <c r="P970" s="2"/>
      <c r="Q970" s="2"/>
      <c r="R970" s="32"/>
      <c r="S970" s="32"/>
      <c r="T970" s="32"/>
      <c r="U970" s="32"/>
      <c r="V970" s="2"/>
      <c r="W970" s="2"/>
      <c r="X970" s="2"/>
      <c r="Y970" s="2"/>
      <c r="Z970" s="2"/>
    </row>
    <row r="971" spans="1:26" ht="13.8" x14ac:dyDescent="0.3">
      <c r="A971" s="2"/>
      <c r="B971" s="2"/>
      <c r="C971" s="10"/>
      <c r="D971" s="10"/>
      <c r="E971" s="10"/>
      <c r="F971" s="10"/>
      <c r="G971" s="69"/>
      <c r="H971" s="69"/>
      <c r="I971" s="69"/>
      <c r="J971" s="70"/>
      <c r="K971" s="69"/>
      <c r="L971" s="69"/>
      <c r="M971" s="69"/>
      <c r="N971" s="69"/>
      <c r="O971" s="69"/>
      <c r="P971" s="2"/>
      <c r="Q971" s="2"/>
      <c r="R971" s="32"/>
      <c r="S971" s="32"/>
      <c r="T971" s="32"/>
      <c r="U971" s="32"/>
      <c r="V971" s="2"/>
      <c r="W971" s="2"/>
      <c r="X971" s="2"/>
      <c r="Y971" s="2"/>
      <c r="Z971" s="2"/>
    </row>
    <row r="972" spans="1:26" ht="13.8" x14ac:dyDescent="0.3">
      <c r="A972" s="2"/>
      <c r="B972" s="2"/>
      <c r="C972" s="10"/>
      <c r="D972" s="10"/>
      <c r="E972" s="10"/>
      <c r="F972" s="10"/>
      <c r="G972" s="69"/>
      <c r="H972" s="69"/>
      <c r="I972" s="69"/>
      <c r="J972" s="70"/>
      <c r="K972" s="69"/>
      <c r="L972" s="69"/>
      <c r="M972" s="69"/>
      <c r="N972" s="69"/>
      <c r="O972" s="69"/>
      <c r="P972" s="2"/>
      <c r="Q972" s="2"/>
      <c r="R972" s="32"/>
      <c r="S972" s="32"/>
      <c r="T972" s="32"/>
      <c r="U972" s="32"/>
      <c r="V972" s="2"/>
      <c r="W972" s="2"/>
      <c r="X972" s="2"/>
      <c r="Y972" s="2"/>
      <c r="Z972" s="2"/>
    </row>
    <row r="973" spans="1:26" ht="13.8" x14ac:dyDescent="0.3">
      <c r="A973" s="2"/>
      <c r="B973" s="2"/>
      <c r="C973" s="10"/>
      <c r="D973" s="10"/>
      <c r="E973" s="10"/>
      <c r="F973" s="10"/>
      <c r="G973" s="69"/>
      <c r="H973" s="69"/>
      <c r="I973" s="69"/>
      <c r="J973" s="70"/>
      <c r="K973" s="69"/>
      <c r="L973" s="69"/>
      <c r="M973" s="69"/>
      <c r="N973" s="69"/>
      <c r="O973" s="69"/>
      <c r="P973" s="2"/>
      <c r="Q973" s="2"/>
      <c r="R973" s="32"/>
      <c r="S973" s="32"/>
      <c r="T973" s="32"/>
      <c r="U973" s="32"/>
      <c r="V973" s="2"/>
      <c r="W973" s="2"/>
      <c r="X973" s="2"/>
      <c r="Y973" s="2"/>
      <c r="Z973" s="2"/>
    </row>
    <row r="974" spans="1:26" ht="13.8" x14ac:dyDescent="0.3">
      <c r="A974" s="2"/>
      <c r="B974" s="2"/>
      <c r="C974" s="10"/>
      <c r="D974" s="10"/>
      <c r="E974" s="10"/>
      <c r="F974" s="10"/>
      <c r="G974" s="69"/>
      <c r="H974" s="69"/>
      <c r="I974" s="69"/>
      <c r="J974" s="70"/>
      <c r="K974" s="69"/>
      <c r="L974" s="69"/>
      <c r="M974" s="69"/>
      <c r="N974" s="69"/>
      <c r="O974" s="69"/>
      <c r="P974" s="2"/>
      <c r="Q974" s="2"/>
      <c r="R974" s="32"/>
      <c r="S974" s="32"/>
      <c r="T974" s="32"/>
      <c r="U974" s="32"/>
      <c r="V974" s="2"/>
      <c r="W974" s="2"/>
      <c r="X974" s="2"/>
      <c r="Y974" s="2"/>
      <c r="Z974" s="2"/>
    </row>
    <row r="975" spans="1:26" ht="13.8" x14ac:dyDescent="0.3">
      <c r="A975" s="2"/>
      <c r="B975" s="2"/>
      <c r="C975" s="10"/>
      <c r="D975" s="10"/>
      <c r="E975" s="10"/>
      <c r="F975" s="10"/>
      <c r="G975" s="69"/>
      <c r="H975" s="69"/>
      <c r="I975" s="69"/>
      <c r="J975" s="70"/>
      <c r="K975" s="69"/>
      <c r="L975" s="69"/>
      <c r="M975" s="69"/>
      <c r="N975" s="69"/>
      <c r="O975" s="69"/>
      <c r="P975" s="2"/>
      <c r="Q975" s="2"/>
      <c r="R975" s="32"/>
      <c r="S975" s="32"/>
      <c r="T975" s="32"/>
      <c r="U975" s="32"/>
      <c r="V975" s="2"/>
      <c r="W975" s="2"/>
      <c r="X975" s="2"/>
      <c r="Y975" s="2"/>
      <c r="Z975" s="2"/>
    </row>
    <row r="976" spans="1:26" ht="13.8" x14ac:dyDescent="0.3">
      <c r="A976" s="2"/>
      <c r="B976" s="2"/>
      <c r="C976" s="10"/>
      <c r="D976" s="10"/>
      <c r="E976" s="10"/>
      <c r="F976" s="10"/>
      <c r="G976" s="69"/>
      <c r="H976" s="69"/>
      <c r="I976" s="69"/>
      <c r="J976" s="70"/>
      <c r="K976" s="69"/>
      <c r="L976" s="69"/>
      <c r="M976" s="69"/>
      <c r="N976" s="69"/>
      <c r="O976" s="69"/>
      <c r="P976" s="2"/>
      <c r="Q976" s="2"/>
      <c r="R976" s="32"/>
      <c r="S976" s="32"/>
      <c r="T976" s="32"/>
      <c r="U976" s="32"/>
      <c r="V976" s="2"/>
      <c r="W976" s="2"/>
      <c r="X976" s="2"/>
      <c r="Y976" s="2"/>
      <c r="Z976" s="2"/>
    </row>
    <row r="977" spans="1:26" ht="13.8" x14ac:dyDescent="0.3">
      <c r="A977" s="2"/>
      <c r="B977" s="2"/>
      <c r="C977" s="10"/>
      <c r="D977" s="10"/>
      <c r="E977" s="10"/>
      <c r="F977" s="10"/>
      <c r="G977" s="69"/>
      <c r="H977" s="69"/>
      <c r="I977" s="69"/>
      <c r="J977" s="70"/>
      <c r="K977" s="69"/>
      <c r="L977" s="69"/>
      <c r="M977" s="69"/>
      <c r="N977" s="69"/>
      <c r="O977" s="69"/>
      <c r="P977" s="2"/>
      <c r="Q977" s="2"/>
      <c r="R977" s="32"/>
      <c r="S977" s="32"/>
      <c r="T977" s="32"/>
      <c r="U977" s="32"/>
      <c r="V977" s="2"/>
      <c r="W977" s="2"/>
      <c r="X977" s="2"/>
      <c r="Y977" s="2"/>
      <c r="Z977" s="2"/>
    </row>
    <row r="978" spans="1:26" ht="13.8" x14ac:dyDescent="0.3">
      <c r="A978" s="2"/>
      <c r="B978" s="2"/>
      <c r="C978" s="10"/>
      <c r="D978" s="10"/>
      <c r="E978" s="10"/>
      <c r="F978" s="10"/>
      <c r="G978" s="69"/>
      <c r="H978" s="69"/>
      <c r="I978" s="69"/>
      <c r="J978" s="70"/>
      <c r="K978" s="69"/>
      <c r="L978" s="69"/>
      <c r="M978" s="69"/>
      <c r="N978" s="69"/>
      <c r="O978" s="69"/>
      <c r="P978" s="2"/>
      <c r="Q978" s="2"/>
      <c r="R978" s="32"/>
      <c r="S978" s="32"/>
      <c r="T978" s="32"/>
      <c r="U978" s="32"/>
      <c r="V978" s="2"/>
      <c r="W978" s="2"/>
      <c r="X978" s="2"/>
      <c r="Y978" s="2"/>
      <c r="Z978" s="2"/>
    </row>
    <row r="979" spans="1:26" ht="13.8" x14ac:dyDescent="0.3">
      <c r="A979" s="2"/>
      <c r="B979" s="2"/>
      <c r="C979" s="10"/>
      <c r="D979" s="10"/>
      <c r="E979" s="10"/>
      <c r="F979" s="10"/>
      <c r="G979" s="69"/>
      <c r="H979" s="69"/>
      <c r="I979" s="69"/>
      <c r="J979" s="70"/>
      <c r="K979" s="69"/>
      <c r="L979" s="69"/>
      <c r="M979" s="69"/>
      <c r="N979" s="69"/>
      <c r="O979" s="69"/>
      <c r="P979" s="2"/>
      <c r="Q979" s="2"/>
      <c r="R979" s="32"/>
      <c r="S979" s="32"/>
      <c r="T979" s="32"/>
      <c r="U979" s="32"/>
      <c r="V979" s="2"/>
      <c r="W979" s="2"/>
      <c r="X979" s="2"/>
      <c r="Y979" s="2"/>
      <c r="Z979" s="2"/>
    </row>
    <row r="980" spans="1:26" ht="13.8" x14ac:dyDescent="0.3">
      <c r="A980" s="2"/>
      <c r="B980" s="2"/>
      <c r="C980" s="10"/>
      <c r="D980" s="10"/>
      <c r="E980" s="10"/>
      <c r="F980" s="10"/>
      <c r="G980" s="69"/>
      <c r="H980" s="69"/>
      <c r="I980" s="69"/>
      <c r="J980" s="70"/>
      <c r="K980" s="69"/>
      <c r="L980" s="69"/>
      <c r="M980" s="69"/>
      <c r="N980" s="69"/>
      <c r="O980" s="69"/>
      <c r="P980" s="2"/>
      <c r="Q980" s="2"/>
      <c r="R980" s="32"/>
      <c r="S980" s="32"/>
      <c r="T980" s="32"/>
      <c r="U980" s="32"/>
      <c r="V980" s="2"/>
      <c r="W980" s="2"/>
      <c r="X980" s="2"/>
      <c r="Y980" s="2"/>
      <c r="Z980" s="2"/>
    </row>
    <row r="981" spans="1:26" ht="13.8" x14ac:dyDescent="0.3">
      <c r="A981" s="2"/>
      <c r="B981" s="2"/>
      <c r="C981" s="10"/>
      <c r="D981" s="10"/>
      <c r="E981" s="10"/>
      <c r="F981" s="10"/>
      <c r="G981" s="69"/>
      <c r="H981" s="69"/>
      <c r="I981" s="69"/>
      <c r="J981" s="70"/>
      <c r="K981" s="69"/>
      <c r="L981" s="69"/>
      <c r="M981" s="69"/>
      <c r="N981" s="69"/>
      <c r="O981" s="69"/>
      <c r="P981" s="2"/>
      <c r="Q981" s="2"/>
      <c r="R981" s="32"/>
      <c r="S981" s="32"/>
      <c r="T981" s="32"/>
      <c r="U981" s="32"/>
      <c r="V981" s="2"/>
      <c r="W981" s="2"/>
      <c r="X981" s="2"/>
      <c r="Y981" s="2"/>
      <c r="Z981" s="2"/>
    </row>
    <row r="982" spans="1:26" ht="13.8" x14ac:dyDescent="0.3">
      <c r="A982" s="2"/>
      <c r="B982" s="2"/>
      <c r="C982" s="10"/>
      <c r="D982" s="10"/>
      <c r="E982" s="10"/>
      <c r="F982" s="10"/>
      <c r="G982" s="69"/>
      <c r="H982" s="69"/>
      <c r="I982" s="69"/>
      <c r="J982" s="70"/>
      <c r="K982" s="69"/>
      <c r="L982" s="69"/>
      <c r="M982" s="69"/>
      <c r="N982" s="69"/>
      <c r="O982" s="69"/>
      <c r="P982" s="2"/>
      <c r="Q982" s="2"/>
      <c r="R982" s="32"/>
      <c r="S982" s="32"/>
      <c r="T982" s="32"/>
      <c r="U982" s="32"/>
      <c r="V982" s="2"/>
      <c r="W982" s="2"/>
      <c r="X982" s="2"/>
      <c r="Y982" s="2"/>
      <c r="Z982" s="2"/>
    </row>
    <row r="983" spans="1:26" ht="13.8" x14ac:dyDescent="0.3">
      <c r="A983" s="2"/>
      <c r="B983" s="2"/>
      <c r="C983" s="10"/>
      <c r="D983" s="10"/>
      <c r="E983" s="10"/>
      <c r="F983" s="10"/>
      <c r="G983" s="69"/>
      <c r="H983" s="69"/>
      <c r="I983" s="69"/>
      <c r="J983" s="70"/>
      <c r="K983" s="69"/>
      <c r="L983" s="69"/>
      <c r="M983" s="69"/>
      <c r="N983" s="69"/>
      <c r="O983" s="69"/>
      <c r="P983" s="2"/>
      <c r="Q983" s="2"/>
      <c r="R983" s="32"/>
      <c r="S983" s="32"/>
      <c r="T983" s="32"/>
      <c r="U983" s="32"/>
      <c r="V983" s="2"/>
      <c r="W983" s="2"/>
      <c r="X983" s="2"/>
      <c r="Y983" s="2"/>
      <c r="Z983" s="2"/>
    </row>
    <row r="984" spans="1:26" ht="13.8" x14ac:dyDescent="0.3">
      <c r="A984" s="2"/>
      <c r="B984" s="2"/>
      <c r="C984" s="10"/>
      <c r="D984" s="10"/>
      <c r="E984" s="10"/>
      <c r="F984" s="10"/>
      <c r="G984" s="69"/>
      <c r="H984" s="69"/>
      <c r="I984" s="69"/>
      <c r="J984" s="70"/>
      <c r="K984" s="69"/>
      <c r="L984" s="69"/>
      <c r="M984" s="69"/>
      <c r="N984" s="69"/>
      <c r="O984" s="69"/>
      <c r="P984" s="2"/>
      <c r="Q984" s="2"/>
      <c r="R984" s="32"/>
      <c r="S984" s="32"/>
      <c r="T984" s="32"/>
      <c r="U984" s="32"/>
      <c r="V984" s="2"/>
      <c r="W984" s="2"/>
      <c r="X984" s="2"/>
      <c r="Y984" s="2"/>
      <c r="Z984" s="2"/>
    </row>
    <row r="985" spans="1:26" ht="13.8" x14ac:dyDescent="0.3">
      <c r="A985" s="2"/>
      <c r="B985" s="2"/>
      <c r="C985" s="10"/>
      <c r="D985" s="10"/>
      <c r="E985" s="10"/>
      <c r="F985" s="10"/>
      <c r="G985" s="69"/>
      <c r="H985" s="69"/>
      <c r="I985" s="69"/>
      <c r="J985" s="70"/>
      <c r="K985" s="69"/>
      <c r="L985" s="69"/>
      <c r="M985" s="69"/>
      <c r="N985" s="69"/>
      <c r="O985" s="69"/>
      <c r="P985" s="2"/>
      <c r="Q985" s="2"/>
      <c r="R985" s="32"/>
      <c r="S985" s="32"/>
      <c r="T985" s="32"/>
      <c r="U985" s="32"/>
      <c r="V985" s="2"/>
      <c r="W985" s="2"/>
      <c r="X985" s="2"/>
      <c r="Y985" s="2"/>
      <c r="Z985" s="2"/>
    </row>
    <row r="986" spans="1:26" ht="13.8" x14ac:dyDescent="0.3">
      <c r="A986" s="2"/>
      <c r="B986" s="2"/>
      <c r="C986" s="10"/>
      <c r="D986" s="10"/>
      <c r="E986" s="10"/>
      <c r="F986" s="10"/>
      <c r="G986" s="69"/>
      <c r="H986" s="69"/>
      <c r="I986" s="69"/>
      <c r="J986" s="70"/>
      <c r="K986" s="69"/>
      <c r="L986" s="69"/>
      <c r="M986" s="69"/>
      <c r="N986" s="69"/>
      <c r="O986" s="69"/>
      <c r="P986" s="2"/>
      <c r="Q986" s="2"/>
      <c r="R986" s="32"/>
      <c r="S986" s="32"/>
      <c r="T986" s="32"/>
      <c r="U986" s="32"/>
      <c r="V986" s="2"/>
      <c r="W986" s="2"/>
      <c r="X986" s="2"/>
      <c r="Y986" s="2"/>
      <c r="Z986" s="2"/>
    </row>
    <row r="987" spans="1:26" ht="13.8" x14ac:dyDescent="0.3">
      <c r="A987" s="2"/>
      <c r="B987" s="2"/>
      <c r="C987" s="10"/>
      <c r="D987" s="10"/>
      <c r="E987" s="10"/>
      <c r="F987" s="10"/>
      <c r="G987" s="69"/>
      <c r="H987" s="69"/>
      <c r="I987" s="69"/>
      <c r="J987" s="70"/>
      <c r="K987" s="69"/>
      <c r="L987" s="69"/>
      <c r="M987" s="69"/>
      <c r="N987" s="69"/>
      <c r="O987" s="69"/>
      <c r="P987" s="2"/>
      <c r="Q987" s="2"/>
      <c r="R987" s="32"/>
      <c r="S987" s="32"/>
      <c r="T987" s="32"/>
      <c r="U987" s="32"/>
      <c r="V987" s="2"/>
      <c r="W987" s="2"/>
      <c r="X987" s="2"/>
      <c r="Y987" s="2"/>
      <c r="Z987" s="2"/>
    </row>
    <row r="988" spans="1:26" ht="13.8" x14ac:dyDescent="0.3">
      <c r="A988" s="2"/>
      <c r="B988" s="2"/>
      <c r="C988" s="10"/>
      <c r="D988" s="10"/>
      <c r="E988" s="10"/>
      <c r="F988" s="10"/>
      <c r="G988" s="69"/>
      <c r="H988" s="69"/>
      <c r="I988" s="69"/>
      <c r="J988" s="70"/>
      <c r="K988" s="69"/>
      <c r="L988" s="69"/>
      <c r="M988" s="69"/>
      <c r="N988" s="69"/>
      <c r="O988" s="69"/>
      <c r="P988" s="2"/>
      <c r="Q988" s="2"/>
      <c r="R988" s="32"/>
      <c r="S988" s="32"/>
      <c r="T988" s="32"/>
      <c r="U988" s="32"/>
      <c r="V988" s="2"/>
      <c r="W988" s="2"/>
      <c r="X988" s="2"/>
      <c r="Y988" s="2"/>
      <c r="Z988" s="2"/>
    </row>
    <row r="989" spans="1:26" ht="13.8" x14ac:dyDescent="0.3">
      <c r="A989" s="2"/>
      <c r="B989" s="2"/>
      <c r="C989" s="10"/>
      <c r="D989" s="10"/>
      <c r="E989" s="10"/>
      <c r="F989" s="10"/>
      <c r="G989" s="69"/>
      <c r="H989" s="69"/>
      <c r="I989" s="69"/>
      <c r="J989" s="70"/>
      <c r="K989" s="69"/>
      <c r="L989" s="69"/>
      <c r="M989" s="69"/>
      <c r="N989" s="69"/>
      <c r="O989" s="69"/>
      <c r="P989" s="2"/>
      <c r="Q989" s="2"/>
      <c r="R989" s="32"/>
      <c r="S989" s="32"/>
      <c r="T989" s="32"/>
      <c r="U989" s="32"/>
      <c r="V989" s="2"/>
      <c r="W989" s="2"/>
      <c r="X989" s="2"/>
      <c r="Y989" s="2"/>
      <c r="Z989" s="2"/>
    </row>
    <row r="990" spans="1:26" ht="13.8" x14ac:dyDescent="0.3">
      <c r="A990" s="2"/>
      <c r="B990" s="2"/>
      <c r="C990" s="10"/>
      <c r="D990" s="10"/>
      <c r="E990" s="10"/>
      <c r="F990" s="10"/>
      <c r="G990" s="69"/>
      <c r="H990" s="69"/>
      <c r="I990" s="69"/>
      <c r="J990" s="70"/>
      <c r="K990" s="69"/>
      <c r="L990" s="69"/>
      <c r="M990" s="69"/>
      <c r="N990" s="69"/>
      <c r="O990" s="69"/>
      <c r="P990" s="2"/>
      <c r="Q990" s="2"/>
      <c r="R990" s="32"/>
      <c r="S990" s="32"/>
      <c r="T990" s="32"/>
      <c r="U990" s="32"/>
      <c r="V990" s="2"/>
      <c r="W990" s="2"/>
      <c r="X990" s="2"/>
      <c r="Y990" s="2"/>
      <c r="Z990" s="2"/>
    </row>
    <row r="991" spans="1:26" ht="13.8" x14ac:dyDescent="0.3">
      <c r="A991" s="2"/>
      <c r="B991" s="2"/>
      <c r="C991" s="10"/>
      <c r="D991" s="10"/>
      <c r="E991" s="10"/>
      <c r="F991" s="10"/>
      <c r="G991" s="69"/>
      <c r="H991" s="69"/>
      <c r="I991" s="69"/>
      <c r="J991" s="70"/>
      <c r="K991" s="69"/>
      <c r="L991" s="69"/>
      <c r="M991" s="69"/>
      <c r="N991" s="69"/>
      <c r="O991" s="69"/>
      <c r="P991" s="2"/>
      <c r="Q991" s="2"/>
      <c r="R991" s="32"/>
      <c r="S991" s="32"/>
      <c r="T991" s="32"/>
      <c r="U991" s="32"/>
      <c r="V991" s="2"/>
      <c r="W991" s="2"/>
      <c r="X991" s="2"/>
      <c r="Y991" s="2"/>
      <c r="Z991" s="2"/>
    </row>
    <row r="992" spans="1:26" ht="13.8" x14ac:dyDescent="0.3">
      <c r="A992" s="2"/>
      <c r="B992" s="2"/>
      <c r="C992" s="10"/>
      <c r="D992" s="10"/>
      <c r="E992" s="10"/>
      <c r="F992" s="10"/>
      <c r="G992" s="69"/>
      <c r="H992" s="69"/>
      <c r="I992" s="69"/>
      <c r="J992" s="70"/>
      <c r="K992" s="69"/>
      <c r="L992" s="69"/>
      <c r="M992" s="69"/>
      <c r="N992" s="69"/>
      <c r="O992" s="69"/>
      <c r="P992" s="2"/>
      <c r="Q992" s="2"/>
      <c r="R992" s="32"/>
      <c r="S992" s="32"/>
      <c r="T992" s="32"/>
      <c r="U992" s="32"/>
      <c r="V992" s="2"/>
      <c r="W992" s="2"/>
      <c r="X992" s="2"/>
      <c r="Y992" s="2"/>
      <c r="Z992" s="2"/>
    </row>
    <row r="993" spans="1:26" ht="13.8" x14ac:dyDescent="0.3">
      <c r="A993" s="2"/>
      <c r="B993" s="2"/>
      <c r="C993" s="10"/>
      <c r="D993" s="10"/>
      <c r="E993" s="10"/>
      <c r="F993" s="10"/>
      <c r="G993" s="69"/>
      <c r="H993" s="69"/>
      <c r="I993" s="69"/>
      <c r="J993" s="70"/>
      <c r="K993" s="69"/>
      <c r="L993" s="69"/>
      <c r="M993" s="69"/>
      <c r="N993" s="69"/>
      <c r="O993" s="69"/>
      <c r="P993" s="2"/>
      <c r="Q993" s="2"/>
      <c r="R993" s="32"/>
      <c r="S993" s="32"/>
      <c r="T993" s="32"/>
      <c r="U993" s="32"/>
      <c r="V993" s="2"/>
      <c r="W993" s="2"/>
      <c r="X993" s="2"/>
      <c r="Y993" s="2"/>
      <c r="Z993" s="2"/>
    </row>
    <row r="994" spans="1:26" ht="13.8" x14ac:dyDescent="0.3">
      <c r="A994" s="2"/>
      <c r="B994" s="2"/>
      <c r="C994" s="10"/>
      <c r="D994" s="10"/>
      <c r="E994" s="10"/>
      <c r="F994" s="10"/>
      <c r="G994" s="69"/>
      <c r="H994" s="69"/>
      <c r="I994" s="69"/>
      <c r="J994" s="70"/>
      <c r="K994" s="69"/>
      <c r="L994" s="69"/>
      <c r="M994" s="69"/>
      <c r="N994" s="69"/>
      <c r="O994" s="69"/>
      <c r="P994" s="2"/>
      <c r="Q994" s="2"/>
      <c r="R994" s="32"/>
      <c r="S994" s="32"/>
      <c r="T994" s="32"/>
      <c r="U994" s="32"/>
      <c r="V994" s="2"/>
      <c r="W994" s="2"/>
      <c r="X994" s="2"/>
      <c r="Y994" s="2"/>
      <c r="Z994" s="2"/>
    </row>
    <row r="995" spans="1:26" ht="13.8" x14ac:dyDescent="0.3">
      <c r="A995" s="2"/>
      <c r="B995" s="2"/>
      <c r="C995" s="10"/>
      <c r="D995" s="10"/>
      <c r="E995" s="10"/>
      <c r="F995" s="10"/>
      <c r="G995" s="69"/>
      <c r="H995" s="69"/>
      <c r="I995" s="69"/>
      <c r="J995" s="70"/>
      <c r="K995" s="69"/>
      <c r="L995" s="69"/>
      <c r="M995" s="69"/>
      <c r="N995" s="69"/>
      <c r="O995" s="69"/>
      <c r="P995" s="2"/>
      <c r="Q995" s="2"/>
      <c r="R995" s="32"/>
      <c r="S995" s="32"/>
      <c r="T995" s="32"/>
      <c r="U995" s="32"/>
      <c r="V995" s="2"/>
      <c r="W995" s="2"/>
      <c r="X995" s="2"/>
      <c r="Y995" s="2"/>
      <c r="Z995" s="2"/>
    </row>
    <row r="996" spans="1:26" ht="13.8" x14ac:dyDescent="0.3">
      <c r="A996" s="2"/>
      <c r="B996" s="2"/>
      <c r="C996" s="10"/>
      <c r="D996" s="10"/>
      <c r="E996" s="10"/>
      <c r="F996" s="10"/>
      <c r="G996" s="69"/>
      <c r="H996" s="69"/>
      <c r="I996" s="69"/>
      <c r="J996" s="70"/>
      <c r="K996" s="69"/>
      <c r="L996" s="69"/>
      <c r="M996" s="69"/>
      <c r="N996" s="69"/>
      <c r="O996" s="69"/>
      <c r="P996" s="2"/>
      <c r="Q996" s="2"/>
      <c r="R996" s="32"/>
      <c r="S996" s="32"/>
      <c r="T996" s="32"/>
      <c r="U996" s="32"/>
      <c r="V996" s="2"/>
      <c r="W996" s="2"/>
      <c r="X996" s="2"/>
      <c r="Y996" s="2"/>
      <c r="Z996" s="2"/>
    </row>
    <row r="997" spans="1:26" ht="13.8" x14ac:dyDescent="0.3">
      <c r="A997" s="2"/>
      <c r="B997" s="2"/>
      <c r="C997" s="10"/>
      <c r="D997" s="10"/>
      <c r="E997" s="10"/>
      <c r="F997" s="10"/>
      <c r="G997" s="69"/>
      <c r="H997" s="69"/>
      <c r="I997" s="69"/>
      <c r="J997" s="70"/>
      <c r="K997" s="69"/>
      <c r="L997" s="69"/>
      <c r="M997" s="69"/>
      <c r="N997" s="69"/>
      <c r="O997" s="69"/>
      <c r="P997" s="2"/>
      <c r="Q997" s="2"/>
      <c r="R997" s="32"/>
      <c r="S997" s="32"/>
      <c r="T997" s="32"/>
      <c r="U997" s="32"/>
      <c r="V997" s="2"/>
      <c r="W997" s="2"/>
      <c r="X997" s="2"/>
      <c r="Y997" s="2"/>
      <c r="Z997" s="2"/>
    </row>
    <row r="998" spans="1:26" ht="13.8" x14ac:dyDescent="0.3">
      <c r="A998" s="2"/>
      <c r="B998" s="2"/>
      <c r="C998" s="10"/>
      <c r="D998" s="10"/>
      <c r="E998" s="10"/>
      <c r="F998" s="10"/>
      <c r="G998" s="69"/>
      <c r="H998" s="69"/>
      <c r="I998" s="69"/>
      <c r="J998" s="70"/>
      <c r="K998" s="69"/>
      <c r="L998" s="69"/>
      <c r="M998" s="69"/>
      <c r="N998" s="69"/>
      <c r="O998" s="69"/>
      <c r="P998" s="2"/>
      <c r="Q998" s="2"/>
      <c r="R998" s="32"/>
      <c r="S998" s="32"/>
      <c r="T998" s="32"/>
      <c r="U998" s="32"/>
      <c r="V998" s="2"/>
      <c r="W998" s="2"/>
      <c r="X998" s="2"/>
      <c r="Y998" s="2"/>
      <c r="Z998" s="2"/>
    </row>
    <row r="999" spans="1:26" ht="13.8" x14ac:dyDescent="0.3">
      <c r="A999" s="2"/>
      <c r="B999" s="2"/>
      <c r="C999" s="10"/>
      <c r="D999" s="10"/>
      <c r="E999" s="10"/>
      <c r="F999" s="10"/>
      <c r="G999" s="69"/>
      <c r="H999" s="69"/>
      <c r="I999" s="69"/>
      <c r="J999" s="70"/>
      <c r="K999" s="69"/>
      <c r="L999" s="69"/>
      <c r="M999" s="69"/>
      <c r="N999" s="69"/>
      <c r="O999" s="69"/>
      <c r="P999" s="2"/>
      <c r="Q999" s="2"/>
      <c r="R999" s="32"/>
      <c r="S999" s="32"/>
      <c r="T999" s="32"/>
      <c r="U999" s="32"/>
      <c r="V999" s="2"/>
      <c r="W999" s="2"/>
      <c r="X999" s="2"/>
      <c r="Y999" s="2"/>
      <c r="Z999" s="2"/>
    </row>
    <row r="1000" spans="1:26" ht="13.8" x14ac:dyDescent="0.3">
      <c r="A1000" s="2"/>
      <c r="B1000" s="2"/>
      <c r="C1000" s="10"/>
      <c r="D1000" s="10"/>
      <c r="E1000" s="10"/>
      <c r="F1000" s="10"/>
      <c r="G1000" s="69"/>
      <c r="H1000" s="69"/>
      <c r="I1000" s="69"/>
      <c r="J1000" s="70"/>
      <c r="K1000" s="69"/>
      <c r="L1000" s="69"/>
      <c r="M1000" s="69"/>
      <c r="N1000" s="69"/>
      <c r="O1000" s="69"/>
      <c r="P1000" s="2"/>
      <c r="Q1000" s="2"/>
      <c r="R1000" s="32"/>
      <c r="S1000" s="32"/>
      <c r="T1000" s="32"/>
      <c r="U1000" s="3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77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76</v>
      </c>
      <c r="C2" s="10">
        <v>2381219</v>
      </c>
      <c r="D2" s="32" t="s">
        <v>534</v>
      </c>
      <c r="E2" s="69">
        <v>5768.86</v>
      </c>
      <c r="F2" s="69">
        <v>3571.68</v>
      </c>
      <c r="G2" s="69">
        <f t="shared" ref="G2:G3" si="0">F2*0.5</f>
        <v>1785.84</v>
      </c>
      <c r="H2" s="70">
        <v>1</v>
      </c>
      <c r="I2" s="69">
        <f t="shared" ref="I2:I3" si="1">(E2*0.98+G2)*H2*0.6</f>
        <v>4463.5936799999999</v>
      </c>
      <c r="J2" s="19" t="s">
        <v>468</v>
      </c>
      <c r="K2" s="58">
        <v>0</v>
      </c>
      <c r="L2" s="58">
        <v>0</v>
      </c>
      <c r="M2" s="58">
        <f>SUM(K:L)</f>
        <v>2654.2779343296888</v>
      </c>
      <c r="N2" s="2" t="s">
        <v>412</v>
      </c>
      <c r="O2" s="2" t="s">
        <v>413</v>
      </c>
      <c r="P2" s="32">
        <v>-12338.97</v>
      </c>
      <c r="Q2" s="32">
        <f>SUM(I:I)</f>
        <v>-22265.530738167279</v>
      </c>
      <c r="R2" s="32">
        <f>SUM(P:P)</f>
        <v>-28812.079999999998</v>
      </c>
      <c r="S2" s="32">
        <f>Q2+R2+B126</f>
        <v>-50778.80043816728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2" t="s">
        <v>186</v>
      </c>
      <c r="C3" s="10">
        <v>1714680</v>
      </c>
      <c r="D3" s="76" t="s">
        <v>535</v>
      </c>
      <c r="E3" s="69">
        <v>1433.2</v>
      </c>
      <c r="F3" s="69">
        <v>40.44</v>
      </c>
      <c r="G3" s="69">
        <f t="shared" si="0"/>
        <v>20.22</v>
      </c>
      <c r="H3" s="70">
        <v>1</v>
      </c>
      <c r="I3" s="69">
        <f t="shared" si="1"/>
        <v>854.85360000000003</v>
      </c>
      <c r="J3" s="19" t="s">
        <v>468</v>
      </c>
      <c r="K3" s="58">
        <f>(-F3*0.4*0.15+E3*0.25)*H3*0.7-(-F3*0.05*0.15)*H3+E3*0.02*0.6*H3*0.7</f>
        <v>261.45369999999997</v>
      </c>
      <c r="L3" s="58">
        <f>(F3*0.1*0.85+G3*0.25)*H3*0.7+F3*0.05*0.85*H3</f>
        <v>7.6633800000000001</v>
      </c>
      <c r="M3" s="58"/>
      <c r="N3" s="2" t="s">
        <v>471</v>
      </c>
      <c r="O3" s="2" t="s">
        <v>536</v>
      </c>
      <c r="P3" s="32">
        <v>3373.25</v>
      </c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32" t="s">
        <v>61</v>
      </c>
      <c r="C4" s="2" t="s">
        <v>537</v>
      </c>
      <c r="D4" s="32" t="s">
        <v>538</v>
      </c>
      <c r="E4" s="69">
        <v>4126.32</v>
      </c>
      <c r="F4" s="69">
        <v>2136.59</v>
      </c>
      <c r="G4" s="69">
        <f>F4*0.3</f>
        <v>640.97699999999998</v>
      </c>
      <c r="H4" s="70">
        <v>1.17363</v>
      </c>
      <c r="I4" s="69">
        <f>(E4+G4)*H4*0.75</f>
        <v>4196.2820835824987</v>
      </c>
      <c r="J4" s="78" t="s">
        <v>468</v>
      </c>
      <c r="K4" s="61">
        <f>E4*0.25*H4</f>
        <v>1210.6932353999998</v>
      </c>
      <c r="L4" s="61">
        <f>(F4*0.35+G4*0.25)*H4</f>
        <v>1065.7156017225</v>
      </c>
      <c r="M4" s="58"/>
      <c r="N4" s="2" t="s">
        <v>429</v>
      </c>
      <c r="O4" s="2" t="s">
        <v>539</v>
      </c>
      <c r="P4" s="32">
        <v>-5420.91</v>
      </c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32" t="s">
        <v>86</v>
      </c>
      <c r="C5" s="2" t="s">
        <v>537</v>
      </c>
      <c r="D5" s="32" t="s">
        <v>538</v>
      </c>
      <c r="E5" s="69">
        <v>5824.48</v>
      </c>
      <c r="F5" s="69">
        <v>2005.54</v>
      </c>
      <c r="G5" s="69">
        <f>F5*0.45</f>
        <v>902.49300000000005</v>
      </c>
      <c r="H5" s="74">
        <v>1</v>
      </c>
      <c r="I5" s="69">
        <f>(E5+G5)*H5*0.6525</f>
        <v>4389.3498824999997</v>
      </c>
      <c r="J5" s="78" t="s">
        <v>468</v>
      </c>
      <c r="K5" s="61">
        <f>E5*0.2175*H5</f>
        <v>1266.8244</v>
      </c>
      <c r="L5" s="61">
        <f>(F5*0.1*0.87+G5*0.2175)*H5</f>
        <v>370.77420749999999</v>
      </c>
      <c r="M5" s="58"/>
      <c r="N5" s="2" t="s">
        <v>316</v>
      </c>
      <c r="O5" s="2" t="s">
        <v>540</v>
      </c>
      <c r="P5" s="32">
        <v>-3000</v>
      </c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296</v>
      </c>
      <c r="B6" s="32" t="s">
        <v>55</v>
      </c>
      <c r="C6" s="2" t="s">
        <v>537</v>
      </c>
      <c r="D6" s="32" t="s">
        <v>538</v>
      </c>
      <c r="E6" s="69">
        <v>8016.29</v>
      </c>
      <c r="F6" s="69">
        <v>4111.68</v>
      </c>
      <c r="G6" s="69">
        <f>F6*0.5</f>
        <v>2055.84</v>
      </c>
      <c r="H6" s="70">
        <v>1</v>
      </c>
      <c r="I6" s="69">
        <f>(E6+G6)*H6*0.75*0.97</f>
        <v>7327.4745750000002</v>
      </c>
      <c r="J6" s="78" t="s">
        <v>468</v>
      </c>
      <c r="K6" s="61">
        <f>E6*0.25*H6*0.97</f>
        <v>1943.950325</v>
      </c>
      <c r="L6" s="61">
        <f>(F6*0.16+G6*0.25)*H6*0.97</f>
        <v>1136.6739360000001</v>
      </c>
      <c r="M6" s="58"/>
      <c r="N6" s="2" t="s">
        <v>541</v>
      </c>
      <c r="O6" s="2" t="s">
        <v>540</v>
      </c>
      <c r="P6" s="32">
        <v>-1000</v>
      </c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296</v>
      </c>
      <c r="B7" s="10" t="s">
        <v>65</v>
      </c>
      <c r="C7" s="10">
        <v>141628</v>
      </c>
      <c r="D7" s="32" t="s">
        <v>542</v>
      </c>
      <c r="E7" s="32">
        <v>-27207.66</v>
      </c>
      <c r="F7" s="32">
        <v>1335.8</v>
      </c>
      <c r="G7" s="32">
        <f>F7*0.65</f>
        <v>868.27</v>
      </c>
      <c r="H7" s="75">
        <v>0.26985999999999999</v>
      </c>
      <c r="I7" s="32">
        <f t="shared" ref="I7:I9" si="2">(E7+G7)*H7*0.75</f>
        <v>-5330.9608390499998</v>
      </c>
      <c r="J7" s="78" t="s">
        <v>468</v>
      </c>
      <c r="K7" s="61">
        <f t="shared" ref="K7:K8" si="3">E7*0.25*H7</f>
        <v>-1835.5647818999998</v>
      </c>
      <c r="L7" s="61">
        <f>(F7*0.2+G7*0.25)*H7</f>
        <v>130.67363315</v>
      </c>
      <c r="M7" s="58"/>
      <c r="N7" s="2" t="s">
        <v>543</v>
      </c>
      <c r="O7" s="2" t="s">
        <v>540</v>
      </c>
      <c r="P7" s="32">
        <v>-5000</v>
      </c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317</v>
      </c>
      <c r="B8" s="32" t="s">
        <v>69</v>
      </c>
      <c r="C8" s="2" t="s">
        <v>544</v>
      </c>
      <c r="D8" s="32" t="s">
        <v>545</v>
      </c>
      <c r="E8" s="69">
        <v>1433</v>
      </c>
      <c r="F8" s="69">
        <v>62.12</v>
      </c>
      <c r="G8" s="69">
        <f>F8*0.55</f>
        <v>34.166000000000004</v>
      </c>
      <c r="H8" s="74">
        <v>1</v>
      </c>
      <c r="I8" s="69">
        <f t="shared" si="2"/>
        <v>1100.3744999999999</v>
      </c>
      <c r="J8" s="78">
        <f>F8*0.05*H8</f>
        <v>3.1059999999999999</v>
      </c>
      <c r="K8" s="61">
        <f t="shared" si="3"/>
        <v>358.25</v>
      </c>
      <c r="L8" s="61">
        <f>(F8*0.25+G8*0.25)*H8</f>
        <v>24.0715</v>
      </c>
      <c r="M8" s="58"/>
      <c r="N8" s="2" t="s">
        <v>319</v>
      </c>
      <c r="O8" s="2" t="s">
        <v>546</v>
      </c>
      <c r="P8" s="32">
        <v>-7.84</v>
      </c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 t="s">
        <v>317</v>
      </c>
      <c r="B9" s="32" t="s">
        <v>55</v>
      </c>
      <c r="C9" s="2" t="s">
        <v>537</v>
      </c>
      <c r="D9" s="32" t="s">
        <v>538</v>
      </c>
      <c r="E9" s="69">
        <v>-4227.7</v>
      </c>
      <c r="F9" s="69">
        <v>596.94000000000005</v>
      </c>
      <c r="G9" s="69">
        <f t="shared" ref="G9:G11" si="4">F9*0.5</f>
        <v>298.47000000000003</v>
      </c>
      <c r="H9" s="70">
        <v>1</v>
      </c>
      <c r="I9" s="69">
        <f t="shared" si="2"/>
        <v>-2946.9224999999997</v>
      </c>
      <c r="J9" s="78" t="s">
        <v>468</v>
      </c>
      <c r="K9" s="61">
        <f>E9*0.25*H9*0.97-(E9+G9)*H9*0.75*0.03</f>
        <v>-936.809575</v>
      </c>
      <c r="L9" s="61">
        <f>(F9*0.23+G9*0.25)*H9*0.97</f>
        <v>205.55628900000002</v>
      </c>
      <c r="M9" s="58"/>
      <c r="N9" s="2" t="s">
        <v>547</v>
      </c>
      <c r="O9" s="2" t="s">
        <v>539</v>
      </c>
      <c r="P9" s="32">
        <v>-5417.61</v>
      </c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 t="s">
        <v>317</v>
      </c>
      <c r="B10" s="2" t="s">
        <v>186</v>
      </c>
      <c r="C10" s="10">
        <v>1714680</v>
      </c>
      <c r="D10" s="76" t="s">
        <v>535</v>
      </c>
      <c r="E10" s="69">
        <v>-34283.089999999997</v>
      </c>
      <c r="F10" s="69">
        <v>5776.78</v>
      </c>
      <c r="G10" s="69">
        <f t="shared" si="4"/>
        <v>2888.39</v>
      </c>
      <c r="H10" s="70">
        <v>1</v>
      </c>
      <c r="I10" s="69">
        <f t="shared" ref="I10:I11" si="5">(E10+G10)*H10*0.6</f>
        <v>-18836.819999999996</v>
      </c>
      <c r="J10" s="19" t="s">
        <v>468</v>
      </c>
      <c r="K10" s="58">
        <f>(-F10*0.4*0.15+E10*0.25)*H10*0.7-(-F10*0.05*0.15)*H10</f>
        <v>-6198.8396599999987</v>
      </c>
      <c r="L10" s="58">
        <f>(F10*0.1*0.85+G10*0.25)*H10*0.7+F10*0.05*0.85*H10</f>
        <v>1094.6998099999998</v>
      </c>
      <c r="M10" s="58"/>
      <c r="N10" s="2"/>
      <c r="O10" s="2"/>
      <c r="P10" s="32"/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 t="s">
        <v>317</v>
      </c>
      <c r="B11" s="32" t="s">
        <v>76</v>
      </c>
      <c r="C11" s="10">
        <v>2381219</v>
      </c>
      <c r="D11" s="32" t="s">
        <v>534</v>
      </c>
      <c r="E11" s="69">
        <v>-1331.95</v>
      </c>
      <c r="F11" s="69">
        <v>2075.33</v>
      </c>
      <c r="G11" s="69">
        <f t="shared" si="4"/>
        <v>1037.665</v>
      </c>
      <c r="H11" s="70">
        <v>1</v>
      </c>
      <c r="I11" s="69">
        <f t="shared" si="5"/>
        <v>-176.57100000000005</v>
      </c>
      <c r="J11" s="19" t="s">
        <v>468</v>
      </c>
      <c r="K11" s="58">
        <v>0</v>
      </c>
      <c r="L11" s="58">
        <v>0</v>
      </c>
      <c r="M11" s="58"/>
      <c r="N11" s="2"/>
      <c r="O11" s="2"/>
      <c r="P11" s="32"/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 t="s">
        <v>317</v>
      </c>
      <c r="B12" s="32" t="s">
        <v>61</v>
      </c>
      <c r="C12" s="2" t="s">
        <v>537</v>
      </c>
      <c r="D12" s="32" t="s">
        <v>538</v>
      </c>
      <c r="E12" s="69">
        <v>5735.64</v>
      </c>
      <c r="F12" s="69">
        <v>134.13999999999999</v>
      </c>
      <c r="G12" s="69">
        <f>F12*0.3</f>
        <v>40.241999999999997</v>
      </c>
      <c r="H12" s="70">
        <v>1.16154</v>
      </c>
      <c r="I12" s="69">
        <f>(E12+G12)*H12*0.75</f>
        <v>5031.6884837100006</v>
      </c>
      <c r="J12" s="78" t="s">
        <v>468</v>
      </c>
      <c r="K12" s="61">
        <f>E12*0.25*H12</f>
        <v>1665.5438214000001</v>
      </c>
      <c r="L12" s="61">
        <f>(F12*0.35+G12*0.25)*H12</f>
        <v>66.218814629999983</v>
      </c>
      <c r="M12" s="58"/>
      <c r="N12" s="2"/>
      <c r="O12" s="2"/>
      <c r="P12" s="32"/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 t="s">
        <v>317</v>
      </c>
      <c r="B13" s="32" t="s">
        <v>86</v>
      </c>
      <c r="C13" s="2" t="s">
        <v>537</v>
      </c>
      <c r="D13" s="32" t="s">
        <v>538</v>
      </c>
      <c r="E13" s="69">
        <v>-68587.56</v>
      </c>
      <c r="F13" s="69">
        <v>7928.85</v>
      </c>
      <c r="G13" s="69">
        <f>F13*0.45</f>
        <v>3567.9825000000001</v>
      </c>
      <c r="H13" s="74">
        <v>1</v>
      </c>
      <c r="I13" s="69">
        <f>(E13+G13)*H13*0.6525</f>
        <v>-42425.274318749995</v>
      </c>
      <c r="J13" s="78" t="s">
        <v>468</v>
      </c>
      <c r="K13" s="61">
        <f>E13*0.2175*H13</f>
        <v>-14917.7943</v>
      </c>
      <c r="L13" s="61">
        <f>(F13*0.1*0.87+G13*0.2175)*H13</f>
        <v>1465.84614375</v>
      </c>
      <c r="M13" s="58"/>
      <c r="N13" s="2"/>
      <c r="O13" s="2"/>
      <c r="P13" s="32"/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 t="s">
        <v>325</v>
      </c>
      <c r="B14" s="32" t="s">
        <v>69</v>
      </c>
      <c r="C14" s="2" t="s">
        <v>544</v>
      </c>
      <c r="D14" s="32" t="s">
        <v>545</v>
      </c>
      <c r="E14" s="69">
        <v>132.25</v>
      </c>
      <c r="F14" s="69">
        <v>43.28</v>
      </c>
      <c r="G14" s="69">
        <f>F14*0.55</f>
        <v>23.804000000000002</v>
      </c>
      <c r="H14" s="74">
        <v>1</v>
      </c>
      <c r="I14" s="69">
        <f>(E14+G14)*H14*0.75</f>
        <v>117.04050000000001</v>
      </c>
      <c r="J14" s="78">
        <f>F14*0.05*H14</f>
        <v>2.1640000000000001</v>
      </c>
      <c r="K14" s="61">
        <f>E14*0.25*H14</f>
        <v>33.0625</v>
      </c>
      <c r="L14" s="61">
        <f>(F14*0.25+G14*0.25)*H14</f>
        <v>16.771000000000001</v>
      </c>
      <c r="M14" s="58"/>
      <c r="N14" s="2"/>
      <c r="O14" s="2"/>
      <c r="P14" s="32"/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 t="s">
        <v>325</v>
      </c>
      <c r="B15" s="2" t="s">
        <v>186</v>
      </c>
      <c r="C15" s="10">
        <v>1714680</v>
      </c>
      <c r="D15" s="76" t="s">
        <v>535</v>
      </c>
      <c r="E15" s="69">
        <v>6434.87</v>
      </c>
      <c r="F15" s="69">
        <v>500.01</v>
      </c>
      <c r="G15" s="69">
        <f>F15*0.5</f>
        <v>250.005</v>
      </c>
      <c r="H15" s="70">
        <v>1</v>
      </c>
      <c r="I15" s="69">
        <f>(E15*0.98+G15)*H15*0.6</f>
        <v>3933.7065599999996</v>
      </c>
      <c r="J15" s="19" t="s">
        <v>468</v>
      </c>
      <c r="K15" s="58">
        <f>(-F15*0.4*0.15+E15*0.25)*H15*0.7-(-F15*0.05*0.15)*H15+E15*0.02*0.6*H15*0.7</f>
        <v>1162.9048129999996</v>
      </c>
      <c r="L15" s="58">
        <f>(F15*0.1*0.85+G15*0.25)*H15*0.7+F15*0.05*0.85*H15</f>
        <v>94.75189499999999</v>
      </c>
      <c r="M15" s="58"/>
      <c r="N15" s="2"/>
      <c r="O15" s="2"/>
      <c r="P15" s="32"/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 t="s">
        <v>325</v>
      </c>
      <c r="B16" s="10" t="s">
        <v>122</v>
      </c>
      <c r="C16" s="2" t="s">
        <v>537</v>
      </c>
      <c r="D16" s="32" t="s">
        <v>538</v>
      </c>
      <c r="E16" s="32">
        <v>16491.39</v>
      </c>
      <c r="F16" s="32">
        <v>1072.56</v>
      </c>
      <c r="G16" s="32">
        <f>F16*0.6</f>
        <v>643.53599999999994</v>
      </c>
      <c r="H16" s="75">
        <v>0.26577000000000001</v>
      </c>
      <c r="I16" s="69">
        <f>(E16+G16)*H16*0.75</f>
        <v>3415.4619622649998</v>
      </c>
      <c r="J16" s="78">
        <f>F16*0.05*H16</f>
        <v>14.25271356</v>
      </c>
      <c r="K16" s="61">
        <f>E16*0.25*H16</f>
        <v>1095.7291800749999</v>
      </c>
      <c r="L16" s="61">
        <f>(F16*0.15+G16*0.25)*H16</f>
        <v>85.516281359999994</v>
      </c>
      <c r="M16" s="58"/>
      <c r="N16" s="2"/>
      <c r="O16" s="2"/>
      <c r="P16" s="32"/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 t="s">
        <v>325</v>
      </c>
      <c r="B17" s="32" t="s">
        <v>76</v>
      </c>
      <c r="C17" s="10">
        <v>2381219</v>
      </c>
      <c r="D17" s="32" t="s">
        <v>534</v>
      </c>
      <c r="E17" s="69">
        <v>-9081.74</v>
      </c>
      <c r="F17" s="69">
        <v>2431.36</v>
      </c>
      <c r="G17" s="69">
        <f>F17*0.5</f>
        <v>1215.68</v>
      </c>
      <c r="H17" s="70">
        <v>1</v>
      </c>
      <c r="I17" s="69">
        <f>(E17+G17)*H17*0.6</f>
        <v>-4719.6359999999995</v>
      </c>
      <c r="J17" s="19" t="s">
        <v>468</v>
      </c>
      <c r="K17" s="58">
        <v>0</v>
      </c>
      <c r="L17" s="58">
        <v>0</v>
      </c>
      <c r="M17" s="58"/>
      <c r="N17" s="2"/>
      <c r="O17" s="2"/>
      <c r="P17" s="32"/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2" t="s">
        <v>325</v>
      </c>
      <c r="B18" s="32" t="s">
        <v>61</v>
      </c>
      <c r="C18" s="2" t="s">
        <v>537</v>
      </c>
      <c r="D18" s="32" t="s">
        <v>538</v>
      </c>
      <c r="E18" s="69">
        <v>2029.76</v>
      </c>
      <c r="F18" s="69">
        <v>109.95</v>
      </c>
      <c r="G18" s="69">
        <f>F18*0.3</f>
        <v>32.984999999999999</v>
      </c>
      <c r="H18" s="70">
        <v>1.1501399999999999</v>
      </c>
      <c r="I18" s="69">
        <f t="shared" ref="I18:I19" si="6">(E18+G18)*H18*0.75</f>
        <v>1779.334150725</v>
      </c>
      <c r="J18" s="78" t="s">
        <v>468</v>
      </c>
      <c r="K18" s="61">
        <f>E18*0.25*H18</f>
        <v>583.62704159999998</v>
      </c>
      <c r="L18" s="61">
        <f>(F18*0.35+G18*0.25)*H18</f>
        <v>53.744604525</v>
      </c>
      <c r="M18" s="58"/>
      <c r="N18" s="2"/>
      <c r="O18" s="2"/>
      <c r="P18" s="32"/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 t="s">
        <v>325</v>
      </c>
      <c r="B19" s="32" t="s">
        <v>55</v>
      </c>
      <c r="C19" s="2" t="s">
        <v>537</v>
      </c>
      <c r="D19" s="32" t="s">
        <v>538</v>
      </c>
      <c r="E19" s="69">
        <v>1002.31</v>
      </c>
      <c r="F19" s="69">
        <v>1282.8599999999999</v>
      </c>
      <c r="G19" s="69">
        <f>F19*0.5</f>
        <v>641.42999999999995</v>
      </c>
      <c r="H19" s="70">
        <v>1</v>
      </c>
      <c r="I19" s="69">
        <f t="shared" si="6"/>
        <v>1232.8049999999998</v>
      </c>
      <c r="J19" s="78" t="s">
        <v>468</v>
      </c>
      <c r="K19" s="61">
        <f>E19*0.25*H19*0.97-(E19+G19)*H19*0.75*0.03</f>
        <v>206.07602499999999</v>
      </c>
      <c r="L19" s="61">
        <f>(F19*0.23+G19*0.25)*H19*0.97</f>
        <v>441.75284099999999</v>
      </c>
      <c r="M19" s="58"/>
      <c r="N19" s="2"/>
      <c r="O19" s="2"/>
      <c r="P19" s="32"/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32" t="s">
        <v>325</v>
      </c>
      <c r="B20" s="32" t="s">
        <v>86</v>
      </c>
      <c r="C20" s="2" t="s">
        <v>537</v>
      </c>
      <c r="D20" s="32" t="s">
        <v>538</v>
      </c>
      <c r="E20" s="69">
        <v>2681.88</v>
      </c>
      <c r="F20" s="69">
        <v>910.24</v>
      </c>
      <c r="G20" s="69">
        <f>F20*0.45</f>
        <v>409.608</v>
      </c>
      <c r="H20" s="74">
        <v>1</v>
      </c>
      <c r="I20" s="69">
        <f>(E20+G20)*H20*0.6525</f>
        <v>2017.1959200000001</v>
      </c>
      <c r="J20" s="78" t="s">
        <v>468</v>
      </c>
      <c r="K20" s="61">
        <f>E20*0.2175*H20</f>
        <v>583.30889999999999</v>
      </c>
      <c r="L20" s="61">
        <f>(F20*0.1*0.87+G20*0.2175)*H20</f>
        <v>168.28062</v>
      </c>
      <c r="M20" s="58"/>
      <c r="N20" s="2"/>
      <c r="O20" s="2"/>
      <c r="P20" s="32"/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 t="s">
        <v>332</v>
      </c>
      <c r="B21" s="2" t="s">
        <v>186</v>
      </c>
      <c r="C21" s="10">
        <v>1714680</v>
      </c>
      <c r="D21" s="76" t="s">
        <v>535</v>
      </c>
      <c r="E21" s="69">
        <v>-342.51</v>
      </c>
      <c r="F21" s="69">
        <v>178.45</v>
      </c>
      <c r="G21" s="69">
        <f>F21*0.5</f>
        <v>89.224999999999994</v>
      </c>
      <c r="H21" s="70">
        <v>1</v>
      </c>
      <c r="I21" s="69">
        <f>(E21+G21)*H21*0.6</f>
        <v>-151.971</v>
      </c>
      <c r="J21" s="19" t="s">
        <v>468</v>
      </c>
      <c r="K21" s="58">
        <f>(-F21*0.4*0.15+E21*0.25)*H21*0.7-(-F21*0.05*0.15)*H21</f>
        <v>-66.095774999999989</v>
      </c>
      <c r="L21" s="58">
        <f>(F21*0.1*0.85+G21*0.25)*H21*0.7+F21*0.05*0.85*H21</f>
        <v>33.816274999999997</v>
      </c>
      <c r="M21" s="58"/>
      <c r="N21" s="2"/>
      <c r="O21" s="2"/>
      <c r="P21" s="32"/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 t="s">
        <v>332</v>
      </c>
      <c r="B22" s="10" t="s">
        <v>122</v>
      </c>
      <c r="C22" s="2" t="s">
        <v>537</v>
      </c>
      <c r="D22" s="32" t="s">
        <v>538</v>
      </c>
      <c r="E22" s="32">
        <v>-3027.35</v>
      </c>
      <c r="F22" s="32">
        <v>9052.9500000000007</v>
      </c>
      <c r="G22" s="32">
        <f>F22*0.6</f>
        <v>5431.77</v>
      </c>
      <c r="H22" s="75">
        <v>0.27323999999999998</v>
      </c>
      <c r="I22" s="69">
        <f t="shared" ref="I22:I24" si="7">(E22+G22)*H22*0.75</f>
        <v>492.7377906000001</v>
      </c>
      <c r="J22" s="78">
        <f t="shared" ref="J22:J23" si="8">F22*0.05*H22</f>
        <v>123.68140290000001</v>
      </c>
      <c r="K22" s="61">
        <f t="shared" ref="K22:K24" si="9">E22*0.25*H22</f>
        <v>-206.79827849999998</v>
      </c>
      <c r="L22" s="61">
        <f>(F22*0.15+G22*0.25)*H22</f>
        <v>742.08841740000003</v>
      </c>
      <c r="M22" s="58"/>
      <c r="N22" s="2"/>
      <c r="O22" s="2"/>
      <c r="P22" s="32"/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 t="s">
        <v>332</v>
      </c>
      <c r="B23" s="32" t="s">
        <v>69</v>
      </c>
      <c r="C23" s="2" t="s">
        <v>544</v>
      </c>
      <c r="D23" s="32" t="s">
        <v>545</v>
      </c>
      <c r="E23" s="69">
        <v>808.94</v>
      </c>
      <c r="F23" s="69">
        <v>132.66999999999999</v>
      </c>
      <c r="G23" s="69">
        <f>F23*0.55</f>
        <v>72.968500000000006</v>
      </c>
      <c r="H23" s="74">
        <v>1</v>
      </c>
      <c r="I23" s="69">
        <f t="shared" si="7"/>
        <v>661.431375</v>
      </c>
      <c r="J23" s="78">
        <f t="shared" si="8"/>
        <v>6.6334999999999997</v>
      </c>
      <c r="K23" s="61">
        <f t="shared" si="9"/>
        <v>202.23500000000001</v>
      </c>
      <c r="L23" s="61">
        <f>(F23*0.25+G23*0.25)*H23</f>
        <v>51.409624999999998</v>
      </c>
      <c r="M23" s="58"/>
      <c r="N23" s="2"/>
      <c r="O23" s="2"/>
      <c r="P23" s="32"/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 t="s">
        <v>332</v>
      </c>
      <c r="B24" s="10" t="s">
        <v>178</v>
      </c>
      <c r="C24" s="2" t="s">
        <v>537</v>
      </c>
      <c r="D24" s="32" t="s">
        <v>538</v>
      </c>
      <c r="E24" s="32">
        <v>-14675</v>
      </c>
      <c r="F24" s="32">
        <v>11469</v>
      </c>
      <c r="G24" s="32">
        <f>F24*0.7</f>
        <v>8028.2999999999993</v>
      </c>
      <c r="H24" s="75">
        <v>0.27323999999999998</v>
      </c>
      <c r="I24" s="69">
        <f t="shared" si="7"/>
        <v>-1362.1082310000002</v>
      </c>
      <c r="J24" s="78">
        <f>F24*0.025*H24</f>
        <v>78.344739000000004</v>
      </c>
      <c r="K24" s="61">
        <f t="shared" si="9"/>
        <v>-1002.4492499999999</v>
      </c>
      <c r="L24" s="61">
        <f>(F24*0.075+G24*0.25)*H24</f>
        <v>783.44738999999993</v>
      </c>
      <c r="M24" s="58"/>
      <c r="N24" s="2"/>
      <c r="O24" s="2"/>
      <c r="P24" s="32"/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 t="s">
        <v>332</v>
      </c>
      <c r="B25" s="2" t="s">
        <v>76</v>
      </c>
      <c r="C25" s="10">
        <v>2381219</v>
      </c>
      <c r="D25" s="32" t="s">
        <v>534</v>
      </c>
      <c r="E25" s="69">
        <v>77.36</v>
      </c>
      <c r="F25" s="69">
        <v>2595.37</v>
      </c>
      <c r="G25" s="69">
        <f>F25*0.5</f>
        <v>1297.6849999999999</v>
      </c>
      <c r="H25" s="70">
        <v>1</v>
      </c>
      <c r="I25" s="69">
        <f>(E25*0.98+G25)*H25*0.6</f>
        <v>824.09867999999994</v>
      </c>
      <c r="J25" s="19" t="s">
        <v>468</v>
      </c>
      <c r="K25" s="58">
        <v>0</v>
      </c>
      <c r="L25" s="58">
        <v>0</v>
      </c>
      <c r="M25" s="58"/>
      <c r="N25" s="2"/>
      <c r="O25" s="2"/>
      <c r="P25" s="32"/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 t="s">
        <v>332</v>
      </c>
      <c r="B26" s="32" t="s">
        <v>86</v>
      </c>
      <c r="C26" s="2" t="s">
        <v>537</v>
      </c>
      <c r="D26" s="32" t="s">
        <v>538</v>
      </c>
      <c r="E26" s="69">
        <v>-15670.09</v>
      </c>
      <c r="F26" s="69">
        <v>2402.5</v>
      </c>
      <c r="G26" s="69">
        <f>F26*0.45</f>
        <v>1081.125</v>
      </c>
      <c r="H26" s="74">
        <v>1</v>
      </c>
      <c r="I26" s="69">
        <f>(E26+G26)*H26*0.6525</f>
        <v>-9519.2996624999996</v>
      </c>
      <c r="J26" s="78" t="s">
        <v>468</v>
      </c>
      <c r="K26" s="61">
        <f>E26*0.2175*H26</f>
        <v>-3408.2445750000002</v>
      </c>
      <c r="L26" s="61">
        <f>(F26*0.1*0.87+G26*0.2175)*H26</f>
        <v>444.16218750000002</v>
      </c>
      <c r="M26" s="58"/>
      <c r="N26" s="2"/>
      <c r="O26" s="2"/>
      <c r="P26" s="32"/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 t="s">
        <v>332</v>
      </c>
      <c r="B27" s="32" t="s">
        <v>61</v>
      </c>
      <c r="C27" s="2" t="s">
        <v>537</v>
      </c>
      <c r="D27" s="32" t="s">
        <v>538</v>
      </c>
      <c r="E27" s="69">
        <v>1202.22</v>
      </c>
      <c r="F27" s="69">
        <v>93.6</v>
      </c>
      <c r="G27" s="69">
        <f>F27*0.3</f>
        <v>28.08</v>
      </c>
      <c r="H27" s="70">
        <v>1.15785</v>
      </c>
      <c r="I27" s="69">
        <f t="shared" ref="I27:I30" si="10">(E27+G27)*H27*0.75</f>
        <v>1068.37714125</v>
      </c>
      <c r="J27" s="78" t="s">
        <v>468</v>
      </c>
      <c r="K27" s="61">
        <f>E27*0.25*H27</f>
        <v>347.99760675000005</v>
      </c>
      <c r="L27" s="61">
        <f>(F27*0.35+G27*0.25)*H27</f>
        <v>46.059273000000005</v>
      </c>
      <c r="M27" s="58"/>
      <c r="N27" s="2"/>
      <c r="O27" s="2"/>
      <c r="P27" s="32"/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 t="s">
        <v>332</v>
      </c>
      <c r="B28" s="32" t="s">
        <v>55</v>
      </c>
      <c r="C28" s="2" t="s">
        <v>537</v>
      </c>
      <c r="D28" s="32" t="s">
        <v>538</v>
      </c>
      <c r="E28" s="69">
        <v>-19826.14</v>
      </c>
      <c r="F28" s="69">
        <v>5983.77</v>
      </c>
      <c r="G28" s="69">
        <f>F28*0.5</f>
        <v>2991.8850000000002</v>
      </c>
      <c r="H28" s="70">
        <v>1</v>
      </c>
      <c r="I28" s="69">
        <f t="shared" si="10"/>
        <v>-12625.691249999998</v>
      </c>
      <c r="J28" s="78" t="s">
        <v>468</v>
      </c>
      <c r="K28" s="61">
        <f>E28*0.25*H28*0.97-(E28+G28)*H28*0.75*0.03</f>
        <v>-4429.0682124999994</v>
      </c>
      <c r="L28" s="61">
        <f>(F28*0.23+G28*0.25)*H28*0.97</f>
        <v>2060.5111995000007</v>
      </c>
      <c r="M28" s="58"/>
      <c r="N28" s="2"/>
      <c r="O28" s="2"/>
      <c r="P28" s="32"/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 t="s">
        <v>340</v>
      </c>
      <c r="B29" s="10" t="s">
        <v>122</v>
      </c>
      <c r="C29" s="2" t="s">
        <v>537</v>
      </c>
      <c r="D29" s="32" t="s">
        <v>538</v>
      </c>
      <c r="E29" s="32">
        <v>16321.09</v>
      </c>
      <c r="F29" s="32">
        <v>9400.64</v>
      </c>
      <c r="G29" s="32">
        <f>F29*0.6</f>
        <v>5640.3839999999991</v>
      </c>
      <c r="H29" s="75">
        <v>0.27211000000000002</v>
      </c>
      <c r="I29" s="69">
        <f t="shared" si="10"/>
        <v>4481.9525176050001</v>
      </c>
      <c r="J29" s="78">
        <f>F29*0.05*H29</f>
        <v>127.90040752</v>
      </c>
      <c r="K29" s="61">
        <f t="shared" ref="K29:K30" si="11">E29*0.25*H29</f>
        <v>1110.2829499750001</v>
      </c>
      <c r="L29" s="61">
        <f>(F29*0.15+G29*0.25)*H29</f>
        <v>767.40244511999992</v>
      </c>
      <c r="M29" s="58"/>
      <c r="N29" s="2"/>
      <c r="O29" s="2"/>
      <c r="P29" s="32"/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2" t="s">
        <v>340</v>
      </c>
      <c r="B30" s="10" t="s">
        <v>178</v>
      </c>
      <c r="C30" s="2" t="s">
        <v>537</v>
      </c>
      <c r="D30" s="32" t="s">
        <v>538</v>
      </c>
      <c r="E30" s="69">
        <v>17410.96</v>
      </c>
      <c r="F30" s="69">
        <v>5029.01</v>
      </c>
      <c r="G30" s="32">
        <f>F30*0.7</f>
        <v>3520.3069999999998</v>
      </c>
      <c r="H30" s="75">
        <v>0.27211000000000002</v>
      </c>
      <c r="I30" s="69">
        <f t="shared" si="10"/>
        <v>4271.7052975275001</v>
      </c>
      <c r="J30" s="78">
        <f>F30*0.025*H30</f>
        <v>34.211097777500008</v>
      </c>
      <c r="K30" s="61">
        <f t="shared" si="11"/>
        <v>1184.4240814</v>
      </c>
      <c r="L30" s="61">
        <f>(F30*0.075+G30*0.25)*H30</f>
        <v>342.11097777500004</v>
      </c>
      <c r="M30" s="58"/>
      <c r="N30" s="2"/>
      <c r="O30" s="2"/>
      <c r="P30" s="32"/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2" t="s">
        <v>340</v>
      </c>
      <c r="B31" s="2" t="s">
        <v>186</v>
      </c>
      <c r="C31" s="10">
        <v>1714680</v>
      </c>
      <c r="D31" s="76" t="s">
        <v>535</v>
      </c>
      <c r="E31" s="69">
        <v>-1596.34</v>
      </c>
      <c r="F31" s="69">
        <v>301.12</v>
      </c>
      <c r="G31" s="69">
        <f t="shared" ref="G31:G33" si="12">F31*0.5</f>
        <v>150.56</v>
      </c>
      <c r="H31" s="70">
        <v>1</v>
      </c>
      <c r="I31" s="69">
        <f>(E31+G31)*H31*0.6</f>
        <v>-867.46799999999996</v>
      </c>
      <c r="J31" s="19" t="s">
        <v>468</v>
      </c>
      <c r="K31" s="58">
        <f>(-F31*0.4*0.15+E31*0.25)*H31*0.7-(-F31*0.05*0.15)*H31</f>
        <v>-289.74813999999998</v>
      </c>
      <c r="L31" s="58">
        <f>(F31*0.1*0.85+G31*0.25)*H31*0.7+F31*0.05*0.85*H31</f>
        <v>57.062240000000003</v>
      </c>
      <c r="M31" s="58"/>
      <c r="N31" s="2"/>
      <c r="O31" s="2"/>
      <c r="P31" s="32"/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2" t="s">
        <v>340</v>
      </c>
      <c r="B32" s="2" t="s">
        <v>76</v>
      </c>
      <c r="C32" s="10">
        <v>2381219</v>
      </c>
      <c r="D32" s="32" t="s">
        <v>534</v>
      </c>
      <c r="E32" s="32">
        <v>776.4</v>
      </c>
      <c r="F32" s="32">
        <v>2596.12</v>
      </c>
      <c r="G32" s="69">
        <f t="shared" si="12"/>
        <v>1298.06</v>
      </c>
      <c r="H32" s="70">
        <v>1</v>
      </c>
      <c r="I32" s="69">
        <f>(E32*0.98+G32)*H32*0.6</f>
        <v>1235.3591999999999</v>
      </c>
      <c r="J32" s="19" t="s">
        <v>468</v>
      </c>
      <c r="K32" s="58">
        <v>0</v>
      </c>
      <c r="L32" s="58">
        <v>0</v>
      </c>
      <c r="M32" s="58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2" t="s">
        <v>340</v>
      </c>
      <c r="B33" s="32" t="s">
        <v>55</v>
      </c>
      <c r="C33" s="2" t="s">
        <v>537</v>
      </c>
      <c r="D33" s="32" t="s">
        <v>538</v>
      </c>
      <c r="E33" s="69">
        <v>-6190.26</v>
      </c>
      <c r="F33" s="69">
        <v>2421.4699999999998</v>
      </c>
      <c r="G33" s="69">
        <f t="shared" si="12"/>
        <v>1210.7349999999999</v>
      </c>
      <c r="H33" s="70">
        <v>1</v>
      </c>
      <c r="I33" s="69">
        <f t="shared" ref="I33:I34" si="13">(E33+G33)*H33*0.75</f>
        <v>-3734.6437500000002</v>
      </c>
      <c r="J33" s="78" t="s">
        <v>468</v>
      </c>
      <c r="K33" s="61">
        <f>E33*0.25*H33*0.97-(E33+G33)*H33*0.75*0.03</f>
        <v>-1389.0987375</v>
      </c>
      <c r="L33" s="61">
        <f>(F33*0.23+G33*0.25)*H33*0.97</f>
        <v>833.83319449999999</v>
      </c>
      <c r="M33" s="58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32" t="s">
        <v>340</v>
      </c>
      <c r="B34" s="32" t="s">
        <v>61</v>
      </c>
      <c r="C34" s="2" t="s">
        <v>537</v>
      </c>
      <c r="D34" s="32" t="s">
        <v>538</v>
      </c>
      <c r="E34" s="69">
        <v>486.59</v>
      </c>
      <c r="F34" s="69">
        <v>207.79</v>
      </c>
      <c r="G34" s="69">
        <f>F34*0.3</f>
        <v>62.336999999999996</v>
      </c>
      <c r="H34" s="70">
        <v>1.1459900000000001</v>
      </c>
      <c r="I34" s="69">
        <f t="shared" si="13"/>
        <v>471.7986395475001</v>
      </c>
      <c r="J34" s="78" t="s">
        <v>468</v>
      </c>
      <c r="K34" s="61">
        <f>E34*0.25*H34</f>
        <v>139.40681852500001</v>
      </c>
      <c r="L34" s="61">
        <f>(F34*0.35+G34*0.25)*H34</f>
        <v>101.20323639249999</v>
      </c>
      <c r="M34" s="58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2" t="s">
        <v>340</v>
      </c>
      <c r="B35" s="32" t="s">
        <v>86</v>
      </c>
      <c r="C35" s="2" t="s">
        <v>537</v>
      </c>
      <c r="D35" s="32" t="s">
        <v>538</v>
      </c>
      <c r="E35" s="69">
        <v>17916.11</v>
      </c>
      <c r="F35" s="69">
        <v>977.2</v>
      </c>
      <c r="G35" s="69">
        <f>F35*0.45</f>
        <v>439.74</v>
      </c>
      <c r="H35" s="74">
        <v>1</v>
      </c>
      <c r="I35" s="69">
        <f>(E35+G35)*H35*0.6525</f>
        <v>11977.192125000001</v>
      </c>
      <c r="J35" s="78" t="s">
        <v>468</v>
      </c>
      <c r="K35" s="61">
        <f>E35*0.2175*H35</f>
        <v>3896.753925</v>
      </c>
      <c r="L35" s="61">
        <f>(F35*0.1*0.87+G35*0.2175)*H35</f>
        <v>180.65985000000001</v>
      </c>
      <c r="M35" s="58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32" t="s">
        <v>359</v>
      </c>
      <c r="B36" s="32" t="s">
        <v>55</v>
      </c>
      <c r="C36" s="2" t="s">
        <v>537</v>
      </c>
      <c r="D36" s="32" t="s">
        <v>538</v>
      </c>
      <c r="E36" s="69">
        <v>50.23</v>
      </c>
      <c r="F36" s="69">
        <v>1483.65</v>
      </c>
      <c r="G36" s="69">
        <f>F36*0.5</f>
        <v>741.82500000000005</v>
      </c>
      <c r="H36" s="70">
        <v>1</v>
      </c>
      <c r="I36" s="69">
        <f t="shared" ref="I36:I38" si="14">(E36+G36)*H36*0.75</f>
        <v>594.04124999999999</v>
      </c>
      <c r="J36" s="78" t="s">
        <v>468</v>
      </c>
      <c r="K36" s="61">
        <f>E36*0.25*H36*0.97-(E36+G36)*H36*0.75*0.03</f>
        <v>-5.6404624999999999</v>
      </c>
      <c r="L36" s="61">
        <f>(F36*0.23+G36*0.25)*H36*0.97</f>
        <v>510.89487750000006</v>
      </c>
      <c r="M36" s="58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32" t="s">
        <v>359</v>
      </c>
      <c r="B37" s="32" t="s">
        <v>61</v>
      </c>
      <c r="C37" s="2" t="s">
        <v>537</v>
      </c>
      <c r="D37" s="32" t="s">
        <v>538</v>
      </c>
      <c r="E37" s="69">
        <v>2688.21</v>
      </c>
      <c r="F37" s="69">
        <v>196.6</v>
      </c>
      <c r="G37" s="69">
        <f>F37*0.3</f>
        <v>58.98</v>
      </c>
      <c r="H37" s="70">
        <v>1.14192</v>
      </c>
      <c r="I37" s="69">
        <f t="shared" si="14"/>
        <v>2352.8034035999999</v>
      </c>
      <c r="J37" s="78" t="s">
        <v>468</v>
      </c>
      <c r="K37" s="61">
        <f t="shared" ref="K37:K38" si="15">E37*0.25*H37</f>
        <v>767.43019079999999</v>
      </c>
      <c r="L37" s="61">
        <f>(F37*0.35+G37*0.25)*H37</f>
        <v>95.413125600000001</v>
      </c>
      <c r="M37" s="58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32" t="s">
        <v>359</v>
      </c>
      <c r="B38" s="10" t="s">
        <v>122</v>
      </c>
      <c r="C38" s="2" t="s">
        <v>537</v>
      </c>
      <c r="D38" s="32" t="s">
        <v>538</v>
      </c>
      <c r="E38" s="32">
        <v>7105.89</v>
      </c>
      <c r="F38" s="32">
        <v>1432.58</v>
      </c>
      <c r="G38" s="32">
        <f>F38*0.6</f>
        <v>859.54799999999989</v>
      </c>
      <c r="H38" s="75">
        <v>0.27339000000000002</v>
      </c>
      <c r="I38" s="69">
        <f t="shared" si="14"/>
        <v>1633.2533211150003</v>
      </c>
      <c r="J38" s="78">
        <f>F38*0.05*H38</f>
        <v>19.582652310000004</v>
      </c>
      <c r="K38" s="61">
        <f t="shared" si="15"/>
        <v>485.66981677500007</v>
      </c>
      <c r="L38" s="61">
        <f>(F38*0.15+G38*0.25)*H38</f>
        <v>117.49591385999999</v>
      </c>
      <c r="M38" s="58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32" t="s">
        <v>359</v>
      </c>
      <c r="B39" s="2" t="s">
        <v>76</v>
      </c>
      <c r="C39" s="10">
        <v>2381219</v>
      </c>
      <c r="D39" s="10" t="s">
        <v>534</v>
      </c>
      <c r="E39" s="32">
        <v>2811.28</v>
      </c>
      <c r="F39" s="32">
        <v>1578.24</v>
      </c>
      <c r="G39" s="69">
        <f>F39*0.5</f>
        <v>789.12</v>
      </c>
      <c r="H39" s="70">
        <v>1</v>
      </c>
      <c r="I39" s="69">
        <f>(E39*0.98+G39)*H39*0.6</f>
        <v>2126.5046399999997</v>
      </c>
      <c r="J39" s="19" t="s">
        <v>468</v>
      </c>
      <c r="K39" s="58">
        <v>0</v>
      </c>
      <c r="L39" s="58">
        <v>0</v>
      </c>
      <c r="M39" s="58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32" t="s">
        <v>359</v>
      </c>
      <c r="B40" s="32" t="s">
        <v>86</v>
      </c>
      <c r="C40" s="2" t="s">
        <v>537</v>
      </c>
      <c r="D40" s="32" t="s">
        <v>538</v>
      </c>
      <c r="E40" s="69">
        <v>13101.3</v>
      </c>
      <c r="F40" s="69">
        <v>1709.27</v>
      </c>
      <c r="G40" s="69">
        <f>F40*0.45</f>
        <v>769.17150000000004</v>
      </c>
      <c r="H40" s="74">
        <v>1</v>
      </c>
      <c r="I40" s="69">
        <f>(E40+G40)*H40*0.6525</f>
        <v>9050.4826537499994</v>
      </c>
      <c r="J40" s="78" t="s">
        <v>468</v>
      </c>
      <c r="K40" s="61">
        <f>E40*0.2175*H40</f>
        <v>2849.5327499999999</v>
      </c>
      <c r="L40" s="61">
        <f>(F40*0.1*0.87+G40*0.2175)*H40</f>
        <v>316.00129125000001</v>
      </c>
      <c r="M40" s="58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32" t="s">
        <v>359</v>
      </c>
      <c r="B41" s="10" t="s">
        <v>184</v>
      </c>
      <c r="C41" s="2" t="s">
        <v>537</v>
      </c>
      <c r="D41" s="32" t="s">
        <v>538</v>
      </c>
      <c r="E41" s="69">
        <v>21941.03</v>
      </c>
      <c r="F41" s="69">
        <v>23848.78</v>
      </c>
      <c r="G41" s="32">
        <f t="shared" ref="G41:G43" si="16">F41*0.7</f>
        <v>16694.145999999997</v>
      </c>
      <c r="H41" s="75">
        <v>0.27339000000000002</v>
      </c>
      <c r="I41" s="69">
        <f t="shared" ref="I41:I43" si="17">(E41+G41)*H41*0.75</f>
        <v>7921.8530749799993</v>
      </c>
      <c r="J41" s="78">
        <f t="shared" ref="J41:J43" si="18">F41*0.025*H41</f>
        <v>163.00044910500003</v>
      </c>
      <c r="K41" s="61">
        <f t="shared" ref="K41:K43" si="19">E41*0.25*H41</f>
        <v>1499.6145479250001</v>
      </c>
      <c r="L41" s="61">
        <f t="shared" ref="L41:L43" si="20">(F41*0.075+G41*0.25)*H41</f>
        <v>1630.0044910499998</v>
      </c>
      <c r="M41" s="58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32" t="s">
        <v>359</v>
      </c>
      <c r="B42" s="10" t="s">
        <v>178</v>
      </c>
      <c r="C42" s="2" t="s">
        <v>537</v>
      </c>
      <c r="D42" s="32" t="s">
        <v>538</v>
      </c>
      <c r="E42" s="69">
        <v>-486.5</v>
      </c>
      <c r="F42" s="69">
        <v>346.29</v>
      </c>
      <c r="G42" s="32">
        <f t="shared" si="16"/>
        <v>242.40299999999999</v>
      </c>
      <c r="H42" s="75">
        <v>0.27339000000000002</v>
      </c>
      <c r="I42" s="69">
        <f t="shared" si="17"/>
        <v>-50.050259122500002</v>
      </c>
      <c r="J42" s="78">
        <f t="shared" si="18"/>
        <v>2.3668055775000005</v>
      </c>
      <c r="K42" s="61">
        <f t="shared" si="19"/>
        <v>-33.251058750000006</v>
      </c>
      <c r="L42" s="61">
        <f t="shared" si="20"/>
        <v>23.668055774999999</v>
      </c>
      <c r="M42" s="58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2" t="s">
        <v>366</v>
      </c>
      <c r="B43" s="10" t="s">
        <v>184</v>
      </c>
      <c r="C43" s="2" t="s">
        <v>537</v>
      </c>
      <c r="D43" s="32" t="s">
        <v>538</v>
      </c>
      <c r="E43" s="69">
        <v>19854.55</v>
      </c>
      <c r="F43" s="69">
        <v>13002.9</v>
      </c>
      <c r="G43" s="32">
        <f t="shared" si="16"/>
        <v>9102.0299999999988</v>
      </c>
      <c r="H43" s="75">
        <v>0.2752</v>
      </c>
      <c r="I43" s="69">
        <f t="shared" si="17"/>
        <v>5976.6381119999996</v>
      </c>
      <c r="J43" s="78">
        <f t="shared" si="18"/>
        <v>89.459952000000001</v>
      </c>
      <c r="K43" s="61">
        <f t="shared" si="19"/>
        <v>1365.9930399999998</v>
      </c>
      <c r="L43" s="61">
        <f t="shared" si="20"/>
        <v>894.59951999999987</v>
      </c>
      <c r="M43" s="58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2" t="s">
        <v>366</v>
      </c>
      <c r="B44" s="2" t="s">
        <v>186</v>
      </c>
      <c r="C44" s="10">
        <v>1714680</v>
      </c>
      <c r="D44" s="76" t="s">
        <v>535</v>
      </c>
      <c r="E44" s="69">
        <v>-23.76</v>
      </c>
      <c r="F44" s="69">
        <v>21.16</v>
      </c>
      <c r="G44" s="69">
        <f>F44*0.5</f>
        <v>10.58</v>
      </c>
      <c r="H44" s="70">
        <v>1</v>
      </c>
      <c r="I44" s="69">
        <f>(E44+G44)*H44*0.6</f>
        <v>-7.9080000000000004</v>
      </c>
      <c r="J44" s="19" t="s">
        <v>468</v>
      </c>
      <c r="K44" s="58">
        <f>(-F44*0.4*0.15+E44*0.25)*H44*0.7-(-F44*0.05*0.15)*H44</f>
        <v>-4.88802</v>
      </c>
      <c r="L44" s="58">
        <f>(F44*0.1*0.85+G44*0.25)*H44*0.7+F44*0.05*0.85*H44</f>
        <v>4.0098199999999995</v>
      </c>
      <c r="M44" s="58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32" t="s">
        <v>366</v>
      </c>
      <c r="B45" s="32" t="s">
        <v>61</v>
      </c>
      <c r="C45" s="2" t="s">
        <v>537</v>
      </c>
      <c r="D45" s="32" t="s">
        <v>538</v>
      </c>
      <c r="E45" s="69">
        <v>-1238.19</v>
      </c>
      <c r="F45" s="69">
        <v>779.84</v>
      </c>
      <c r="G45" s="69">
        <f>F45*0.3</f>
        <v>233.952</v>
      </c>
      <c r="H45" s="70">
        <v>1.1331800000000001</v>
      </c>
      <c r="I45" s="69">
        <f t="shared" ref="I45:I46" si="21">(E45+G45)*H45*0.75</f>
        <v>-853.48681263000003</v>
      </c>
      <c r="J45" s="78" t="s">
        <v>468</v>
      </c>
      <c r="K45" s="61">
        <f>E45*0.25*H45</f>
        <v>-350.77303605000003</v>
      </c>
      <c r="L45" s="61">
        <f>(F45*0.35+G45*0.25)*H45</f>
        <v>375.57211376000004</v>
      </c>
      <c r="M45" s="58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32" t="s">
        <v>366</v>
      </c>
      <c r="B46" s="32" t="s">
        <v>55</v>
      </c>
      <c r="C46" s="2" t="s">
        <v>537</v>
      </c>
      <c r="D46" s="32" t="s">
        <v>538</v>
      </c>
      <c r="E46" s="69">
        <v>-16313.95</v>
      </c>
      <c r="F46" s="69">
        <v>5202.17</v>
      </c>
      <c r="G46" s="69">
        <f>F46*0.5</f>
        <v>2601.085</v>
      </c>
      <c r="H46" s="70">
        <v>1</v>
      </c>
      <c r="I46" s="69">
        <f t="shared" si="21"/>
        <v>-10284.64875</v>
      </c>
      <c r="J46" s="78" t="s">
        <v>468</v>
      </c>
      <c r="K46" s="61">
        <f>E46*0.25*H46*0.97-(E46+G46)*H46*0.75*0.03</f>
        <v>-3647.5934125000003</v>
      </c>
      <c r="L46" s="61">
        <f>(F46*0.23+G46*0.25)*H46*0.97</f>
        <v>1791.3672394999999</v>
      </c>
      <c r="M46" s="58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32" t="s">
        <v>366</v>
      </c>
      <c r="B47" s="32" t="s">
        <v>86</v>
      </c>
      <c r="C47" s="2" t="s">
        <v>537</v>
      </c>
      <c r="D47" s="32" t="s">
        <v>538</v>
      </c>
      <c r="E47" s="69">
        <v>13388.82</v>
      </c>
      <c r="F47" s="69">
        <v>886.53</v>
      </c>
      <c r="G47" s="69">
        <f>F47*0.45</f>
        <v>398.93849999999998</v>
      </c>
      <c r="H47" s="74">
        <v>1</v>
      </c>
      <c r="I47" s="69">
        <f>(E47+G47)*H47*0.6525</f>
        <v>8996.5124212499995</v>
      </c>
      <c r="J47" s="78" t="s">
        <v>468</v>
      </c>
      <c r="K47" s="61">
        <f>E47*0.2175*H47</f>
        <v>2912.06835</v>
      </c>
      <c r="L47" s="61">
        <f>(F47*0.1*0.87+G47*0.2175)*H47</f>
        <v>163.89723375</v>
      </c>
      <c r="M47" s="58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32" t="s">
        <v>366</v>
      </c>
      <c r="B48" s="2" t="s">
        <v>76</v>
      </c>
      <c r="C48" s="10">
        <v>2381219</v>
      </c>
      <c r="D48" s="10" t="s">
        <v>534</v>
      </c>
      <c r="E48" s="32">
        <v>23900.14</v>
      </c>
      <c r="F48" s="32">
        <v>2328.9299999999998</v>
      </c>
      <c r="G48" s="69">
        <f>F48*0.5</f>
        <v>1164.4649999999999</v>
      </c>
      <c r="H48" s="70">
        <v>1</v>
      </c>
      <c r="I48" s="69">
        <f>(E48*0.98+G48)*H48*0.6</f>
        <v>14751.961319999999</v>
      </c>
      <c r="J48" s="19" t="s">
        <v>468</v>
      </c>
      <c r="K48" s="58">
        <v>0</v>
      </c>
      <c r="L48" s="58">
        <v>0</v>
      </c>
      <c r="M48" s="58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2" t="s">
        <v>370</v>
      </c>
      <c r="B49" s="10" t="s">
        <v>184</v>
      </c>
      <c r="C49" s="2" t="s">
        <v>537</v>
      </c>
      <c r="D49" s="32" t="s">
        <v>538</v>
      </c>
      <c r="E49" s="69">
        <v>13107.9</v>
      </c>
      <c r="F49" s="69">
        <v>13460.36</v>
      </c>
      <c r="G49" s="32">
        <f>F49*0.7</f>
        <v>9422.2520000000004</v>
      </c>
      <c r="H49" s="75">
        <v>0.27467999999999998</v>
      </c>
      <c r="I49" s="69">
        <f>(E49+G49)*H49*0.75</f>
        <v>4641.4366135199998</v>
      </c>
      <c r="J49" s="78">
        <f>F49*0.025*H49</f>
        <v>92.43229212</v>
      </c>
      <c r="K49" s="61">
        <f>E49*0.25*H49</f>
        <v>900.11949299999992</v>
      </c>
      <c r="L49" s="61">
        <f>(F49*0.075+G49*0.25)*H49</f>
        <v>924.3229212</v>
      </c>
      <c r="M49" s="58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32" t="s">
        <v>370</v>
      </c>
      <c r="B50" s="32" t="s">
        <v>76</v>
      </c>
      <c r="C50" s="10">
        <v>2381219</v>
      </c>
      <c r="D50" s="10" t="s">
        <v>534</v>
      </c>
      <c r="E50" s="32">
        <v>174.25</v>
      </c>
      <c r="F50" s="32">
        <v>1475.86</v>
      </c>
      <c r="G50" s="69">
        <f>F50*0.5</f>
        <v>737.93</v>
      </c>
      <c r="H50" s="70">
        <v>1</v>
      </c>
      <c r="I50" s="69">
        <f>(E50*0.98+G50)*H50*0.6</f>
        <v>545.21699999999998</v>
      </c>
      <c r="J50" s="19" t="s">
        <v>468</v>
      </c>
      <c r="K50" s="58">
        <v>0</v>
      </c>
      <c r="L50" s="58">
        <v>0</v>
      </c>
      <c r="M50" s="58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2" t="s">
        <v>370</v>
      </c>
      <c r="B51" s="32" t="s">
        <v>61</v>
      </c>
      <c r="C51" s="2" t="s">
        <v>537</v>
      </c>
      <c r="D51" s="32" t="s">
        <v>538</v>
      </c>
      <c r="E51" s="69">
        <v>-4185.46</v>
      </c>
      <c r="F51" s="69">
        <v>670.32</v>
      </c>
      <c r="G51" s="69">
        <f>F51*0.3</f>
        <v>201.096</v>
      </c>
      <c r="H51" s="70">
        <v>1.1366099999999999</v>
      </c>
      <c r="I51" s="69">
        <f t="shared" ref="I51:I52" si="22">(E51+G51)*H51*0.75</f>
        <v>-3396.5009745299994</v>
      </c>
      <c r="J51" s="78" t="s">
        <v>468</v>
      </c>
      <c r="K51" s="61">
        <f>E51*0.25*H51</f>
        <v>-1189.3089226499999</v>
      </c>
      <c r="L51" s="61">
        <f>(F51*0.35+G51*0.25)*H51</f>
        <v>323.80427645999993</v>
      </c>
      <c r="M51" s="58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2" t="s">
        <v>370</v>
      </c>
      <c r="B52" s="32" t="s">
        <v>55</v>
      </c>
      <c r="C52" s="2" t="s">
        <v>537</v>
      </c>
      <c r="D52" s="32" t="s">
        <v>538</v>
      </c>
      <c r="E52" s="69">
        <v>5335.8</v>
      </c>
      <c r="F52" s="69">
        <v>341.15</v>
      </c>
      <c r="G52" s="69">
        <f>F52*0.5</f>
        <v>170.57499999999999</v>
      </c>
      <c r="H52" s="70">
        <v>1</v>
      </c>
      <c r="I52" s="69">
        <f t="shared" si="22"/>
        <v>4129.78125</v>
      </c>
      <c r="J52" s="78" t="s">
        <v>468</v>
      </c>
      <c r="K52" s="61">
        <f>E52*0.25*H52*0.97-(E52+G52)*H52*0.75*0.03</f>
        <v>1170.0380625</v>
      </c>
      <c r="L52" s="61">
        <f>(F52*0.23+G52*0.25)*H52*0.97</f>
        <v>117.47500249999999</v>
      </c>
      <c r="M52" s="58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2" t="s">
        <v>370</v>
      </c>
      <c r="B53" s="32" t="s">
        <v>86</v>
      </c>
      <c r="C53" s="2" t="s">
        <v>537</v>
      </c>
      <c r="D53" s="32" t="s">
        <v>538</v>
      </c>
      <c r="E53" s="69">
        <v>12630.01</v>
      </c>
      <c r="F53" s="69">
        <v>2048.5100000000002</v>
      </c>
      <c r="G53" s="69">
        <f>F53*0.45</f>
        <v>921.82950000000017</v>
      </c>
      <c r="H53" s="74">
        <v>1</v>
      </c>
      <c r="I53" s="69">
        <f>(E53+G53)*H53*0.6525</f>
        <v>8842.5752737499988</v>
      </c>
      <c r="J53" s="78" t="s">
        <v>468</v>
      </c>
      <c r="K53" s="61">
        <f>E53*0.2175*H53</f>
        <v>2747.0271750000002</v>
      </c>
      <c r="L53" s="61">
        <f>(F53*0.1*0.87+G53*0.2175)*H53</f>
        <v>378.71828625000006</v>
      </c>
      <c r="M53" s="58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2" t="s">
        <v>372</v>
      </c>
      <c r="B54" s="10" t="s">
        <v>184</v>
      </c>
      <c r="C54" s="2" t="s">
        <v>537</v>
      </c>
      <c r="D54" s="32" t="s">
        <v>538</v>
      </c>
      <c r="E54" s="69">
        <v>30836.81</v>
      </c>
      <c r="F54" s="69">
        <v>8446.68</v>
      </c>
      <c r="G54" s="32">
        <f>F54*0.7</f>
        <v>5912.6759999999995</v>
      </c>
      <c r="H54" s="75">
        <v>0.27928999999999998</v>
      </c>
      <c r="I54" s="69">
        <f t="shared" ref="I54:I55" si="23">(E54+G54)*H54*0.75</f>
        <v>7697.8229587050009</v>
      </c>
      <c r="J54" s="78">
        <f>F54*0.025*H54</f>
        <v>58.976831430000004</v>
      </c>
      <c r="K54" s="61">
        <f>E54*0.25*H54</f>
        <v>2153.1031662249998</v>
      </c>
      <c r="L54" s="61">
        <f>(F54*0.075+G54*0.25)*H54</f>
        <v>589.76831429999993</v>
      </c>
      <c r="M54" s="58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2" t="s">
        <v>372</v>
      </c>
      <c r="B55" s="32" t="s">
        <v>55</v>
      </c>
      <c r="C55" s="2" t="s">
        <v>537</v>
      </c>
      <c r="D55" s="32" t="s">
        <v>538</v>
      </c>
      <c r="E55" s="69">
        <v>-4813.13</v>
      </c>
      <c r="F55" s="69">
        <v>1631.41</v>
      </c>
      <c r="G55" s="69">
        <f t="shared" ref="G55:G57" si="24">F55*0.5</f>
        <v>815.70500000000004</v>
      </c>
      <c r="H55" s="70">
        <v>1</v>
      </c>
      <c r="I55" s="69">
        <f t="shared" si="23"/>
        <v>-2998.0687500000004</v>
      </c>
      <c r="J55" s="78" t="s">
        <v>468</v>
      </c>
      <c r="K55" s="61">
        <f>E55*0.25*H55*0.97-(E55+G55)*H55*0.75*0.03</f>
        <v>-1077.2419625</v>
      </c>
      <c r="L55" s="61">
        <f>(F55*0.23+G55*0.25)*H55*0.97</f>
        <v>561.77603350000004</v>
      </c>
      <c r="M55" s="58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2" t="s">
        <v>372</v>
      </c>
      <c r="B56" s="2" t="s">
        <v>186</v>
      </c>
      <c r="C56" s="10">
        <v>1714680</v>
      </c>
      <c r="D56" s="76" t="s">
        <v>535</v>
      </c>
      <c r="E56" s="69">
        <v>653.66</v>
      </c>
      <c r="F56" s="69">
        <v>163.25</v>
      </c>
      <c r="G56" s="69">
        <f t="shared" si="24"/>
        <v>81.625</v>
      </c>
      <c r="H56" s="70">
        <v>1</v>
      </c>
      <c r="I56" s="69">
        <f t="shared" ref="I56:I57" si="25">(E56+G56)*H56*0.6</f>
        <v>441.17099999999999</v>
      </c>
      <c r="J56" s="19" t="s">
        <v>468</v>
      </c>
      <c r="K56" s="58">
        <f>(-F56*0.4*0.15+E56*0.25)*H56*0.7-(-F56*0.05*0.15)*H56</f>
        <v>108.75837499999999</v>
      </c>
      <c r="L56" s="58">
        <f>(F56*0.1*0.85+G56*0.25)*H56*0.7+F56*0.05*0.85*H56</f>
        <v>30.935874999999996</v>
      </c>
      <c r="M56" s="58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2" t="s">
        <v>372</v>
      </c>
      <c r="B57" s="32" t="s">
        <v>76</v>
      </c>
      <c r="C57" s="10">
        <v>2381219</v>
      </c>
      <c r="D57" s="10" t="s">
        <v>534</v>
      </c>
      <c r="E57" s="32">
        <v>-7633.53</v>
      </c>
      <c r="F57" s="32">
        <v>2667.27</v>
      </c>
      <c r="G57" s="69">
        <f t="shared" si="24"/>
        <v>1333.635</v>
      </c>
      <c r="H57" s="70">
        <v>1</v>
      </c>
      <c r="I57" s="69">
        <f t="shared" si="25"/>
        <v>-3779.9369999999994</v>
      </c>
      <c r="J57" s="19" t="s">
        <v>468</v>
      </c>
      <c r="K57" s="58">
        <v>0</v>
      </c>
      <c r="L57" s="58">
        <v>0</v>
      </c>
      <c r="M57" s="58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2" t="s">
        <v>372</v>
      </c>
      <c r="B58" s="32" t="s">
        <v>86</v>
      </c>
      <c r="C58" s="2" t="s">
        <v>537</v>
      </c>
      <c r="D58" s="32" t="s">
        <v>538</v>
      </c>
      <c r="E58" s="69">
        <v>-2671.85</v>
      </c>
      <c r="F58" s="69">
        <v>317.86</v>
      </c>
      <c r="G58" s="69">
        <f>F58*0.45</f>
        <v>143.03700000000001</v>
      </c>
      <c r="H58" s="74">
        <v>1</v>
      </c>
      <c r="I58" s="69">
        <f>(E58+G58)*H58*0.6525</f>
        <v>-1650.0504825</v>
      </c>
      <c r="J58" s="78" t="s">
        <v>468</v>
      </c>
      <c r="K58" s="61">
        <f>E58*0.2175*H58</f>
        <v>-581.12737500000003</v>
      </c>
      <c r="L58" s="61">
        <f>(F58*0.1*0.87+G58*0.2175)*H58</f>
        <v>58.764367500000006</v>
      </c>
      <c r="M58" s="58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2" t="s">
        <v>377</v>
      </c>
      <c r="B59" s="10" t="s">
        <v>132</v>
      </c>
      <c r="C59" s="10" t="s">
        <v>537</v>
      </c>
      <c r="D59" s="10" t="s">
        <v>548</v>
      </c>
      <c r="E59" s="32">
        <v>-41660.43</v>
      </c>
      <c r="F59" s="32">
        <v>18534.330000000002</v>
      </c>
      <c r="G59" s="32">
        <f t="shared" ref="G59:G60" si="26">F59*0.7</f>
        <v>12974.031000000001</v>
      </c>
      <c r="H59" s="75">
        <v>0.27564</v>
      </c>
      <c r="I59" s="69">
        <f t="shared" ref="I59:I60" si="27">(E59+G59)*H59*0.75</f>
        <v>-5930.3392652699995</v>
      </c>
      <c r="J59" s="78">
        <f>F59*0.05*H59</f>
        <v>255.44013606000001</v>
      </c>
      <c r="K59" s="61">
        <f t="shared" ref="K59:K60" si="28">E59*0.25*H59</f>
        <v>-2870.8202313000002</v>
      </c>
      <c r="L59" s="61">
        <f>(F59*0.1+G59*0.25)*H59</f>
        <v>1404.9207483300002</v>
      </c>
      <c r="M59" s="58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2" t="s">
        <v>377</v>
      </c>
      <c r="B60" s="10" t="s">
        <v>184</v>
      </c>
      <c r="C60" s="10" t="s">
        <v>537</v>
      </c>
      <c r="D60" s="10" t="s">
        <v>548</v>
      </c>
      <c r="E60" s="32">
        <v>-19913.18</v>
      </c>
      <c r="F60" s="32">
        <v>30851.41</v>
      </c>
      <c r="G60" s="32">
        <f t="shared" si="26"/>
        <v>21595.986999999997</v>
      </c>
      <c r="H60" s="75">
        <v>0.27564</v>
      </c>
      <c r="I60" s="69">
        <f t="shared" si="27"/>
        <v>347.88669110999939</v>
      </c>
      <c r="J60" s="78">
        <f>F60*0.025*H60</f>
        <v>212.59706631</v>
      </c>
      <c r="K60" s="61">
        <f t="shared" si="28"/>
        <v>-1372.2172338</v>
      </c>
      <c r="L60" s="61">
        <f>(F60*0.075+G60*0.25)*H60</f>
        <v>2125.9706630999999</v>
      </c>
      <c r="M60" s="58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32" t="s">
        <v>377</v>
      </c>
      <c r="B61" s="32" t="s">
        <v>76</v>
      </c>
      <c r="C61" s="10">
        <v>2381219</v>
      </c>
      <c r="D61" s="10" t="s">
        <v>534</v>
      </c>
      <c r="E61" s="32">
        <v>13392.29</v>
      </c>
      <c r="F61" s="32">
        <v>2483.35</v>
      </c>
      <c r="G61" s="69">
        <f>F61*0.5</f>
        <v>1241.675</v>
      </c>
      <c r="H61" s="70">
        <v>1</v>
      </c>
      <c r="I61" s="69">
        <f>(E61*0.98+G61)*H61*0.6</f>
        <v>8619.6715199999999</v>
      </c>
      <c r="J61" s="19" t="s">
        <v>468</v>
      </c>
      <c r="K61" s="61">
        <v>0</v>
      </c>
      <c r="L61" s="61">
        <v>0</v>
      </c>
      <c r="M61" s="58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2" t="s">
        <v>377</v>
      </c>
      <c r="B62" s="32" t="s">
        <v>61</v>
      </c>
      <c r="C62" s="2" t="s">
        <v>537</v>
      </c>
      <c r="D62" s="32" t="s">
        <v>538</v>
      </c>
      <c r="E62" s="69">
        <v>5.45</v>
      </c>
      <c r="F62" s="69">
        <v>944.71</v>
      </c>
      <c r="G62" s="69">
        <f>F62*0.3</f>
        <v>283.41300000000001</v>
      </c>
      <c r="H62" s="70">
        <v>1.13923</v>
      </c>
      <c r="I62" s="69">
        <f t="shared" ref="I62:I65" si="29">(E62+G62)*H62*0.75</f>
        <v>246.81104661749998</v>
      </c>
      <c r="J62" s="78" t="s">
        <v>468</v>
      </c>
      <c r="K62" s="61">
        <f>E62*0.25*H62</f>
        <v>1.552200875</v>
      </c>
      <c r="L62" s="61">
        <f>(F62*0.35+G62*0.25)*H62</f>
        <v>457.40283865250001</v>
      </c>
      <c r="M62" s="58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32" t="s">
        <v>549</v>
      </c>
      <c r="B63" s="32" t="s">
        <v>55</v>
      </c>
      <c r="C63" s="2" t="s">
        <v>537</v>
      </c>
      <c r="D63" s="32" t="s">
        <v>538</v>
      </c>
      <c r="E63" s="69">
        <v>-5862.93</v>
      </c>
      <c r="F63" s="69">
        <v>2503.6799999999998</v>
      </c>
      <c r="G63" s="69">
        <f>F63*0.5</f>
        <v>1251.8399999999999</v>
      </c>
      <c r="H63" s="70">
        <v>1</v>
      </c>
      <c r="I63" s="69">
        <f t="shared" si="29"/>
        <v>-3458.3175000000001</v>
      </c>
      <c r="J63" s="78" t="s">
        <v>468</v>
      </c>
      <c r="K63" s="61">
        <f>E63*0.25*H63*0.97-(E63+G63)*H63*0.75*0.03</f>
        <v>-1318.0110000000002</v>
      </c>
      <c r="L63" s="61">
        <f>(F63*0.23+G63*0.25)*H63*0.97</f>
        <v>862.14220799999987</v>
      </c>
      <c r="M63" s="58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2" t="s">
        <v>379</v>
      </c>
      <c r="B64" s="10" t="s">
        <v>132</v>
      </c>
      <c r="C64" s="10" t="s">
        <v>537</v>
      </c>
      <c r="D64" s="10" t="s">
        <v>548</v>
      </c>
      <c r="E64" s="32">
        <v>-1252.6500000000001</v>
      </c>
      <c r="F64" s="32">
        <v>8747.51</v>
      </c>
      <c r="G64" s="32">
        <f t="shared" ref="G64:G65" si="30">F64*0.7</f>
        <v>6123.2569999999996</v>
      </c>
      <c r="H64" s="75">
        <v>0.27393000000000001</v>
      </c>
      <c r="I64" s="69">
        <f t="shared" si="29"/>
        <v>1000.6540316325001</v>
      </c>
      <c r="J64" s="78">
        <f>F64*0.05*H64</f>
        <v>119.81027071500002</v>
      </c>
      <c r="K64" s="61">
        <f t="shared" ref="K64:K65" si="31">E64*0.25*H64</f>
        <v>-85.784603625000003</v>
      </c>
      <c r="L64" s="61">
        <f>(F64*0.1+G64*0.25)*H64</f>
        <v>658.95648893250006</v>
      </c>
      <c r="M64" s="58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2" t="s">
        <v>379</v>
      </c>
      <c r="B65" s="10" t="s">
        <v>184</v>
      </c>
      <c r="C65" s="10" t="s">
        <v>537</v>
      </c>
      <c r="D65" s="10" t="s">
        <v>548</v>
      </c>
      <c r="E65" s="32">
        <v>18864.68</v>
      </c>
      <c r="F65" s="32">
        <v>10201.76</v>
      </c>
      <c r="G65" s="32">
        <f t="shared" si="30"/>
        <v>7141.232</v>
      </c>
      <c r="H65" s="75">
        <v>0.27393000000000001</v>
      </c>
      <c r="I65" s="69">
        <f t="shared" si="29"/>
        <v>5342.8496056200001</v>
      </c>
      <c r="J65" s="78">
        <f>F65*0.025*H65</f>
        <v>69.864202920000011</v>
      </c>
      <c r="K65" s="61">
        <f t="shared" si="31"/>
        <v>1291.9004480999999</v>
      </c>
      <c r="L65" s="61">
        <f>(F65*0.075+G65*0.25)*H65</f>
        <v>698.64202920000002</v>
      </c>
      <c r="M65" s="58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2" t="s">
        <v>379</v>
      </c>
      <c r="B66" s="32" t="s">
        <v>76</v>
      </c>
      <c r="C66" s="10">
        <v>2381219</v>
      </c>
      <c r="D66" s="10" t="s">
        <v>534</v>
      </c>
      <c r="E66" s="32">
        <v>2639.41</v>
      </c>
      <c r="F66" s="32">
        <v>2160.63</v>
      </c>
      <c r="G66" s="69">
        <f>F66*0.5</f>
        <v>1080.3150000000001</v>
      </c>
      <c r="H66" s="70">
        <v>1</v>
      </c>
      <c r="I66" s="69">
        <f>(E66*0.98+G66)*H66*0.6</f>
        <v>2200.1620800000001</v>
      </c>
      <c r="J66" s="19" t="s">
        <v>468</v>
      </c>
      <c r="K66" s="61">
        <v>0</v>
      </c>
      <c r="L66" s="61">
        <v>0</v>
      </c>
      <c r="M66" s="58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2" t="s">
        <v>379</v>
      </c>
      <c r="B67" s="32" t="s">
        <v>61</v>
      </c>
      <c r="C67" s="2" t="s">
        <v>537</v>
      </c>
      <c r="D67" s="32" t="s">
        <v>538</v>
      </c>
      <c r="E67" s="69">
        <v>813.95</v>
      </c>
      <c r="F67" s="69">
        <v>224.66</v>
      </c>
      <c r="G67" s="69">
        <f>F67*0.3</f>
        <v>67.397999999999996</v>
      </c>
      <c r="H67" s="70">
        <v>1.12683</v>
      </c>
      <c r="I67" s="69">
        <f>(E67+G67)*H67*0.75</f>
        <v>744.84702513000002</v>
      </c>
      <c r="J67" s="78" t="s">
        <v>468</v>
      </c>
      <c r="K67" s="61">
        <f>E67*0.25*H67</f>
        <v>229.29581962500001</v>
      </c>
      <c r="L67" s="61">
        <f>(F67*0.35+G67*0.25)*H67</f>
        <v>107.590291815</v>
      </c>
      <c r="M67" s="58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32" t="s">
        <v>380</v>
      </c>
      <c r="B68" s="10" t="s">
        <v>152</v>
      </c>
      <c r="C68" s="10">
        <v>2352606</v>
      </c>
      <c r="D68" s="10" t="s">
        <v>550</v>
      </c>
      <c r="E68" s="32">
        <v>129.24</v>
      </c>
      <c r="F68" s="32">
        <v>31.17</v>
      </c>
      <c r="G68" s="32">
        <f t="shared" ref="G68:G69" si="32">F68*0.6</f>
        <v>18.702000000000002</v>
      </c>
      <c r="H68" s="73">
        <v>0.74386799999999997</v>
      </c>
      <c r="I68" s="69">
        <f>(E68+G68)*H68*0.9</f>
        <v>99.044387690400001</v>
      </c>
      <c r="J68" s="79" t="s">
        <v>468</v>
      </c>
      <c r="K68" s="61">
        <f>E68*0.05*H68</f>
        <v>4.8068750160000002</v>
      </c>
      <c r="L68" s="61">
        <f>(F68*0.1*0.95+G68*0.05)*H68</f>
        <v>2.8982956950000003</v>
      </c>
      <c r="M68" s="58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x14ac:dyDescent="0.3">
      <c r="A69" s="32" t="s">
        <v>380</v>
      </c>
      <c r="B69" s="10" t="s">
        <v>43</v>
      </c>
      <c r="C69" s="10">
        <v>10048044</v>
      </c>
      <c r="D69" s="10" t="s">
        <v>551</v>
      </c>
      <c r="E69" s="32">
        <v>618.77</v>
      </c>
      <c r="F69" s="32">
        <v>148.62</v>
      </c>
      <c r="G69" s="32">
        <f t="shared" si="32"/>
        <v>89.171999999999997</v>
      </c>
      <c r="H69" s="73">
        <v>0.65449599999999997</v>
      </c>
      <c r="I69" s="69">
        <f>(E69+G69)*H69*0.7125</f>
        <v>330.13346015280001</v>
      </c>
      <c r="J69" s="79" t="s">
        <v>468</v>
      </c>
      <c r="K69" s="61">
        <f>E69*0.2875*H69</f>
        <v>116.43246585199998</v>
      </c>
      <c r="L69" s="61">
        <f>(F69*0.15+G69*0.2875)*H69</f>
        <v>31.369960555199999</v>
      </c>
      <c r="M69" s="58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x14ac:dyDescent="0.3">
      <c r="A70" s="32" t="s">
        <v>380</v>
      </c>
      <c r="B70" s="32" t="s">
        <v>69</v>
      </c>
      <c r="C70" s="2" t="s">
        <v>544</v>
      </c>
      <c r="D70" s="32" t="s">
        <v>545</v>
      </c>
      <c r="E70" s="69">
        <v>1051.45</v>
      </c>
      <c r="F70" s="69">
        <v>187.41</v>
      </c>
      <c r="G70" s="69">
        <f>F70*0.55</f>
        <v>103.07550000000001</v>
      </c>
      <c r="H70" s="74">
        <v>1</v>
      </c>
      <c r="I70" s="69">
        <f>(E70+G70)*H70*0.75</f>
        <v>865.89412500000003</v>
      </c>
      <c r="J70" s="78">
        <f t="shared" ref="J70:J71" si="33">F70*0.05*H70</f>
        <v>9.3704999999999998</v>
      </c>
      <c r="K70" s="61">
        <f>E70*0.25*H70</f>
        <v>262.86250000000001</v>
      </c>
      <c r="L70" s="61">
        <f>(F70*0.25+G70*0.25)*H70</f>
        <v>72.621375</v>
      </c>
      <c r="M70" s="58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32" t="s">
        <v>380</v>
      </c>
      <c r="B71" s="29" t="s">
        <v>35</v>
      </c>
      <c r="C71" s="10" t="s">
        <v>544</v>
      </c>
      <c r="D71" s="10" t="s">
        <v>545</v>
      </c>
      <c r="E71" s="32">
        <v>7736.92</v>
      </c>
      <c r="F71" s="32">
        <v>1223.3699999999999</v>
      </c>
      <c r="G71" s="69">
        <f>F71*0.65</f>
        <v>795.19049999999993</v>
      </c>
      <c r="H71" s="75">
        <v>0.27349000000000001</v>
      </c>
      <c r="I71" s="69">
        <f>(E71*0.95+G71)*H71*0.75</f>
        <v>1670.7362910787499</v>
      </c>
      <c r="J71" s="78">
        <f t="shared" si="33"/>
        <v>16.728973064999998</v>
      </c>
      <c r="K71" s="61">
        <f>(E71*0.75*0.05+E71*0.25)*H71</f>
        <v>608.34144710500004</v>
      </c>
      <c r="L71" s="61">
        <f>(F71*0.18+G71*0.25)*H71</f>
        <v>114.59346549525</v>
      </c>
      <c r="M71" s="58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32" t="s">
        <v>380</v>
      </c>
      <c r="B72" s="10" t="s">
        <v>184</v>
      </c>
      <c r="C72" s="10" t="s">
        <v>537</v>
      </c>
      <c r="D72" s="10" t="s">
        <v>548</v>
      </c>
      <c r="E72" s="32">
        <v>49986.46</v>
      </c>
      <c r="F72" s="32">
        <v>17326.16</v>
      </c>
      <c r="G72" s="32">
        <f>F72*0.7</f>
        <v>12128.312</v>
      </c>
      <c r="H72" s="75">
        <v>0.27349000000000001</v>
      </c>
      <c r="I72" s="69">
        <f>(E72+G72)*H72*0.75</f>
        <v>12740.826745709999</v>
      </c>
      <c r="J72" s="78">
        <f>F72*0.025*H72</f>
        <v>118.46328746</v>
      </c>
      <c r="K72" s="61">
        <f>E72*0.25*H72</f>
        <v>3417.6992363499999</v>
      </c>
      <c r="L72" s="61">
        <f>(F72*0.075+G72*0.25)*H72</f>
        <v>1184.6328746000002</v>
      </c>
      <c r="M72" s="58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32" t="s">
        <v>380</v>
      </c>
      <c r="B73" s="2" t="s">
        <v>186</v>
      </c>
      <c r="C73" s="10">
        <v>1714680</v>
      </c>
      <c r="D73" s="76" t="s">
        <v>535</v>
      </c>
      <c r="E73" s="69">
        <v>-2619.69</v>
      </c>
      <c r="F73" s="69">
        <v>131.06</v>
      </c>
      <c r="G73" s="69">
        <f t="shared" ref="G73:G75" si="34">F73*0.5</f>
        <v>65.53</v>
      </c>
      <c r="H73" s="70">
        <v>1</v>
      </c>
      <c r="I73" s="69">
        <f t="shared" ref="I73:I74" si="35">(E73+G73)*H73*0.6</f>
        <v>-1532.4959999999999</v>
      </c>
      <c r="J73" s="19" t="s">
        <v>468</v>
      </c>
      <c r="K73" s="58">
        <f>(-F73*0.4*0.15+E73*0.25)*H73*0.7-(-F73*0.05*0.15)*H73</f>
        <v>-462.96731999999997</v>
      </c>
      <c r="L73" s="58">
        <f>(F73*0.1*0.85+G73*0.25)*H73*0.7+F73*0.05*0.85*H73</f>
        <v>24.83587</v>
      </c>
      <c r="M73" s="58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32" t="s">
        <v>380</v>
      </c>
      <c r="B74" s="32" t="s">
        <v>76</v>
      </c>
      <c r="C74" s="10">
        <v>2381219</v>
      </c>
      <c r="D74" s="10" t="s">
        <v>534</v>
      </c>
      <c r="E74" s="32">
        <v>-5948.5</v>
      </c>
      <c r="F74" s="32">
        <v>3552.2</v>
      </c>
      <c r="G74" s="69">
        <f t="shared" si="34"/>
        <v>1776.1</v>
      </c>
      <c r="H74" s="70">
        <v>1</v>
      </c>
      <c r="I74" s="69">
        <f t="shared" si="35"/>
        <v>-2503.4399999999996</v>
      </c>
      <c r="J74" s="19" t="s">
        <v>468</v>
      </c>
      <c r="K74" s="58">
        <v>0</v>
      </c>
      <c r="L74" s="58">
        <v>0</v>
      </c>
      <c r="M74" s="58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32" t="s">
        <v>381</v>
      </c>
      <c r="B75" s="32" t="s">
        <v>76</v>
      </c>
      <c r="C75" s="10">
        <v>2381219</v>
      </c>
      <c r="D75" s="10" t="s">
        <v>534</v>
      </c>
      <c r="E75" s="32">
        <v>6150.92</v>
      </c>
      <c r="F75" s="32">
        <v>1530.66</v>
      </c>
      <c r="G75" s="69">
        <f t="shared" si="34"/>
        <v>765.33</v>
      </c>
      <c r="H75" s="70">
        <v>1</v>
      </c>
      <c r="I75" s="69">
        <f>(E75*0.98+G75)*H75*0.6</f>
        <v>4075.93896</v>
      </c>
      <c r="J75" s="19" t="s">
        <v>468</v>
      </c>
      <c r="K75" s="61">
        <v>0</v>
      </c>
      <c r="L75" s="61">
        <v>0</v>
      </c>
      <c r="M75" s="58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32" t="s">
        <v>381</v>
      </c>
      <c r="B76" s="10" t="s">
        <v>184</v>
      </c>
      <c r="C76" s="10" t="s">
        <v>537</v>
      </c>
      <c r="D76" s="10" t="s">
        <v>548</v>
      </c>
      <c r="E76" s="32">
        <v>-73946.89</v>
      </c>
      <c r="F76" s="32">
        <v>36741.22</v>
      </c>
      <c r="G76" s="32">
        <f>F76*0.7</f>
        <v>25718.853999999999</v>
      </c>
      <c r="H76" s="75">
        <v>0.27132000000000001</v>
      </c>
      <c r="I76" s="69">
        <f>(E76+G76)*H76*0.75</f>
        <v>-9813.9230456400001</v>
      </c>
      <c r="J76" s="78">
        <f>F76*0.025*H76</f>
        <v>249.21569526000002</v>
      </c>
      <c r="K76" s="61">
        <f>E76*0.25*H76</f>
        <v>-5015.8175486999999</v>
      </c>
      <c r="L76" s="61">
        <f>(F76*0.075+G76*0.25)*H76</f>
        <v>2492.1569526000003</v>
      </c>
      <c r="M76" s="58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32" t="s">
        <v>381</v>
      </c>
      <c r="B77" s="10" t="s">
        <v>43</v>
      </c>
      <c r="C77" s="10">
        <v>10048044</v>
      </c>
      <c r="D77" s="10" t="s">
        <v>551</v>
      </c>
      <c r="E77" s="32">
        <v>-7056.09</v>
      </c>
      <c r="F77" s="32">
        <v>1946.39</v>
      </c>
      <c r="G77" s="32">
        <f>F77*0.6</f>
        <v>1167.8340000000001</v>
      </c>
      <c r="H77" s="75">
        <v>0.64963899999999997</v>
      </c>
      <c r="I77" s="69">
        <f>(E77+G77)*H77*0.7125</f>
        <v>-2725.4840269536003</v>
      </c>
      <c r="J77" s="79" t="s">
        <v>468</v>
      </c>
      <c r="K77" s="61">
        <f>E77*0.2875*H77</f>
        <v>-1317.8744848091249</v>
      </c>
      <c r="L77" s="61">
        <f>(F77*0.15+G77*0.2875)*H77</f>
        <v>407.78540016022498</v>
      </c>
      <c r="M77" s="58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32" t="s">
        <v>381</v>
      </c>
      <c r="B78" s="2" t="s">
        <v>186</v>
      </c>
      <c r="C78" s="10">
        <v>1714680</v>
      </c>
      <c r="D78" s="76" t="s">
        <v>535</v>
      </c>
      <c r="E78" s="69">
        <v>-5389.62</v>
      </c>
      <c r="F78" s="69">
        <v>894.49</v>
      </c>
      <c r="G78" s="69">
        <f>F78*0.5</f>
        <v>447.245</v>
      </c>
      <c r="H78" s="70">
        <v>1</v>
      </c>
      <c r="I78" s="69">
        <f>(E78+G78)*H78*0.6</f>
        <v>-2965.4249999999997</v>
      </c>
      <c r="J78" s="19" t="s">
        <v>468</v>
      </c>
      <c r="K78" s="58">
        <f>(-F78*0.4*0.15+E78*0.25)*H78*0.7-(-F78*0.05*0.15)*H78</f>
        <v>-974.04340499999989</v>
      </c>
      <c r="L78" s="58">
        <f>(F78*0.1*0.85+G78*0.25)*H78*0.7+F78*0.05*0.85*H78</f>
        <v>169.505855</v>
      </c>
      <c r="M78" s="58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32" t="s">
        <v>382</v>
      </c>
      <c r="B79" s="32" t="s">
        <v>69</v>
      </c>
      <c r="C79" s="2" t="s">
        <v>544</v>
      </c>
      <c r="D79" s="32" t="s">
        <v>545</v>
      </c>
      <c r="E79" s="69">
        <v>-27107.360000000001</v>
      </c>
      <c r="F79" s="69">
        <v>2132.96</v>
      </c>
      <c r="G79" s="69">
        <f>F79*0.55</f>
        <v>1173.1280000000002</v>
      </c>
      <c r="H79" s="74">
        <v>1</v>
      </c>
      <c r="I79" s="69">
        <f t="shared" ref="I79:I80" si="36">(E79+G79)*H79*0.75</f>
        <v>-19450.673999999999</v>
      </c>
      <c r="J79" s="78">
        <f>F79*0.05*H79</f>
        <v>106.64800000000001</v>
      </c>
      <c r="K79" s="61">
        <f t="shared" ref="K79:K80" si="37">E79*0.25*H79</f>
        <v>-6776.84</v>
      </c>
      <c r="L79" s="61">
        <f>(F79*0.25+G79*0.25)*H79</f>
        <v>826.52200000000005</v>
      </c>
      <c r="M79" s="71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32" t="s">
        <v>382</v>
      </c>
      <c r="B80" s="10" t="s">
        <v>184</v>
      </c>
      <c r="C80" s="10" t="s">
        <v>537</v>
      </c>
      <c r="D80" s="10" t="s">
        <v>548</v>
      </c>
      <c r="E80" s="32">
        <v>-113862.32</v>
      </c>
      <c r="F80" s="32">
        <v>51668.23</v>
      </c>
      <c r="G80" s="32">
        <f>F80*0.7</f>
        <v>36167.760999999999</v>
      </c>
      <c r="H80" s="75">
        <v>0.27182000000000001</v>
      </c>
      <c r="I80" s="69">
        <f t="shared" si="36"/>
        <v>-15839.201270535001</v>
      </c>
      <c r="J80" s="78">
        <f>F80*0.025*H80</f>
        <v>351.111456965</v>
      </c>
      <c r="K80" s="61">
        <f t="shared" si="37"/>
        <v>-7737.5139556000004</v>
      </c>
      <c r="L80" s="61">
        <f>(F80*0.075+G80*0.25)*H80</f>
        <v>3511.1145696499998</v>
      </c>
      <c r="M80" s="58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32" t="s">
        <v>382</v>
      </c>
      <c r="B81" s="10" t="s">
        <v>43</v>
      </c>
      <c r="C81" s="10">
        <v>10048044</v>
      </c>
      <c r="D81" s="10" t="s">
        <v>551</v>
      </c>
      <c r="E81" s="32">
        <v>3234.1</v>
      </c>
      <c r="F81" s="32">
        <v>3375.54</v>
      </c>
      <c r="G81" s="32">
        <f>F81*0.6</f>
        <v>2025.3239999999998</v>
      </c>
      <c r="H81" s="75">
        <v>0.66093000000000002</v>
      </c>
      <c r="I81" s="69">
        <f>(E81+G81)*H81*0.7125</f>
        <v>2476.7291618280001</v>
      </c>
      <c r="J81" s="79" t="s">
        <v>468</v>
      </c>
      <c r="K81" s="61">
        <f>E81*0.2875*H81</f>
        <v>614.53519248750001</v>
      </c>
      <c r="L81" s="61">
        <f>(F81*0.15+G81*0.2875)*H81</f>
        <v>719.49609783449989</v>
      </c>
      <c r="M81" s="58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32" t="s">
        <v>382</v>
      </c>
      <c r="B82" s="2" t="s">
        <v>186</v>
      </c>
      <c r="C82" s="10">
        <v>1714680</v>
      </c>
      <c r="D82" s="76" t="s">
        <v>535</v>
      </c>
      <c r="E82" s="69">
        <v>-1583.42</v>
      </c>
      <c r="F82" s="69">
        <v>610.89</v>
      </c>
      <c r="G82" s="69">
        <f t="shared" ref="G82:G83" si="38">F82*0.5</f>
        <v>305.44499999999999</v>
      </c>
      <c r="H82" s="70">
        <v>1</v>
      </c>
      <c r="I82" s="69">
        <f>(E82+G82)*H82*0.6</f>
        <v>-766.78500000000008</v>
      </c>
      <c r="J82" s="19" t="s">
        <v>468</v>
      </c>
      <c r="K82" s="58">
        <f>(-F82*0.4*0.15+E82*0.25)*H82*0.7-(-F82*0.05*0.15)*H82</f>
        <v>-298.17420499999997</v>
      </c>
      <c r="L82" s="58">
        <f>(F82*0.1*0.85+G82*0.25)*H82*0.7+F82*0.05*0.85*H82</f>
        <v>115.76365499999999</v>
      </c>
      <c r="M82" s="58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32" t="s">
        <v>382</v>
      </c>
      <c r="B83" s="32" t="s">
        <v>76</v>
      </c>
      <c r="C83" s="10">
        <v>2381219</v>
      </c>
      <c r="D83" s="10" t="s">
        <v>534</v>
      </c>
      <c r="E83" s="32">
        <v>1110.08</v>
      </c>
      <c r="F83" s="32">
        <v>2283.2199999999998</v>
      </c>
      <c r="G83" s="69">
        <f t="shared" si="38"/>
        <v>1141.6099999999999</v>
      </c>
      <c r="H83" s="70">
        <v>1</v>
      </c>
      <c r="I83" s="69">
        <f>(E83*0.98+G83)*H83*0.6</f>
        <v>1337.6930399999999</v>
      </c>
      <c r="J83" s="19" t="s">
        <v>468</v>
      </c>
      <c r="K83" s="61">
        <v>0</v>
      </c>
      <c r="L83" s="61">
        <v>0</v>
      </c>
      <c r="M83" s="58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2" t="s">
        <v>383</v>
      </c>
      <c r="B84" s="10" t="s">
        <v>184</v>
      </c>
      <c r="C84" s="10" t="s">
        <v>537</v>
      </c>
      <c r="D84" s="10" t="s">
        <v>548</v>
      </c>
      <c r="E84" s="32">
        <v>11854.45</v>
      </c>
      <c r="F84" s="32">
        <v>11070.79</v>
      </c>
      <c r="G84" s="32">
        <f>F84*0.7</f>
        <v>7749.5529999999999</v>
      </c>
      <c r="H84" s="75">
        <v>0.26668999999999998</v>
      </c>
      <c r="I84" s="69">
        <f>(E84+G84)*H84*0.75</f>
        <v>3921.1436700524996</v>
      </c>
      <c r="J84" s="78">
        <f>F84*0.025*H84</f>
        <v>73.811724627500013</v>
      </c>
      <c r="K84" s="61">
        <f>E84*0.25*H84</f>
        <v>790.36581762499998</v>
      </c>
      <c r="L84" s="61">
        <f>(F84*0.075+G84*0.25)*H84</f>
        <v>738.11724627499996</v>
      </c>
      <c r="M84" s="58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32" t="s">
        <v>383</v>
      </c>
      <c r="B85" s="32" t="s">
        <v>43</v>
      </c>
      <c r="C85" s="10">
        <v>10048044</v>
      </c>
      <c r="D85" s="10" t="s">
        <v>551</v>
      </c>
      <c r="E85" s="32">
        <v>-38781.879999999997</v>
      </c>
      <c r="F85" s="32">
        <v>8786.9699999999993</v>
      </c>
      <c r="G85" s="32">
        <f>F85*0.6</f>
        <v>5272.1819999999998</v>
      </c>
      <c r="H85" s="75">
        <v>0.64132199999999995</v>
      </c>
      <c r="I85" s="69">
        <f>(E85+G85)*H85*0.7125</f>
        <v>-15311.985910288648</v>
      </c>
      <c r="J85" s="79" t="s">
        <v>468</v>
      </c>
      <c r="K85" s="61">
        <f>E85*0.2875*H85</f>
        <v>-7150.6059430409987</v>
      </c>
      <c r="L85" s="61">
        <f>(F85*0.15+G85*0.2875)*H85</f>
        <v>1817.3768887246497</v>
      </c>
      <c r="M85" s="58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32" t="s">
        <v>383</v>
      </c>
      <c r="B86" s="2" t="s">
        <v>186</v>
      </c>
      <c r="C86" s="10">
        <v>1714680</v>
      </c>
      <c r="D86" s="76" t="s">
        <v>535</v>
      </c>
      <c r="E86" s="69">
        <v>570.67999999999995</v>
      </c>
      <c r="F86" s="69">
        <v>153.6</v>
      </c>
      <c r="G86" s="69">
        <f t="shared" ref="G86:G87" si="39">F86*0.5</f>
        <v>76.8</v>
      </c>
      <c r="H86" s="70">
        <v>1</v>
      </c>
      <c r="I86" s="69">
        <f t="shared" ref="I86:I87" si="40">(E86*0.98+G86)*H86*0.6</f>
        <v>381.63983999999994</v>
      </c>
      <c r="J86" s="19" t="s">
        <v>468</v>
      </c>
      <c r="K86" s="58">
        <f>(-F86*0.4*0.15+E86*0.25)*H86*0.7-(-F86*0.05*0.15)*H86+E86*0.02*0.6*H86*0.7</f>
        <v>99.363511999999986</v>
      </c>
      <c r="L86" s="58">
        <f>(F86*0.1*0.85+G86*0.25)*H86*0.7+F86*0.05*0.85*H86</f>
        <v>29.107199999999999</v>
      </c>
      <c r="M86" s="58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32" t="s">
        <v>383</v>
      </c>
      <c r="B87" s="32" t="s">
        <v>76</v>
      </c>
      <c r="C87" s="10">
        <v>2381219</v>
      </c>
      <c r="D87" s="10" t="s">
        <v>534</v>
      </c>
      <c r="E87" s="32">
        <v>10183.86</v>
      </c>
      <c r="F87" s="32">
        <v>2464.27</v>
      </c>
      <c r="G87" s="69">
        <f t="shared" si="39"/>
        <v>1232.135</v>
      </c>
      <c r="H87" s="70">
        <v>1</v>
      </c>
      <c r="I87" s="69">
        <f t="shared" si="40"/>
        <v>6727.3906800000004</v>
      </c>
      <c r="J87" s="19" t="s">
        <v>468</v>
      </c>
      <c r="K87" s="61">
        <v>0</v>
      </c>
      <c r="L87" s="61">
        <v>0</v>
      </c>
      <c r="M87" s="58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2" t="s">
        <v>384</v>
      </c>
      <c r="B88" s="10" t="s">
        <v>132</v>
      </c>
      <c r="C88" s="10" t="s">
        <v>552</v>
      </c>
      <c r="D88" s="10" t="s">
        <v>553</v>
      </c>
      <c r="E88" s="32">
        <v>-30130.32</v>
      </c>
      <c r="F88" s="32">
        <v>6229.54</v>
      </c>
      <c r="G88" s="32">
        <f>F88*0.7</f>
        <v>4360.6779999999999</v>
      </c>
      <c r="H88" s="75">
        <v>0.26494000000000001</v>
      </c>
      <c r="I88" s="69">
        <f t="shared" ref="I88:I89" si="41">(E88+G88)*H88*0.75</f>
        <v>-5120.5567136099999</v>
      </c>
      <c r="J88" s="78">
        <f>F88*0.05*H88</f>
        <v>82.522716380000006</v>
      </c>
      <c r="K88" s="61">
        <f t="shared" ref="K88:K89" si="42">E88*0.25*H88</f>
        <v>-1995.6817452</v>
      </c>
      <c r="L88" s="61">
        <f>(F88*0.1+G88*0.25)*H88</f>
        <v>453.87494009000005</v>
      </c>
      <c r="M88" s="58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2" t="s">
        <v>384</v>
      </c>
      <c r="B89" s="10" t="s">
        <v>196</v>
      </c>
      <c r="C89" s="10" t="s">
        <v>552</v>
      </c>
      <c r="D89" s="10" t="s">
        <v>553</v>
      </c>
      <c r="E89" s="32">
        <v>-113120.1</v>
      </c>
      <c r="F89" s="32">
        <v>80398.789999999994</v>
      </c>
      <c r="G89" s="32">
        <f>F89*0.75</f>
        <v>60299.092499999999</v>
      </c>
      <c r="H89" s="75">
        <v>0.26494000000000001</v>
      </c>
      <c r="I89" s="69">
        <f t="shared" si="41"/>
        <v>-10495.798295287501</v>
      </c>
      <c r="J89" s="78">
        <f>F89*0.025*H89</f>
        <v>532.52138556500006</v>
      </c>
      <c r="K89" s="61">
        <f t="shared" si="42"/>
        <v>-7492.5098235000005</v>
      </c>
      <c r="L89" s="61">
        <f>(F89*0.095+G89*0.25)*H89</f>
        <v>6017.4916568845001</v>
      </c>
      <c r="M89" s="58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2" t="s">
        <v>384</v>
      </c>
      <c r="B90" s="32" t="s">
        <v>76</v>
      </c>
      <c r="C90" s="10">
        <v>2381219</v>
      </c>
      <c r="D90" s="10" t="s">
        <v>534</v>
      </c>
      <c r="E90" s="32">
        <v>-2301.58</v>
      </c>
      <c r="F90" s="32">
        <v>5452.15</v>
      </c>
      <c r="G90" s="69">
        <f>F90*0.5</f>
        <v>2726.0749999999998</v>
      </c>
      <c r="H90" s="70">
        <v>1</v>
      </c>
      <c r="I90" s="69">
        <f>(E90+G90)*H90*0.6</f>
        <v>254.69699999999992</v>
      </c>
      <c r="J90" s="19" t="s">
        <v>468</v>
      </c>
      <c r="K90" s="58">
        <v>0</v>
      </c>
      <c r="L90" s="58">
        <v>0</v>
      </c>
      <c r="M90" s="58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32" t="s">
        <v>384</v>
      </c>
      <c r="B91" s="32" t="s">
        <v>43</v>
      </c>
      <c r="C91" s="10">
        <v>10048044</v>
      </c>
      <c r="D91" s="10" t="s">
        <v>551</v>
      </c>
      <c r="E91" s="32">
        <v>543.62</v>
      </c>
      <c r="F91" s="32">
        <v>2486.3000000000002</v>
      </c>
      <c r="G91" s="32">
        <f>F91*0.6</f>
        <v>1491.78</v>
      </c>
      <c r="H91" s="75">
        <v>0.64562200000000003</v>
      </c>
      <c r="I91" s="69">
        <f>(E91+G91)*H91*0.7125</f>
        <v>936.29555089500013</v>
      </c>
      <c r="J91" s="79" t="s">
        <v>468</v>
      </c>
      <c r="K91" s="61">
        <f>E91*0.2875*H91</f>
        <v>100.9047465965</v>
      </c>
      <c r="L91" s="61">
        <f>(F91*0.15+G91*0.2875)*H91</f>
        <v>517.68021809849995</v>
      </c>
      <c r="M91" s="58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2"/>
      <c r="B92" s="10"/>
      <c r="C92" s="10"/>
      <c r="D92" s="10"/>
      <c r="E92" s="32"/>
      <c r="F92" s="32"/>
      <c r="G92" s="32"/>
      <c r="H92" s="73"/>
      <c r="I92" s="32"/>
      <c r="J92" s="32"/>
      <c r="K92" s="32"/>
      <c r="L92" s="32"/>
      <c r="M92" s="32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2"/>
      <c r="B93" s="10"/>
      <c r="C93" s="10"/>
      <c r="D93" s="10"/>
      <c r="E93" s="32"/>
      <c r="F93" s="32"/>
      <c r="G93" s="32"/>
      <c r="H93" s="73"/>
      <c r="I93" s="32"/>
      <c r="J93" s="32"/>
      <c r="K93" s="32"/>
      <c r="L93" s="32"/>
      <c r="M93" s="32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2"/>
      <c r="B94" s="10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32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2"/>
      <c r="B95" s="10"/>
      <c r="C95" s="10"/>
      <c r="D95" s="10"/>
      <c r="E95" s="32"/>
      <c r="F95" s="32"/>
      <c r="G95" s="32"/>
      <c r="H95" s="73"/>
      <c r="I95" s="32"/>
      <c r="J95" s="32"/>
      <c r="K95" s="84" t="s">
        <v>520</v>
      </c>
      <c r="L95" s="32"/>
      <c r="M95" s="32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2"/>
      <c r="B96" s="10"/>
      <c r="C96" s="10"/>
      <c r="D96" s="10"/>
      <c r="E96" s="32"/>
      <c r="F96" s="32"/>
      <c r="G96" s="32"/>
      <c r="H96" s="73"/>
      <c r="I96" s="32"/>
      <c r="J96" s="32"/>
      <c r="K96" s="80" t="s">
        <v>498</v>
      </c>
      <c r="L96" s="32"/>
      <c r="M96" s="32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10"/>
      <c r="C97" s="10"/>
      <c r="D97" s="10"/>
      <c r="E97" s="32"/>
      <c r="F97" s="32"/>
      <c r="G97" s="32"/>
      <c r="H97" s="73"/>
      <c r="I97" s="32"/>
      <c r="J97" s="32"/>
      <c r="K97" s="69"/>
      <c r="L97" s="32"/>
      <c r="M97" s="32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10"/>
      <c r="C98" s="10"/>
      <c r="D98" s="10"/>
      <c r="E98" s="32"/>
      <c r="F98" s="32"/>
      <c r="G98" s="32"/>
      <c r="H98" s="73"/>
      <c r="I98" s="32"/>
      <c r="J98" s="32"/>
      <c r="K98" s="69"/>
      <c r="L98" s="32"/>
      <c r="M98" s="32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69"/>
      <c r="L99" s="32"/>
      <c r="M99" s="32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10"/>
      <c r="C100" s="10"/>
      <c r="D100" s="10"/>
      <c r="E100" s="32"/>
      <c r="F100" s="32"/>
      <c r="G100" s="32"/>
      <c r="H100" s="73"/>
      <c r="I100" s="32"/>
      <c r="J100" s="32"/>
      <c r="K100" s="69"/>
      <c r="L100" s="32"/>
      <c r="M100" s="32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32"/>
      <c r="J101" s="32"/>
      <c r="K101" s="69"/>
      <c r="L101" s="32"/>
      <c r="M101" s="32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32"/>
      <c r="B102" s="32"/>
      <c r="C102" s="10"/>
      <c r="D102" s="32"/>
      <c r="E102" s="69"/>
      <c r="F102" s="69"/>
      <c r="G102" s="69"/>
      <c r="H102" s="75"/>
      <c r="I102" s="69"/>
      <c r="J102" s="32"/>
      <c r="K102" s="69"/>
      <c r="L102" s="32"/>
      <c r="M102" s="32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32"/>
      <c r="B103" s="46"/>
      <c r="C103" s="10"/>
      <c r="D103" s="10"/>
      <c r="E103" s="32"/>
      <c r="F103" s="32"/>
      <c r="G103" s="32"/>
      <c r="H103" s="73"/>
      <c r="I103" s="32"/>
      <c r="J103" s="32"/>
      <c r="K103" s="69"/>
      <c r="L103" s="32"/>
      <c r="M103" s="32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32"/>
      <c r="B104" s="10"/>
      <c r="C104" s="10"/>
      <c r="D104" s="10"/>
      <c r="E104" s="32"/>
      <c r="F104" s="32"/>
      <c r="G104" s="32"/>
      <c r="H104" s="73"/>
      <c r="I104" s="32"/>
      <c r="J104" s="32"/>
      <c r="K104" s="69"/>
      <c r="L104" s="32"/>
      <c r="M104" s="32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46"/>
      <c r="C105" s="10"/>
      <c r="D105" s="10"/>
      <c r="E105" s="32"/>
      <c r="F105" s="32"/>
      <c r="G105" s="32"/>
      <c r="H105" s="73"/>
      <c r="I105" s="32"/>
      <c r="J105" s="32"/>
      <c r="K105" s="69"/>
      <c r="L105" s="32"/>
      <c r="M105" s="32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10"/>
      <c r="C106" s="10"/>
      <c r="D106" s="32"/>
      <c r="E106" s="32"/>
      <c r="F106" s="32"/>
      <c r="G106" s="32"/>
      <c r="H106" s="73"/>
      <c r="I106" s="32"/>
      <c r="J106" s="32"/>
      <c r="K106" s="69"/>
      <c r="L106" s="32"/>
      <c r="M106" s="32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32"/>
      <c r="B107" s="38" t="s">
        <v>554</v>
      </c>
      <c r="C107" s="88" t="s">
        <v>1</v>
      </c>
      <c r="D107" s="32"/>
      <c r="E107" s="32"/>
      <c r="F107" s="32"/>
      <c r="G107" s="32"/>
      <c r="H107" s="73"/>
      <c r="I107" s="32"/>
      <c r="J107" s="32"/>
      <c r="K107" s="69"/>
      <c r="L107" s="32"/>
      <c r="M107" s="32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32" t="s">
        <v>296</v>
      </c>
      <c r="B108" s="69">
        <v>9.91</v>
      </c>
      <c r="C108" s="32" t="s">
        <v>76</v>
      </c>
      <c r="D108" s="10"/>
      <c r="E108" s="32"/>
      <c r="F108" s="32"/>
      <c r="G108" s="69"/>
      <c r="H108" s="73"/>
      <c r="I108" s="69"/>
      <c r="J108" s="32"/>
      <c r="K108" s="69"/>
      <c r="L108" s="32"/>
      <c r="M108" s="32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32" t="s">
        <v>317</v>
      </c>
      <c r="B109" s="69">
        <v>6.11</v>
      </c>
      <c r="C109" s="32" t="s">
        <v>76</v>
      </c>
      <c r="D109" s="10"/>
      <c r="E109" s="32"/>
      <c r="F109" s="32"/>
      <c r="G109" s="69"/>
      <c r="H109" s="70"/>
      <c r="I109" s="69"/>
      <c r="J109" s="69"/>
      <c r="K109" s="69"/>
      <c r="L109" s="69"/>
      <c r="M109" s="32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 t="s">
        <v>325</v>
      </c>
      <c r="B110" s="69">
        <v>54.336000000000006</v>
      </c>
      <c r="C110" s="32" t="s">
        <v>76</v>
      </c>
      <c r="D110" s="10"/>
      <c r="E110" s="32"/>
      <c r="F110" s="32"/>
      <c r="G110" s="69"/>
      <c r="H110" s="70"/>
      <c r="I110" s="69"/>
      <c r="J110" s="69"/>
      <c r="K110" s="69"/>
      <c r="L110" s="69"/>
      <c r="M110" s="32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2" t="s">
        <v>332</v>
      </c>
      <c r="B111" s="69">
        <v>57.7</v>
      </c>
      <c r="C111" s="32" t="s">
        <v>76</v>
      </c>
      <c r="D111" s="10"/>
      <c r="E111" s="32"/>
      <c r="F111" s="32"/>
      <c r="G111" s="69"/>
      <c r="H111" s="70"/>
      <c r="I111" s="69"/>
      <c r="J111" s="69"/>
      <c r="K111" s="69"/>
      <c r="L111" s="69"/>
      <c r="M111" s="32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2" t="s">
        <v>340</v>
      </c>
      <c r="B112" s="69">
        <v>57.31</v>
      </c>
      <c r="C112" s="32" t="s">
        <v>76</v>
      </c>
      <c r="D112" s="10"/>
      <c r="E112" s="32"/>
      <c r="F112" s="32"/>
      <c r="G112" s="69"/>
      <c r="H112" s="70"/>
      <c r="I112" s="69"/>
      <c r="J112" s="69"/>
      <c r="K112" s="69"/>
      <c r="L112" s="69"/>
      <c r="M112" s="32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 t="s">
        <v>359</v>
      </c>
      <c r="B113" s="69">
        <v>22.134900000000002</v>
      </c>
      <c r="C113" s="32" t="s">
        <v>76</v>
      </c>
      <c r="D113" s="10"/>
      <c r="E113" s="32"/>
      <c r="F113" s="32"/>
      <c r="G113" s="69"/>
      <c r="H113" s="70"/>
      <c r="I113" s="69"/>
      <c r="J113" s="69"/>
      <c r="K113" s="69"/>
      <c r="L113" s="69"/>
      <c r="M113" s="32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32" t="s">
        <v>366</v>
      </c>
      <c r="B114" s="69">
        <v>52.964100000000002</v>
      </c>
      <c r="C114" s="32" t="s">
        <v>76</v>
      </c>
      <c r="D114" s="10"/>
      <c r="E114" s="32"/>
      <c r="F114" s="32"/>
      <c r="G114" s="69"/>
      <c r="H114" s="70"/>
      <c r="I114" s="69"/>
      <c r="J114" s="69"/>
      <c r="K114" s="69"/>
      <c r="L114" s="69"/>
      <c r="M114" s="32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32" t="s">
        <v>370</v>
      </c>
      <c r="B115" s="69">
        <v>2.6145</v>
      </c>
      <c r="C115" s="32" t="s">
        <v>76</v>
      </c>
      <c r="D115" s="10"/>
      <c r="E115" s="32"/>
      <c r="F115" s="32"/>
      <c r="G115" s="69"/>
      <c r="H115" s="70"/>
      <c r="I115" s="69"/>
      <c r="J115" s="69"/>
      <c r="K115" s="69"/>
      <c r="L115" s="69"/>
      <c r="M115" s="32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 t="s">
        <v>372</v>
      </c>
      <c r="B116" s="69">
        <v>0</v>
      </c>
      <c r="C116" s="32" t="s">
        <v>76</v>
      </c>
      <c r="D116" s="10"/>
      <c r="E116" s="32"/>
      <c r="F116" s="32"/>
      <c r="G116" s="69"/>
      <c r="H116" s="70"/>
      <c r="I116" s="69"/>
      <c r="J116" s="69"/>
      <c r="K116" s="69"/>
      <c r="L116" s="69"/>
      <c r="M116" s="32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32" t="s">
        <v>377</v>
      </c>
      <c r="B117" s="69">
        <v>0</v>
      </c>
      <c r="C117" s="32" t="s">
        <v>76</v>
      </c>
      <c r="D117" s="10"/>
      <c r="E117" s="32"/>
      <c r="F117" s="32"/>
      <c r="G117" s="69"/>
      <c r="H117" s="70"/>
      <c r="I117" s="69"/>
      <c r="J117" s="69"/>
      <c r="K117" s="69"/>
      <c r="L117" s="69"/>
      <c r="M117" s="32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32" t="s">
        <v>379</v>
      </c>
      <c r="B118" s="69">
        <v>21.14</v>
      </c>
      <c r="C118" s="32" t="s">
        <v>76</v>
      </c>
      <c r="D118" s="10"/>
      <c r="E118" s="32"/>
      <c r="F118" s="32"/>
      <c r="G118" s="69"/>
      <c r="H118" s="70"/>
      <c r="I118" s="69"/>
      <c r="J118" s="69"/>
      <c r="K118" s="69"/>
      <c r="L118" s="69"/>
      <c r="M118" s="32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32" t="s">
        <v>380</v>
      </c>
      <c r="B119" s="69">
        <v>14.5908</v>
      </c>
      <c r="C119" s="32" t="s">
        <v>76</v>
      </c>
      <c r="D119" s="10"/>
      <c r="E119" s="32"/>
      <c r="F119" s="32"/>
      <c r="G119" s="69"/>
      <c r="H119" s="70"/>
      <c r="I119" s="69"/>
      <c r="J119" s="69"/>
      <c r="K119" s="69"/>
      <c r="L119" s="69"/>
      <c r="M119" s="32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32"/>
      <c r="B120" s="69"/>
      <c r="C120" s="32"/>
      <c r="D120" s="10"/>
      <c r="E120" s="32"/>
      <c r="F120" s="32"/>
      <c r="G120" s="69"/>
      <c r="H120" s="70"/>
      <c r="I120" s="69"/>
      <c r="J120" s="69"/>
      <c r="K120" s="69"/>
      <c r="L120" s="69"/>
      <c r="M120" s="32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32"/>
      <c r="B121" s="69"/>
      <c r="C121" s="32"/>
      <c r="D121" s="10"/>
      <c r="E121" s="32"/>
      <c r="F121" s="32"/>
      <c r="G121" s="69"/>
      <c r="H121" s="70"/>
      <c r="I121" s="69"/>
      <c r="J121" s="69"/>
      <c r="K121" s="69"/>
      <c r="L121" s="69"/>
      <c r="M121" s="32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32"/>
      <c r="B122" s="69"/>
      <c r="C122" s="32"/>
      <c r="D122" s="10"/>
      <c r="E122" s="32"/>
      <c r="F122" s="32"/>
      <c r="G122" s="69"/>
      <c r="H122" s="70"/>
      <c r="I122" s="69"/>
      <c r="J122" s="69"/>
      <c r="K122" s="69"/>
      <c r="L122" s="69"/>
      <c r="M122" s="32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32"/>
      <c r="B123" s="69"/>
      <c r="C123" s="32"/>
      <c r="D123" s="10"/>
      <c r="E123" s="32"/>
      <c r="F123" s="32"/>
      <c r="G123" s="69"/>
      <c r="H123" s="70"/>
      <c r="I123" s="69"/>
      <c r="J123" s="69"/>
      <c r="K123" s="69"/>
      <c r="L123" s="69"/>
      <c r="M123" s="32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32"/>
      <c r="B124" s="69"/>
      <c r="C124" s="32"/>
      <c r="D124" s="10"/>
      <c r="E124" s="32"/>
      <c r="F124" s="32"/>
      <c r="G124" s="69"/>
      <c r="H124" s="70"/>
      <c r="I124" s="69"/>
      <c r="J124" s="69"/>
      <c r="K124" s="69"/>
      <c r="L124" s="69"/>
      <c r="M124" s="32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32"/>
      <c r="B125" s="32"/>
      <c r="C125" s="2"/>
      <c r="D125" s="10"/>
      <c r="E125" s="32"/>
      <c r="F125" s="32"/>
      <c r="G125" s="69"/>
      <c r="H125" s="70"/>
      <c r="I125" s="69"/>
      <c r="J125" s="69"/>
      <c r="K125" s="69"/>
      <c r="L125" s="69"/>
      <c r="M125" s="32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89" t="s">
        <v>336</v>
      </c>
      <c r="B126" s="90">
        <f>SUM(B108:B124)</f>
        <v>298.81030000000004</v>
      </c>
      <c r="C126" s="2"/>
      <c r="D126" s="10"/>
      <c r="E126" s="32"/>
      <c r="F126" s="32"/>
      <c r="G126" s="32"/>
      <c r="H126" s="73"/>
      <c r="I126" s="69"/>
      <c r="J126" s="69"/>
      <c r="K126" s="69"/>
      <c r="L126" s="69"/>
      <c r="M126" s="32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9"/>
      <c r="B127" s="2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32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9"/>
      <c r="B128" s="2"/>
      <c r="C128" s="10"/>
      <c r="D128" s="10"/>
      <c r="E128" s="32"/>
      <c r="F128" s="32"/>
      <c r="G128" s="32"/>
      <c r="H128" s="73"/>
      <c r="I128" s="32"/>
      <c r="J128" s="32"/>
      <c r="K128" s="32"/>
      <c r="L128" s="32"/>
      <c r="M128" s="32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2"/>
      <c r="B129" s="32"/>
      <c r="C129" s="2"/>
      <c r="D129" s="32"/>
      <c r="E129" s="69"/>
      <c r="F129" s="69"/>
      <c r="G129" s="69"/>
      <c r="H129" s="75"/>
      <c r="I129" s="69"/>
      <c r="J129" s="69"/>
      <c r="K129" s="69"/>
      <c r="L129" s="69"/>
      <c r="M129" s="32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2"/>
      <c r="C130" s="10"/>
      <c r="D130" s="10"/>
      <c r="E130" s="32"/>
      <c r="F130" s="32"/>
      <c r="G130" s="69"/>
      <c r="H130" s="70"/>
      <c r="I130" s="69"/>
      <c r="J130" s="69"/>
      <c r="K130" s="69"/>
      <c r="L130" s="69"/>
      <c r="M130" s="32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2"/>
      <c r="C131" s="10"/>
      <c r="D131" s="10"/>
      <c r="E131" s="32"/>
      <c r="F131" s="32"/>
      <c r="G131" s="69"/>
      <c r="H131" s="70"/>
      <c r="I131" s="69"/>
      <c r="J131" s="69"/>
      <c r="K131" s="69"/>
      <c r="L131" s="69"/>
      <c r="M131" s="32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69"/>
      <c r="J132" s="69"/>
      <c r="K132" s="69"/>
      <c r="L132" s="69"/>
      <c r="M132" s="32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2"/>
      <c r="B133" s="10"/>
      <c r="C133" s="10"/>
      <c r="D133" s="10"/>
      <c r="E133" s="32"/>
      <c r="F133" s="32"/>
      <c r="G133" s="32"/>
      <c r="H133" s="73"/>
      <c r="I133" s="32"/>
      <c r="J133" s="32"/>
      <c r="K133" s="32"/>
      <c r="L133" s="32"/>
      <c r="M133" s="32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2"/>
      <c r="B134" s="10"/>
      <c r="C134" s="10"/>
      <c r="D134" s="10"/>
      <c r="E134" s="32"/>
      <c r="F134" s="32"/>
      <c r="G134" s="32"/>
      <c r="H134" s="73"/>
      <c r="I134" s="32"/>
      <c r="J134" s="32"/>
      <c r="K134" s="32"/>
      <c r="L134" s="32"/>
      <c r="M134" s="32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2"/>
      <c r="C135" s="10"/>
      <c r="D135" s="10"/>
      <c r="E135" s="32"/>
      <c r="F135" s="32"/>
      <c r="G135" s="69"/>
      <c r="H135" s="70"/>
      <c r="I135" s="69"/>
      <c r="J135" s="69"/>
      <c r="K135" s="69"/>
      <c r="L135" s="69"/>
      <c r="M135" s="32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10"/>
      <c r="C136" s="10"/>
      <c r="D136" s="10"/>
      <c r="E136" s="32"/>
      <c r="F136" s="32"/>
      <c r="G136" s="32"/>
      <c r="H136" s="73"/>
      <c r="I136" s="32"/>
      <c r="J136" s="32"/>
      <c r="K136" s="32"/>
      <c r="L136" s="32"/>
      <c r="M136" s="32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10"/>
      <c r="C137" s="10"/>
      <c r="D137" s="10"/>
      <c r="E137" s="32"/>
      <c r="F137" s="32"/>
      <c r="G137" s="32"/>
      <c r="H137" s="73"/>
      <c r="I137" s="32"/>
      <c r="J137" s="32"/>
      <c r="K137" s="32"/>
      <c r="L137" s="32"/>
      <c r="M137" s="32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2"/>
      <c r="B138" s="32"/>
      <c r="C138" s="2"/>
      <c r="D138" s="32"/>
      <c r="E138" s="69"/>
      <c r="F138" s="69"/>
      <c r="G138" s="69"/>
      <c r="H138" s="75"/>
      <c r="I138" s="69"/>
      <c r="J138" s="69"/>
      <c r="K138" s="69"/>
      <c r="L138" s="69"/>
      <c r="M138" s="32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2"/>
      <c r="B139" s="2"/>
      <c r="C139" s="10"/>
      <c r="D139" s="10"/>
      <c r="E139" s="32"/>
      <c r="F139" s="32"/>
      <c r="G139" s="69"/>
      <c r="H139" s="70"/>
      <c r="I139" s="69"/>
      <c r="J139" s="69"/>
      <c r="K139" s="69"/>
      <c r="L139" s="69"/>
      <c r="M139" s="32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32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2"/>
      <c r="B141" s="2"/>
      <c r="C141" s="10"/>
      <c r="D141" s="10"/>
      <c r="E141" s="32"/>
      <c r="F141" s="32"/>
      <c r="G141" s="69"/>
      <c r="H141" s="70"/>
      <c r="I141" s="69"/>
      <c r="J141" s="69"/>
      <c r="K141" s="69"/>
      <c r="L141" s="69"/>
      <c r="M141" s="32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32"/>
      <c r="F142" s="32"/>
      <c r="G142" s="32"/>
      <c r="H142" s="73"/>
      <c r="I142" s="32"/>
      <c r="J142" s="32"/>
      <c r="K142" s="32"/>
      <c r="L142" s="32"/>
      <c r="M142" s="32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32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10"/>
      <c r="C144" s="10"/>
      <c r="D144" s="10"/>
      <c r="E144" s="32"/>
      <c r="F144" s="32"/>
      <c r="G144" s="32"/>
      <c r="H144" s="73"/>
      <c r="I144" s="32"/>
      <c r="J144" s="32"/>
      <c r="K144" s="32"/>
      <c r="L144" s="32"/>
      <c r="M144" s="32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2"/>
      <c r="D145" s="32"/>
      <c r="E145" s="69"/>
      <c r="F145" s="69"/>
      <c r="G145" s="69"/>
      <c r="H145" s="75"/>
      <c r="I145" s="69"/>
      <c r="J145" s="69"/>
      <c r="K145" s="69"/>
      <c r="L145" s="69"/>
      <c r="M145" s="32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32"/>
      <c r="B146" s="2"/>
      <c r="C146" s="10"/>
      <c r="D146" s="10"/>
      <c r="E146" s="32"/>
      <c r="F146" s="32"/>
      <c r="G146" s="69"/>
      <c r="H146" s="70"/>
      <c r="I146" s="69"/>
      <c r="J146" s="69"/>
      <c r="K146" s="69"/>
      <c r="L146" s="69"/>
      <c r="M146" s="32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32"/>
      <c r="B147" s="2"/>
      <c r="C147" s="10"/>
      <c r="D147" s="10"/>
      <c r="E147" s="32"/>
      <c r="F147" s="32"/>
      <c r="G147" s="32"/>
      <c r="H147" s="73"/>
      <c r="I147" s="32"/>
      <c r="J147" s="32"/>
      <c r="K147" s="32"/>
      <c r="L147" s="32"/>
      <c r="M147" s="32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32"/>
      <c r="B148" s="10"/>
      <c r="C148" s="10"/>
      <c r="D148" s="10"/>
      <c r="E148" s="32"/>
      <c r="F148" s="32"/>
      <c r="G148" s="32"/>
      <c r="H148" s="73"/>
      <c r="I148" s="32"/>
      <c r="J148" s="32"/>
      <c r="K148" s="32"/>
      <c r="L148" s="32"/>
      <c r="M148" s="32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3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32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2"/>
      <c r="C150" s="10"/>
      <c r="D150" s="10"/>
      <c r="E150" s="32"/>
      <c r="F150" s="32"/>
      <c r="G150" s="69"/>
      <c r="H150" s="70"/>
      <c r="I150" s="69"/>
      <c r="J150" s="69"/>
      <c r="K150" s="69"/>
      <c r="L150" s="69"/>
      <c r="M150" s="32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2"/>
      <c r="C151" s="10"/>
      <c r="D151" s="10"/>
      <c r="E151" s="32"/>
      <c r="F151" s="32"/>
      <c r="G151" s="32"/>
      <c r="H151" s="73"/>
      <c r="I151" s="32"/>
      <c r="J151" s="32"/>
      <c r="K151" s="32"/>
      <c r="L151" s="32"/>
      <c r="M151" s="32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10"/>
      <c r="C152" s="10"/>
      <c r="D152" s="10"/>
      <c r="E152" s="32"/>
      <c r="F152" s="32"/>
      <c r="G152" s="32"/>
      <c r="H152" s="73"/>
      <c r="I152" s="32"/>
      <c r="J152" s="32"/>
      <c r="K152" s="32"/>
      <c r="L152" s="32"/>
      <c r="M152" s="32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2"/>
      <c r="D153" s="32"/>
      <c r="E153" s="69"/>
      <c r="F153" s="69"/>
      <c r="G153" s="69"/>
      <c r="H153" s="75"/>
      <c r="I153" s="69"/>
      <c r="J153" s="69"/>
      <c r="K153" s="69"/>
      <c r="L153" s="69"/>
      <c r="M153" s="32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3"/>
      <c r="I154" s="69"/>
      <c r="J154" s="69"/>
      <c r="K154" s="69"/>
      <c r="L154" s="69"/>
      <c r="M154" s="32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10"/>
      <c r="C155" s="10"/>
      <c r="D155" s="10"/>
      <c r="E155" s="32"/>
      <c r="F155" s="32"/>
      <c r="G155" s="32"/>
      <c r="H155" s="73"/>
      <c r="I155" s="32"/>
      <c r="J155" s="2"/>
      <c r="K155" s="32"/>
      <c r="L155" s="32"/>
      <c r="M155" s="32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32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10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32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32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2"/>
      <c r="C159" s="10"/>
      <c r="D159" s="10"/>
      <c r="E159" s="32"/>
      <c r="F159" s="32"/>
      <c r="G159" s="32"/>
      <c r="H159" s="73"/>
      <c r="I159" s="32"/>
      <c r="J159" s="32"/>
      <c r="K159" s="32"/>
      <c r="L159" s="32"/>
      <c r="M159" s="32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10"/>
      <c r="C160" s="10"/>
      <c r="D160" s="10"/>
      <c r="E160" s="32"/>
      <c r="F160" s="32"/>
      <c r="G160" s="32"/>
      <c r="H160" s="73"/>
      <c r="I160" s="32"/>
      <c r="J160" s="32"/>
      <c r="K160" s="32"/>
      <c r="L160" s="32"/>
      <c r="M160" s="32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10"/>
      <c r="C161" s="10"/>
      <c r="D161" s="10"/>
      <c r="E161" s="32"/>
      <c r="F161" s="32"/>
      <c r="G161" s="32"/>
      <c r="H161" s="70"/>
      <c r="I161" s="69"/>
      <c r="J161" s="69"/>
      <c r="K161" s="69"/>
      <c r="L161" s="69"/>
      <c r="M161" s="32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10"/>
      <c r="C162" s="10"/>
      <c r="D162" s="10"/>
      <c r="E162" s="32"/>
      <c r="F162" s="32"/>
      <c r="G162" s="32"/>
      <c r="H162" s="73"/>
      <c r="I162" s="69"/>
      <c r="J162" s="69"/>
      <c r="K162" s="69"/>
      <c r="L162" s="69"/>
      <c r="M162" s="32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32"/>
      <c r="B163" s="2"/>
      <c r="C163" s="10"/>
      <c r="D163" s="10"/>
      <c r="E163" s="32"/>
      <c r="F163" s="32"/>
      <c r="G163" s="32"/>
      <c r="H163" s="73"/>
      <c r="I163" s="32"/>
      <c r="J163" s="32"/>
      <c r="K163" s="32"/>
      <c r="L163" s="32"/>
      <c r="M163" s="32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32"/>
      <c r="B164" s="10"/>
      <c r="C164" s="10"/>
      <c r="D164" s="10"/>
      <c r="E164" s="32"/>
      <c r="F164" s="32"/>
      <c r="G164" s="32"/>
      <c r="H164" s="70"/>
      <c r="I164" s="69"/>
      <c r="J164" s="69"/>
      <c r="K164" s="69"/>
      <c r="L164" s="69"/>
      <c r="M164" s="32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32"/>
      <c r="B165" s="10"/>
      <c r="C165" s="10"/>
      <c r="D165" s="10"/>
      <c r="E165" s="32"/>
      <c r="F165" s="32"/>
      <c r="G165" s="32"/>
      <c r="H165" s="73"/>
      <c r="I165" s="32"/>
      <c r="J165" s="32"/>
      <c r="K165" s="32"/>
      <c r="L165" s="32"/>
      <c r="M165" s="32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32"/>
      <c r="B166" s="10"/>
      <c r="C166" s="10"/>
      <c r="D166" s="10"/>
      <c r="E166" s="32"/>
      <c r="F166" s="32"/>
      <c r="G166" s="32"/>
      <c r="H166" s="73"/>
      <c r="I166" s="69"/>
      <c r="J166" s="69"/>
      <c r="K166" s="69"/>
      <c r="L166" s="69"/>
      <c r="M166" s="32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32"/>
      <c r="E167" s="69"/>
      <c r="F167" s="69"/>
      <c r="G167" s="32"/>
      <c r="H167" s="75"/>
      <c r="I167" s="32"/>
      <c r="J167" s="32">
        <f>SUM(J2:J165)</f>
        <v>3014.2182586275003</v>
      </c>
      <c r="K167" s="32"/>
      <c r="L167" s="32"/>
      <c r="M167" s="32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32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2"/>
      <c r="B169" s="10"/>
      <c r="C169" s="10"/>
      <c r="D169" s="32"/>
      <c r="E169" s="32"/>
      <c r="F169" s="32"/>
      <c r="G169" s="32"/>
      <c r="H169" s="70"/>
      <c r="I169" s="69"/>
      <c r="J169" s="69"/>
      <c r="K169" s="69"/>
      <c r="L169" s="69"/>
      <c r="M169" s="32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2"/>
      <c r="B170" s="10"/>
      <c r="C170" s="10"/>
      <c r="D170" s="10"/>
      <c r="E170" s="32"/>
      <c r="F170" s="32"/>
      <c r="G170" s="32"/>
      <c r="H170" s="70"/>
      <c r="I170" s="69"/>
      <c r="J170" s="69"/>
      <c r="K170" s="69"/>
      <c r="L170" s="69"/>
      <c r="M170" s="32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2"/>
      <c r="B171" s="10"/>
      <c r="C171" s="10"/>
      <c r="D171" s="10"/>
      <c r="E171" s="32"/>
      <c r="F171" s="32"/>
      <c r="G171" s="32"/>
      <c r="H171" s="70"/>
      <c r="I171" s="69"/>
      <c r="J171" s="69"/>
      <c r="K171" s="69"/>
      <c r="L171" s="69"/>
      <c r="M171" s="32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2"/>
      <c r="B172" s="10"/>
      <c r="C172" s="10"/>
      <c r="D172" s="32"/>
      <c r="E172" s="32"/>
      <c r="F172" s="32"/>
      <c r="G172" s="32"/>
      <c r="H172" s="70"/>
      <c r="I172" s="69"/>
      <c r="J172" s="32"/>
      <c r="K172" s="32"/>
      <c r="L172" s="32"/>
      <c r="M172" s="32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10"/>
      <c r="C173" s="10"/>
      <c r="D173" s="10"/>
      <c r="E173" s="32"/>
      <c r="F173" s="32"/>
      <c r="G173" s="32"/>
      <c r="H173" s="70"/>
      <c r="I173" s="69"/>
      <c r="J173" s="32"/>
      <c r="K173" s="32"/>
      <c r="L173" s="32"/>
      <c r="M173" s="32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10"/>
      <c r="C174" s="10"/>
      <c r="D174" s="10"/>
      <c r="E174" s="32"/>
      <c r="F174" s="32"/>
      <c r="G174" s="32"/>
      <c r="H174" s="73"/>
      <c r="I174" s="32"/>
      <c r="J174" s="32"/>
      <c r="K174" s="32"/>
      <c r="L174" s="32"/>
      <c r="M174" s="32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2"/>
      <c r="B175" s="10"/>
      <c r="C175" s="10"/>
      <c r="D175" s="10"/>
      <c r="E175" s="32"/>
      <c r="F175" s="32"/>
      <c r="G175" s="32"/>
      <c r="H175" s="70"/>
      <c r="I175" s="69"/>
      <c r="J175" s="69"/>
      <c r="K175" s="69"/>
      <c r="L175" s="69"/>
      <c r="M175" s="32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2"/>
      <c r="B176" s="32"/>
      <c r="C176" s="10"/>
      <c r="D176" s="32"/>
      <c r="E176" s="32"/>
      <c r="F176" s="32"/>
      <c r="G176" s="32"/>
      <c r="H176" s="70"/>
      <c r="I176" s="69"/>
      <c r="J176" s="69"/>
      <c r="K176" s="69"/>
      <c r="L176" s="69"/>
      <c r="M176" s="32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2"/>
      <c r="B177" s="32"/>
      <c r="C177" s="10"/>
      <c r="D177" s="10"/>
      <c r="E177" s="32"/>
      <c r="F177" s="32"/>
      <c r="G177" s="32"/>
      <c r="H177" s="70"/>
      <c r="I177" s="69"/>
      <c r="J177" s="69"/>
      <c r="K177" s="69"/>
      <c r="L177" s="69"/>
      <c r="M177" s="32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2"/>
      <c r="B178" s="10"/>
      <c r="C178" s="10"/>
      <c r="D178" s="10"/>
      <c r="E178" s="32"/>
      <c r="F178" s="32"/>
      <c r="G178" s="32"/>
      <c r="H178" s="70"/>
      <c r="I178" s="69"/>
      <c r="J178" s="32"/>
      <c r="K178" s="32"/>
      <c r="L178" s="32"/>
      <c r="M178" s="32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2"/>
      <c r="B179" s="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32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2"/>
      <c r="B180" s="10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32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2"/>
      <c r="B181" s="2"/>
      <c r="C181" s="10"/>
      <c r="D181" s="10"/>
      <c r="E181" s="32"/>
      <c r="F181" s="32"/>
      <c r="G181" s="32"/>
      <c r="H181" s="73"/>
      <c r="I181" s="69"/>
      <c r="J181" s="69"/>
      <c r="K181" s="69"/>
      <c r="L181" s="69"/>
      <c r="M181" s="32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32"/>
      <c r="C182" s="10"/>
      <c r="D182" s="32"/>
      <c r="E182" s="69"/>
      <c r="F182" s="69"/>
      <c r="G182" s="32"/>
      <c r="H182" s="75"/>
      <c r="I182" s="32"/>
      <c r="J182" s="32"/>
      <c r="K182" s="32"/>
      <c r="L182" s="32"/>
      <c r="M182" s="32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32"/>
      <c r="C183" s="10"/>
      <c r="D183" s="32"/>
      <c r="E183" s="32"/>
      <c r="F183" s="32"/>
      <c r="G183" s="32"/>
      <c r="H183" s="70"/>
      <c r="I183" s="69"/>
      <c r="J183" s="69"/>
      <c r="K183" s="69"/>
      <c r="L183" s="69"/>
      <c r="M183" s="32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32"/>
      <c r="C184" s="10"/>
      <c r="D184" s="10"/>
      <c r="E184" s="32"/>
      <c r="F184" s="32"/>
      <c r="G184" s="32"/>
      <c r="H184" s="70"/>
      <c r="I184" s="69"/>
      <c r="J184" s="69"/>
      <c r="K184" s="69"/>
      <c r="L184" s="69"/>
      <c r="M184" s="32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32"/>
      <c r="J185" s="32"/>
      <c r="K185" s="32"/>
      <c r="L185" s="32"/>
      <c r="M185" s="32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32"/>
      <c r="B186" s="2"/>
      <c r="C186" s="10"/>
      <c r="D186" s="10"/>
      <c r="E186" s="32"/>
      <c r="F186" s="32"/>
      <c r="G186" s="32"/>
      <c r="H186" s="73"/>
      <c r="I186" s="69"/>
      <c r="J186" s="69"/>
      <c r="K186" s="69"/>
      <c r="L186" s="69"/>
      <c r="M186" s="32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32"/>
      <c r="B187" s="32"/>
      <c r="C187" s="10"/>
      <c r="D187" s="32"/>
      <c r="E187" s="69"/>
      <c r="F187" s="69"/>
      <c r="G187" s="32"/>
      <c r="H187" s="75"/>
      <c r="I187" s="32"/>
      <c r="J187" s="32"/>
      <c r="K187" s="32"/>
      <c r="L187" s="32"/>
      <c r="M187" s="32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32"/>
      <c r="B188" s="32"/>
      <c r="C188" s="2"/>
      <c r="D188" s="32"/>
      <c r="E188" s="69"/>
      <c r="F188" s="69"/>
      <c r="G188" s="32"/>
      <c r="H188" s="75"/>
      <c r="I188" s="32"/>
      <c r="J188" s="32"/>
      <c r="K188" s="32"/>
      <c r="L188" s="32"/>
      <c r="M188" s="32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32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10"/>
      <c r="D190" s="10"/>
      <c r="E190" s="69"/>
      <c r="F190" s="69"/>
      <c r="G190" s="32"/>
      <c r="H190" s="75"/>
      <c r="I190" s="32"/>
      <c r="J190" s="32"/>
      <c r="K190" s="32"/>
      <c r="L190" s="32"/>
      <c r="M190" s="32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10"/>
      <c r="C191" s="10"/>
      <c r="D191" s="10"/>
      <c r="E191" s="32"/>
      <c r="F191" s="32"/>
      <c r="G191" s="32"/>
      <c r="H191" s="73"/>
      <c r="I191" s="32"/>
      <c r="J191" s="32"/>
      <c r="K191" s="32"/>
      <c r="L191" s="32"/>
      <c r="M191" s="32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32"/>
      <c r="C192" s="10"/>
      <c r="D192" s="10"/>
      <c r="E192" s="69"/>
      <c r="F192" s="69"/>
      <c r="G192" s="32"/>
      <c r="H192" s="75"/>
      <c r="I192" s="32"/>
      <c r="J192" s="32"/>
      <c r="K192" s="32"/>
      <c r="L192" s="32"/>
      <c r="M192" s="32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10"/>
      <c r="C193" s="10"/>
      <c r="D193" s="10"/>
      <c r="E193" s="32"/>
      <c r="F193" s="32"/>
      <c r="G193" s="32"/>
      <c r="H193" s="73"/>
      <c r="I193" s="32"/>
      <c r="J193" s="32"/>
      <c r="K193" s="32"/>
      <c r="L193" s="32"/>
      <c r="M193" s="32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10"/>
      <c r="D194" s="10"/>
      <c r="E194" s="69"/>
      <c r="F194" s="69"/>
      <c r="G194" s="32"/>
      <c r="H194" s="75"/>
      <c r="I194" s="32"/>
      <c r="J194" s="32"/>
      <c r="K194" s="32"/>
      <c r="L194" s="32"/>
      <c r="M194" s="32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2"/>
      <c r="B195" s="10"/>
      <c r="C195" s="10"/>
      <c r="D195" s="10"/>
      <c r="E195" s="69"/>
      <c r="F195" s="69"/>
      <c r="G195" s="32"/>
      <c r="H195" s="75"/>
      <c r="I195" s="32"/>
      <c r="J195" s="32"/>
      <c r="K195" s="32"/>
      <c r="L195" s="32"/>
      <c r="M195" s="32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2"/>
      <c r="B196" s="10"/>
      <c r="C196" s="10"/>
      <c r="D196" s="10"/>
      <c r="E196" s="32"/>
      <c r="F196" s="32"/>
      <c r="G196" s="32"/>
      <c r="H196" s="73"/>
      <c r="I196" s="32"/>
      <c r="J196" s="32"/>
      <c r="K196" s="32"/>
      <c r="L196" s="32"/>
      <c r="M196" s="32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2"/>
      <c r="B197" s="2"/>
      <c r="C197" s="10"/>
      <c r="D197" s="10"/>
      <c r="E197" s="32"/>
      <c r="F197" s="32"/>
      <c r="G197" s="32"/>
      <c r="H197" s="73"/>
      <c r="I197" s="69"/>
      <c r="J197" s="69"/>
      <c r="K197" s="69"/>
      <c r="L197" s="69"/>
      <c r="M197" s="32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69"/>
      <c r="F198" s="69"/>
      <c r="G198" s="32"/>
      <c r="H198" s="75"/>
      <c r="I198" s="32"/>
      <c r="J198" s="32"/>
      <c r="K198" s="32"/>
      <c r="L198" s="32"/>
      <c r="M198" s="32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2"/>
      <c r="B199" s="2"/>
      <c r="C199" s="10"/>
      <c r="D199" s="10"/>
      <c r="E199" s="32"/>
      <c r="F199" s="32"/>
      <c r="G199" s="32"/>
      <c r="H199" s="73"/>
      <c r="I199" s="69"/>
      <c r="J199" s="69"/>
      <c r="K199" s="69"/>
      <c r="L199" s="69"/>
      <c r="M199" s="32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2"/>
      <c r="B200" s="10"/>
      <c r="C200" s="10"/>
      <c r="D200" s="10"/>
      <c r="E200" s="69"/>
      <c r="F200" s="69"/>
      <c r="G200" s="32"/>
      <c r="H200" s="75"/>
      <c r="I200" s="32"/>
      <c r="J200" s="32"/>
      <c r="K200" s="32"/>
      <c r="L200" s="32"/>
      <c r="M200" s="32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2"/>
      <c r="B201" s="10"/>
      <c r="C201" s="10"/>
      <c r="D201" s="10"/>
      <c r="E201" s="32"/>
      <c r="F201" s="32"/>
      <c r="G201" s="32"/>
      <c r="H201" s="70"/>
      <c r="I201" s="69"/>
      <c r="J201" s="32"/>
      <c r="K201" s="32"/>
      <c r="L201" s="32"/>
      <c r="M201" s="32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2"/>
      <c r="B202" s="10"/>
      <c r="C202" s="10"/>
      <c r="D202" s="10"/>
      <c r="E202" s="32"/>
      <c r="F202" s="32"/>
      <c r="G202" s="32"/>
      <c r="H202" s="73"/>
      <c r="I202" s="32"/>
      <c r="J202" s="32"/>
      <c r="K202" s="32"/>
      <c r="L202" s="32"/>
      <c r="M202" s="32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2"/>
      <c r="B203" s="10"/>
      <c r="C203" s="10"/>
      <c r="D203" s="10"/>
      <c r="E203" s="32"/>
      <c r="F203" s="32"/>
      <c r="G203" s="32"/>
      <c r="H203" s="73"/>
      <c r="I203" s="32"/>
      <c r="J203" s="32"/>
      <c r="K203" s="32"/>
      <c r="L203" s="32"/>
      <c r="M203" s="32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2"/>
      <c r="B204" s="10"/>
      <c r="C204" s="10"/>
      <c r="D204" s="10"/>
      <c r="E204" s="32"/>
      <c r="F204" s="32"/>
      <c r="G204" s="32"/>
      <c r="H204" s="70"/>
      <c r="I204" s="69"/>
      <c r="J204" s="32"/>
      <c r="K204" s="32"/>
      <c r="L204" s="32"/>
      <c r="M204" s="32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2"/>
      <c r="B205" s="32"/>
      <c r="C205" s="2"/>
      <c r="D205" s="32"/>
      <c r="E205" s="69"/>
      <c r="F205" s="69"/>
      <c r="G205" s="32"/>
      <c r="H205" s="75"/>
      <c r="I205" s="32"/>
      <c r="J205" s="32"/>
      <c r="K205" s="32"/>
      <c r="L205" s="32"/>
      <c r="M205" s="32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2"/>
      <c r="B206" s="32"/>
      <c r="C206" s="10"/>
      <c r="D206" s="10"/>
      <c r="E206" s="69"/>
      <c r="F206" s="69"/>
      <c r="G206" s="32"/>
      <c r="H206" s="75"/>
      <c r="I206" s="32"/>
      <c r="J206" s="32"/>
      <c r="K206" s="32"/>
      <c r="L206" s="32"/>
      <c r="M206" s="32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2"/>
      <c r="B207" s="10"/>
      <c r="C207" s="10"/>
      <c r="D207" s="10"/>
      <c r="E207" s="32"/>
      <c r="F207" s="32"/>
      <c r="G207" s="32"/>
      <c r="H207" s="70"/>
      <c r="I207" s="69"/>
      <c r="J207" s="69"/>
      <c r="K207" s="69"/>
      <c r="L207" s="69"/>
      <c r="M207" s="32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2"/>
      <c r="B208" s="32"/>
      <c r="C208" s="10"/>
      <c r="D208" s="10"/>
      <c r="E208" s="32"/>
      <c r="F208" s="32"/>
      <c r="G208" s="32"/>
      <c r="H208" s="73"/>
      <c r="I208" s="32"/>
      <c r="J208" s="32"/>
      <c r="K208" s="32"/>
      <c r="L208" s="32"/>
      <c r="M208" s="32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2"/>
      <c r="B209" s="32"/>
      <c r="C209" s="10"/>
      <c r="D209" s="10"/>
      <c r="E209" s="32"/>
      <c r="F209" s="32"/>
      <c r="G209" s="32"/>
      <c r="H209" s="73"/>
      <c r="I209" s="32"/>
      <c r="J209" s="32"/>
      <c r="K209" s="32"/>
      <c r="L209" s="32"/>
      <c r="M209" s="32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2"/>
      <c r="B210" s="32"/>
      <c r="C210" s="10"/>
      <c r="D210" s="10"/>
      <c r="E210" s="32"/>
      <c r="F210" s="32"/>
      <c r="G210" s="32"/>
      <c r="H210" s="73"/>
      <c r="I210" s="32"/>
      <c r="J210" s="32"/>
      <c r="K210" s="32"/>
      <c r="L210" s="32"/>
      <c r="M210" s="32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2"/>
      <c r="B211" s="10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32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2"/>
      <c r="B212" s="32"/>
      <c r="C212" s="2"/>
      <c r="D212" s="32"/>
      <c r="E212" s="69"/>
      <c r="F212" s="69"/>
      <c r="G212" s="32"/>
      <c r="H212" s="75"/>
      <c r="I212" s="32"/>
      <c r="J212" s="32"/>
      <c r="K212" s="32"/>
      <c r="L212" s="32"/>
      <c r="M212" s="32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32"/>
      <c r="C213" s="2"/>
      <c r="D213" s="32"/>
      <c r="E213" s="69"/>
      <c r="F213" s="69"/>
      <c r="G213" s="32"/>
      <c r="H213" s="75"/>
      <c r="I213" s="32"/>
      <c r="J213" s="32"/>
      <c r="K213" s="32"/>
      <c r="L213" s="32"/>
      <c r="M213" s="32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32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2"/>
      <c r="B215" s="2"/>
      <c r="C215" s="10"/>
      <c r="D215" s="10"/>
      <c r="E215" s="32"/>
      <c r="F215" s="32"/>
      <c r="G215" s="32"/>
      <c r="H215" s="73"/>
      <c r="I215" s="69"/>
      <c r="J215" s="69"/>
      <c r="K215" s="69"/>
      <c r="L215" s="69"/>
      <c r="M215" s="32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2"/>
      <c r="B216" s="2"/>
      <c r="C216" s="10"/>
      <c r="D216" s="10"/>
      <c r="E216" s="32"/>
      <c r="F216" s="32"/>
      <c r="G216" s="32"/>
      <c r="H216" s="70"/>
      <c r="I216" s="69"/>
      <c r="J216" s="32"/>
      <c r="K216" s="32"/>
      <c r="L216" s="32"/>
      <c r="M216" s="32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2"/>
      <c r="B217" s="32"/>
      <c r="C217" s="2"/>
      <c r="D217" s="32"/>
      <c r="E217" s="69"/>
      <c r="F217" s="69"/>
      <c r="G217" s="32"/>
      <c r="H217" s="75"/>
      <c r="I217" s="32"/>
      <c r="J217" s="32"/>
      <c r="K217" s="32"/>
      <c r="L217" s="32"/>
      <c r="M217" s="32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2"/>
      <c r="B218" s="32"/>
      <c r="C218" s="2"/>
      <c r="D218" s="32"/>
      <c r="E218" s="69"/>
      <c r="F218" s="69"/>
      <c r="G218" s="32"/>
      <c r="H218" s="75"/>
      <c r="I218" s="32"/>
      <c r="J218" s="32"/>
      <c r="K218" s="32"/>
      <c r="L218" s="32"/>
      <c r="M218" s="32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"/>
      <c r="B219" s="32"/>
      <c r="C219" s="10"/>
      <c r="D219" s="10"/>
      <c r="E219" s="32"/>
      <c r="F219" s="32"/>
      <c r="G219" s="32"/>
      <c r="H219" s="73"/>
      <c r="I219" s="32"/>
      <c r="J219" s="32"/>
      <c r="K219" s="32"/>
      <c r="L219" s="32"/>
      <c r="M219" s="32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2"/>
      <c r="B220" s="32"/>
      <c r="C220" s="10"/>
      <c r="D220" s="10"/>
      <c r="E220" s="32"/>
      <c r="F220" s="32"/>
      <c r="G220" s="32"/>
      <c r="H220" s="73"/>
      <c r="I220" s="32"/>
      <c r="J220" s="32"/>
      <c r="K220" s="32"/>
      <c r="L220" s="32"/>
      <c r="M220" s="32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2"/>
      <c r="B221" s="32"/>
      <c r="C221" s="10"/>
      <c r="D221" s="10"/>
      <c r="E221" s="32"/>
      <c r="F221" s="32"/>
      <c r="G221" s="32"/>
      <c r="H221" s="73"/>
      <c r="I221" s="32"/>
      <c r="J221" s="32"/>
      <c r="K221" s="32"/>
      <c r="L221" s="32"/>
      <c r="M221" s="32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32"/>
      <c r="B222" s="32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32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32"/>
      <c r="B223" s="32"/>
      <c r="C223" s="10"/>
      <c r="D223" s="10"/>
      <c r="E223" s="32"/>
      <c r="F223" s="32"/>
      <c r="G223" s="32"/>
      <c r="H223" s="73"/>
      <c r="I223" s="32"/>
      <c r="J223" s="32"/>
      <c r="K223" s="32"/>
      <c r="L223" s="32"/>
      <c r="M223" s="32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32"/>
      <c r="B224" s="32"/>
      <c r="C224" s="10"/>
      <c r="D224" s="10"/>
      <c r="E224" s="32"/>
      <c r="F224" s="32"/>
      <c r="G224" s="32"/>
      <c r="H224" s="73"/>
      <c r="I224" s="32"/>
      <c r="J224" s="32"/>
      <c r="K224" s="32"/>
      <c r="L224" s="32"/>
      <c r="M224" s="32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3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32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2"/>
      <c r="C226" s="10"/>
      <c r="D226" s="32"/>
      <c r="E226" s="32"/>
      <c r="F226" s="32"/>
      <c r="G226" s="32"/>
      <c r="H226" s="70"/>
      <c r="I226" s="69"/>
      <c r="J226" s="32"/>
      <c r="K226" s="32"/>
      <c r="L226" s="32"/>
      <c r="M226" s="32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2"/>
      <c r="B227" s="2"/>
      <c r="C227" s="10"/>
      <c r="D227" s="10"/>
      <c r="E227" s="32"/>
      <c r="F227" s="32"/>
      <c r="G227" s="32"/>
      <c r="H227" s="70"/>
      <c r="I227" s="69"/>
      <c r="J227" s="32"/>
      <c r="K227" s="32"/>
      <c r="L227" s="32"/>
      <c r="M227" s="32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0"/>
      <c r="I228" s="69"/>
      <c r="J228" s="32"/>
      <c r="K228" s="32"/>
      <c r="L228" s="32"/>
      <c r="M228" s="32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32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2"/>
      <c r="D230" s="32"/>
      <c r="E230" s="69"/>
      <c r="F230" s="69"/>
      <c r="G230" s="32"/>
      <c r="H230" s="75"/>
      <c r="I230" s="32"/>
      <c r="J230" s="32"/>
      <c r="K230" s="32"/>
      <c r="L230" s="32"/>
      <c r="M230" s="32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69"/>
      <c r="F231" s="69"/>
      <c r="G231" s="32"/>
      <c r="H231" s="75"/>
      <c r="I231" s="32"/>
      <c r="J231" s="32"/>
      <c r="K231" s="32"/>
      <c r="L231" s="32"/>
      <c r="M231" s="32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32"/>
      <c r="K232" s="32"/>
      <c r="L232" s="32"/>
      <c r="M232" s="32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32"/>
      <c r="B233" s="32"/>
      <c r="C233" s="10"/>
      <c r="D233" s="10"/>
      <c r="E233" s="32"/>
      <c r="F233" s="32"/>
      <c r="G233" s="32"/>
      <c r="H233" s="73"/>
      <c r="I233" s="32"/>
      <c r="J233" s="32"/>
      <c r="K233" s="32"/>
      <c r="L233" s="32"/>
      <c r="M233" s="32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32"/>
      <c r="B234" s="32"/>
      <c r="C234" s="10"/>
      <c r="D234" s="10"/>
      <c r="E234" s="32"/>
      <c r="F234" s="32"/>
      <c r="G234" s="32"/>
      <c r="H234" s="73"/>
      <c r="I234" s="32"/>
      <c r="J234" s="32"/>
      <c r="K234" s="32"/>
      <c r="L234" s="32"/>
      <c r="M234" s="32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32"/>
      <c r="B235" s="2"/>
      <c r="C235" s="10"/>
      <c r="D235" s="10"/>
      <c r="E235" s="32"/>
      <c r="F235" s="32"/>
      <c r="G235" s="32"/>
      <c r="H235" s="73"/>
      <c r="I235" s="69"/>
      <c r="J235" s="69"/>
      <c r="K235" s="69"/>
      <c r="L235" s="69"/>
      <c r="M235" s="32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32"/>
      <c r="B236" s="2"/>
      <c r="C236" s="10"/>
      <c r="D236" s="10"/>
      <c r="E236" s="32"/>
      <c r="F236" s="32"/>
      <c r="G236" s="32"/>
      <c r="H236" s="73"/>
      <c r="I236" s="69"/>
      <c r="J236" s="69"/>
      <c r="K236" s="69"/>
      <c r="L236" s="69"/>
      <c r="M236" s="32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32"/>
      <c r="B237" s="10"/>
      <c r="C237" s="10"/>
      <c r="D237" s="10"/>
      <c r="E237" s="32"/>
      <c r="F237" s="32"/>
      <c r="G237" s="32"/>
      <c r="H237" s="73"/>
      <c r="I237" s="69"/>
      <c r="J237" s="69"/>
      <c r="K237" s="69"/>
      <c r="L237" s="69"/>
      <c r="M237" s="32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32"/>
      <c r="B238" s="10"/>
      <c r="C238" s="10"/>
      <c r="D238" s="10"/>
      <c r="E238" s="32"/>
      <c r="F238" s="32"/>
      <c r="G238" s="32"/>
      <c r="H238" s="73"/>
      <c r="I238" s="69"/>
      <c r="J238" s="69"/>
      <c r="K238" s="69"/>
      <c r="L238" s="69"/>
      <c r="M238" s="32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32"/>
      <c r="C239" s="10"/>
      <c r="D239" s="10"/>
      <c r="E239" s="32"/>
      <c r="F239" s="32"/>
      <c r="G239" s="32"/>
      <c r="H239" s="73"/>
      <c r="I239" s="32"/>
      <c r="J239" s="32"/>
      <c r="K239" s="32"/>
      <c r="L239" s="32"/>
      <c r="M239" s="32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2"/>
      <c r="B240" s="32"/>
      <c r="C240" s="10"/>
      <c r="D240" s="10"/>
      <c r="E240" s="32"/>
      <c r="F240" s="32"/>
      <c r="G240" s="32"/>
      <c r="H240" s="73"/>
      <c r="I240" s="32"/>
      <c r="J240" s="32"/>
      <c r="K240" s="32"/>
      <c r="L240" s="32"/>
      <c r="M240" s="32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2"/>
      <c r="B241" s="32"/>
      <c r="C241" s="10"/>
      <c r="D241" s="10"/>
      <c r="E241" s="32"/>
      <c r="F241" s="32"/>
      <c r="G241" s="32"/>
      <c r="H241" s="73"/>
      <c r="I241" s="32"/>
      <c r="J241" s="32"/>
      <c r="K241" s="32"/>
      <c r="L241" s="32"/>
      <c r="M241" s="32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32"/>
      <c r="B243" s="32"/>
      <c r="C243" s="2"/>
      <c r="D243" s="32"/>
      <c r="E243" s="69"/>
      <c r="F243" s="69"/>
      <c r="G243" s="32"/>
      <c r="H243" s="75"/>
      <c r="I243" s="32"/>
      <c r="J243" s="32"/>
      <c r="K243" s="32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32"/>
      <c r="B244" s="32"/>
      <c r="C244" s="10"/>
      <c r="D244" s="10"/>
      <c r="E244" s="69"/>
      <c r="F244" s="69"/>
      <c r="G244" s="32"/>
      <c r="H244" s="75"/>
      <c r="I244" s="32"/>
      <c r="J244" s="32"/>
      <c r="K244" s="32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32"/>
      <c r="B245" s="2"/>
      <c r="C245" s="10"/>
      <c r="D245" s="10"/>
      <c r="E245" s="32"/>
      <c r="F245" s="32"/>
      <c r="G245" s="32"/>
      <c r="H245" s="73"/>
      <c r="I245" s="69"/>
      <c r="J245" s="69"/>
      <c r="K245" s="69"/>
      <c r="L245" s="69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32"/>
      <c r="B246" s="2"/>
      <c r="C246" s="10"/>
      <c r="D246" s="10"/>
      <c r="E246" s="32"/>
      <c r="F246" s="32"/>
      <c r="G246" s="32"/>
      <c r="H246" s="73"/>
      <c r="I246" s="69"/>
      <c r="J246" s="69"/>
      <c r="K246" s="69"/>
      <c r="L246" s="69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32"/>
      <c r="B247" s="32"/>
      <c r="C247" s="2"/>
      <c r="D247" s="32"/>
      <c r="E247" s="69"/>
      <c r="F247" s="69"/>
      <c r="G247" s="32"/>
      <c r="H247" s="75"/>
      <c r="I247" s="32"/>
      <c r="J247" s="32"/>
      <c r="K247" s="32"/>
      <c r="L247" s="32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10"/>
      <c r="D249" s="10"/>
      <c r="E249" s="69"/>
      <c r="F249" s="69"/>
      <c r="G249" s="32"/>
      <c r="H249" s="75"/>
      <c r="I249" s="32"/>
      <c r="J249" s="32"/>
      <c r="K249" s="32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10"/>
      <c r="D250" s="10"/>
      <c r="E250" s="32"/>
      <c r="F250" s="32"/>
      <c r="G250" s="32"/>
      <c r="H250" s="73"/>
      <c r="I250" s="32"/>
      <c r="J250" s="32"/>
      <c r="K250" s="32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32"/>
      <c r="B251" s="32"/>
      <c r="C251" s="10"/>
      <c r="D251" s="10"/>
      <c r="E251" s="32"/>
      <c r="F251" s="32"/>
      <c r="G251" s="32"/>
      <c r="H251" s="73"/>
      <c r="I251" s="32"/>
      <c r="J251" s="32"/>
      <c r="K251" s="32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32"/>
      <c r="B252" s="32"/>
      <c r="C252" s="10"/>
      <c r="D252" s="10"/>
      <c r="E252" s="32"/>
      <c r="F252" s="32"/>
      <c r="G252" s="32"/>
      <c r="H252" s="73"/>
      <c r="I252" s="32"/>
      <c r="J252" s="32"/>
      <c r="K252" s="32"/>
      <c r="L252" s="32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2"/>
      <c r="C253" s="10"/>
      <c r="D253" s="10"/>
      <c r="E253" s="32"/>
      <c r="F253" s="32"/>
      <c r="G253" s="32"/>
      <c r="H253" s="73"/>
      <c r="I253" s="69"/>
      <c r="J253" s="69"/>
      <c r="K253" s="69"/>
      <c r="L253" s="69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2"/>
      <c r="D254" s="32"/>
      <c r="E254" s="69"/>
      <c r="F254" s="69"/>
      <c r="G254" s="32"/>
      <c r="H254" s="75"/>
      <c r="I254" s="32"/>
      <c r="J254" s="32"/>
      <c r="K254" s="32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2"/>
      <c r="D255" s="32"/>
      <c r="E255" s="69"/>
      <c r="F255" s="69"/>
      <c r="G255" s="32"/>
      <c r="H255" s="75"/>
      <c r="I255" s="32"/>
      <c r="J255" s="32"/>
      <c r="K255" s="32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32"/>
      <c r="B256" s="32"/>
      <c r="C256" s="10"/>
      <c r="D256" s="10"/>
      <c r="E256" s="69"/>
      <c r="F256" s="69"/>
      <c r="G256" s="32"/>
      <c r="H256" s="75"/>
      <c r="I256" s="32"/>
      <c r="J256" s="32"/>
      <c r="K256" s="32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32"/>
      <c r="B257" s="10"/>
      <c r="C257" s="10"/>
      <c r="D257" s="10"/>
      <c r="E257" s="32"/>
      <c r="F257" s="32"/>
      <c r="G257" s="32"/>
      <c r="H257" s="75"/>
      <c r="I257" s="32"/>
      <c r="J257" s="32"/>
      <c r="K257" s="32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32"/>
      <c r="B258" s="32"/>
      <c r="C258" s="10"/>
      <c r="D258" s="10"/>
      <c r="E258" s="32"/>
      <c r="F258" s="32"/>
      <c r="G258" s="32"/>
      <c r="H258" s="73"/>
      <c r="I258" s="32"/>
      <c r="J258" s="76"/>
      <c r="K258" s="76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32"/>
      <c r="B259" s="32"/>
      <c r="C259" s="10"/>
      <c r="D259" s="10"/>
      <c r="E259" s="32"/>
      <c r="F259" s="32"/>
      <c r="G259" s="32"/>
      <c r="H259" s="73"/>
      <c r="I259" s="32"/>
      <c r="J259" s="76"/>
      <c r="K259" s="76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32"/>
      <c r="B260" s="10"/>
      <c r="C260" s="10"/>
      <c r="D260" s="10"/>
      <c r="E260" s="32"/>
      <c r="F260" s="32"/>
      <c r="G260" s="32"/>
      <c r="H260" s="73"/>
      <c r="I260" s="32"/>
      <c r="J260" s="76"/>
      <c r="K260" s="76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32"/>
      <c r="B261" s="32"/>
      <c r="C261" s="2"/>
      <c r="D261" s="32"/>
      <c r="E261" s="69"/>
      <c r="F261" s="69"/>
      <c r="G261" s="32"/>
      <c r="H261" s="75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32"/>
      <c r="B262" s="32"/>
      <c r="C262" s="2"/>
      <c r="D262" s="32"/>
      <c r="E262" s="69"/>
      <c r="F262" s="69"/>
      <c r="G262" s="32"/>
      <c r="H262" s="75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32"/>
      <c r="B263" s="32"/>
      <c r="C263" s="10"/>
      <c r="D263" s="10"/>
      <c r="E263" s="69"/>
      <c r="F263" s="69"/>
      <c r="G263" s="32"/>
      <c r="H263" s="75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32"/>
      <c r="B264" s="32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32"/>
      <c r="B265" s="32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76"/>
      <c r="K266" s="76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32"/>
      <c r="B267" s="32"/>
      <c r="C267" s="2"/>
      <c r="D267" s="32"/>
      <c r="E267" s="69"/>
      <c r="F267" s="69"/>
      <c r="G267" s="32"/>
      <c r="H267" s="75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32"/>
      <c r="B268" s="32"/>
      <c r="C268" s="2"/>
      <c r="D268" s="32"/>
      <c r="E268" s="69"/>
      <c r="F268" s="69"/>
      <c r="G268" s="32"/>
      <c r="H268" s="75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32"/>
      <c r="B269" s="32"/>
      <c r="C269" s="10"/>
      <c r="D269" s="10"/>
      <c r="E269" s="69"/>
      <c r="F269" s="69"/>
      <c r="G269" s="32"/>
      <c r="H269" s="75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32"/>
      <c r="B270" s="10"/>
      <c r="C270" s="2"/>
      <c r="D270" s="32"/>
      <c r="E270" s="32"/>
      <c r="F270" s="32"/>
      <c r="G270" s="32"/>
      <c r="H270" s="73"/>
      <c r="I270" s="32"/>
      <c r="J270" s="76"/>
      <c r="K270" s="76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32"/>
      <c r="B271" s="10"/>
      <c r="C271" s="10"/>
      <c r="D271" s="10"/>
      <c r="E271" s="32"/>
      <c r="F271" s="32"/>
      <c r="G271" s="32"/>
      <c r="H271" s="73"/>
      <c r="I271" s="32"/>
      <c r="J271" s="76"/>
      <c r="K271" s="76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9"/>
      <c r="B272" s="10"/>
      <c r="C272" s="10"/>
      <c r="D272" s="10"/>
      <c r="E272" s="32"/>
      <c r="F272" s="32"/>
      <c r="G272" s="32"/>
      <c r="H272" s="73"/>
      <c r="I272" s="32"/>
      <c r="J272" s="76"/>
      <c r="K272" s="76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32"/>
      <c r="B273" s="32"/>
      <c r="C273" s="10"/>
      <c r="D273" s="10"/>
      <c r="E273" s="32"/>
      <c r="F273" s="32"/>
      <c r="G273" s="32"/>
      <c r="H273" s="73"/>
      <c r="I273" s="32"/>
      <c r="J273" s="69"/>
      <c r="K273" s="69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32"/>
      <c r="B274" s="32"/>
      <c r="C274" s="10"/>
      <c r="D274" s="10"/>
      <c r="E274" s="32"/>
      <c r="F274" s="32"/>
      <c r="G274" s="32"/>
      <c r="H274" s="73"/>
      <c r="I274" s="32"/>
      <c r="J274" s="69"/>
      <c r="K274" s="69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2"/>
      <c r="D275" s="32"/>
      <c r="E275" s="69"/>
      <c r="F275" s="69"/>
      <c r="G275" s="32"/>
      <c r="H275" s="75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2"/>
      <c r="D276" s="32"/>
      <c r="E276" s="69"/>
      <c r="F276" s="69"/>
      <c r="G276" s="32"/>
      <c r="H276" s="75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2"/>
      <c r="D277" s="32"/>
      <c r="E277" s="69"/>
      <c r="F277" s="69"/>
      <c r="G277" s="32"/>
      <c r="H277" s="75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32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32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32"/>
      <c r="B280" s="10"/>
      <c r="C280" s="10"/>
      <c r="D280" s="10"/>
      <c r="E280" s="32"/>
      <c r="F280" s="32"/>
      <c r="G280" s="32"/>
      <c r="H280" s="73"/>
      <c r="I280" s="32"/>
      <c r="J280" s="76"/>
      <c r="K280" s="76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32"/>
      <c r="B281" s="32"/>
      <c r="C281" s="2"/>
      <c r="D281" s="32"/>
      <c r="E281" s="69"/>
      <c r="F281" s="69"/>
      <c r="G281" s="32"/>
      <c r="H281" s="75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32"/>
      <c r="B282" s="32"/>
      <c r="C282" s="2"/>
      <c r="D282" s="32"/>
      <c r="E282" s="69"/>
      <c r="F282" s="69"/>
      <c r="G282" s="32"/>
      <c r="H282" s="75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32"/>
      <c r="B283" s="32"/>
      <c r="C283" s="10"/>
      <c r="D283" s="10"/>
      <c r="E283" s="32"/>
      <c r="F283" s="32"/>
      <c r="G283" s="32"/>
      <c r="H283" s="73"/>
      <c r="I283" s="32"/>
      <c r="J283" s="69"/>
      <c r="K283" s="69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32"/>
      <c r="B284" s="32"/>
      <c r="C284" s="10"/>
      <c r="D284" s="10"/>
      <c r="E284" s="32"/>
      <c r="F284" s="32"/>
      <c r="G284" s="32"/>
      <c r="H284" s="73"/>
      <c r="I284" s="32"/>
      <c r="J284" s="69"/>
      <c r="K284" s="69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32"/>
      <c r="B285" s="32"/>
      <c r="C285" s="10"/>
      <c r="D285" s="10"/>
      <c r="E285" s="32"/>
      <c r="F285" s="32"/>
      <c r="G285" s="32"/>
      <c r="H285" s="73"/>
      <c r="I285" s="32"/>
      <c r="J285" s="69"/>
      <c r="K285" s="69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76"/>
      <c r="K286" s="76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2"/>
      <c r="C287" s="10"/>
      <c r="D287" s="10"/>
      <c r="E287" s="32"/>
      <c r="F287" s="32"/>
      <c r="G287" s="32"/>
      <c r="H287" s="73"/>
      <c r="I287" s="69"/>
      <c r="J287" s="69"/>
      <c r="K287" s="69"/>
      <c r="L287" s="69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29"/>
      <c r="C288" s="2"/>
      <c r="D288" s="32"/>
      <c r="E288" s="69"/>
      <c r="F288" s="69"/>
      <c r="G288" s="32"/>
      <c r="H288" s="75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32"/>
      <c r="C289" s="10"/>
      <c r="D289" s="10"/>
      <c r="E289" s="32"/>
      <c r="F289" s="32"/>
      <c r="G289" s="32"/>
      <c r="H289" s="73"/>
      <c r="I289" s="32"/>
      <c r="J289" s="69"/>
      <c r="K289" s="69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32"/>
      <c r="C290" s="10"/>
      <c r="D290" s="10"/>
      <c r="E290" s="32"/>
      <c r="F290" s="32"/>
      <c r="G290" s="32"/>
      <c r="H290" s="73"/>
      <c r="I290" s="32"/>
      <c r="J290" s="69"/>
      <c r="K290" s="69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76"/>
      <c r="K291" s="76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2"/>
      <c r="C292" s="10"/>
      <c r="D292" s="10"/>
      <c r="E292" s="32"/>
      <c r="F292" s="32"/>
      <c r="G292" s="32"/>
      <c r="H292" s="73"/>
      <c r="I292" s="69"/>
      <c r="J292" s="69"/>
      <c r="K292" s="69"/>
      <c r="L292" s="69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32"/>
      <c r="B293" s="32"/>
      <c r="C293" s="2"/>
      <c r="D293" s="32"/>
      <c r="E293" s="69"/>
      <c r="F293" s="69"/>
      <c r="G293" s="32"/>
      <c r="H293" s="75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32"/>
      <c r="B294" s="32"/>
      <c r="C294" s="2"/>
      <c r="D294" s="32"/>
      <c r="E294" s="69"/>
      <c r="F294" s="69"/>
      <c r="G294" s="32"/>
      <c r="H294" s="75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32"/>
      <c r="B295" s="32"/>
      <c r="C295" s="2"/>
      <c r="D295" s="32"/>
      <c r="E295" s="69"/>
      <c r="F295" s="69"/>
      <c r="G295" s="32"/>
      <c r="H295" s="75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32"/>
      <c r="C296" s="10"/>
      <c r="D296" s="10"/>
      <c r="E296" s="32"/>
      <c r="F296" s="32"/>
      <c r="G296" s="32"/>
      <c r="H296" s="73"/>
      <c r="I296" s="32"/>
      <c r="J296" s="69"/>
      <c r="K296" s="69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32"/>
      <c r="C297" s="10"/>
      <c r="D297" s="10"/>
      <c r="E297" s="32"/>
      <c r="F297" s="32"/>
      <c r="G297" s="32"/>
      <c r="H297" s="73"/>
      <c r="I297" s="32"/>
      <c r="J297" s="69"/>
      <c r="K297" s="69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32"/>
      <c r="C298" s="10"/>
      <c r="D298" s="10"/>
      <c r="E298" s="32"/>
      <c r="F298" s="32"/>
      <c r="G298" s="32"/>
      <c r="H298" s="73"/>
      <c r="I298" s="32"/>
      <c r="J298" s="69"/>
      <c r="K298" s="69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76"/>
      <c r="K299" s="76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2"/>
      <c r="C300" s="10"/>
      <c r="D300" s="10"/>
      <c r="E300" s="32"/>
      <c r="F300" s="32"/>
      <c r="G300" s="32"/>
      <c r="H300" s="73"/>
      <c r="I300" s="69"/>
      <c r="J300" s="69"/>
      <c r="K300" s="69"/>
      <c r="L300" s="69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32"/>
      <c r="B301" s="32"/>
      <c r="C301" s="2"/>
      <c r="D301" s="32"/>
      <c r="E301" s="69"/>
      <c r="F301" s="69"/>
      <c r="G301" s="32"/>
      <c r="H301" s="75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32"/>
      <c r="B302" s="32"/>
      <c r="C302" s="2"/>
      <c r="D302" s="32"/>
      <c r="E302" s="69"/>
      <c r="F302" s="69"/>
      <c r="G302" s="32"/>
      <c r="H302" s="75"/>
      <c r="I302" s="32"/>
      <c r="J302" s="32"/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32"/>
      <c r="B303" s="32"/>
      <c r="C303" s="2"/>
      <c r="D303" s="32"/>
      <c r="E303" s="69"/>
      <c r="F303" s="69"/>
      <c r="G303" s="32"/>
      <c r="H303" s="75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32"/>
      <c r="C304" s="2"/>
      <c r="D304" s="32"/>
      <c r="E304" s="69"/>
      <c r="F304" s="69"/>
      <c r="G304" s="32"/>
      <c r="H304" s="70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2"/>
      <c r="C305" s="10"/>
      <c r="D305" s="10"/>
      <c r="E305" s="32"/>
      <c r="F305" s="32"/>
      <c r="G305" s="32"/>
      <c r="H305" s="73"/>
      <c r="I305" s="69"/>
      <c r="J305" s="69"/>
      <c r="K305" s="69"/>
      <c r="L305" s="69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32"/>
      <c r="B306" s="32"/>
      <c r="C306" s="10"/>
      <c r="D306" s="10"/>
      <c r="E306" s="32"/>
      <c r="F306" s="32"/>
      <c r="G306" s="32"/>
      <c r="H306" s="73"/>
      <c r="I306" s="32"/>
      <c r="J306" s="69"/>
      <c r="K306" s="69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32"/>
      <c r="B307" s="32"/>
      <c r="C307" s="10"/>
      <c r="D307" s="10"/>
      <c r="E307" s="32"/>
      <c r="F307" s="32"/>
      <c r="G307" s="32"/>
      <c r="H307" s="73"/>
      <c r="I307" s="32"/>
      <c r="J307" s="69"/>
      <c r="K307" s="69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32"/>
      <c r="B308" s="32"/>
      <c r="C308" s="10"/>
      <c r="D308" s="10"/>
      <c r="E308" s="32"/>
      <c r="F308" s="32"/>
      <c r="G308" s="32"/>
      <c r="H308" s="73"/>
      <c r="I308" s="32"/>
      <c r="J308" s="69"/>
      <c r="K308" s="69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32"/>
      <c r="C309" s="10"/>
      <c r="D309" s="10"/>
      <c r="E309" s="32"/>
      <c r="F309" s="32"/>
      <c r="G309" s="32"/>
      <c r="H309" s="73"/>
      <c r="I309" s="32"/>
      <c r="J309" s="69"/>
      <c r="K309" s="69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32"/>
      <c r="C310" s="10"/>
      <c r="D310" s="10"/>
      <c r="E310" s="32"/>
      <c r="F310" s="32"/>
      <c r="G310" s="32"/>
      <c r="H310" s="73"/>
      <c r="I310" s="32"/>
      <c r="J310" s="69"/>
      <c r="K310" s="69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32"/>
      <c r="C311" s="10"/>
      <c r="D311" s="10"/>
      <c r="E311" s="32"/>
      <c r="F311" s="32"/>
      <c r="G311" s="32"/>
      <c r="H311" s="73"/>
      <c r="I311" s="32"/>
      <c r="J311" s="69"/>
      <c r="K311" s="69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23</v>
      </c>
      <c r="C2" s="10">
        <v>9805633</v>
      </c>
      <c r="D2" s="32" t="s">
        <v>555</v>
      </c>
      <c r="E2" s="69">
        <v>940.99</v>
      </c>
      <c r="F2" s="69">
        <v>86.04</v>
      </c>
      <c r="G2" s="69">
        <f t="shared" ref="G2:G9" si="0">F2*0.5</f>
        <v>43.02</v>
      </c>
      <c r="H2" s="70">
        <v>0.20366600000000001</v>
      </c>
      <c r="I2" s="69">
        <f>(E2*0.98+G2)*H2</f>
        <v>196.57642727320001</v>
      </c>
      <c r="J2" s="61">
        <f>E2*0.02*H2</f>
        <v>3.8329533868000003</v>
      </c>
      <c r="K2" s="61">
        <f t="shared" ref="K2:K9" si="1">F2*0.2*H2</f>
        <v>3.5046845280000007</v>
      </c>
      <c r="L2" s="58">
        <f>SUM(J:K)</f>
        <v>1086.1241763629469</v>
      </c>
      <c r="M2" s="2" t="s">
        <v>412</v>
      </c>
      <c r="N2" s="2" t="s">
        <v>413</v>
      </c>
      <c r="O2" s="32">
        <v>-6054.55</v>
      </c>
      <c r="P2" s="32">
        <f>SUM(I:I)</f>
        <v>10543.435179159411</v>
      </c>
      <c r="Q2" s="32">
        <f>SUM(O:O)</f>
        <v>-8456.33</v>
      </c>
      <c r="R2" s="32">
        <f>P2+Q2</f>
        <v>2087.1051791594109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32" t="s">
        <v>23</v>
      </c>
      <c r="C3" s="10">
        <v>9691016</v>
      </c>
      <c r="D3" s="32" t="s">
        <v>556</v>
      </c>
      <c r="E3" s="69">
        <v>-30.34</v>
      </c>
      <c r="F3" s="69">
        <v>8.85</v>
      </c>
      <c r="G3" s="69">
        <f t="shared" si="0"/>
        <v>4.4249999999999998</v>
      </c>
      <c r="H3" s="70">
        <v>0.20366600000000001</v>
      </c>
      <c r="I3" s="69">
        <f t="shared" ref="I3:I5" si="2">(E3+G3)*H3</f>
        <v>-5.2780043900000004</v>
      </c>
      <c r="J3" s="61">
        <v>0</v>
      </c>
      <c r="K3" s="61">
        <f t="shared" si="1"/>
        <v>0.36048882000000004</v>
      </c>
      <c r="L3" s="58"/>
      <c r="M3" s="2" t="s">
        <v>312</v>
      </c>
      <c r="N3" s="2" t="s">
        <v>427</v>
      </c>
      <c r="O3" s="32">
        <v>-64.349999999999994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2" t="s">
        <v>17</v>
      </c>
      <c r="C4" s="10">
        <v>9805633</v>
      </c>
      <c r="D4" s="32" t="s">
        <v>555</v>
      </c>
      <c r="E4" s="69">
        <v>-1493.35</v>
      </c>
      <c r="F4" s="69">
        <v>239.55</v>
      </c>
      <c r="G4" s="69">
        <f t="shared" si="0"/>
        <v>119.77500000000001</v>
      </c>
      <c r="H4" s="70">
        <v>0.20366600000000001</v>
      </c>
      <c r="I4" s="69">
        <f t="shared" si="2"/>
        <v>-279.75052595</v>
      </c>
      <c r="J4" s="61">
        <v>0</v>
      </c>
      <c r="K4" s="61">
        <f t="shared" si="1"/>
        <v>9.7576380600000014</v>
      </c>
      <c r="L4" s="71"/>
      <c r="M4" s="2" t="s">
        <v>312</v>
      </c>
      <c r="N4" s="2" t="s">
        <v>415</v>
      </c>
      <c r="O4" s="32">
        <v>8.0299999999999994</v>
      </c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2" t="s">
        <v>17</v>
      </c>
      <c r="C5" s="10">
        <v>9691016</v>
      </c>
      <c r="D5" s="32" t="s">
        <v>556</v>
      </c>
      <c r="E5" s="32">
        <v>-3429.5</v>
      </c>
      <c r="F5" s="32">
        <v>476.95</v>
      </c>
      <c r="G5" s="69">
        <f t="shared" si="0"/>
        <v>238.47499999999999</v>
      </c>
      <c r="H5" s="70">
        <v>0.20366600000000001</v>
      </c>
      <c r="I5" s="69">
        <f t="shared" si="2"/>
        <v>-649.90329765000001</v>
      </c>
      <c r="J5" s="61">
        <v>0</v>
      </c>
      <c r="K5" s="61">
        <f t="shared" si="1"/>
        <v>19.427699740000001</v>
      </c>
      <c r="L5" s="71"/>
      <c r="M5" s="2" t="s">
        <v>295</v>
      </c>
      <c r="N5" s="2" t="s">
        <v>416</v>
      </c>
      <c r="O5" s="32">
        <v>-9.56</v>
      </c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317</v>
      </c>
      <c r="B6" s="32" t="s">
        <v>23</v>
      </c>
      <c r="C6" s="10">
        <v>9805633</v>
      </c>
      <c r="D6" s="32" t="s">
        <v>555</v>
      </c>
      <c r="E6" s="69">
        <v>459.08</v>
      </c>
      <c r="F6" s="69">
        <v>59.1</v>
      </c>
      <c r="G6" s="69">
        <f t="shared" si="0"/>
        <v>29.55</v>
      </c>
      <c r="H6" s="70">
        <v>0.20366600000000001</v>
      </c>
      <c r="I6" s="69">
        <f t="shared" ref="I6:I7" si="3">(E6*0.98+G6)*H6</f>
        <v>97.647337834400005</v>
      </c>
      <c r="J6" s="61">
        <f t="shared" ref="J6:J7" si="4">E6*0.02*H6</f>
        <v>1.8699797456</v>
      </c>
      <c r="K6" s="61">
        <f t="shared" si="1"/>
        <v>2.4073321200000004</v>
      </c>
      <c r="L6" s="71"/>
      <c r="M6" s="2" t="s">
        <v>299</v>
      </c>
      <c r="N6" s="2" t="s">
        <v>417</v>
      </c>
      <c r="O6" s="32">
        <v>-0.13</v>
      </c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317</v>
      </c>
      <c r="B7" s="32" t="s">
        <v>23</v>
      </c>
      <c r="C7" s="10">
        <v>9805633</v>
      </c>
      <c r="D7" s="32" t="s">
        <v>555</v>
      </c>
      <c r="E7" s="69">
        <v>3937.05</v>
      </c>
      <c r="F7" s="69">
        <v>709.25</v>
      </c>
      <c r="G7" s="69">
        <f t="shared" si="0"/>
        <v>354.625</v>
      </c>
      <c r="H7" s="70">
        <v>0.20366600000000001</v>
      </c>
      <c r="I7" s="69">
        <f t="shared" si="3"/>
        <v>858.03141604400014</v>
      </c>
      <c r="J7" s="61">
        <f t="shared" si="4"/>
        <v>16.036864506000001</v>
      </c>
      <c r="K7" s="61">
        <f t="shared" si="1"/>
        <v>28.890022099999999</v>
      </c>
      <c r="L7" s="71"/>
      <c r="M7" s="2" t="s">
        <v>334</v>
      </c>
      <c r="N7" s="2" t="s">
        <v>422</v>
      </c>
      <c r="O7" s="32">
        <v>-1.75</v>
      </c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325</v>
      </c>
      <c r="B8" s="32" t="s">
        <v>23</v>
      </c>
      <c r="C8" s="10">
        <v>9691016</v>
      </c>
      <c r="D8" s="32" t="s">
        <v>556</v>
      </c>
      <c r="E8" s="69">
        <v>-541.84</v>
      </c>
      <c r="F8" s="69">
        <v>76.680000000000007</v>
      </c>
      <c r="G8" s="69">
        <f t="shared" si="0"/>
        <v>38.340000000000003</v>
      </c>
      <c r="H8" s="70">
        <v>0.20449899999999999</v>
      </c>
      <c r="I8" s="69">
        <f>(E8+G8)*H8</f>
        <v>-102.96524649999999</v>
      </c>
      <c r="J8" s="61">
        <v>0</v>
      </c>
      <c r="K8" s="61">
        <f t="shared" si="1"/>
        <v>3.1361966640000003</v>
      </c>
      <c r="L8" s="58"/>
      <c r="M8" s="2" t="s">
        <v>303</v>
      </c>
      <c r="N8" s="2" t="s">
        <v>427</v>
      </c>
      <c r="O8" s="32">
        <v>-62.69</v>
      </c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 t="s">
        <v>325</v>
      </c>
      <c r="B9" s="2" t="s">
        <v>17</v>
      </c>
      <c r="C9" s="10">
        <v>9805633</v>
      </c>
      <c r="D9" s="32" t="s">
        <v>555</v>
      </c>
      <c r="E9" s="69">
        <v>298.39999999999998</v>
      </c>
      <c r="F9" s="69">
        <v>547.9</v>
      </c>
      <c r="G9" s="69">
        <f t="shared" si="0"/>
        <v>273.95</v>
      </c>
      <c r="H9" s="70">
        <v>0.20449899999999999</v>
      </c>
      <c r="I9" s="69">
        <f>(E9*0.98+G9)*H9</f>
        <v>115.82455261799998</v>
      </c>
      <c r="J9" s="61">
        <f>E9*0.02*H9</f>
        <v>1.220450032</v>
      </c>
      <c r="K9" s="61">
        <f t="shared" si="1"/>
        <v>22.409000419999998</v>
      </c>
      <c r="L9" s="71"/>
      <c r="M9" s="2" t="s">
        <v>303</v>
      </c>
      <c r="N9" s="2" t="s">
        <v>423</v>
      </c>
      <c r="O9" s="32">
        <v>-0.2</v>
      </c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332</v>
      </c>
      <c r="B10" s="2" t="s">
        <v>30</v>
      </c>
      <c r="C10" s="10">
        <v>9805633</v>
      </c>
      <c r="D10" s="10" t="s">
        <v>555</v>
      </c>
      <c r="E10" s="32">
        <v>-1004.25</v>
      </c>
      <c r="F10" s="2">
        <v>1597.9</v>
      </c>
      <c r="G10" s="69">
        <f>F10*0.7</f>
        <v>1118.53</v>
      </c>
      <c r="H10" s="70">
        <v>0.203038</v>
      </c>
      <c r="I10" s="69">
        <f>(E10+G10)*H10*0.93</f>
        <v>21.578959855199997</v>
      </c>
      <c r="J10" s="61">
        <f>E10*0.07*H10</f>
        <v>-14.273063805000003</v>
      </c>
      <c r="K10" s="61">
        <f>(F10*0.03+G10*0.07)*H10</f>
        <v>25.630319195799999</v>
      </c>
      <c r="L10" s="71"/>
      <c r="M10" s="2" t="s">
        <v>306</v>
      </c>
      <c r="N10" s="2" t="s">
        <v>425</v>
      </c>
      <c r="O10" s="32">
        <v>11.83</v>
      </c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332</v>
      </c>
      <c r="B11" s="32" t="s">
        <v>23</v>
      </c>
      <c r="C11" s="10">
        <v>9805633</v>
      </c>
      <c r="D11" s="32" t="s">
        <v>555</v>
      </c>
      <c r="E11" s="32">
        <v>637.63</v>
      </c>
      <c r="F11" s="32">
        <v>564.58000000000004</v>
      </c>
      <c r="G11" s="69">
        <f t="shared" ref="G11:G12" si="5">F11*0.5</f>
        <v>282.29000000000002</v>
      </c>
      <c r="H11" s="70">
        <v>0.201207</v>
      </c>
      <c r="I11" s="69">
        <f>(E11*0.98+G11)*H11</f>
        <v>182.5284310518</v>
      </c>
      <c r="J11" s="61">
        <f>E11*0.02*H11</f>
        <v>2.5659123882000001</v>
      </c>
      <c r="K11" s="61">
        <f t="shared" ref="K11:K12" si="6">F11*0.2*H11</f>
        <v>22.719489612</v>
      </c>
      <c r="L11" s="71"/>
      <c r="M11" s="2" t="s">
        <v>367</v>
      </c>
      <c r="N11" s="2" t="s">
        <v>426</v>
      </c>
      <c r="O11" s="32">
        <v>-9.92</v>
      </c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332</v>
      </c>
      <c r="B12" s="2" t="s">
        <v>17</v>
      </c>
      <c r="C12" s="10">
        <v>9805633</v>
      </c>
      <c r="D12" s="32" t="s">
        <v>555</v>
      </c>
      <c r="E12" s="32">
        <v>-40</v>
      </c>
      <c r="F12" s="32">
        <v>0.9</v>
      </c>
      <c r="G12" s="69">
        <f t="shared" si="5"/>
        <v>0.45</v>
      </c>
      <c r="H12" s="70">
        <v>0.201207</v>
      </c>
      <c r="I12" s="69">
        <f>(E12+G12)*H12</f>
        <v>-7.957736849999999</v>
      </c>
      <c r="J12" s="61">
        <v>0</v>
      </c>
      <c r="K12" s="61">
        <f t="shared" si="6"/>
        <v>3.6217260000000001E-2</v>
      </c>
      <c r="L12" s="71"/>
      <c r="M12" s="2" t="s">
        <v>311</v>
      </c>
      <c r="N12" s="2" t="s">
        <v>428</v>
      </c>
      <c r="O12" s="32">
        <v>-8.0299999999999994</v>
      </c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340</v>
      </c>
      <c r="B13" s="2" t="s">
        <v>30</v>
      </c>
      <c r="C13" s="10">
        <v>9805633</v>
      </c>
      <c r="D13" s="32" t="s">
        <v>555</v>
      </c>
      <c r="E13" s="69">
        <v>4035.45</v>
      </c>
      <c r="F13" s="69">
        <v>1834.35</v>
      </c>
      <c r="G13" s="69">
        <f>F13*0.7</f>
        <v>1284.0449999999998</v>
      </c>
      <c r="H13" s="70">
        <v>0.19996900000000001</v>
      </c>
      <c r="I13" s="69">
        <f>(E13+G13)*H13*0.93</f>
        <v>989.27270895915001</v>
      </c>
      <c r="J13" s="61">
        <f>E13*0.07*H13</f>
        <v>56.487543073500007</v>
      </c>
      <c r="K13" s="61">
        <f>(F13*0.03+G13*0.07)*H13</f>
        <v>28.97823767685</v>
      </c>
      <c r="L13" s="71"/>
      <c r="M13" s="2" t="s">
        <v>314</v>
      </c>
      <c r="N13" s="2" t="s">
        <v>430</v>
      </c>
      <c r="O13" s="32">
        <v>-0.37</v>
      </c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 t="s">
        <v>340</v>
      </c>
      <c r="B14" s="32" t="s">
        <v>23</v>
      </c>
      <c r="C14" s="10">
        <v>9805633</v>
      </c>
      <c r="D14" s="32" t="s">
        <v>555</v>
      </c>
      <c r="E14" s="69">
        <v>173.95</v>
      </c>
      <c r="F14" s="69">
        <v>487.88</v>
      </c>
      <c r="G14" s="69">
        <f>F14*0.5</f>
        <v>243.94</v>
      </c>
      <c r="H14" s="70">
        <v>0.19841300000000001</v>
      </c>
      <c r="I14" s="69">
        <f>(E14*0.98+G14)*H14</f>
        <v>82.224529742999991</v>
      </c>
      <c r="J14" s="61">
        <f>E14*0.02*H14</f>
        <v>0.69027882699999998</v>
      </c>
      <c r="K14" s="61">
        <f>F14*0.2*H14</f>
        <v>19.360346888000002</v>
      </c>
      <c r="L14" s="71"/>
      <c r="M14" s="2" t="s">
        <v>431</v>
      </c>
      <c r="N14" s="2" t="s">
        <v>432</v>
      </c>
      <c r="O14" s="32">
        <v>-56.57</v>
      </c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 t="s">
        <v>359</v>
      </c>
      <c r="B15" s="2" t="s">
        <v>30</v>
      </c>
      <c r="C15" s="10">
        <v>9805633</v>
      </c>
      <c r="D15" s="32" t="s">
        <v>555</v>
      </c>
      <c r="E15" s="69">
        <v>-2049.8000000000002</v>
      </c>
      <c r="F15" s="69">
        <v>1724</v>
      </c>
      <c r="G15" s="69">
        <f>F15*0.7</f>
        <v>1206.8</v>
      </c>
      <c r="H15" s="70">
        <v>0.20187357</v>
      </c>
      <c r="I15" s="69">
        <f>(E15+G15)*H15*0.93</f>
        <v>-158.26686014430007</v>
      </c>
      <c r="J15" s="61">
        <f>E15*0.07*H15</f>
        <v>-28.966031065020005</v>
      </c>
      <c r="K15" s="61">
        <f>(F15*0.03+G15*0.07)*H15</f>
        <v>27.494372739719999</v>
      </c>
      <c r="L15" s="71"/>
      <c r="M15" s="2" t="s">
        <v>431</v>
      </c>
      <c r="N15" s="2" t="s">
        <v>557</v>
      </c>
      <c r="O15" s="32">
        <v>-3.5</v>
      </c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 t="s">
        <v>359</v>
      </c>
      <c r="B16" s="32" t="s">
        <v>23</v>
      </c>
      <c r="C16" s="10">
        <v>9805633</v>
      </c>
      <c r="D16" s="32" t="s">
        <v>555</v>
      </c>
      <c r="E16" s="69">
        <v>-6524.77</v>
      </c>
      <c r="F16" s="69">
        <v>1431.42</v>
      </c>
      <c r="G16" s="69">
        <f t="shared" ref="G16:G17" si="7">F16*0.5</f>
        <v>715.71</v>
      </c>
      <c r="H16" s="70">
        <v>0.20366600000000001</v>
      </c>
      <c r="I16" s="69">
        <f>(E16+G16)*H16</f>
        <v>-1183.1080139600001</v>
      </c>
      <c r="J16" s="61">
        <v>0</v>
      </c>
      <c r="K16" s="61">
        <f t="shared" ref="K16:K17" si="8">F16*0.2*H16</f>
        <v>58.306317144000012</v>
      </c>
      <c r="L16" s="58"/>
      <c r="M16" s="2" t="s">
        <v>316</v>
      </c>
      <c r="N16" s="2" t="s">
        <v>558</v>
      </c>
      <c r="O16" s="32">
        <v>-6.49</v>
      </c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 t="s">
        <v>366</v>
      </c>
      <c r="B17" s="32" t="s">
        <v>23</v>
      </c>
      <c r="C17" s="10">
        <v>9805633</v>
      </c>
      <c r="D17" s="32" t="s">
        <v>555</v>
      </c>
      <c r="E17" s="69">
        <v>4827.2700000000004</v>
      </c>
      <c r="F17" s="69">
        <v>462.9</v>
      </c>
      <c r="G17" s="69">
        <f t="shared" si="7"/>
        <v>231.45</v>
      </c>
      <c r="H17" s="70">
        <v>0.2</v>
      </c>
      <c r="I17" s="69">
        <f>(E17*0.98+G17)*H17</f>
        <v>992.43492000000015</v>
      </c>
      <c r="J17" s="61">
        <f>E17*0.02*H17</f>
        <v>19.309080000000005</v>
      </c>
      <c r="K17" s="61">
        <f t="shared" si="8"/>
        <v>18.516000000000002</v>
      </c>
      <c r="L17" s="71"/>
      <c r="M17" s="2" t="s">
        <v>316</v>
      </c>
      <c r="N17" s="2" t="s">
        <v>434</v>
      </c>
      <c r="O17" s="32">
        <v>0.25</v>
      </c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 t="s">
        <v>366</v>
      </c>
      <c r="B18" s="2" t="s">
        <v>30</v>
      </c>
      <c r="C18" s="10">
        <v>9805633</v>
      </c>
      <c r="D18" s="32" t="s">
        <v>555</v>
      </c>
      <c r="E18" s="69">
        <v>-909.1</v>
      </c>
      <c r="F18" s="69">
        <v>478.8</v>
      </c>
      <c r="G18" s="69">
        <f>F18*0.7</f>
        <v>335.15999999999997</v>
      </c>
      <c r="H18" s="70">
        <v>0.20166645999999999</v>
      </c>
      <c r="I18" s="69">
        <f>(E18+G18)*H18*0.93</f>
        <v>-107.642336688732</v>
      </c>
      <c r="J18" s="61">
        <f>E18*0.07*H18</f>
        <v>-12.833448515020001</v>
      </c>
      <c r="K18" s="61">
        <f>(F18*0.03+G18*0.07)*H18</f>
        <v>7.628074182792</v>
      </c>
      <c r="L18" s="71"/>
      <c r="M18" s="2" t="s">
        <v>389</v>
      </c>
      <c r="N18" s="2" t="s">
        <v>559</v>
      </c>
      <c r="O18" s="32">
        <v>-2.96</v>
      </c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 t="s">
        <v>370</v>
      </c>
      <c r="B19" s="32" t="s">
        <v>23</v>
      </c>
      <c r="C19" s="10">
        <v>9805633</v>
      </c>
      <c r="D19" s="32" t="s">
        <v>555</v>
      </c>
      <c r="E19" s="32">
        <v>3790.72</v>
      </c>
      <c r="F19" s="32">
        <v>636.25</v>
      </c>
      <c r="G19" s="69">
        <f>F19*0.5</f>
        <v>318.125</v>
      </c>
      <c r="H19" s="70">
        <v>0.199203187</v>
      </c>
      <c r="I19" s="69">
        <f>(E19*0.98+G19)*H19</f>
        <v>803.39254878852216</v>
      </c>
      <c r="J19" s="61">
        <f>E19*0.02*H19</f>
        <v>15.102470100492798</v>
      </c>
      <c r="K19" s="61">
        <f>F19*0.2*H19</f>
        <v>25.348605545750001</v>
      </c>
      <c r="L19" s="71"/>
      <c r="M19" s="2" t="s">
        <v>319</v>
      </c>
      <c r="N19" s="2" t="s">
        <v>440</v>
      </c>
      <c r="O19" s="32">
        <v>0.67</v>
      </c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 t="s">
        <v>370</v>
      </c>
      <c r="B20" s="2" t="s">
        <v>30</v>
      </c>
      <c r="C20" s="10">
        <v>9805633</v>
      </c>
      <c r="D20" s="32" t="s">
        <v>555</v>
      </c>
      <c r="E20" s="69">
        <v>4289.3999999999996</v>
      </c>
      <c r="F20" s="69">
        <v>450</v>
      </c>
      <c r="G20" s="69">
        <f>F20*0.7</f>
        <v>315</v>
      </c>
      <c r="H20" s="70">
        <v>0.20039899999999999</v>
      </c>
      <c r="I20" s="69">
        <f>(E20+G20)*H20*0.93</f>
        <v>858.12695470799986</v>
      </c>
      <c r="J20" s="61">
        <f>E20*0.07*H20</f>
        <v>60.171402941999993</v>
      </c>
      <c r="K20" s="61">
        <f>(F20*0.03+G20*0.07)*H20</f>
        <v>7.1241844499999996</v>
      </c>
      <c r="L20" s="71"/>
      <c r="M20" s="2" t="s">
        <v>320</v>
      </c>
      <c r="N20" s="2" t="s">
        <v>560</v>
      </c>
      <c r="O20" s="32">
        <v>1.73</v>
      </c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 t="s">
        <v>372</v>
      </c>
      <c r="B21" s="32" t="s">
        <v>23</v>
      </c>
      <c r="C21" s="10">
        <v>9805633</v>
      </c>
      <c r="D21" s="32" t="s">
        <v>555</v>
      </c>
      <c r="E21" s="69">
        <v>-190.12</v>
      </c>
      <c r="F21" s="69">
        <v>744.32</v>
      </c>
      <c r="G21" s="69">
        <f>F21*0.5</f>
        <v>372.16</v>
      </c>
      <c r="H21" s="70">
        <v>0.20366598799999999</v>
      </c>
      <c r="I21" s="69">
        <f>(E21+G21)*H21</f>
        <v>37.075356455520001</v>
      </c>
      <c r="J21" s="61">
        <v>0</v>
      </c>
      <c r="K21" s="61">
        <f>F21*0.2*H21</f>
        <v>30.318533637632001</v>
      </c>
      <c r="L21" s="58"/>
      <c r="M21" s="2" t="s">
        <v>322</v>
      </c>
      <c r="N21" s="2" t="s">
        <v>561</v>
      </c>
      <c r="O21" s="32">
        <v>-1.41</v>
      </c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 t="s">
        <v>372</v>
      </c>
      <c r="B22" s="2" t="s">
        <v>30</v>
      </c>
      <c r="C22" s="10">
        <v>9805633</v>
      </c>
      <c r="D22" s="32" t="s">
        <v>555</v>
      </c>
      <c r="E22" s="69">
        <v>1947.35</v>
      </c>
      <c r="F22" s="69">
        <v>2003.2</v>
      </c>
      <c r="G22" s="69">
        <f>F22*0.7</f>
        <v>1402.24</v>
      </c>
      <c r="H22" s="70">
        <v>0.20230899999999999</v>
      </c>
      <c r="I22" s="69">
        <f>(E22+G22)*H22*0.93</f>
        <v>630.21654907830009</v>
      </c>
      <c r="J22" s="61">
        <f>E22*0.07*H22</f>
        <v>27.577650180500001</v>
      </c>
      <c r="K22" s="61">
        <f>(F22*0.03+G22*0.07)*H22</f>
        <v>32.015965715199997</v>
      </c>
      <c r="L22" s="71"/>
      <c r="M22" s="2" t="s">
        <v>323</v>
      </c>
      <c r="N22" s="2" t="s">
        <v>562</v>
      </c>
      <c r="O22" s="32">
        <v>-4.41</v>
      </c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 t="s">
        <v>377</v>
      </c>
      <c r="B23" s="32" t="s">
        <v>23</v>
      </c>
      <c r="C23" s="10">
        <v>9805633</v>
      </c>
      <c r="D23" s="32" t="s">
        <v>555</v>
      </c>
      <c r="E23" s="69">
        <v>-445.84</v>
      </c>
      <c r="F23" s="69">
        <v>704.62</v>
      </c>
      <c r="G23" s="69">
        <f>F23*0.5</f>
        <v>352.31</v>
      </c>
      <c r="H23" s="70">
        <v>0.20283999999999999</v>
      </c>
      <c r="I23" s="69">
        <f>(E23+G23)*H23</f>
        <v>-18.971625199999995</v>
      </c>
      <c r="J23" s="61">
        <v>0</v>
      </c>
      <c r="K23" s="61">
        <f>F23*0.2*H23</f>
        <v>28.58502416</v>
      </c>
      <c r="L23" s="58"/>
      <c r="M23" s="2" t="s">
        <v>348</v>
      </c>
      <c r="N23" s="2" t="s">
        <v>563</v>
      </c>
      <c r="O23" s="32">
        <v>-54.44</v>
      </c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 t="s">
        <v>377</v>
      </c>
      <c r="B24" s="2" t="s">
        <v>30</v>
      </c>
      <c r="C24" s="10">
        <v>9805633</v>
      </c>
      <c r="D24" s="32" t="s">
        <v>555</v>
      </c>
      <c r="E24" s="69">
        <v>-4790.6499999999996</v>
      </c>
      <c r="F24" s="69">
        <v>821.15</v>
      </c>
      <c r="G24" s="69">
        <f>F24*0.7</f>
        <v>574.80499999999995</v>
      </c>
      <c r="H24" s="70">
        <v>0.20088900000000001</v>
      </c>
      <c r="I24" s="69">
        <f>(E24+G24)*H24*0.93</f>
        <v>-787.63270417064996</v>
      </c>
      <c r="J24" s="61">
        <f>E24*0.07*H24</f>
        <v>-67.367222149500009</v>
      </c>
      <c r="K24" s="61">
        <f>(F24*0.03+G24*0.07)*H24</f>
        <v>13.031840185650001</v>
      </c>
      <c r="L24" s="71"/>
      <c r="M24" s="2" t="s">
        <v>564</v>
      </c>
      <c r="N24" s="2" t="s">
        <v>565</v>
      </c>
      <c r="O24" s="32">
        <v>-2137.5100000000002</v>
      </c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 t="s">
        <v>379</v>
      </c>
      <c r="B25" s="32" t="s">
        <v>23</v>
      </c>
      <c r="C25" s="10">
        <v>9805633</v>
      </c>
      <c r="D25" s="32" t="s">
        <v>555</v>
      </c>
      <c r="E25" s="69">
        <v>1182.74</v>
      </c>
      <c r="F25" s="69">
        <v>680.73</v>
      </c>
      <c r="G25" s="69">
        <f>F25*0.5</f>
        <v>340.36500000000001</v>
      </c>
      <c r="H25" s="70">
        <v>0.19763</v>
      </c>
      <c r="I25" s="69">
        <f>(E25*0.98+G25)*H25</f>
        <v>296.33634302600001</v>
      </c>
      <c r="J25" s="61">
        <f>E25*0.02*H25</f>
        <v>4.6748981240000003</v>
      </c>
      <c r="K25" s="61">
        <f>F25*0.2*H25</f>
        <v>26.906533980000003</v>
      </c>
      <c r="L25" s="71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 t="s">
        <v>379</v>
      </c>
      <c r="B26" s="2" t="s">
        <v>30</v>
      </c>
      <c r="C26" s="10">
        <v>9805633</v>
      </c>
      <c r="D26" s="32" t="s">
        <v>555</v>
      </c>
      <c r="E26" s="69">
        <v>565.6</v>
      </c>
      <c r="F26" s="69">
        <v>385.95</v>
      </c>
      <c r="G26" s="69">
        <f>F26*0.7</f>
        <v>270.16499999999996</v>
      </c>
      <c r="H26" s="70">
        <v>0.19900100000000001</v>
      </c>
      <c r="I26" s="69">
        <f>(E26+G26)*H26*0.93</f>
        <v>154.67580581145003</v>
      </c>
      <c r="J26" s="61">
        <f>E26*0.07*H26</f>
        <v>7.8788475920000014</v>
      </c>
      <c r="K26" s="61">
        <f>(F26*0.03+G26*0.07)*H26</f>
        <v>6.0675504400499998</v>
      </c>
      <c r="L26" s="71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 t="s">
        <v>380</v>
      </c>
      <c r="B27" s="32" t="s">
        <v>23</v>
      </c>
      <c r="C27" s="10">
        <v>9805633</v>
      </c>
      <c r="D27" s="32" t="s">
        <v>555</v>
      </c>
      <c r="E27" s="69">
        <v>-901.71</v>
      </c>
      <c r="F27" s="69">
        <v>1143.77</v>
      </c>
      <c r="G27" s="69">
        <f>F27*0.5</f>
        <v>571.88499999999999</v>
      </c>
      <c r="H27" s="70">
        <v>0.202429</v>
      </c>
      <c r="I27" s="69">
        <f>(E27+G27)*H27</f>
        <v>-66.766144925000006</v>
      </c>
      <c r="J27" s="61">
        <v>0</v>
      </c>
      <c r="K27" s="61">
        <f>F27*0.2*H27</f>
        <v>46.306443466000005</v>
      </c>
      <c r="L27" s="58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 t="s">
        <v>380</v>
      </c>
      <c r="B28" s="2" t="s">
        <v>30</v>
      </c>
      <c r="C28" s="10">
        <v>9805633</v>
      </c>
      <c r="D28" s="32" t="s">
        <v>555</v>
      </c>
      <c r="E28" s="69">
        <v>3010.25</v>
      </c>
      <c r="F28" s="69">
        <v>670.05</v>
      </c>
      <c r="G28" s="69">
        <f>F28*0.7</f>
        <v>469.03499999999991</v>
      </c>
      <c r="H28" s="70">
        <v>0.200848</v>
      </c>
      <c r="I28" s="69">
        <f>(E28+G28)*H28*0.93</f>
        <v>649.89091332239991</v>
      </c>
      <c r="J28" s="61">
        <f>E28*0.07*H28</f>
        <v>42.322188440000005</v>
      </c>
      <c r="K28" s="61">
        <f>(F28*0.03+G28*0.07)*H28</f>
        <v>10.631677989599998</v>
      </c>
      <c r="L28" s="71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 t="s">
        <v>381</v>
      </c>
      <c r="B29" s="32" t="s">
        <v>23</v>
      </c>
      <c r="C29" s="10">
        <v>9805633</v>
      </c>
      <c r="D29" s="32" t="s">
        <v>555</v>
      </c>
      <c r="E29" s="69">
        <v>-1306.0899999999999</v>
      </c>
      <c r="F29" s="69">
        <v>855.71</v>
      </c>
      <c r="G29" s="69">
        <f>F29*0.5</f>
        <v>427.85500000000002</v>
      </c>
      <c r="H29" s="70">
        <v>0.196464</v>
      </c>
      <c r="I29" s="69">
        <f>(E29+G29)*H29</f>
        <v>-172.54156103999998</v>
      </c>
      <c r="J29" s="61">
        <v>0</v>
      </c>
      <c r="K29" s="61">
        <f>F29*0.2*H29</f>
        <v>33.623241888000003</v>
      </c>
      <c r="L29" s="58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32" t="s">
        <v>381</v>
      </c>
      <c r="B30" s="2" t="s">
        <v>30</v>
      </c>
      <c r="C30" s="10">
        <v>9805633</v>
      </c>
      <c r="D30" s="32" t="s">
        <v>555</v>
      </c>
      <c r="E30" s="69">
        <v>975.3</v>
      </c>
      <c r="F30" s="69">
        <v>669.2</v>
      </c>
      <c r="G30" s="69">
        <f>F30*0.7</f>
        <v>468.44</v>
      </c>
      <c r="H30" s="70">
        <v>0.19758700000000001</v>
      </c>
      <c r="I30" s="69">
        <f>(E30+G30)*H30*0.93</f>
        <v>265.29575750340001</v>
      </c>
      <c r="J30" s="61">
        <f>E30*0.07*H30</f>
        <v>13.489462077000001</v>
      </c>
      <c r="K30" s="61">
        <f>(F30*0.03+G30*0.07)*H30</f>
        <v>10.445792411600001</v>
      </c>
      <c r="L30" s="71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 t="s">
        <v>382</v>
      </c>
      <c r="B31" s="32" t="s">
        <v>23</v>
      </c>
      <c r="C31" s="10">
        <v>9805633</v>
      </c>
      <c r="D31" s="32" t="s">
        <v>555</v>
      </c>
      <c r="E31" s="69">
        <v>541.21</v>
      </c>
      <c r="F31" s="69">
        <v>371.43</v>
      </c>
      <c r="G31" s="69">
        <f>F31*0.5</f>
        <v>185.715</v>
      </c>
      <c r="H31" s="70">
        <v>0.19685</v>
      </c>
      <c r="I31" s="69">
        <f>(E31*0.98+G31)*H31</f>
        <v>140.96444248</v>
      </c>
      <c r="J31" s="61">
        <f>E31*0.02*H31</f>
        <v>2.13074377</v>
      </c>
      <c r="K31" s="61">
        <f>F31*0.2*H31</f>
        <v>14.623199100000001</v>
      </c>
      <c r="L31" s="71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 t="s">
        <v>382</v>
      </c>
      <c r="B32" s="2" t="s">
        <v>30</v>
      </c>
      <c r="C32" s="10">
        <v>9805633</v>
      </c>
      <c r="D32" s="32" t="s">
        <v>555</v>
      </c>
      <c r="E32" s="69">
        <v>2741.8</v>
      </c>
      <c r="F32" s="69">
        <v>927.95</v>
      </c>
      <c r="G32" s="69">
        <f>F32*0.7</f>
        <v>649.56499999999994</v>
      </c>
      <c r="H32" s="70">
        <v>0.198658</v>
      </c>
      <c r="I32" s="69">
        <f>(E32+G32)*H32*0.93</f>
        <v>626.56126299810012</v>
      </c>
      <c r="J32" s="61">
        <f>E32*0.07*H32</f>
        <v>38.127635308000009</v>
      </c>
      <c r="K32" s="61">
        <f>(F32*0.03+G32*0.07)*H32</f>
        <v>14.563230596899999</v>
      </c>
      <c r="L32" s="71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2" t="s">
        <v>383</v>
      </c>
      <c r="B33" s="32" t="s">
        <v>23</v>
      </c>
      <c r="C33" s="10">
        <v>9805633</v>
      </c>
      <c r="D33" s="32" t="s">
        <v>555</v>
      </c>
      <c r="E33" s="69">
        <v>1961.19</v>
      </c>
      <c r="F33" s="69">
        <v>702</v>
      </c>
      <c r="G33" s="69">
        <f>F33*0.5</f>
        <v>351</v>
      </c>
      <c r="H33" s="70">
        <v>0.19417499999999999</v>
      </c>
      <c r="I33" s="69">
        <f>(E33*0.98+G33)*H33</f>
        <v>441.35321188499995</v>
      </c>
      <c r="J33" s="61">
        <f>E33*0.02*H33</f>
        <v>7.6162813649999999</v>
      </c>
      <c r="K33" s="61">
        <f>F33*0.2*H33</f>
        <v>27.262169999999998</v>
      </c>
      <c r="L33" s="71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2" t="s">
        <v>383</v>
      </c>
      <c r="B34" s="2" t="s">
        <v>30</v>
      </c>
      <c r="C34" s="10">
        <v>9805633</v>
      </c>
      <c r="D34" s="32" t="s">
        <v>555</v>
      </c>
      <c r="E34" s="69">
        <v>2232.9</v>
      </c>
      <c r="F34" s="69">
        <v>1113.45</v>
      </c>
      <c r="G34" s="69">
        <f>F34*0.7</f>
        <v>779.41499999999996</v>
      </c>
      <c r="H34" s="70">
        <v>0.19267699999999999</v>
      </c>
      <c r="I34" s="69">
        <f>(E34+G34)*H34*0.93</f>
        <v>539.77555004714998</v>
      </c>
      <c r="J34" s="61">
        <f>E34*0.07*H34</f>
        <v>30.115993131000003</v>
      </c>
      <c r="K34" s="61">
        <f>(F34*0.03+G34*0.07)*H34</f>
        <v>16.948360246349999</v>
      </c>
      <c r="L34" s="71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 t="s">
        <v>384</v>
      </c>
      <c r="B35" s="32" t="s">
        <v>23</v>
      </c>
      <c r="C35" s="10">
        <v>9805633</v>
      </c>
      <c r="D35" s="32" t="s">
        <v>555</v>
      </c>
      <c r="E35" s="69">
        <v>26899.01</v>
      </c>
      <c r="F35" s="69">
        <v>3354.49</v>
      </c>
      <c r="G35" s="69">
        <f>F35*0.5</f>
        <v>1677.2449999999999</v>
      </c>
      <c r="H35" s="70">
        <v>0.19417499999999999</v>
      </c>
      <c r="I35" s="69">
        <f>(E35*0.98+G35)*H35</f>
        <v>5444.3320092899985</v>
      </c>
      <c r="J35" s="61">
        <f>E35*0.02*H35</f>
        <v>104.46230533499998</v>
      </c>
      <c r="K35" s="61">
        <f>F35*0.2*H35</f>
        <v>130.27161914999999</v>
      </c>
      <c r="L35" s="71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 t="s">
        <v>384</v>
      </c>
      <c r="B36" s="2" t="s">
        <v>30</v>
      </c>
      <c r="C36" s="10">
        <v>9805633</v>
      </c>
      <c r="D36" s="32" t="s">
        <v>555</v>
      </c>
      <c r="E36" s="69">
        <v>-2716.75</v>
      </c>
      <c r="F36" s="69">
        <v>1178.25</v>
      </c>
      <c r="G36" s="69">
        <f>F36*0.7</f>
        <v>824.77499999999998</v>
      </c>
      <c r="H36" s="70">
        <v>0.19317400000000001</v>
      </c>
      <c r="I36" s="69">
        <f>(E36+G36)*H36*0.93</f>
        <v>-339.89675214450006</v>
      </c>
      <c r="J36" s="61">
        <f>E36*0.07*H36</f>
        <v>-36.736382515000003</v>
      </c>
      <c r="K36" s="61">
        <f>(F36*0.03+G36*0.07)*H36</f>
        <v>17.980973974499999</v>
      </c>
      <c r="L36" s="71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32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32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32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92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23</v>
      </c>
      <c r="C2" s="10">
        <v>9776371</v>
      </c>
      <c r="D2" s="32" t="s">
        <v>566</v>
      </c>
      <c r="E2" s="69">
        <v>458.75</v>
      </c>
      <c r="F2" s="69">
        <v>59.35</v>
      </c>
      <c r="G2" s="69">
        <f t="shared" ref="G2:G3" si="0">F2*0.425</f>
        <v>25.223749999999999</v>
      </c>
      <c r="H2" s="70">
        <v>0.20366600000000001</v>
      </c>
      <c r="I2" s="69">
        <f t="shared" ref="I2:I4" si="1">(E2+G2)*H2</f>
        <v>98.568997767500008</v>
      </c>
      <c r="J2" s="79" t="s">
        <v>468</v>
      </c>
      <c r="K2" s="61">
        <v>0</v>
      </c>
      <c r="L2" s="61">
        <f>F2*0.275*H2</f>
        <v>3.3240837025000007</v>
      </c>
      <c r="M2" s="58">
        <f>SUM(K:L)</f>
        <v>2637.3415655258896</v>
      </c>
      <c r="N2" s="2" t="s">
        <v>412</v>
      </c>
      <c r="O2" s="2" t="s">
        <v>413</v>
      </c>
      <c r="P2" s="32">
        <v>-16981.759999999998</v>
      </c>
      <c r="Q2" s="32">
        <f>SUM(I:I)</f>
        <v>-3155.773354474833</v>
      </c>
      <c r="R2" s="32">
        <f>SUM(P:P)</f>
        <v>-17362.290000000005</v>
      </c>
      <c r="S2" s="32">
        <f>Q2+R2</f>
        <v>-20518.063354474838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2" t="s">
        <v>30</v>
      </c>
      <c r="C3" s="10">
        <v>9782743</v>
      </c>
      <c r="D3" s="32" t="s">
        <v>567</v>
      </c>
      <c r="E3" s="69">
        <v>-12468.2</v>
      </c>
      <c r="F3" s="69">
        <v>2017.8</v>
      </c>
      <c r="G3" s="69">
        <f t="shared" si="0"/>
        <v>857.56499999999994</v>
      </c>
      <c r="H3" s="70">
        <v>0.205041</v>
      </c>
      <c r="I3" s="69">
        <f t="shared" si="1"/>
        <v>-2380.6562110350001</v>
      </c>
      <c r="J3" s="79" t="s">
        <v>468</v>
      </c>
      <c r="K3" s="61">
        <v>0</v>
      </c>
      <c r="L3" s="61">
        <f>F3*0.305*H3</f>
        <v>126.18817758899999</v>
      </c>
      <c r="M3" s="58"/>
      <c r="N3" s="2" t="s">
        <v>312</v>
      </c>
      <c r="O3" s="2" t="s">
        <v>415</v>
      </c>
      <c r="P3" s="32">
        <v>-0.99</v>
      </c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10" t="s">
        <v>65</v>
      </c>
      <c r="C4" s="10">
        <v>141206</v>
      </c>
      <c r="D4" s="32" t="s">
        <v>568</v>
      </c>
      <c r="E4" s="32">
        <v>9693.92</v>
      </c>
      <c r="F4" s="32">
        <v>334.12</v>
      </c>
      <c r="G4" s="32">
        <f>F4*0.65</f>
        <v>217.178</v>
      </c>
      <c r="H4" s="75">
        <v>0.26985999999999999</v>
      </c>
      <c r="I4" s="32">
        <f t="shared" si="1"/>
        <v>2674.6089062799997</v>
      </c>
      <c r="J4" s="79" t="s">
        <v>468</v>
      </c>
      <c r="K4" s="61">
        <v>0</v>
      </c>
      <c r="L4" s="61">
        <f>F4*0.2*H4</f>
        <v>18.03312464</v>
      </c>
      <c r="M4" s="71"/>
      <c r="N4" s="2" t="s">
        <v>295</v>
      </c>
      <c r="O4" s="2" t="s">
        <v>416</v>
      </c>
      <c r="P4" s="32">
        <v>12.57</v>
      </c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32" t="s">
        <v>155</v>
      </c>
      <c r="C5" s="72" t="s">
        <v>569</v>
      </c>
      <c r="D5" s="72" t="s">
        <v>570</v>
      </c>
      <c r="E5" s="69">
        <v>-490.84</v>
      </c>
      <c r="F5" s="69">
        <v>1383.85</v>
      </c>
      <c r="G5" s="69">
        <f>F5*0.5</f>
        <v>691.92499999999995</v>
      </c>
      <c r="H5" s="70">
        <v>0.751776</v>
      </c>
      <c r="I5" s="69">
        <f>(E5+G5)*H5*0.9</f>
        <v>136.05378926399999</v>
      </c>
      <c r="J5" s="79" t="s">
        <v>468</v>
      </c>
      <c r="K5" s="61">
        <v>0</v>
      </c>
      <c r="L5" s="61">
        <f>F5*0.2*H5*0.9</f>
        <v>187.26213916799998</v>
      </c>
      <c r="M5" s="71"/>
      <c r="N5" s="2" t="s">
        <v>299</v>
      </c>
      <c r="O5" s="2" t="s">
        <v>427</v>
      </c>
      <c r="P5" s="32">
        <v>-64.62</v>
      </c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32" t="s">
        <v>317</v>
      </c>
      <c r="B6" s="32" t="s">
        <v>23</v>
      </c>
      <c r="C6" s="10">
        <v>9776371</v>
      </c>
      <c r="D6" s="32" t="s">
        <v>566</v>
      </c>
      <c r="E6" s="69">
        <v>-6427.65</v>
      </c>
      <c r="F6" s="69">
        <v>607.04999999999995</v>
      </c>
      <c r="G6" s="69">
        <f t="shared" ref="G6:G7" si="2">F6*0.425</f>
        <v>257.99624999999997</v>
      </c>
      <c r="H6" s="70">
        <v>0.20366600000000001</v>
      </c>
      <c r="I6" s="69">
        <f t="shared" ref="I6:I7" si="3">(E6+G6)*H6</f>
        <v>-1256.5487006475</v>
      </c>
      <c r="J6" s="79" t="s">
        <v>468</v>
      </c>
      <c r="K6" s="61">
        <v>0</v>
      </c>
      <c r="L6" s="61">
        <f>F6*0.275*H6</f>
        <v>33.9997474575</v>
      </c>
      <c r="M6" s="71"/>
      <c r="N6" s="2" t="s">
        <v>299</v>
      </c>
      <c r="O6" s="2" t="s">
        <v>417</v>
      </c>
      <c r="P6" s="32">
        <v>-10.31</v>
      </c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 t="s">
        <v>317</v>
      </c>
      <c r="B7" s="2" t="s">
        <v>30</v>
      </c>
      <c r="C7" s="10">
        <v>9782743</v>
      </c>
      <c r="D7" s="32" t="s">
        <v>567</v>
      </c>
      <c r="E7" s="69">
        <v>6333.5</v>
      </c>
      <c r="F7" s="69">
        <v>1270.55</v>
      </c>
      <c r="G7" s="69">
        <f t="shared" si="2"/>
        <v>539.98374999999999</v>
      </c>
      <c r="H7" s="70">
        <v>0.20521400000000001</v>
      </c>
      <c r="I7" s="69">
        <f t="shared" si="3"/>
        <v>1410.5350942725001</v>
      </c>
      <c r="J7" s="79" t="s">
        <v>468</v>
      </c>
      <c r="K7" s="61">
        <v>0</v>
      </c>
      <c r="L7" s="61">
        <f>F7*0.305*H7</f>
        <v>79.5240675485</v>
      </c>
      <c r="M7" s="58"/>
      <c r="N7" s="2" t="s">
        <v>334</v>
      </c>
      <c r="O7" s="2" t="s">
        <v>422</v>
      </c>
      <c r="P7" s="32">
        <v>-18.399999999999999</v>
      </c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317</v>
      </c>
      <c r="B8" s="32" t="s">
        <v>155</v>
      </c>
      <c r="C8" s="72" t="s">
        <v>569</v>
      </c>
      <c r="D8" s="72" t="s">
        <v>570</v>
      </c>
      <c r="E8" s="69">
        <v>3926.61</v>
      </c>
      <c r="F8" s="69">
        <v>315.69</v>
      </c>
      <c r="G8" s="69">
        <f>F8*0.5</f>
        <v>157.845</v>
      </c>
      <c r="H8" s="70">
        <v>0.74563800000000002</v>
      </c>
      <c r="I8" s="69">
        <f>(E8+G8)*H8*0.9</f>
        <v>2740.9723715610003</v>
      </c>
      <c r="J8" s="79" t="s">
        <v>468</v>
      </c>
      <c r="K8" s="61">
        <v>0</v>
      </c>
      <c r="L8" s="61">
        <f>F8*0.2*H8*0.9</f>
        <v>42.370282839600009</v>
      </c>
      <c r="M8" s="71"/>
      <c r="N8" s="2" t="s">
        <v>303</v>
      </c>
      <c r="O8" s="2" t="s">
        <v>423</v>
      </c>
      <c r="P8" s="32">
        <v>23.34</v>
      </c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 t="s">
        <v>325</v>
      </c>
      <c r="B9" s="32" t="s">
        <v>23</v>
      </c>
      <c r="C9" s="10">
        <v>9776371</v>
      </c>
      <c r="D9" s="32" t="s">
        <v>566</v>
      </c>
      <c r="E9" s="69">
        <v>5219.3500000000004</v>
      </c>
      <c r="F9" s="69">
        <v>323.14999999999998</v>
      </c>
      <c r="G9" s="69">
        <f t="shared" ref="G9:G10" si="4">F9*0.425</f>
        <v>137.33874999999998</v>
      </c>
      <c r="H9" s="70">
        <v>0.20449899999999999</v>
      </c>
      <c r="I9" s="69">
        <f t="shared" ref="I9:I17" si="5">(E9+G9)*H9</f>
        <v>1095.4374926862499</v>
      </c>
      <c r="J9" s="79" t="s">
        <v>468</v>
      </c>
      <c r="K9" s="61">
        <v>0</v>
      </c>
      <c r="L9" s="61">
        <f>F9*0.275*H9</f>
        <v>18.173059258750001</v>
      </c>
      <c r="M9" s="71"/>
      <c r="N9" s="2" t="s">
        <v>306</v>
      </c>
      <c r="O9" s="2" t="s">
        <v>425</v>
      </c>
      <c r="P9" s="32">
        <v>6.84</v>
      </c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325</v>
      </c>
      <c r="B10" s="2" t="s">
        <v>30</v>
      </c>
      <c r="C10" s="10">
        <v>9782743</v>
      </c>
      <c r="D10" s="32" t="s">
        <v>567</v>
      </c>
      <c r="E10" s="69">
        <v>15389.35</v>
      </c>
      <c r="F10" s="69">
        <v>1263.5</v>
      </c>
      <c r="G10" s="69">
        <f t="shared" si="4"/>
        <v>536.98749999999995</v>
      </c>
      <c r="H10" s="70">
        <v>0.20222200000000001</v>
      </c>
      <c r="I10" s="69">
        <f t="shared" si="5"/>
        <v>3220.6558219250001</v>
      </c>
      <c r="J10" s="79" t="s">
        <v>468</v>
      </c>
      <c r="K10" s="61">
        <v>0</v>
      </c>
      <c r="L10" s="61">
        <f>F10*0.305*H10</f>
        <v>77.929786585000002</v>
      </c>
      <c r="M10" s="58"/>
      <c r="N10" s="2" t="s">
        <v>367</v>
      </c>
      <c r="O10" s="2" t="s">
        <v>426</v>
      </c>
      <c r="P10" s="32">
        <v>-2.7</v>
      </c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332</v>
      </c>
      <c r="B11" s="10" t="s">
        <v>122</v>
      </c>
      <c r="C11" s="2" t="s">
        <v>571</v>
      </c>
      <c r="D11" s="32" t="s">
        <v>572</v>
      </c>
      <c r="E11" s="32">
        <v>-7089.88</v>
      </c>
      <c r="F11" s="32">
        <v>3516.31</v>
      </c>
      <c r="G11" s="32">
        <f>F11*0.65</f>
        <v>2285.6015000000002</v>
      </c>
      <c r="H11" s="75">
        <v>0.27323999999999998</v>
      </c>
      <c r="I11" s="69">
        <f t="shared" si="5"/>
        <v>-1312.72105734</v>
      </c>
      <c r="J11" s="78">
        <f>F11*0.05*H11</f>
        <v>48.039827219999999</v>
      </c>
      <c r="K11" s="61">
        <v>0</v>
      </c>
      <c r="L11" s="61">
        <f>F11*0.1*H11</f>
        <v>96.079654439999999</v>
      </c>
      <c r="M11" s="71"/>
      <c r="N11" s="2" t="s">
        <v>311</v>
      </c>
      <c r="O11" s="2" t="s">
        <v>573</v>
      </c>
      <c r="P11" s="32">
        <v>-188.82</v>
      </c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332</v>
      </c>
      <c r="B12" s="2" t="s">
        <v>30</v>
      </c>
      <c r="C12" s="10">
        <v>9782743</v>
      </c>
      <c r="D12" s="10" t="s">
        <v>567</v>
      </c>
      <c r="E12" s="32">
        <v>-3429.15</v>
      </c>
      <c r="F12" s="2">
        <v>1083.5</v>
      </c>
      <c r="G12" s="69">
        <f t="shared" ref="G12:G14" si="6">F12*0.425</f>
        <v>460.48750000000001</v>
      </c>
      <c r="H12" s="70">
        <v>0.203038</v>
      </c>
      <c r="I12" s="69">
        <f t="shared" si="5"/>
        <v>-602.75129667499994</v>
      </c>
      <c r="J12" s="79" t="s">
        <v>468</v>
      </c>
      <c r="K12" s="61">
        <v>0</v>
      </c>
      <c r="L12" s="61">
        <f t="shared" ref="L12:L13" si="7">F12*0.305*H12</f>
        <v>67.097460264999995</v>
      </c>
      <c r="M12" s="58"/>
      <c r="N12" s="2" t="s">
        <v>311</v>
      </c>
      <c r="O12" s="2" t="s">
        <v>428</v>
      </c>
      <c r="P12" s="32">
        <v>17.510000000000002</v>
      </c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332</v>
      </c>
      <c r="B13" s="2" t="s">
        <v>30</v>
      </c>
      <c r="C13" s="10">
        <v>9874434</v>
      </c>
      <c r="D13" s="2" t="s">
        <v>574</v>
      </c>
      <c r="E13" s="69">
        <v>-405.95000000000005</v>
      </c>
      <c r="F13" s="23">
        <v>113.5</v>
      </c>
      <c r="G13" s="69">
        <f t="shared" si="6"/>
        <v>48.237499999999997</v>
      </c>
      <c r="H13" s="70">
        <v>0.203038</v>
      </c>
      <c r="I13" s="69">
        <f t="shared" si="5"/>
        <v>-72.629230575000008</v>
      </c>
      <c r="J13" s="79" t="s">
        <v>468</v>
      </c>
      <c r="K13" s="61">
        <v>0</v>
      </c>
      <c r="L13" s="61">
        <f t="shared" si="7"/>
        <v>7.0286679649999995</v>
      </c>
      <c r="M13" s="58"/>
      <c r="N13" s="2" t="s">
        <v>314</v>
      </c>
      <c r="O13" s="2" t="s">
        <v>430</v>
      </c>
      <c r="P13" s="32">
        <v>-26.89</v>
      </c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 t="s">
        <v>332</v>
      </c>
      <c r="B14" s="32" t="s">
        <v>23</v>
      </c>
      <c r="C14" s="10">
        <v>9776371</v>
      </c>
      <c r="D14" s="32" t="s">
        <v>566</v>
      </c>
      <c r="E14" s="69">
        <v>8589.9</v>
      </c>
      <c r="F14" s="69">
        <v>1308.2</v>
      </c>
      <c r="G14" s="69">
        <f t="shared" si="6"/>
        <v>555.98500000000001</v>
      </c>
      <c r="H14" s="70">
        <v>0.201207</v>
      </c>
      <c r="I14" s="69">
        <f t="shared" si="5"/>
        <v>1840.216083195</v>
      </c>
      <c r="J14" s="79" t="s">
        <v>468</v>
      </c>
      <c r="K14" s="61">
        <v>0</v>
      </c>
      <c r="L14" s="61">
        <f>F14*0.275*H14</f>
        <v>72.385224285000007</v>
      </c>
      <c r="M14" s="71"/>
      <c r="N14" s="2" t="s">
        <v>316</v>
      </c>
      <c r="O14" s="2" t="s">
        <v>434</v>
      </c>
      <c r="P14" s="32">
        <v>51.73</v>
      </c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 t="s">
        <v>340</v>
      </c>
      <c r="B15" s="10" t="s">
        <v>122</v>
      </c>
      <c r="C15" s="2" t="s">
        <v>571</v>
      </c>
      <c r="D15" s="32" t="s">
        <v>572</v>
      </c>
      <c r="E15" s="32">
        <v>-1333.17</v>
      </c>
      <c r="F15" s="32">
        <v>422.51</v>
      </c>
      <c r="G15" s="32">
        <f>F15*0.65</f>
        <v>274.63150000000002</v>
      </c>
      <c r="H15" s="75">
        <v>0.27211000000000002</v>
      </c>
      <c r="I15" s="69">
        <f t="shared" si="5"/>
        <v>-288.03891123500006</v>
      </c>
      <c r="J15" s="78">
        <f>F15*0.05*H15</f>
        <v>5.7484598050000013</v>
      </c>
      <c r="K15" s="61">
        <v>0</v>
      </c>
      <c r="L15" s="61">
        <f>F15*0.1*H15</f>
        <v>11.496919610000003</v>
      </c>
      <c r="M15" s="71"/>
      <c r="N15" s="2" t="s">
        <v>389</v>
      </c>
      <c r="O15" s="2" t="s">
        <v>559</v>
      </c>
      <c r="P15" s="32">
        <v>-2.16</v>
      </c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 t="s">
        <v>340</v>
      </c>
      <c r="B16" s="2" t="s">
        <v>30</v>
      </c>
      <c r="C16" s="10">
        <v>9782743</v>
      </c>
      <c r="D16" s="32" t="s">
        <v>567</v>
      </c>
      <c r="E16" s="32">
        <v>16888.55</v>
      </c>
      <c r="F16" s="32">
        <v>1032.05</v>
      </c>
      <c r="G16" s="69">
        <f t="shared" ref="G16:G17" si="8">F16*0.425</f>
        <v>438.62124999999997</v>
      </c>
      <c r="H16" s="70">
        <v>0.19996900000000001</v>
      </c>
      <c r="I16" s="69">
        <f t="shared" si="5"/>
        <v>3464.8971076912499</v>
      </c>
      <c r="J16" s="79" t="s">
        <v>468</v>
      </c>
      <c r="K16" s="61">
        <v>0</v>
      </c>
      <c r="L16" s="61">
        <f>F16*0.305*H16</f>
        <v>62.94529196725</v>
      </c>
      <c r="M16" s="58"/>
      <c r="N16" s="2" t="s">
        <v>319</v>
      </c>
      <c r="O16" s="2" t="s">
        <v>440</v>
      </c>
      <c r="P16" s="32">
        <v>5.62</v>
      </c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2" t="s">
        <v>340</v>
      </c>
      <c r="B17" s="32" t="s">
        <v>23</v>
      </c>
      <c r="C17" s="10">
        <v>9776371</v>
      </c>
      <c r="D17" s="32" t="s">
        <v>566</v>
      </c>
      <c r="E17" s="32">
        <v>-12112</v>
      </c>
      <c r="F17" s="32">
        <v>818.35</v>
      </c>
      <c r="G17" s="69">
        <f t="shared" si="8"/>
        <v>347.79874999999998</v>
      </c>
      <c r="H17" s="70">
        <v>0.19841300000000001</v>
      </c>
      <c r="I17" s="69">
        <f t="shared" si="5"/>
        <v>-2334.17046261625</v>
      </c>
      <c r="J17" s="79" t="s">
        <v>468</v>
      </c>
      <c r="K17" s="61">
        <v>0</v>
      </c>
      <c r="L17" s="61">
        <f>F17*0.275*H17</f>
        <v>44.652101601250003</v>
      </c>
      <c r="M17" s="71"/>
      <c r="N17" s="2" t="s">
        <v>320</v>
      </c>
      <c r="O17" s="2" t="s">
        <v>573</v>
      </c>
      <c r="P17" s="32">
        <v>-186.24</v>
      </c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2" t="s">
        <v>340</v>
      </c>
      <c r="B18" s="10" t="s">
        <v>31</v>
      </c>
      <c r="C18" s="72" t="s">
        <v>569</v>
      </c>
      <c r="D18" s="72" t="s">
        <v>570</v>
      </c>
      <c r="E18" s="32">
        <v>11524.63</v>
      </c>
      <c r="F18" s="32">
        <v>1608.74</v>
      </c>
      <c r="G18" s="32">
        <f>F18*0.6</f>
        <v>965.24399999999991</v>
      </c>
      <c r="H18" s="73">
        <v>0.74266500000000002</v>
      </c>
      <c r="I18" s="69">
        <f>(E18+G18)*H18*0.8</f>
        <v>7420.6338193680003</v>
      </c>
      <c r="J18" s="79" t="s">
        <v>468</v>
      </c>
      <c r="K18" s="61">
        <f>E18*0.1*H18</f>
        <v>855.89393389500003</v>
      </c>
      <c r="L18" s="61">
        <f>(F18*0.1*0.9+G18*0.1)*H18</f>
        <v>179.21323381500002</v>
      </c>
      <c r="M18" s="58"/>
      <c r="N18" s="2" t="s">
        <v>320</v>
      </c>
      <c r="O18" s="2" t="s">
        <v>560</v>
      </c>
      <c r="P18" s="32">
        <v>-3.14</v>
      </c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 t="s">
        <v>359</v>
      </c>
      <c r="B19" s="2" t="s">
        <v>30</v>
      </c>
      <c r="C19" s="10">
        <v>9782743</v>
      </c>
      <c r="D19" s="32" t="s">
        <v>567</v>
      </c>
      <c r="E19" s="69">
        <v>-5232.3500000000004</v>
      </c>
      <c r="F19" s="69">
        <v>738.35</v>
      </c>
      <c r="G19" s="69">
        <f t="shared" ref="G19:G21" si="9">F19*0.425</f>
        <v>313.79874999999998</v>
      </c>
      <c r="H19" s="70">
        <v>0.20187357</v>
      </c>
      <c r="I19" s="69">
        <f t="shared" ref="I19:I21" si="10">(E19+G19)*H19</f>
        <v>-992.92550006546264</v>
      </c>
      <c r="J19" s="79" t="s">
        <v>468</v>
      </c>
      <c r="K19" s="61">
        <v>0</v>
      </c>
      <c r="L19" s="61">
        <f t="shared" ref="L19:L20" si="11">F19*0.305*H19</f>
        <v>45.461271874897506</v>
      </c>
      <c r="M19" s="58"/>
      <c r="N19" s="2" t="s">
        <v>322</v>
      </c>
      <c r="O19" s="2" t="s">
        <v>561</v>
      </c>
      <c r="P19" s="32">
        <v>-0.51</v>
      </c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32" t="s">
        <v>359</v>
      </c>
      <c r="B20" s="2" t="s">
        <v>30</v>
      </c>
      <c r="C20" s="10">
        <v>9874434</v>
      </c>
      <c r="D20" s="2" t="s">
        <v>574</v>
      </c>
      <c r="E20" s="69">
        <v>-292.95</v>
      </c>
      <c r="F20" s="69">
        <v>190.35</v>
      </c>
      <c r="G20" s="69">
        <f t="shared" si="9"/>
        <v>80.898749999999993</v>
      </c>
      <c r="H20" s="70">
        <v>0.20187357</v>
      </c>
      <c r="I20" s="69">
        <f t="shared" si="10"/>
        <v>-42.807542860462497</v>
      </c>
      <c r="J20" s="79" t="s">
        <v>468</v>
      </c>
      <c r="K20" s="61">
        <v>0</v>
      </c>
      <c r="L20" s="61">
        <f t="shared" si="11"/>
        <v>11.7201233850975</v>
      </c>
      <c r="M20" s="58"/>
      <c r="N20" s="2" t="s">
        <v>323</v>
      </c>
      <c r="O20" s="2" t="s">
        <v>562</v>
      </c>
      <c r="P20" s="32">
        <v>6.64</v>
      </c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32" t="s">
        <v>359</v>
      </c>
      <c r="B21" s="32" t="s">
        <v>23</v>
      </c>
      <c r="C21" s="10">
        <v>9776371</v>
      </c>
      <c r="D21" s="32" t="s">
        <v>566</v>
      </c>
      <c r="E21" s="32">
        <v>-3791.7</v>
      </c>
      <c r="F21" s="32">
        <v>1015.55</v>
      </c>
      <c r="G21" s="69">
        <f t="shared" si="9"/>
        <v>431.60874999999999</v>
      </c>
      <c r="H21" s="70">
        <v>0.20366600000000001</v>
      </c>
      <c r="I21" s="69">
        <f t="shared" si="10"/>
        <v>-684.33634452249999</v>
      </c>
      <c r="J21" s="79" t="s">
        <v>468</v>
      </c>
      <c r="K21" s="61">
        <v>0</v>
      </c>
      <c r="L21" s="61">
        <f>F21*0.275*H21</f>
        <v>56.879076732500003</v>
      </c>
      <c r="M21" s="71"/>
      <c r="N21" s="2"/>
      <c r="O21" s="2"/>
      <c r="P21" s="32"/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32" t="s">
        <v>359</v>
      </c>
      <c r="B22" s="10" t="s">
        <v>31</v>
      </c>
      <c r="C22" s="72" t="s">
        <v>569</v>
      </c>
      <c r="D22" s="72" t="s">
        <v>570</v>
      </c>
      <c r="E22" s="32">
        <v>6759.39</v>
      </c>
      <c r="F22" s="32">
        <v>2792.11</v>
      </c>
      <c r="G22" s="32">
        <f>F22*0.6</f>
        <v>1675.2660000000001</v>
      </c>
      <c r="H22" s="70">
        <v>0.74240899999999999</v>
      </c>
      <c r="I22" s="69">
        <f>(E22+G22)*H22*0.8</f>
        <v>5009.5716210432001</v>
      </c>
      <c r="J22" s="79" t="s">
        <v>468</v>
      </c>
      <c r="K22" s="61">
        <f>E22*0.1*H22</f>
        <v>501.82319705100002</v>
      </c>
      <c r="L22" s="61">
        <f>(F22*0.1*0.9+G22*0.1)*H22</f>
        <v>310.93313894850002</v>
      </c>
      <c r="M22" s="58"/>
      <c r="N22" s="2"/>
      <c r="O22" s="2"/>
      <c r="P22" s="32"/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 t="s">
        <v>366</v>
      </c>
      <c r="B23" s="32" t="s">
        <v>23</v>
      </c>
      <c r="C23" s="10">
        <v>9776371</v>
      </c>
      <c r="D23" s="32" t="s">
        <v>566</v>
      </c>
      <c r="E23" s="69">
        <v>1254.5999999999999</v>
      </c>
      <c r="F23" s="69">
        <v>172</v>
      </c>
      <c r="G23" s="69">
        <f t="shared" ref="G23:G24" si="12">F23*0.55</f>
        <v>94.600000000000009</v>
      </c>
      <c r="H23" s="70">
        <v>0.2</v>
      </c>
      <c r="I23" s="69">
        <f t="shared" ref="I23:I24" si="13">(E23+G23)*H23</f>
        <v>269.83999999999997</v>
      </c>
      <c r="J23" s="19" t="s">
        <v>468</v>
      </c>
      <c r="K23" s="61">
        <v>0</v>
      </c>
      <c r="L23" s="61">
        <f>F23*0.15*H23</f>
        <v>5.16</v>
      </c>
      <c r="M23" s="71"/>
      <c r="N23" s="2"/>
      <c r="O23" s="2"/>
      <c r="P23" s="32"/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 t="s">
        <v>366</v>
      </c>
      <c r="B24" s="2" t="s">
        <v>30</v>
      </c>
      <c r="C24" s="10">
        <v>9782743</v>
      </c>
      <c r="D24" s="32" t="s">
        <v>567</v>
      </c>
      <c r="E24" s="69">
        <v>2259.75</v>
      </c>
      <c r="F24" s="69">
        <v>373.2</v>
      </c>
      <c r="G24" s="69">
        <f t="shared" si="12"/>
        <v>205.26000000000002</v>
      </c>
      <c r="H24" s="70">
        <v>0.20166645999999999</v>
      </c>
      <c r="I24" s="69">
        <f t="shared" si="13"/>
        <v>497.10984056460001</v>
      </c>
      <c r="J24" s="79" t="s">
        <v>468</v>
      </c>
      <c r="K24" s="61">
        <v>0</v>
      </c>
      <c r="L24" s="61">
        <f>F24*0.18*H24</f>
        <v>13.54714611696</v>
      </c>
      <c r="M24" s="58"/>
      <c r="N24" s="2"/>
      <c r="O24" s="2"/>
      <c r="P24" s="32"/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 t="s">
        <v>366</v>
      </c>
      <c r="B25" s="10" t="s">
        <v>31</v>
      </c>
      <c r="C25" s="72" t="s">
        <v>569</v>
      </c>
      <c r="D25" s="72" t="s">
        <v>570</v>
      </c>
      <c r="E25" s="32">
        <v>-5543.64</v>
      </c>
      <c r="F25" s="32">
        <v>616.73</v>
      </c>
      <c r="G25" s="32">
        <f>F25*0.6</f>
        <v>370.03800000000001</v>
      </c>
      <c r="H25" s="70">
        <v>0.74417500000000003</v>
      </c>
      <c r="I25" s="69">
        <f>(E25+G25)*H25*0.8</f>
        <v>-3080.0522146800008</v>
      </c>
      <c r="J25" s="79" t="s">
        <v>468</v>
      </c>
      <c r="K25" s="61">
        <f>E25*0.1*H25</f>
        <v>-412.54382970000006</v>
      </c>
      <c r="L25" s="61">
        <f>(F25*0.1*0.9+G25*0.1)*H25</f>
        <v>68.843257162500009</v>
      </c>
      <c r="M25" s="58"/>
      <c r="N25" s="2"/>
      <c r="O25" s="2"/>
      <c r="P25" s="32"/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 t="s">
        <v>370</v>
      </c>
      <c r="B26" s="32" t="s">
        <v>23</v>
      </c>
      <c r="C26" s="10">
        <v>9874434</v>
      </c>
      <c r="D26" s="2" t="s">
        <v>574</v>
      </c>
      <c r="E26" s="32">
        <v>741.35</v>
      </c>
      <c r="F26" s="32">
        <v>704.9</v>
      </c>
      <c r="G26" s="69">
        <f t="shared" ref="G26:G28" si="14">F26*0.55</f>
        <v>387.69499999999999</v>
      </c>
      <c r="H26" s="70">
        <v>0.199203187</v>
      </c>
      <c r="I26" s="69">
        <f t="shared" ref="I26:I28" si="15">(E26+G26)*H26</f>
        <v>224.90936226641503</v>
      </c>
      <c r="J26" s="19" t="s">
        <v>468</v>
      </c>
      <c r="K26" s="61">
        <v>0</v>
      </c>
      <c r="L26" s="61">
        <f t="shared" ref="L26:L27" si="16">F26*0.15*H26</f>
        <v>21.062748977445001</v>
      </c>
      <c r="M26" s="71"/>
      <c r="N26" s="2"/>
      <c r="O26" s="2"/>
      <c r="P26" s="32"/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 t="s">
        <v>370</v>
      </c>
      <c r="B27" s="32" t="s">
        <v>23</v>
      </c>
      <c r="C27" s="10">
        <v>9776371</v>
      </c>
      <c r="D27" s="32" t="s">
        <v>566</v>
      </c>
      <c r="E27" s="32">
        <v>-9135.9500000000007</v>
      </c>
      <c r="F27" s="32">
        <v>301.60000000000002</v>
      </c>
      <c r="G27" s="69">
        <f t="shared" si="14"/>
        <v>165.88000000000002</v>
      </c>
      <c r="H27" s="70">
        <v>0.199203187</v>
      </c>
      <c r="I27" s="69">
        <f t="shared" si="15"/>
        <v>-1786.8665316130903</v>
      </c>
      <c r="J27" s="19" t="s">
        <v>468</v>
      </c>
      <c r="K27" s="61">
        <v>0</v>
      </c>
      <c r="L27" s="61">
        <f t="shared" si="16"/>
        <v>9.0119521798799997</v>
      </c>
      <c r="M27" s="71"/>
      <c r="N27" s="2"/>
      <c r="O27" s="2"/>
      <c r="P27" s="32"/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 t="s">
        <v>370</v>
      </c>
      <c r="B28" s="2" t="s">
        <v>30</v>
      </c>
      <c r="C28" s="10">
        <v>9782743</v>
      </c>
      <c r="D28" s="32" t="s">
        <v>567</v>
      </c>
      <c r="E28" s="32">
        <v>13440.7</v>
      </c>
      <c r="F28" s="32">
        <v>2307.35</v>
      </c>
      <c r="G28" s="69">
        <f t="shared" si="14"/>
        <v>1269.0425</v>
      </c>
      <c r="H28" s="70">
        <v>0.20039899999999999</v>
      </c>
      <c r="I28" s="69">
        <f t="shared" si="15"/>
        <v>2947.8176872575</v>
      </c>
      <c r="J28" s="79" t="s">
        <v>468</v>
      </c>
      <c r="K28" s="61">
        <v>0</v>
      </c>
      <c r="L28" s="61">
        <f>F28*0.18*H28</f>
        <v>83.230313876999986</v>
      </c>
      <c r="M28" s="58"/>
      <c r="N28" s="2"/>
      <c r="O28" s="2"/>
      <c r="P28" s="32"/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 t="s">
        <v>370</v>
      </c>
      <c r="B29" s="32" t="s">
        <v>31</v>
      </c>
      <c r="C29" s="72" t="s">
        <v>569</v>
      </c>
      <c r="D29" s="72" t="s">
        <v>570</v>
      </c>
      <c r="E29" s="32">
        <v>-5388.6</v>
      </c>
      <c r="F29" s="32">
        <v>495.08</v>
      </c>
      <c r="G29" s="32">
        <f>F29*0.6</f>
        <v>297.048</v>
      </c>
      <c r="H29" s="70">
        <v>0.74369300000000005</v>
      </c>
      <c r="I29" s="69">
        <f>(E29+G29)*H29*0.8</f>
        <v>-3029.2412652288008</v>
      </c>
      <c r="J29" s="79" t="s">
        <v>468</v>
      </c>
      <c r="K29" s="61">
        <f>E29*0.1*H29</f>
        <v>-400.74640998000001</v>
      </c>
      <c r="L29" s="61">
        <f>(F29*0.1*0.9+G29*0.1)*H29</f>
        <v>55.228129566000007</v>
      </c>
      <c r="M29" s="58"/>
      <c r="N29" s="2"/>
      <c r="O29" s="2"/>
      <c r="P29" s="32"/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2" t="s">
        <v>372</v>
      </c>
      <c r="B30" s="32" t="s">
        <v>23</v>
      </c>
      <c r="C30" s="10">
        <v>9874434</v>
      </c>
      <c r="D30" s="2" t="s">
        <v>574</v>
      </c>
      <c r="E30" s="69">
        <v>17513.3</v>
      </c>
      <c r="F30" s="69">
        <v>703.9</v>
      </c>
      <c r="G30" s="69">
        <f t="shared" ref="G30:G33" si="17">F30*0.55</f>
        <v>387.14500000000004</v>
      </c>
      <c r="H30" s="70">
        <v>0.20366598799999999</v>
      </c>
      <c r="I30" s="69">
        <f t="shared" ref="I30:I33" si="18">(E30+G30)*H30</f>
        <v>3645.7118165646598</v>
      </c>
      <c r="J30" s="19" t="s">
        <v>468</v>
      </c>
      <c r="K30" s="61">
        <v>0</v>
      </c>
      <c r="L30" s="61">
        <f t="shared" ref="L30:L31" si="19">F30*0.15*H30</f>
        <v>21.504073342979996</v>
      </c>
      <c r="M30" s="71"/>
      <c r="N30" s="2"/>
      <c r="O30" s="2"/>
      <c r="P30" s="32"/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2" t="s">
        <v>372</v>
      </c>
      <c r="B31" s="32" t="s">
        <v>23</v>
      </c>
      <c r="C31" s="10">
        <v>9776371</v>
      </c>
      <c r="D31" s="32" t="s">
        <v>566</v>
      </c>
      <c r="E31" s="32">
        <v>-5005</v>
      </c>
      <c r="F31" s="32">
        <v>555.4</v>
      </c>
      <c r="G31" s="69">
        <f t="shared" si="17"/>
        <v>305.47000000000003</v>
      </c>
      <c r="H31" s="70">
        <v>0.20366598799999999</v>
      </c>
      <c r="I31" s="69">
        <f t="shared" si="18"/>
        <v>-957.13442058563987</v>
      </c>
      <c r="J31" s="19" t="s">
        <v>468</v>
      </c>
      <c r="K31" s="61">
        <v>0</v>
      </c>
      <c r="L31" s="61">
        <f t="shared" si="19"/>
        <v>16.967413460279996</v>
      </c>
      <c r="M31" s="71"/>
      <c r="N31" s="2"/>
      <c r="O31" s="2"/>
      <c r="P31" s="32"/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2" t="s">
        <v>372</v>
      </c>
      <c r="B32" s="2" t="s">
        <v>30</v>
      </c>
      <c r="C32" s="10">
        <v>9782743</v>
      </c>
      <c r="D32" s="32" t="s">
        <v>567</v>
      </c>
      <c r="E32" s="32">
        <v>5316.6</v>
      </c>
      <c r="F32" s="32">
        <v>1375.75</v>
      </c>
      <c r="G32" s="69">
        <f t="shared" si="17"/>
        <v>756.66250000000002</v>
      </c>
      <c r="H32" s="70">
        <v>0.20230899999999999</v>
      </c>
      <c r="I32" s="69">
        <f t="shared" si="18"/>
        <v>1228.6756631125002</v>
      </c>
      <c r="J32" s="79" t="s">
        <v>468</v>
      </c>
      <c r="K32" s="61">
        <v>0</v>
      </c>
      <c r="L32" s="61">
        <f t="shared" ref="L32:L33" si="20">F32*0.18*H32</f>
        <v>50.098789214999996</v>
      </c>
      <c r="M32" s="58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2" t="s">
        <v>372</v>
      </c>
      <c r="B33" s="2" t="s">
        <v>30</v>
      </c>
      <c r="C33" s="10">
        <v>9874434</v>
      </c>
      <c r="D33" s="2" t="s">
        <v>574</v>
      </c>
      <c r="E33" s="32">
        <v>80.5</v>
      </c>
      <c r="F33" s="32">
        <v>5.0999999999999996</v>
      </c>
      <c r="G33" s="69">
        <f t="shared" si="17"/>
        <v>2.8050000000000002</v>
      </c>
      <c r="H33" s="70">
        <v>0.20230899999999999</v>
      </c>
      <c r="I33" s="69">
        <f t="shared" si="18"/>
        <v>16.853351244999999</v>
      </c>
      <c r="J33" s="79" t="s">
        <v>468</v>
      </c>
      <c r="K33" s="61">
        <v>0</v>
      </c>
      <c r="L33" s="61">
        <f t="shared" si="20"/>
        <v>0.18571966199999998</v>
      </c>
      <c r="M33" s="58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2" t="s">
        <v>372</v>
      </c>
      <c r="B34" s="32" t="s">
        <v>31</v>
      </c>
      <c r="C34" s="72" t="s">
        <v>569</v>
      </c>
      <c r="D34" s="72" t="s">
        <v>570</v>
      </c>
      <c r="E34" s="32">
        <v>-1188.32</v>
      </c>
      <c r="F34" s="32">
        <v>193.98</v>
      </c>
      <c r="G34" s="32">
        <f>F34*0.6</f>
        <v>116.38799999999999</v>
      </c>
      <c r="H34" s="70">
        <v>0.74973699999999999</v>
      </c>
      <c r="I34" s="69">
        <f>(E34+G34)*H34*0.8</f>
        <v>-642.93366550720009</v>
      </c>
      <c r="J34" s="79" t="s">
        <v>468</v>
      </c>
      <c r="K34" s="61">
        <f>E34*0.1*H34</f>
        <v>-89.09274718399999</v>
      </c>
      <c r="L34" s="61">
        <f>(F34*0.1*0.9+G34*0.1)*H34</f>
        <v>21.815097488999999</v>
      </c>
      <c r="M34" s="58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2" t="s">
        <v>377</v>
      </c>
      <c r="B35" s="32" t="s">
        <v>23</v>
      </c>
      <c r="C35" s="10">
        <v>9874434</v>
      </c>
      <c r="D35" s="32" t="s">
        <v>574</v>
      </c>
      <c r="E35" s="32">
        <v>-15855</v>
      </c>
      <c r="F35" s="32">
        <v>497.7</v>
      </c>
      <c r="G35" s="69">
        <f t="shared" ref="G35:G41" si="21">F35*0.55</f>
        <v>273.73500000000001</v>
      </c>
      <c r="H35" s="70">
        <v>0.20283999999999999</v>
      </c>
      <c r="I35" s="69">
        <f t="shared" ref="I35:I41" si="22">(E35+G35)*H35</f>
        <v>-3160.5037925999995</v>
      </c>
      <c r="J35" s="19" t="s">
        <v>468</v>
      </c>
      <c r="K35" s="61">
        <v>0</v>
      </c>
      <c r="L35" s="61">
        <f t="shared" ref="L35:L36" si="23">F35*0.15*H35</f>
        <v>15.1430202</v>
      </c>
      <c r="M35" s="71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2" t="s">
        <v>377</v>
      </c>
      <c r="B36" s="32" t="s">
        <v>23</v>
      </c>
      <c r="C36" s="10">
        <v>9776371</v>
      </c>
      <c r="D36" s="32" t="s">
        <v>566</v>
      </c>
      <c r="E36" s="32">
        <v>-10136.9</v>
      </c>
      <c r="F36" s="32">
        <v>394.3</v>
      </c>
      <c r="G36" s="69">
        <f t="shared" si="21"/>
        <v>216.86500000000004</v>
      </c>
      <c r="H36" s="70">
        <v>0.20283999999999999</v>
      </c>
      <c r="I36" s="69">
        <f t="shared" si="22"/>
        <v>-2012.1798993999998</v>
      </c>
      <c r="J36" s="19" t="s">
        <v>468</v>
      </c>
      <c r="K36" s="61">
        <v>0</v>
      </c>
      <c r="L36" s="61">
        <f t="shared" si="23"/>
        <v>11.996971799999999</v>
      </c>
      <c r="M36" s="71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2" t="s">
        <v>377</v>
      </c>
      <c r="B37" s="2" t="s">
        <v>30</v>
      </c>
      <c r="C37" s="10">
        <v>9782743</v>
      </c>
      <c r="D37" s="32" t="s">
        <v>567</v>
      </c>
      <c r="E37" s="32">
        <v>-8379.7999999999993</v>
      </c>
      <c r="F37" s="32">
        <v>393.05</v>
      </c>
      <c r="G37" s="69">
        <f t="shared" si="21"/>
        <v>216.17750000000004</v>
      </c>
      <c r="H37" s="70">
        <v>0.20088900000000001</v>
      </c>
      <c r="I37" s="69">
        <f t="shared" si="22"/>
        <v>-1639.9819604024999</v>
      </c>
      <c r="J37" s="79" t="s">
        <v>468</v>
      </c>
      <c r="K37" s="61">
        <v>0</v>
      </c>
      <c r="L37" s="61">
        <f>F37*0.18*H37</f>
        <v>14.212695861</v>
      </c>
      <c r="M37" s="58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2" t="s">
        <v>379</v>
      </c>
      <c r="B38" s="32" t="s">
        <v>23</v>
      </c>
      <c r="C38" s="10">
        <v>9874434</v>
      </c>
      <c r="D38" s="32" t="s">
        <v>574</v>
      </c>
      <c r="E38" s="32">
        <v>1145.0999999999999</v>
      </c>
      <c r="F38" s="32">
        <v>26.35</v>
      </c>
      <c r="G38" s="69">
        <f t="shared" si="21"/>
        <v>14.492500000000001</v>
      </c>
      <c r="H38" s="70">
        <v>0.19763</v>
      </c>
      <c r="I38" s="69">
        <f t="shared" si="22"/>
        <v>229.17026577499999</v>
      </c>
      <c r="J38" s="19" t="s">
        <v>468</v>
      </c>
      <c r="K38" s="61">
        <v>0</v>
      </c>
      <c r="L38" s="61">
        <f t="shared" ref="L38:L39" si="24">F38*0.15*H38</f>
        <v>0.781132575</v>
      </c>
      <c r="M38" s="71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2" t="s">
        <v>379</v>
      </c>
      <c r="B39" s="32" t="s">
        <v>23</v>
      </c>
      <c r="C39" s="10">
        <v>9776371</v>
      </c>
      <c r="D39" s="32" t="s">
        <v>566</v>
      </c>
      <c r="E39" s="32">
        <v>-69.5</v>
      </c>
      <c r="F39" s="32">
        <v>4.5</v>
      </c>
      <c r="G39" s="69">
        <f t="shared" si="21"/>
        <v>2.4750000000000001</v>
      </c>
      <c r="H39" s="70">
        <v>0.19763</v>
      </c>
      <c r="I39" s="69">
        <f t="shared" si="22"/>
        <v>-13.246150750000002</v>
      </c>
      <c r="J39" s="19" t="s">
        <v>468</v>
      </c>
      <c r="K39" s="61">
        <v>0</v>
      </c>
      <c r="L39" s="61">
        <f t="shared" si="24"/>
        <v>0.13340025</v>
      </c>
      <c r="M39" s="71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2" t="s">
        <v>379</v>
      </c>
      <c r="B40" s="2" t="s">
        <v>30</v>
      </c>
      <c r="C40" s="10">
        <v>9874434</v>
      </c>
      <c r="D40" s="2" t="s">
        <v>574</v>
      </c>
      <c r="E40" s="32">
        <v>-18339.599999999999</v>
      </c>
      <c r="F40" s="32">
        <v>2223.65</v>
      </c>
      <c r="G40" s="69">
        <f t="shared" si="21"/>
        <v>1223.0075000000002</v>
      </c>
      <c r="H40" s="70">
        <v>0.19900100000000001</v>
      </c>
      <c r="I40" s="69">
        <f t="shared" si="22"/>
        <v>-3406.2190240925001</v>
      </c>
      <c r="J40" s="79" t="s">
        <v>468</v>
      </c>
      <c r="K40" s="61">
        <v>0</v>
      </c>
      <c r="L40" s="61">
        <f t="shared" ref="L40:L41" si="25">F40*0.18*H40</f>
        <v>79.651543257</v>
      </c>
      <c r="M40" s="58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2" t="s">
        <v>379</v>
      </c>
      <c r="B41" s="2" t="s">
        <v>30</v>
      </c>
      <c r="C41" s="10">
        <v>9782743</v>
      </c>
      <c r="D41" s="32" t="s">
        <v>567</v>
      </c>
      <c r="E41" s="32">
        <v>-17572.5</v>
      </c>
      <c r="F41" s="32">
        <v>766.1</v>
      </c>
      <c r="G41" s="69">
        <f t="shared" si="21"/>
        <v>421.35500000000002</v>
      </c>
      <c r="H41" s="70">
        <v>0.19900100000000001</v>
      </c>
      <c r="I41" s="69">
        <f t="shared" si="22"/>
        <v>-3413.0950061450003</v>
      </c>
      <c r="J41" s="79" t="s">
        <v>468</v>
      </c>
      <c r="K41" s="61">
        <v>0</v>
      </c>
      <c r="L41" s="61">
        <f t="shared" si="25"/>
        <v>27.441839898000001</v>
      </c>
      <c r="M41" s="58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32" t="s">
        <v>380</v>
      </c>
      <c r="B42" s="10" t="s">
        <v>152</v>
      </c>
      <c r="C42" s="10">
        <v>2705329</v>
      </c>
      <c r="D42" s="10" t="s">
        <v>575</v>
      </c>
      <c r="E42" s="32">
        <v>-3259.57</v>
      </c>
      <c r="F42" s="32">
        <v>290.94</v>
      </c>
      <c r="G42" s="32">
        <f>F42*0.6</f>
        <v>174.56399999999999</v>
      </c>
      <c r="H42" s="73">
        <v>0.74386799999999997</v>
      </c>
      <c r="I42" s="69">
        <f>(E42+G42)*H42*0.9</f>
        <v>-2065.3535188872002</v>
      </c>
      <c r="J42" s="79" t="s">
        <v>468</v>
      </c>
      <c r="K42" s="61">
        <f>E42*0.05*H42</f>
        <v>-121.23449083800001</v>
      </c>
      <c r="L42" s="61">
        <f>(F42*0.1*0.95+G42*0.05)*H42</f>
        <v>27.052619489999998</v>
      </c>
      <c r="M42" s="58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32" t="s">
        <v>380</v>
      </c>
      <c r="B43" s="32" t="s">
        <v>23</v>
      </c>
      <c r="C43" s="10">
        <v>9874434</v>
      </c>
      <c r="D43" s="32" t="s">
        <v>574</v>
      </c>
      <c r="E43" s="32">
        <v>2763.5</v>
      </c>
      <c r="F43" s="32">
        <v>734.35</v>
      </c>
      <c r="G43" s="69">
        <f t="shared" ref="G43:G50" si="26">F43*0.55</f>
        <v>403.89250000000004</v>
      </c>
      <c r="H43" s="70">
        <v>0.202429</v>
      </c>
      <c r="I43" s="69">
        <f t="shared" ref="I43:I50" si="27">(E43+G43)*H43</f>
        <v>641.17209638249994</v>
      </c>
      <c r="J43" s="19" t="s">
        <v>468</v>
      </c>
      <c r="K43" s="61">
        <v>0</v>
      </c>
      <c r="L43" s="61">
        <f t="shared" ref="L43:L44" si="28">F43*0.15*H43</f>
        <v>22.298060422500001</v>
      </c>
      <c r="M43" s="71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32" t="s">
        <v>380</v>
      </c>
      <c r="B44" s="32" t="s">
        <v>23</v>
      </c>
      <c r="C44" s="10">
        <v>9776371</v>
      </c>
      <c r="D44" s="32" t="s">
        <v>566</v>
      </c>
      <c r="E44" s="32">
        <v>-6106.15</v>
      </c>
      <c r="F44" s="32">
        <v>293.25</v>
      </c>
      <c r="G44" s="69">
        <f t="shared" si="26"/>
        <v>161.28750000000002</v>
      </c>
      <c r="H44" s="70">
        <v>0.202429</v>
      </c>
      <c r="I44" s="69">
        <f t="shared" si="27"/>
        <v>-1203.4125710124999</v>
      </c>
      <c r="J44" s="19" t="s">
        <v>468</v>
      </c>
      <c r="K44" s="61">
        <v>0</v>
      </c>
      <c r="L44" s="61">
        <f t="shared" si="28"/>
        <v>8.9043456374999987</v>
      </c>
      <c r="M44" s="71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32" t="s">
        <v>380</v>
      </c>
      <c r="B45" s="2" t="s">
        <v>30</v>
      </c>
      <c r="C45" s="10">
        <v>9782743</v>
      </c>
      <c r="D45" s="32" t="s">
        <v>567</v>
      </c>
      <c r="E45" s="69">
        <v>-8948.0499999999993</v>
      </c>
      <c r="F45" s="69">
        <v>557.85</v>
      </c>
      <c r="G45" s="69">
        <f t="shared" si="26"/>
        <v>306.81750000000005</v>
      </c>
      <c r="H45" s="70">
        <v>0.200848</v>
      </c>
      <c r="I45" s="69">
        <f t="shared" si="27"/>
        <v>-1735.5742651600001</v>
      </c>
      <c r="J45" s="79" t="s">
        <v>468</v>
      </c>
      <c r="K45" s="61">
        <v>0</v>
      </c>
      <c r="L45" s="61">
        <f t="shared" ref="L45:L46" si="29">F45*0.18*H45</f>
        <v>20.167750223999999</v>
      </c>
      <c r="M45" s="58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32" t="s">
        <v>380</v>
      </c>
      <c r="B46" s="2" t="s">
        <v>30</v>
      </c>
      <c r="C46" s="10">
        <v>9874434</v>
      </c>
      <c r="D46" s="2" t="s">
        <v>574</v>
      </c>
      <c r="E46" s="69">
        <v>-6122.6</v>
      </c>
      <c r="F46" s="69">
        <v>244.7</v>
      </c>
      <c r="G46" s="69">
        <f t="shared" si="26"/>
        <v>134.58500000000001</v>
      </c>
      <c r="H46" s="70">
        <v>0.200848</v>
      </c>
      <c r="I46" s="69">
        <f t="shared" si="27"/>
        <v>-1202.6808367200001</v>
      </c>
      <c r="J46" s="79" t="s">
        <v>468</v>
      </c>
      <c r="K46" s="61">
        <v>0</v>
      </c>
      <c r="L46" s="61">
        <f t="shared" si="29"/>
        <v>8.8465510080000005</v>
      </c>
      <c r="M46" s="58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32" t="s">
        <v>381</v>
      </c>
      <c r="B47" s="32" t="s">
        <v>23</v>
      </c>
      <c r="C47" s="10">
        <v>9776371</v>
      </c>
      <c r="D47" s="32" t="s">
        <v>566</v>
      </c>
      <c r="E47" s="32">
        <v>2386.6</v>
      </c>
      <c r="F47" s="32">
        <v>287.10000000000002</v>
      </c>
      <c r="G47" s="69">
        <f t="shared" si="26"/>
        <v>157.90500000000003</v>
      </c>
      <c r="H47" s="70">
        <v>0.196464</v>
      </c>
      <c r="I47" s="69">
        <f t="shared" si="27"/>
        <v>499.90363032000005</v>
      </c>
      <c r="J47" s="19" t="s">
        <v>468</v>
      </c>
      <c r="K47" s="61">
        <v>0</v>
      </c>
      <c r="L47" s="61">
        <f>F47*0.15*H47</f>
        <v>8.4607221600000013</v>
      </c>
      <c r="M47" s="71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32" t="s">
        <v>381</v>
      </c>
      <c r="B48" s="2" t="s">
        <v>30</v>
      </c>
      <c r="C48" s="10">
        <v>9874434</v>
      </c>
      <c r="D48" s="2" t="s">
        <v>574</v>
      </c>
      <c r="E48" s="69">
        <v>-2415.25</v>
      </c>
      <c r="F48" s="69">
        <v>1169.8</v>
      </c>
      <c r="G48" s="69">
        <f t="shared" si="26"/>
        <v>643.39</v>
      </c>
      <c r="H48" s="70">
        <v>0.19758700000000001</v>
      </c>
      <c r="I48" s="69">
        <f t="shared" si="27"/>
        <v>-350.09650182000007</v>
      </c>
      <c r="J48" s="79" t="s">
        <v>468</v>
      </c>
      <c r="K48" s="61">
        <v>0</v>
      </c>
      <c r="L48" s="61">
        <f t="shared" ref="L48:L49" si="30">F48*0.18*H48</f>
        <v>41.604709067999998</v>
      </c>
      <c r="M48" s="58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32" t="s">
        <v>381</v>
      </c>
      <c r="B49" s="2" t="s">
        <v>30</v>
      </c>
      <c r="C49" s="10">
        <v>9782743</v>
      </c>
      <c r="D49" s="2" t="s">
        <v>567</v>
      </c>
      <c r="E49" s="69">
        <v>341.65</v>
      </c>
      <c r="F49" s="69">
        <v>208.9</v>
      </c>
      <c r="G49" s="69">
        <f t="shared" si="26"/>
        <v>114.89500000000001</v>
      </c>
      <c r="H49" s="70">
        <v>0.19758700000000001</v>
      </c>
      <c r="I49" s="69">
        <f t="shared" si="27"/>
        <v>90.207356914999991</v>
      </c>
      <c r="J49" s="79" t="s">
        <v>468</v>
      </c>
      <c r="K49" s="61">
        <v>0</v>
      </c>
      <c r="L49" s="61">
        <f t="shared" si="30"/>
        <v>7.429666374</v>
      </c>
      <c r="M49" s="58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91" t="s">
        <v>382</v>
      </c>
      <c r="B50" s="32" t="s">
        <v>23</v>
      </c>
      <c r="C50" s="10">
        <v>9776371</v>
      </c>
      <c r="D50" s="32" t="s">
        <v>566</v>
      </c>
      <c r="E50" s="32">
        <v>-11.1</v>
      </c>
      <c r="F50" s="32">
        <v>489.5</v>
      </c>
      <c r="G50" s="69">
        <f t="shared" si="26"/>
        <v>269.22500000000002</v>
      </c>
      <c r="H50" s="70">
        <v>0.19685</v>
      </c>
      <c r="I50" s="69">
        <f t="shared" si="27"/>
        <v>50.81190625</v>
      </c>
      <c r="J50" s="19" t="s">
        <v>468</v>
      </c>
      <c r="K50" s="61">
        <v>0</v>
      </c>
      <c r="L50" s="61">
        <f>F50*0.15*H50</f>
        <v>14.45371125</v>
      </c>
      <c r="M50" s="71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91" t="s">
        <v>382</v>
      </c>
      <c r="B51" s="10" t="s">
        <v>152</v>
      </c>
      <c r="C51" s="10">
        <v>2720161</v>
      </c>
      <c r="D51" s="10" t="s">
        <v>576</v>
      </c>
      <c r="E51" s="32">
        <v>-3216.36</v>
      </c>
      <c r="F51" s="32">
        <v>952.01</v>
      </c>
      <c r="G51" s="32">
        <f>F51*0.6</f>
        <v>571.20600000000002</v>
      </c>
      <c r="H51" s="73">
        <v>0.74226599999999998</v>
      </c>
      <c r="I51" s="69">
        <f>(E51+G51)*H51*0.9</f>
        <v>-1767.0670910676001</v>
      </c>
      <c r="J51" s="79" t="s">
        <v>468</v>
      </c>
      <c r="K51" s="61">
        <f>E51*0.05*H51</f>
        <v>-119.369733588</v>
      </c>
      <c r="L51" s="61">
        <f>(F51*0.1*0.95+G51*0.05)*H51</f>
        <v>88.330581832500002</v>
      </c>
      <c r="M51" s="58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91" t="s">
        <v>382</v>
      </c>
      <c r="B52" s="2" t="s">
        <v>30</v>
      </c>
      <c r="C52" s="10">
        <v>9782743</v>
      </c>
      <c r="D52" s="2" t="s">
        <v>567</v>
      </c>
      <c r="E52" s="69">
        <v>1111.5999999999999</v>
      </c>
      <c r="F52" s="69">
        <v>1864.05</v>
      </c>
      <c r="G52" s="69">
        <f t="shared" ref="G52:G55" si="31">F52*0.55</f>
        <v>1025.2275</v>
      </c>
      <c r="H52" s="70">
        <v>0.198658</v>
      </c>
      <c r="I52" s="69">
        <f t="shared" ref="I52:I55" si="32">(E52+G52)*H52</f>
        <v>424.49787749499995</v>
      </c>
      <c r="J52" s="79" t="s">
        <v>468</v>
      </c>
      <c r="K52" s="61">
        <v>0</v>
      </c>
      <c r="L52" s="61">
        <f t="shared" ref="L52:L53" si="33">F52*0.18*H52</f>
        <v>66.655520081999995</v>
      </c>
      <c r="M52" s="58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91" t="s">
        <v>382</v>
      </c>
      <c r="B53" s="2" t="s">
        <v>30</v>
      </c>
      <c r="C53" s="10">
        <v>9874434</v>
      </c>
      <c r="D53" s="2" t="s">
        <v>574</v>
      </c>
      <c r="E53" s="69">
        <v>-4214</v>
      </c>
      <c r="F53" s="69">
        <v>706.8</v>
      </c>
      <c r="G53" s="69">
        <f t="shared" si="31"/>
        <v>388.74</v>
      </c>
      <c r="H53" s="70">
        <v>0.198658</v>
      </c>
      <c r="I53" s="69">
        <f t="shared" si="32"/>
        <v>-759.91850108000006</v>
      </c>
      <c r="J53" s="79" t="s">
        <v>468</v>
      </c>
      <c r="K53" s="61">
        <v>0</v>
      </c>
      <c r="L53" s="61">
        <f t="shared" si="33"/>
        <v>25.274065391999997</v>
      </c>
      <c r="M53" s="58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2" t="s">
        <v>383</v>
      </c>
      <c r="B54" s="32" t="s">
        <v>23</v>
      </c>
      <c r="C54" s="10">
        <v>9776371</v>
      </c>
      <c r="D54" s="32" t="s">
        <v>566</v>
      </c>
      <c r="E54" s="32">
        <v>-3645</v>
      </c>
      <c r="F54" s="32">
        <v>407.2</v>
      </c>
      <c r="G54" s="69">
        <f t="shared" si="31"/>
        <v>223.96</v>
      </c>
      <c r="H54" s="70">
        <v>0.19417499999999999</v>
      </c>
      <c r="I54" s="69">
        <f t="shared" si="32"/>
        <v>-664.28044199999999</v>
      </c>
      <c r="J54" s="19" t="s">
        <v>468</v>
      </c>
      <c r="K54" s="61">
        <v>0</v>
      </c>
      <c r="L54" s="61">
        <f>F54*0.15*H54</f>
        <v>11.860208999999999</v>
      </c>
      <c r="M54" s="71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2" t="s">
        <v>383</v>
      </c>
      <c r="B55" s="2" t="s">
        <v>30</v>
      </c>
      <c r="C55" s="10">
        <v>9874434</v>
      </c>
      <c r="D55" s="2" t="s">
        <v>577</v>
      </c>
      <c r="E55" s="69">
        <v>-960.2</v>
      </c>
      <c r="F55" s="69">
        <v>73.849999999999994</v>
      </c>
      <c r="G55" s="69">
        <f t="shared" si="31"/>
        <v>40.6175</v>
      </c>
      <c r="H55" s="70">
        <v>0.19267699999999999</v>
      </c>
      <c r="I55" s="69">
        <f t="shared" si="32"/>
        <v>-177.1823973525</v>
      </c>
      <c r="J55" s="79" t="s">
        <v>468</v>
      </c>
      <c r="K55" s="61">
        <v>0</v>
      </c>
      <c r="L55" s="61">
        <f>F55*0.18*H55</f>
        <v>2.5612553609999997</v>
      </c>
      <c r="M55" s="58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32"/>
      <c r="L56" s="69"/>
      <c r="M56" s="32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69"/>
      <c r="M57" s="32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69"/>
      <c r="L58" s="32"/>
      <c r="M58" s="32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69"/>
      <c r="L59" s="32"/>
      <c r="M59" s="32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69"/>
      <c r="M60" s="32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69"/>
      <c r="L61" s="32"/>
      <c r="M61" s="32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69"/>
      <c r="M62" s="32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69"/>
      <c r="M63" s="32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69"/>
      <c r="M64" s="32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69"/>
      <c r="L65" s="32"/>
      <c r="M65" s="32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69"/>
      <c r="L66" s="32"/>
      <c r="M66" s="32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69"/>
      <c r="M67" s="32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69"/>
      <c r="M68" s="32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69"/>
      <c r="M69" s="32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69"/>
      <c r="M70" s="32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69"/>
      <c r="L71" s="32"/>
      <c r="M71" s="32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69"/>
      <c r="L72" s="32"/>
      <c r="M72" s="32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69"/>
      <c r="M73" s="32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69"/>
      <c r="L74" s="32"/>
      <c r="M74" s="32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69"/>
      <c r="L75" s="32"/>
      <c r="M75" s="32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69"/>
      <c r="L76" s="32"/>
      <c r="M76" s="32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69"/>
      <c r="M77" s="32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69"/>
      <c r="M78" s="32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32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32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69"/>
      <c r="M81" s="32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69"/>
      <c r="M82" s="32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32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32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69"/>
      <c r="M85" s="32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69"/>
      <c r="M86" s="32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32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32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69"/>
      <c r="M89" s="32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32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32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69"/>
      <c r="M92" s="32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69"/>
      <c r="M93" s="32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32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32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32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69"/>
      <c r="M97" s="32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32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32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69"/>
      <c r="M100" s="32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69"/>
      <c r="M101" s="32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>
        <f>SUM(J2:J100)</f>
        <v>53.788287025000002</v>
      </c>
      <c r="K102" s="32"/>
      <c r="L102" s="32"/>
      <c r="M102" s="32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32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32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32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32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32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69"/>
      <c r="M108" s="32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69"/>
      <c r="M109" s="32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32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69"/>
      <c r="M111" s="32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32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69"/>
      <c r="M113" s="32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32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32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69"/>
      <c r="M116" s="32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69"/>
      <c r="M117" s="32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69"/>
      <c r="M118" s="32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32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32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32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69"/>
      <c r="M122" s="32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69"/>
      <c r="M123" s="32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69"/>
      <c r="M124" s="32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32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32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32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69"/>
      <c r="M128" s="32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32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69"/>
      <c r="M130" s="32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69"/>
      <c r="M131" s="32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32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69"/>
      <c r="M133" s="32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32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32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32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32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32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32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32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32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32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32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69"/>
      <c r="M144" s="32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32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69"/>
      <c r="M146" s="32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32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32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32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32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32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32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32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69"/>
      <c r="M154" s="32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32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32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32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32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32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32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32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69"/>
      <c r="M162" s="32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32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32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32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32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32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32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32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32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32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32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32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32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32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32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32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32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32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32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32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69"/>
      <c r="M182" s="32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69"/>
      <c r="M183" s="32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69"/>
      <c r="M184" s="32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69"/>
      <c r="M185" s="32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32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32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32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32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32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32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69"/>
      <c r="M192" s="32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69"/>
      <c r="M193" s="32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32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32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32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32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32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32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69"/>
      <c r="M200" s="32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32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32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32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32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76"/>
      <c r="L205" s="32"/>
      <c r="M205" s="32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76"/>
      <c r="L206" s="32"/>
      <c r="M206" s="32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76"/>
      <c r="L207" s="32"/>
      <c r="M207" s="32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32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32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32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32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32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76"/>
      <c r="L213" s="32"/>
      <c r="M213" s="32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32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32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32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76"/>
      <c r="L217" s="32"/>
      <c r="M217" s="32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76"/>
      <c r="L218" s="32"/>
      <c r="M218" s="32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76"/>
      <c r="L219" s="32"/>
      <c r="M219" s="32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69"/>
      <c r="L220" s="32"/>
      <c r="M220" s="32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69"/>
      <c r="L221" s="32"/>
      <c r="M221" s="32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32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32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32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32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32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76"/>
      <c r="L227" s="32"/>
      <c r="M227" s="32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32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32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69"/>
      <c r="L230" s="32"/>
      <c r="M230" s="32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69"/>
      <c r="L231" s="32"/>
      <c r="M231" s="32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69"/>
      <c r="L232" s="32"/>
      <c r="M232" s="32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76"/>
      <c r="L233" s="32"/>
      <c r="M233" s="32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69"/>
      <c r="M234" s="32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32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69"/>
      <c r="L236" s="32"/>
      <c r="M236" s="32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69"/>
      <c r="L237" s="32"/>
      <c r="M237" s="32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76"/>
      <c r="L238" s="32"/>
      <c r="M238" s="32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69"/>
      <c r="M239" s="32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32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32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69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69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69"/>
      <c r="L245" s="32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76"/>
      <c r="L246" s="32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69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69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69"/>
      <c r="L253" s="32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69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69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69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69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69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9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377</v>
      </c>
      <c r="B2" s="2" t="s">
        <v>10</v>
      </c>
      <c r="C2" s="10">
        <v>1108777</v>
      </c>
      <c r="D2" s="10" t="s">
        <v>578</v>
      </c>
      <c r="E2" s="32">
        <v>-162.6</v>
      </c>
      <c r="F2" s="32">
        <v>768.85</v>
      </c>
      <c r="G2" s="69">
        <f t="shared" ref="G2:G24" si="0">F2*0.5</f>
        <v>384.42500000000001</v>
      </c>
      <c r="H2" s="70">
        <v>0.20080300000000001</v>
      </c>
      <c r="I2" s="69">
        <f t="shared" ref="I2:I3" si="1">(E2+G2)*H2</f>
        <v>44.543125475000004</v>
      </c>
      <c r="J2" s="61">
        <v>0</v>
      </c>
      <c r="K2" s="61">
        <f t="shared" ref="K2:K3" si="2">F2*0.25*H2</f>
        <v>38.596846637500001</v>
      </c>
      <c r="L2" s="58">
        <f>SUM(J:K)</f>
        <v>1052.794140533</v>
      </c>
      <c r="M2" s="2"/>
      <c r="N2" s="2"/>
      <c r="O2" s="32"/>
      <c r="P2" s="32">
        <f>SUM(I:I)</f>
        <v>-2353.786022283</v>
      </c>
      <c r="Q2" s="32">
        <f>SUM(O:O)</f>
        <v>0</v>
      </c>
      <c r="R2" s="32">
        <f>P2+Q2</f>
        <v>-2353.786022283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377</v>
      </c>
      <c r="B3" s="2" t="s">
        <v>268</v>
      </c>
      <c r="C3" s="10">
        <v>1109052</v>
      </c>
      <c r="D3" s="32" t="s">
        <v>579</v>
      </c>
      <c r="E3" s="69">
        <v>-154.44999999999999</v>
      </c>
      <c r="F3" s="69">
        <v>521.04999999999995</v>
      </c>
      <c r="G3" s="69">
        <f t="shared" si="0"/>
        <v>260.52499999999998</v>
      </c>
      <c r="H3" s="70">
        <v>0.20080300000000001</v>
      </c>
      <c r="I3" s="69">
        <f t="shared" si="1"/>
        <v>21.300178225</v>
      </c>
      <c r="J3" s="61">
        <v>0</v>
      </c>
      <c r="K3" s="61">
        <f t="shared" si="2"/>
        <v>26.157100787499999</v>
      </c>
      <c r="L3" s="58"/>
      <c r="M3" s="2"/>
      <c r="N3" s="2"/>
      <c r="O3" s="32"/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377</v>
      </c>
      <c r="B4" s="46" t="s">
        <v>271</v>
      </c>
      <c r="C4" s="10">
        <v>1109207</v>
      </c>
      <c r="D4" s="10" t="s">
        <v>580</v>
      </c>
      <c r="E4" s="32">
        <v>655.19000000000005</v>
      </c>
      <c r="F4" s="32">
        <v>280.91000000000003</v>
      </c>
      <c r="G4" s="69">
        <f t="shared" si="0"/>
        <v>140.45500000000001</v>
      </c>
      <c r="H4" s="70">
        <v>1</v>
      </c>
      <c r="I4" s="69">
        <f>(E4*0.98+G4)*H4*0.9</f>
        <v>704.28708000000017</v>
      </c>
      <c r="J4" s="61">
        <f>E4*0.02*H4*0.9</f>
        <v>11.793420000000001</v>
      </c>
      <c r="K4" s="61">
        <f>F4*0.22*H4*0.9</f>
        <v>55.620180000000005</v>
      </c>
      <c r="L4" s="71"/>
      <c r="M4" s="2"/>
      <c r="N4" s="2"/>
      <c r="O4" s="32"/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379</v>
      </c>
      <c r="B5" s="2" t="s">
        <v>10</v>
      </c>
      <c r="C5" s="10">
        <v>1108777</v>
      </c>
      <c r="D5" s="10" t="s">
        <v>578</v>
      </c>
      <c r="E5" s="32">
        <v>2733.05</v>
      </c>
      <c r="F5" s="32">
        <v>1363.95</v>
      </c>
      <c r="G5" s="69">
        <f t="shared" si="0"/>
        <v>681.97500000000002</v>
      </c>
      <c r="H5" s="70">
        <v>0.19920299999999999</v>
      </c>
      <c r="I5" s="69">
        <f>(E5*0.98+G5)*H5</f>
        <v>669.394589892</v>
      </c>
      <c r="J5" s="61">
        <f>E5*0.02*H5</f>
        <v>10.888635183</v>
      </c>
      <c r="K5" s="61">
        <f t="shared" ref="K5:K6" si="3">F5*0.25*H5</f>
        <v>67.925732962499993</v>
      </c>
      <c r="L5" s="71"/>
      <c r="M5" s="2"/>
      <c r="N5" s="2"/>
      <c r="O5" s="32"/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379</v>
      </c>
      <c r="B6" s="46" t="s">
        <v>268</v>
      </c>
      <c r="C6" s="10">
        <v>1109052</v>
      </c>
      <c r="D6" s="10" t="s">
        <v>579</v>
      </c>
      <c r="E6" s="32">
        <v>-2279.6</v>
      </c>
      <c r="F6" s="32">
        <v>1005.05</v>
      </c>
      <c r="G6" s="69">
        <f t="shared" si="0"/>
        <v>502.52499999999998</v>
      </c>
      <c r="H6" s="70">
        <v>0.19920299999999999</v>
      </c>
      <c r="I6" s="69">
        <f>(E6+G6)*H6</f>
        <v>-353.99867122499995</v>
      </c>
      <c r="J6" s="61">
        <v>0</v>
      </c>
      <c r="K6" s="61">
        <f t="shared" si="3"/>
        <v>50.052243787499997</v>
      </c>
      <c r="L6" s="71"/>
      <c r="M6" s="2"/>
      <c r="N6" s="2"/>
      <c r="O6" s="32"/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379</v>
      </c>
      <c r="B7" s="46" t="s">
        <v>271</v>
      </c>
      <c r="C7" s="10">
        <v>1109207</v>
      </c>
      <c r="D7" s="32" t="s">
        <v>580</v>
      </c>
      <c r="E7" s="69">
        <v>-1333.89</v>
      </c>
      <c r="F7" s="69">
        <v>1212.43</v>
      </c>
      <c r="G7" s="69">
        <f t="shared" si="0"/>
        <v>606.21500000000003</v>
      </c>
      <c r="H7" s="70">
        <v>1</v>
      </c>
      <c r="I7" s="69">
        <f t="shared" ref="I7:I8" si="4">(E7+G7)*H7*0.9</f>
        <v>-654.90750000000003</v>
      </c>
      <c r="J7" s="61">
        <v>0</v>
      </c>
      <c r="K7" s="61">
        <f t="shared" ref="K7:K8" si="5">F7*0.22*H7*0.9</f>
        <v>240.06113999999999</v>
      </c>
      <c r="L7" s="58"/>
      <c r="M7" s="2"/>
      <c r="N7" s="2"/>
      <c r="O7" s="32"/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380</v>
      </c>
      <c r="B8" s="46" t="s">
        <v>271</v>
      </c>
      <c r="C8" s="10">
        <v>1109207</v>
      </c>
      <c r="D8" s="32" t="s">
        <v>580</v>
      </c>
      <c r="E8" s="69">
        <v>-719.5</v>
      </c>
      <c r="F8" s="69">
        <v>336.46</v>
      </c>
      <c r="G8" s="69">
        <f t="shared" si="0"/>
        <v>168.23</v>
      </c>
      <c r="H8" s="70">
        <v>1</v>
      </c>
      <c r="I8" s="69">
        <f t="shared" si="4"/>
        <v>-496.14299999999997</v>
      </c>
      <c r="J8" s="61">
        <v>0</v>
      </c>
      <c r="K8" s="61">
        <f t="shared" si="5"/>
        <v>66.619079999999997</v>
      </c>
      <c r="L8" s="58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 t="s">
        <v>380</v>
      </c>
      <c r="B9" s="2" t="s">
        <v>10</v>
      </c>
      <c r="C9" s="10">
        <v>1108777</v>
      </c>
      <c r="D9" s="10" t="s">
        <v>578</v>
      </c>
      <c r="E9" s="32">
        <v>-1053.5999999999999</v>
      </c>
      <c r="F9" s="32">
        <v>1277.95</v>
      </c>
      <c r="G9" s="69">
        <f t="shared" si="0"/>
        <v>638.97500000000002</v>
      </c>
      <c r="H9" s="70">
        <v>0.201207</v>
      </c>
      <c r="I9" s="69">
        <f t="shared" ref="I9:I12" si="6">(E9+G9)*H9</f>
        <v>-83.425452374999978</v>
      </c>
      <c r="J9" s="61">
        <v>0</v>
      </c>
      <c r="K9" s="61">
        <f t="shared" ref="K9:K12" si="7">F9*0.25*H9</f>
        <v>64.283121412499995</v>
      </c>
      <c r="L9" s="58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 t="s">
        <v>380</v>
      </c>
      <c r="B10" s="46" t="s">
        <v>268</v>
      </c>
      <c r="C10" s="10">
        <v>1109052</v>
      </c>
      <c r="D10" s="10" t="s">
        <v>579</v>
      </c>
      <c r="E10" s="32">
        <v>-1264.3</v>
      </c>
      <c r="F10" s="32">
        <v>1475.25</v>
      </c>
      <c r="G10" s="69">
        <f t="shared" si="0"/>
        <v>737.625</v>
      </c>
      <c r="H10" s="70">
        <v>0.201207</v>
      </c>
      <c r="I10" s="69">
        <f t="shared" si="6"/>
        <v>-105.970696725</v>
      </c>
      <c r="J10" s="61">
        <v>0</v>
      </c>
      <c r="K10" s="61">
        <f t="shared" si="7"/>
        <v>74.207656687500005</v>
      </c>
      <c r="L10" s="58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 t="s">
        <v>381</v>
      </c>
      <c r="B11" s="2" t="s">
        <v>10</v>
      </c>
      <c r="C11" s="10">
        <v>1108777</v>
      </c>
      <c r="D11" s="10" t="s">
        <v>578</v>
      </c>
      <c r="E11" s="69">
        <v>-2193.85</v>
      </c>
      <c r="F11" s="69">
        <v>990.3</v>
      </c>
      <c r="G11" s="69">
        <f t="shared" si="0"/>
        <v>495.15</v>
      </c>
      <c r="H11" s="70">
        <v>0.197628</v>
      </c>
      <c r="I11" s="69">
        <f t="shared" si="6"/>
        <v>-335.71068359999998</v>
      </c>
      <c r="J11" s="61">
        <v>0</v>
      </c>
      <c r="K11" s="61">
        <f t="shared" si="7"/>
        <v>48.927752099999999</v>
      </c>
      <c r="L11" s="58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 t="s">
        <v>381</v>
      </c>
      <c r="B12" s="46" t="s">
        <v>268</v>
      </c>
      <c r="C12" s="10">
        <v>1109052</v>
      </c>
      <c r="D12" s="32" t="s">
        <v>579</v>
      </c>
      <c r="E12" s="69">
        <v>-5682.05</v>
      </c>
      <c r="F12" s="69">
        <v>1016.3</v>
      </c>
      <c r="G12" s="69">
        <f t="shared" si="0"/>
        <v>508.15</v>
      </c>
      <c r="H12" s="70">
        <v>0.197628</v>
      </c>
      <c r="I12" s="69">
        <f t="shared" si="6"/>
        <v>-1022.5075092000001</v>
      </c>
      <c r="J12" s="61">
        <v>0</v>
      </c>
      <c r="K12" s="61">
        <f t="shared" si="7"/>
        <v>50.2123341</v>
      </c>
      <c r="L12" s="58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 t="s">
        <v>381</v>
      </c>
      <c r="B13" s="46" t="s">
        <v>271</v>
      </c>
      <c r="C13" s="10">
        <v>1108777</v>
      </c>
      <c r="D13" s="10" t="s">
        <v>578</v>
      </c>
      <c r="E13" s="32">
        <v>-114.43</v>
      </c>
      <c r="F13" s="32">
        <v>68.569999999999993</v>
      </c>
      <c r="G13" s="69">
        <f t="shared" si="0"/>
        <v>34.284999999999997</v>
      </c>
      <c r="H13" s="70">
        <v>1</v>
      </c>
      <c r="I13" s="69">
        <f>(E13+G13)*H13*0.9</f>
        <v>-72.130500000000012</v>
      </c>
      <c r="J13" s="61">
        <v>0</v>
      </c>
      <c r="K13" s="61">
        <f t="shared" ref="K13:K15" si="8">F13*0.22*H13*0.9</f>
        <v>13.576859999999998</v>
      </c>
      <c r="L13" s="58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 t="s">
        <v>381</v>
      </c>
      <c r="B14" s="46" t="s">
        <v>271</v>
      </c>
      <c r="C14" s="10">
        <v>1109052</v>
      </c>
      <c r="D14" s="10" t="s">
        <v>579</v>
      </c>
      <c r="E14" s="32">
        <v>203.37</v>
      </c>
      <c r="F14" s="32">
        <v>11</v>
      </c>
      <c r="G14" s="69">
        <f t="shared" si="0"/>
        <v>5.5</v>
      </c>
      <c r="H14" s="70">
        <v>1</v>
      </c>
      <c r="I14" s="69">
        <f>(E14*0.98+G14)*H14*0.9</f>
        <v>184.32234000000003</v>
      </c>
      <c r="J14" s="61">
        <f>E14*0.02*H14*0.9</f>
        <v>3.66066</v>
      </c>
      <c r="K14" s="61">
        <f t="shared" si="8"/>
        <v>2.1779999999999999</v>
      </c>
      <c r="L14" s="58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 t="s">
        <v>381</v>
      </c>
      <c r="B15" s="46" t="s">
        <v>271</v>
      </c>
      <c r="C15" s="10">
        <v>1109207</v>
      </c>
      <c r="D15" s="10" t="s">
        <v>580</v>
      </c>
      <c r="E15" s="32">
        <v>-464.43</v>
      </c>
      <c r="F15" s="32">
        <v>252.22</v>
      </c>
      <c r="G15" s="69">
        <f t="shared" si="0"/>
        <v>126.11</v>
      </c>
      <c r="H15" s="70">
        <v>1</v>
      </c>
      <c r="I15" s="69">
        <f>(E15+G15)*H15*0.9</f>
        <v>-304.488</v>
      </c>
      <c r="J15" s="61">
        <v>0</v>
      </c>
      <c r="K15" s="61">
        <f t="shared" si="8"/>
        <v>49.93956</v>
      </c>
      <c r="L15" s="58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 t="s">
        <v>382</v>
      </c>
      <c r="B16" s="46" t="s">
        <v>268</v>
      </c>
      <c r="C16" s="10">
        <v>1109052</v>
      </c>
      <c r="D16" s="32" t="s">
        <v>579</v>
      </c>
      <c r="E16" s="69">
        <v>-57.65</v>
      </c>
      <c r="F16" s="69">
        <v>120.75</v>
      </c>
      <c r="G16" s="69">
        <f t="shared" si="0"/>
        <v>60.375</v>
      </c>
      <c r="H16" s="70">
        <v>0.19880999999999999</v>
      </c>
      <c r="I16" s="69">
        <f>(E16+G16)*H16</f>
        <v>0.5417572500000003</v>
      </c>
      <c r="J16" s="61">
        <v>0</v>
      </c>
      <c r="K16" s="61">
        <f>F16*0.25*H16</f>
        <v>6.0015768749999996</v>
      </c>
      <c r="L16" s="58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 t="s">
        <v>382</v>
      </c>
      <c r="B17" s="46" t="s">
        <v>271</v>
      </c>
      <c r="C17" s="10">
        <v>1108777</v>
      </c>
      <c r="D17" s="10" t="s">
        <v>578</v>
      </c>
      <c r="E17" s="32">
        <v>-5.79</v>
      </c>
      <c r="F17" s="32">
        <v>172.2</v>
      </c>
      <c r="G17" s="69">
        <f t="shared" si="0"/>
        <v>86.1</v>
      </c>
      <c r="H17" s="70">
        <v>1</v>
      </c>
      <c r="I17" s="69">
        <f t="shared" ref="I17:I21" si="9">(E17+G17)*H17*0.9</f>
        <v>72.278999999999996</v>
      </c>
      <c r="J17" s="61">
        <v>0</v>
      </c>
      <c r="K17" s="61">
        <f t="shared" ref="K17:K24" si="10">F17*0.22*H17*0.9</f>
        <v>34.095600000000005</v>
      </c>
      <c r="L17" s="58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 t="s">
        <v>382</v>
      </c>
      <c r="B18" s="46" t="s">
        <v>271</v>
      </c>
      <c r="C18" s="10">
        <v>1109052</v>
      </c>
      <c r="D18" s="10" t="s">
        <v>579</v>
      </c>
      <c r="E18" s="32">
        <v>-796.49</v>
      </c>
      <c r="F18" s="32">
        <v>157.21</v>
      </c>
      <c r="G18" s="69">
        <f t="shared" si="0"/>
        <v>78.605000000000004</v>
      </c>
      <c r="H18" s="70">
        <v>1</v>
      </c>
      <c r="I18" s="69">
        <f t="shared" si="9"/>
        <v>-646.09649999999999</v>
      </c>
      <c r="J18" s="61">
        <v>0</v>
      </c>
      <c r="K18" s="61">
        <f t="shared" si="10"/>
        <v>31.127580000000005</v>
      </c>
      <c r="L18" s="58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 t="s">
        <v>382</v>
      </c>
      <c r="B19" s="46" t="s">
        <v>271</v>
      </c>
      <c r="C19" s="10">
        <v>1109207</v>
      </c>
      <c r="D19" s="10" t="s">
        <v>580</v>
      </c>
      <c r="E19" s="32">
        <v>-354.85</v>
      </c>
      <c r="F19" s="32">
        <v>150.44</v>
      </c>
      <c r="G19" s="69">
        <f t="shared" si="0"/>
        <v>75.22</v>
      </c>
      <c r="H19" s="70">
        <v>1</v>
      </c>
      <c r="I19" s="69">
        <f t="shared" si="9"/>
        <v>-251.667</v>
      </c>
      <c r="J19" s="61">
        <v>0</v>
      </c>
      <c r="K19" s="61">
        <f t="shared" si="10"/>
        <v>29.787120000000002</v>
      </c>
      <c r="L19" s="58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32" t="s">
        <v>383</v>
      </c>
      <c r="B20" s="46" t="s">
        <v>271</v>
      </c>
      <c r="C20" s="10">
        <v>1108777</v>
      </c>
      <c r="D20" s="10" t="s">
        <v>578</v>
      </c>
      <c r="E20" s="32">
        <v>-43.13</v>
      </c>
      <c r="F20" s="32">
        <v>3.24</v>
      </c>
      <c r="G20" s="69">
        <f t="shared" si="0"/>
        <v>1.62</v>
      </c>
      <c r="H20" s="70">
        <v>1</v>
      </c>
      <c r="I20" s="69">
        <f t="shared" si="9"/>
        <v>-37.359000000000009</v>
      </c>
      <c r="J20" s="61">
        <v>0</v>
      </c>
      <c r="K20" s="61">
        <f t="shared" si="10"/>
        <v>0.64152000000000009</v>
      </c>
      <c r="L20" s="58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32" t="s">
        <v>383</v>
      </c>
      <c r="B21" s="46" t="s">
        <v>271</v>
      </c>
      <c r="C21" s="10">
        <v>1109052</v>
      </c>
      <c r="D21" s="10" t="s">
        <v>579</v>
      </c>
      <c r="E21" s="32">
        <v>-87.96</v>
      </c>
      <c r="F21" s="32">
        <v>3.78</v>
      </c>
      <c r="G21" s="69">
        <f t="shared" si="0"/>
        <v>1.89</v>
      </c>
      <c r="H21" s="70">
        <v>1</v>
      </c>
      <c r="I21" s="69">
        <f t="shared" si="9"/>
        <v>-77.462999999999994</v>
      </c>
      <c r="J21" s="61">
        <v>0</v>
      </c>
      <c r="K21" s="61">
        <f t="shared" si="10"/>
        <v>0.74843999999999999</v>
      </c>
      <c r="L21" s="58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32" t="s">
        <v>384</v>
      </c>
      <c r="B22" s="46" t="s">
        <v>271</v>
      </c>
      <c r="C22" s="10">
        <v>1108777</v>
      </c>
      <c r="D22" s="10" t="s">
        <v>578</v>
      </c>
      <c r="E22" s="32">
        <v>55.02</v>
      </c>
      <c r="F22" s="32">
        <v>132.69</v>
      </c>
      <c r="G22" s="69">
        <f t="shared" si="0"/>
        <v>66.344999999999999</v>
      </c>
      <c r="H22" s="70">
        <v>1</v>
      </c>
      <c r="I22" s="69">
        <f t="shared" ref="I22:I23" si="11">(E22*0.98+G22)*H22*0.9</f>
        <v>108.23814</v>
      </c>
      <c r="J22" s="61">
        <f t="shared" ref="J22:J23" si="12">E22*0.02*H22*0.9</f>
        <v>0.99036000000000002</v>
      </c>
      <c r="K22" s="61">
        <f t="shared" si="10"/>
        <v>26.27262</v>
      </c>
      <c r="L22" s="58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32" t="s">
        <v>384</v>
      </c>
      <c r="B23" s="46" t="s">
        <v>271</v>
      </c>
      <c r="C23" s="10">
        <v>1109052</v>
      </c>
      <c r="D23" s="10" t="s">
        <v>579</v>
      </c>
      <c r="E23" s="32">
        <v>305.04000000000002</v>
      </c>
      <c r="F23" s="32">
        <v>98.32</v>
      </c>
      <c r="G23" s="69">
        <f t="shared" si="0"/>
        <v>49.16</v>
      </c>
      <c r="H23" s="70">
        <v>1</v>
      </c>
      <c r="I23" s="69">
        <f t="shared" si="11"/>
        <v>313.28928000000002</v>
      </c>
      <c r="J23" s="61">
        <f t="shared" si="12"/>
        <v>5.4907200000000005</v>
      </c>
      <c r="K23" s="61">
        <f t="shared" si="10"/>
        <v>19.467359999999999</v>
      </c>
      <c r="L23" s="58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32" t="s">
        <v>384</v>
      </c>
      <c r="B24" s="46" t="s">
        <v>271</v>
      </c>
      <c r="C24" s="10">
        <v>1109207</v>
      </c>
      <c r="D24" s="10" t="s">
        <v>580</v>
      </c>
      <c r="E24" s="32">
        <v>-92.73</v>
      </c>
      <c r="F24" s="32">
        <v>118.54</v>
      </c>
      <c r="G24" s="69">
        <f t="shared" si="0"/>
        <v>59.27</v>
      </c>
      <c r="H24" s="70">
        <v>1</v>
      </c>
      <c r="I24" s="69">
        <f>(E24+G24)*H24*0.9</f>
        <v>-30.114000000000001</v>
      </c>
      <c r="J24" s="61">
        <v>0</v>
      </c>
      <c r="K24" s="61">
        <f t="shared" si="10"/>
        <v>23.470920000000003</v>
      </c>
      <c r="L24" s="58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32"/>
      <c r="B25" s="32"/>
      <c r="C25" s="10"/>
      <c r="D25" s="10"/>
      <c r="E25" s="32"/>
      <c r="F25" s="32"/>
      <c r="G25" s="69"/>
      <c r="H25" s="70"/>
      <c r="I25" s="69"/>
      <c r="J25" s="69"/>
      <c r="K25" s="69"/>
      <c r="L25" s="94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32"/>
      <c r="B26" s="32"/>
      <c r="C26" s="10"/>
      <c r="D26" s="10"/>
      <c r="E26" s="32"/>
      <c r="F26" s="32"/>
      <c r="G26" s="69"/>
      <c r="H26" s="70"/>
      <c r="I26" s="69"/>
      <c r="J26" s="69"/>
      <c r="K26" s="69"/>
      <c r="L26" s="94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46"/>
      <c r="C27" s="10"/>
      <c r="D27" s="10"/>
      <c r="E27" s="69"/>
      <c r="F27" s="69"/>
      <c r="G27" s="69"/>
      <c r="H27" s="73"/>
      <c r="I27" s="69"/>
      <c r="J27" s="69"/>
      <c r="K27" s="69"/>
      <c r="L27" s="94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32"/>
      <c r="E28" s="32"/>
      <c r="F28" s="32"/>
      <c r="G28" s="69"/>
      <c r="H28" s="73"/>
      <c r="I28" s="69"/>
      <c r="J28" s="69"/>
      <c r="K28" s="69"/>
      <c r="L28" s="94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46"/>
      <c r="C29" s="10"/>
      <c r="D29" s="32"/>
      <c r="E29" s="32"/>
      <c r="F29" s="32"/>
      <c r="G29" s="69"/>
      <c r="H29" s="73"/>
      <c r="I29" s="69"/>
      <c r="J29" s="69"/>
      <c r="K29" s="69"/>
      <c r="L29" s="94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32"/>
      <c r="B30" s="46"/>
      <c r="C30" s="10"/>
      <c r="D30" s="10"/>
      <c r="E30" s="32"/>
      <c r="F30" s="32"/>
      <c r="G30" s="69"/>
      <c r="H30" s="73"/>
      <c r="I30" s="69"/>
      <c r="J30" s="69"/>
      <c r="K30" s="69"/>
      <c r="L30" s="94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32"/>
      <c r="B31" s="2"/>
      <c r="C31" s="10"/>
      <c r="D31" s="32"/>
      <c r="E31" s="32"/>
      <c r="F31" s="32"/>
      <c r="G31" s="69"/>
      <c r="H31" s="73"/>
      <c r="I31" s="69"/>
      <c r="J31" s="69"/>
      <c r="K31" s="69"/>
      <c r="L31" s="94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32"/>
      <c r="B32" s="2"/>
      <c r="C32" s="10"/>
      <c r="D32" s="32"/>
      <c r="E32" s="32"/>
      <c r="F32" s="32"/>
      <c r="G32" s="69"/>
      <c r="H32" s="73"/>
      <c r="I32" s="69"/>
      <c r="J32" s="69"/>
      <c r="K32" s="69"/>
      <c r="L32" s="94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2"/>
      <c r="C33" s="10"/>
      <c r="D33" s="32"/>
      <c r="E33" s="69"/>
      <c r="F33" s="69"/>
      <c r="G33" s="69"/>
      <c r="H33" s="73"/>
      <c r="I33" s="69"/>
      <c r="J33" s="69"/>
      <c r="K33" s="69"/>
      <c r="L33" s="94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2"/>
      <c r="C34" s="10"/>
      <c r="D34" s="32"/>
      <c r="E34" s="69"/>
      <c r="F34" s="69"/>
      <c r="G34" s="69"/>
      <c r="H34" s="73"/>
      <c r="I34" s="69"/>
      <c r="J34" s="69"/>
      <c r="K34" s="69"/>
      <c r="L34" s="94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32"/>
      <c r="C35" s="95"/>
      <c r="D35" s="72"/>
      <c r="E35" s="69"/>
      <c r="F35" s="69"/>
      <c r="G35" s="69"/>
      <c r="H35" s="70"/>
      <c r="I35" s="69"/>
      <c r="J35" s="69"/>
      <c r="K35" s="69"/>
      <c r="L35" s="94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32"/>
      <c r="C36" s="10"/>
      <c r="D36" s="46"/>
      <c r="E36" s="32"/>
      <c r="F36" s="32"/>
      <c r="G36" s="69"/>
      <c r="H36" s="70"/>
      <c r="I36" s="69"/>
      <c r="J36" s="69"/>
      <c r="K36" s="69"/>
      <c r="L36" s="94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46"/>
      <c r="C37" s="10"/>
      <c r="D37" s="32"/>
      <c r="E37" s="69"/>
      <c r="F37" s="69"/>
      <c r="G37" s="69"/>
      <c r="H37" s="70"/>
      <c r="I37" s="69"/>
      <c r="J37" s="69"/>
      <c r="K37" s="69"/>
      <c r="L37" s="94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46"/>
      <c r="C38" s="10"/>
      <c r="D38" s="10"/>
      <c r="E38" s="32"/>
      <c r="F38" s="32"/>
      <c r="G38" s="69"/>
      <c r="H38" s="70"/>
      <c r="I38" s="69"/>
      <c r="J38" s="69"/>
      <c r="K38" s="69"/>
      <c r="L38" s="94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32"/>
      <c r="B39" s="46"/>
      <c r="C39" s="10"/>
      <c r="D39" s="32"/>
      <c r="E39" s="69"/>
      <c r="F39" s="69"/>
      <c r="G39" s="69"/>
      <c r="H39" s="70"/>
      <c r="I39" s="69"/>
      <c r="J39" s="69"/>
      <c r="K39" s="69"/>
      <c r="L39" s="94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32"/>
      <c r="B40" s="46"/>
      <c r="C40" s="10"/>
      <c r="D40" s="32"/>
      <c r="E40" s="69"/>
      <c r="F40" s="69"/>
      <c r="G40" s="69"/>
      <c r="H40" s="70"/>
      <c r="I40" s="69"/>
      <c r="J40" s="69"/>
      <c r="K40" s="69"/>
      <c r="L40" s="94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"/>
      <c r="B41" s="32"/>
      <c r="C41" s="10"/>
      <c r="D41" s="32"/>
      <c r="E41" s="32"/>
      <c r="F41" s="32"/>
      <c r="G41" s="69"/>
      <c r="H41" s="70"/>
      <c r="I41" s="69"/>
      <c r="J41" s="69"/>
      <c r="K41" s="69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2"/>
      <c r="B42" s="32"/>
      <c r="C42" s="10"/>
      <c r="D42" s="32"/>
      <c r="E42" s="32"/>
      <c r="F42" s="32"/>
      <c r="G42" s="69"/>
      <c r="H42" s="70"/>
      <c r="I42" s="69"/>
      <c r="J42" s="69"/>
      <c r="K42" s="69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2"/>
      <c r="B43" s="2"/>
      <c r="C43" s="10"/>
      <c r="D43" s="32"/>
      <c r="E43" s="32"/>
      <c r="F43" s="32"/>
      <c r="G43" s="69"/>
      <c r="H43" s="70"/>
      <c r="I43" s="69"/>
      <c r="J43" s="69"/>
      <c r="K43" s="69"/>
      <c r="L43" s="94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2"/>
      <c r="B44" s="32"/>
      <c r="C44" s="10"/>
      <c r="D44" s="32"/>
      <c r="E44" s="69"/>
      <c r="F44" s="69"/>
      <c r="G44" s="69"/>
      <c r="H44" s="70"/>
      <c r="I44" s="69"/>
      <c r="J44" s="69"/>
      <c r="K44" s="69"/>
      <c r="L44" s="94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32"/>
      <c r="C45" s="95"/>
      <c r="D45" s="72"/>
      <c r="E45" s="69"/>
      <c r="F45" s="69"/>
      <c r="G45" s="69"/>
      <c r="H45" s="70"/>
      <c r="I45" s="69"/>
      <c r="J45" s="69"/>
      <c r="K45" s="69"/>
      <c r="L45" s="94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2"/>
      <c r="B46" s="32"/>
      <c r="C46" s="10"/>
      <c r="D46" s="46"/>
      <c r="E46" s="32"/>
      <c r="F46" s="32"/>
      <c r="G46" s="69"/>
      <c r="H46" s="70"/>
      <c r="I46" s="69"/>
      <c r="J46" s="69"/>
      <c r="K46" s="69"/>
      <c r="L46" s="94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2"/>
      <c r="B47" s="32"/>
      <c r="C47" s="10"/>
      <c r="D47" s="32"/>
      <c r="E47" s="32"/>
      <c r="F47" s="32"/>
      <c r="G47" s="69"/>
      <c r="H47" s="70"/>
      <c r="I47" s="69"/>
      <c r="J47" s="69"/>
      <c r="K47" s="69"/>
      <c r="L47" s="94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2"/>
      <c r="B48" s="32"/>
      <c r="C48" s="10"/>
      <c r="D48" s="10"/>
      <c r="E48" s="32"/>
      <c r="F48" s="32"/>
      <c r="G48" s="69"/>
      <c r="H48" s="70"/>
      <c r="I48" s="69"/>
      <c r="J48" s="69"/>
      <c r="K48" s="69"/>
      <c r="L48" s="94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2"/>
      <c r="B49" s="32"/>
      <c r="C49" s="10"/>
      <c r="D49" s="10"/>
      <c r="E49" s="32"/>
      <c r="F49" s="32"/>
      <c r="G49" s="69"/>
      <c r="H49" s="70"/>
      <c r="I49" s="69"/>
      <c r="J49" s="69"/>
      <c r="K49" s="69"/>
      <c r="L49" s="94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2"/>
      <c r="B50" s="32"/>
      <c r="C50" s="10"/>
      <c r="D50" s="10"/>
      <c r="E50" s="32"/>
      <c r="F50" s="32"/>
      <c r="G50" s="69"/>
      <c r="H50" s="70"/>
      <c r="I50" s="69"/>
      <c r="J50" s="69"/>
      <c r="K50" s="69"/>
      <c r="L50" s="94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2"/>
      <c r="B51" s="2"/>
      <c r="C51" s="10"/>
      <c r="D51" s="10"/>
      <c r="E51" s="32"/>
      <c r="F51" s="32"/>
      <c r="G51" s="69"/>
      <c r="H51" s="70"/>
      <c r="I51" s="69"/>
      <c r="J51" s="69"/>
      <c r="K51" s="69"/>
      <c r="L51" s="94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2"/>
      <c r="B52" s="2"/>
      <c r="C52" s="10"/>
      <c r="D52" s="10"/>
      <c r="E52" s="32"/>
      <c r="F52" s="32"/>
      <c r="G52" s="69"/>
      <c r="H52" s="70"/>
      <c r="I52" s="69"/>
      <c r="J52" s="69"/>
      <c r="K52" s="69"/>
      <c r="L52" s="94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2"/>
      <c r="B53" s="46"/>
      <c r="C53" s="10"/>
      <c r="D53" s="32"/>
      <c r="E53" s="32"/>
      <c r="F53" s="32"/>
      <c r="G53" s="69"/>
      <c r="H53" s="70"/>
      <c r="I53" s="69"/>
      <c r="J53" s="69"/>
      <c r="K53" s="69"/>
      <c r="L53" s="94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2"/>
      <c r="B54" s="46"/>
      <c r="C54" s="10"/>
      <c r="D54" s="10"/>
      <c r="E54" s="32"/>
      <c r="F54" s="32"/>
      <c r="G54" s="69"/>
      <c r="H54" s="70"/>
      <c r="I54" s="69"/>
      <c r="J54" s="69"/>
      <c r="K54" s="69"/>
      <c r="L54" s="94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2"/>
      <c r="B55" s="46"/>
      <c r="C55" s="10"/>
      <c r="D55" s="10"/>
      <c r="E55" s="32"/>
      <c r="F55" s="32"/>
      <c r="G55" s="69"/>
      <c r="H55" s="70"/>
      <c r="I55" s="69"/>
      <c r="J55" s="69"/>
      <c r="K55" s="69"/>
      <c r="L55" s="94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2"/>
      <c r="B56" s="46"/>
      <c r="C56" s="10"/>
      <c r="D56" s="32"/>
      <c r="E56" s="69"/>
      <c r="F56" s="69"/>
      <c r="G56" s="69"/>
      <c r="H56" s="70"/>
      <c r="I56" s="69"/>
      <c r="J56" s="69"/>
      <c r="K56" s="69"/>
      <c r="L56" s="94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2"/>
      <c r="B57" s="32"/>
      <c r="C57" s="10"/>
      <c r="D57" s="10"/>
      <c r="E57" s="32"/>
      <c r="F57" s="32"/>
      <c r="G57" s="69"/>
      <c r="H57" s="70"/>
      <c r="I57" s="69"/>
      <c r="J57" s="69"/>
      <c r="K57" s="69"/>
      <c r="L57" s="94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2"/>
      <c r="B58" s="32"/>
      <c r="C58" s="10"/>
      <c r="D58" s="10"/>
      <c r="E58" s="32"/>
      <c r="F58" s="32"/>
      <c r="G58" s="69"/>
      <c r="H58" s="70"/>
      <c r="I58" s="69"/>
      <c r="J58" s="69"/>
      <c r="K58" s="69"/>
      <c r="L58" s="94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2"/>
      <c r="B59" s="32"/>
      <c r="C59" s="10"/>
      <c r="D59" s="10"/>
      <c r="E59" s="32"/>
      <c r="F59" s="32"/>
      <c r="G59" s="69"/>
      <c r="H59" s="70"/>
      <c r="I59" s="69"/>
      <c r="J59" s="69"/>
      <c r="K59" s="69"/>
      <c r="L59" s="94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2"/>
      <c r="B60" s="32"/>
      <c r="C60" s="10"/>
      <c r="D60" s="32"/>
      <c r="E60" s="69"/>
      <c r="F60" s="69"/>
      <c r="G60" s="69"/>
      <c r="H60" s="70"/>
      <c r="I60" s="69"/>
      <c r="J60" s="69"/>
      <c r="K60" s="69"/>
      <c r="L60" s="94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2"/>
      <c r="B61" s="46"/>
      <c r="C61" s="10"/>
      <c r="D61" s="32"/>
      <c r="E61" s="69"/>
      <c r="F61" s="69"/>
      <c r="G61" s="69"/>
      <c r="H61" s="70"/>
      <c r="I61" s="69"/>
      <c r="J61" s="69"/>
      <c r="K61" s="69"/>
      <c r="L61" s="94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2"/>
      <c r="B62" s="46"/>
      <c r="C62" s="10"/>
      <c r="D62" s="10"/>
      <c r="E62" s="32"/>
      <c r="F62" s="32"/>
      <c r="G62" s="69"/>
      <c r="H62" s="70"/>
      <c r="I62" s="69"/>
      <c r="J62" s="69"/>
      <c r="K62" s="69"/>
      <c r="L62" s="94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2"/>
      <c r="B63" s="46"/>
      <c r="C63" s="10"/>
      <c r="D63" s="32"/>
      <c r="E63" s="69"/>
      <c r="F63" s="69"/>
      <c r="G63" s="69"/>
      <c r="H63" s="70"/>
      <c r="I63" s="69"/>
      <c r="J63" s="69"/>
      <c r="K63" s="69"/>
      <c r="L63" s="94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"/>
      <c r="B64" s="46"/>
      <c r="C64" s="10"/>
      <c r="D64" s="32"/>
      <c r="E64" s="69"/>
      <c r="F64" s="69"/>
      <c r="G64" s="69"/>
      <c r="H64" s="70"/>
      <c r="I64" s="69"/>
      <c r="J64" s="69"/>
      <c r="K64" s="69"/>
      <c r="L64" s="94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32"/>
      <c r="C65" s="10"/>
      <c r="D65" s="46"/>
      <c r="E65" s="2"/>
      <c r="F65" s="2"/>
      <c r="G65" s="69"/>
      <c r="H65" s="70"/>
      <c r="I65" s="69"/>
      <c r="J65" s="69"/>
      <c r="K65" s="69"/>
      <c r="L65" s="94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"/>
      <c r="B66" s="32"/>
      <c r="C66" s="10"/>
      <c r="D66" s="32"/>
      <c r="E66" s="32"/>
      <c r="F66" s="32"/>
      <c r="G66" s="69"/>
      <c r="H66" s="70"/>
      <c r="I66" s="69"/>
      <c r="J66" s="69"/>
      <c r="K66" s="69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10"/>
      <c r="D67" s="32"/>
      <c r="E67" s="69"/>
      <c r="F67" s="69"/>
      <c r="G67" s="69"/>
      <c r="H67" s="70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2"/>
      <c r="B68" s="2"/>
      <c r="C68" s="10"/>
      <c r="D68" s="32"/>
      <c r="E68" s="32"/>
      <c r="F68" s="32"/>
      <c r="G68" s="69"/>
      <c r="H68" s="70"/>
      <c r="I68" s="69"/>
      <c r="J68" s="69"/>
      <c r="K68" s="69"/>
      <c r="L68" s="94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2"/>
      <c r="B69" s="32"/>
      <c r="C69" s="95"/>
      <c r="D69" s="72"/>
      <c r="E69" s="69"/>
      <c r="F69" s="69"/>
      <c r="G69" s="69"/>
      <c r="H69" s="70"/>
      <c r="I69" s="69"/>
      <c r="J69" s="69"/>
      <c r="K69" s="69"/>
      <c r="L69" s="94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2"/>
      <c r="B70" s="32"/>
      <c r="C70" s="10"/>
      <c r="D70" s="10"/>
      <c r="E70" s="32"/>
      <c r="F70" s="32"/>
      <c r="G70" s="69"/>
      <c r="H70" s="70"/>
      <c r="I70" s="69"/>
      <c r="J70" s="69"/>
      <c r="K70" s="69"/>
      <c r="L70" s="94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32"/>
      <c r="C71" s="10"/>
      <c r="D71" s="10"/>
      <c r="E71" s="32"/>
      <c r="F71" s="32"/>
      <c r="G71" s="69"/>
      <c r="H71" s="70"/>
      <c r="I71" s="69"/>
      <c r="J71" s="69"/>
      <c r="K71" s="69"/>
      <c r="L71" s="94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32"/>
      <c r="C72" s="10"/>
      <c r="D72" s="10"/>
      <c r="E72" s="32"/>
      <c r="F72" s="32"/>
      <c r="G72" s="69"/>
      <c r="H72" s="70"/>
      <c r="I72" s="69"/>
      <c r="J72" s="69"/>
      <c r="K72" s="69"/>
      <c r="L72" s="94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2"/>
      <c r="B73" s="32"/>
      <c r="C73" s="10"/>
      <c r="D73" s="32"/>
      <c r="E73" s="69"/>
      <c r="F73" s="69"/>
      <c r="G73" s="69"/>
      <c r="H73" s="70"/>
      <c r="I73" s="69"/>
      <c r="J73" s="69"/>
      <c r="K73" s="69"/>
      <c r="L73" s="94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2"/>
      <c r="B74" s="2"/>
      <c r="C74" s="10"/>
      <c r="D74" s="32"/>
      <c r="E74" s="32"/>
      <c r="F74" s="32"/>
      <c r="G74" s="69"/>
      <c r="H74" s="70"/>
      <c r="I74" s="69"/>
      <c r="J74" s="69"/>
      <c r="K74" s="69"/>
      <c r="L74" s="94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2"/>
      <c r="B75" s="2"/>
      <c r="C75" s="10"/>
      <c r="D75" s="32"/>
      <c r="E75" s="32"/>
      <c r="F75" s="32"/>
      <c r="G75" s="69"/>
      <c r="H75" s="70"/>
      <c r="I75" s="69"/>
      <c r="J75" s="69"/>
      <c r="K75" s="69"/>
      <c r="L75" s="94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2"/>
      <c r="B76" s="2"/>
      <c r="C76" s="10"/>
      <c r="D76" s="32"/>
      <c r="E76" s="32"/>
      <c r="F76" s="32"/>
      <c r="G76" s="69"/>
      <c r="H76" s="70"/>
      <c r="I76" s="69"/>
      <c r="J76" s="69"/>
      <c r="K76" s="69"/>
      <c r="L76" s="94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94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2"/>
      <c r="B78" s="46"/>
      <c r="C78" s="10"/>
      <c r="D78" s="10"/>
      <c r="E78" s="32"/>
      <c r="F78" s="32"/>
      <c r="G78" s="69"/>
      <c r="H78" s="70"/>
      <c r="I78" s="69"/>
      <c r="J78" s="69"/>
      <c r="K78" s="69"/>
      <c r="L78" s="94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2"/>
      <c r="B79" s="46"/>
      <c r="C79" s="10"/>
      <c r="D79" s="10"/>
      <c r="E79" s="32"/>
      <c r="F79" s="32"/>
      <c r="G79" s="69"/>
      <c r="H79" s="70"/>
      <c r="I79" s="69"/>
      <c r="J79" s="69"/>
      <c r="K79" s="69"/>
      <c r="L79" s="94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2"/>
      <c r="B80" s="46"/>
      <c r="C80" s="10"/>
      <c r="D80" s="10"/>
      <c r="E80" s="32"/>
      <c r="F80" s="32"/>
      <c r="G80" s="69"/>
      <c r="H80" s="70"/>
      <c r="I80" s="69"/>
      <c r="J80" s="69"/>
      <c r="K80" s="69"/>
      <c r="L80" s="94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46"/>
      <c r="C81" s="10"/>
      <c r="D81" s="32"/>
      <c r="E81" s="69"/>
      <c r="F81" s="69"/>
      <c r="G81" s="69"/>
      <c r="H81" s="70"/>
      <c r="I81" s="69"/>
      <c r="J81" s="69"/>
      <c r="K81" s="69"/>
      <c r="L81" s="94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94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2"/>
      <c r="C83" s="10"/>
      <c r="D83" s="10"/>
      <c r="E83" s="32"/>
      <c r="F83" s="32"/>
      <c r="G83" s="69"/>
      <c r="H83" s="70"/>
      <c r="I83" s="69"/>
      <c r="J83" s="69"/>
      <c r="K83" s="69"/>
      <c r="L83" s="94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46"/>
      <c r="C84" s="10"/>
      <c r="D84" s="10"/>
      <c r="E84" s="32"/>
      <c r="F84" s="32"/>
      <c r="G84" s="69"/>
      <c r="H84" s="70"/>
      <c r="I84" s="69"/>
      <c r="J84" s="69"/>
      <c r="K84" s="69"/>
      <c r="L84" s="94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46"/>
      <c r="C85" s="10"/>
      <c r="D85" s="32"/>
      <c r="E85" s="69"/>
      <c r="F85" s="69"/>
      <c r="G85" s="69"/>
      <c r="H85" s="70"/>
      <c r="I85" s="69"/>
      <c r="J85" s="69"/>
      <c r="K85" s="69"/>
      <c r="L85" s="94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2"/>
      <c r="B86" s="46"/>
      <c r="C86" s="10"/>
      <c r="D86" s="10"/>
      <c r="E86" s="32"/>
      <c r="F86" s="32"/>
      <c r="G86" s="69"/>
      <c r="H86" s="70"/>
      <c r="I86" s="69"/>
      <c r="J86" s="69"/>
      <c r="K86" s="69"/>
      <c r="L86" s="94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32"/>
      <c r="C87" s="95"/>
      <c r="D87" s="72"/>
      <c r="E87" s="69"/>
      <c r="F87" s="69"/>
      <c r="G87" s="69"/>
      <c r="H87" s="70"/>
      <c r="I87" s="69"/>
      <c r="J87" s="69"/>
      <c r="K87" s="69"/>
      <c r="L87" s="94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32"/>
      <c r="C88" s="10"/>
      <c r="D88" s="32"/>
      <c r="E88" s="32"/>
      <c r="F88" s="32"/>
      <c r="G88" s="69"/>
      <c r="H88" s="70"/>
      <c r="I88" s="69"/>
      <c r="J88" s="69"/>
      <c r="K88" s="69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32"/>
      <c r="C89" s="10"/>
      <c r="D89" s="32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2"/>
      <c r="C90" s="10"/>
      <c r="D90" s="32"/>
      <c r="E90" s="32"/>
      <c r="F90" s="32"/>
      <c r="G90" s="69"/>
      <c r="H90" s="70"/>
      <c r="I90" s="69"/>
      <c r="J90" s="69"/>
      <c r="K90" s="69"/>
      <c r="L90" s="94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32"/>
      <c r="C91" s="10"/>
      <c r="D91" s="10"/>
      <c r="E91" s="32"/>
      <c r="F91" s="32"/>
      <c r="G91" s="69"/>
      <c r="H91" s="70"/>
      <c r="I91" s="69"/>
      <c r="J91" s="69"/>
      <c r="K91" s="69"/>
      <c r="L91" s="94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2"/>
      <c r="B92" s="32"/>
      <c r="C92" s="10"/>
      <c r="D92" s="32"/>
      <c r="E92" s="69"/>
      <c r="F92" s="69"/>
      <c r="G92" s="69"/>
      <c r="H92" s="70"/>
      <c r="I92" s="69"/>
      <c r="J92" s="69"/>
      <c r="K92" s="69"/>
      <c r="L92" s="94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2"/>
      <c r="B93" s="32"/>
      <c r="C93" s="10"/>
      <c r="D93" s="10"/>
      <c r="E93" s="32"/>
      <c r="F93" s="32"/>
      <c r="G93" s="69"/>
      <c r="H93" s="70"/>
      <c r="I93" s="69"/>
      <c r="J93" s="69"/>
      <c r="K93" s="69"/>
      <c r="L93" s="94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2"/>
      <c r="B94" s="32"/>
      <c r="C94" s="10"/>
      <c r="D94" s="10"/>
      <c r="E94" s="32"/>
      <c r="F94" s="32"/>
      <c r="G94" s="69"/>
      <c r="H94" s="70"/>
      <c r="I94" s="69"/>
      <c r="J94" s="69"/>
      <c r="K94" s="69"/>
      <c r="L94" s="94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2"/>
      <c r="B95" s="2"/>
      <c r="C95" s="10"/>
      <c r="D95" s="10"/>
      <c r="E95" s="32"/>
      <c r="F95" s="32"/>
      <c r="G95" s="69"/>
      <c r="H95" s="70"/>
      <c r="I95" s="69"/>
      <c r="J95" s="69"/>
      <c r="K95" s="69"/>
      <c r="L95" s="94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2"/>
      <c r="B96" s="2"/>
      <c r="C96" s="10"/>
      <c r="D96" s="10"/>
      <c r="E96" s="32"/>
      <c r="F96" s="32"/>
      <c r="G96" s="69"/>
      <c r="H96" s="70"/>
      <c r="I96" s="69"/>
      <c r="J96" s="69"/>
      <c r="K96" s="69"/>
      <c r="L96" s="94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46"/>
      <c r="C97" s="10"/>
      <c r="D97" s="10"/>
      <c r="E97" s="32"/>
      <c r="F97" s="32"/>
      <c r="G97" s="69"/>
      <c r="H97" s="70"/>
      <c r="I97" s="69"/>
      <c r="J97" s="69"/>
      <c r="K97" s="69"/>
      <c r="L97" s="94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46"/>
      <c r="C98" s="10"/>
      <c r="D98" s="10"/>
      <c r="E98" s="32"/>
      <c r="F98" s="32"/>
      <c r="G98" s="69"/>
      <c r="H98" s="70"/>
      <c r="I98" s="69"/>
      <c r="J98" s="69"/>
      <c r="K98" s="69"/>
      <c r="L98" s="94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2"/>
      <c r="C99" s="10"/>
      <c r="D99" s="10"/>
      <c r="E99" s="32"/>
      <c r="F99" s="32"/>
      <c r="G99" s="69"/>
      <c r="H99" s="70"/>
      <c r="I99" s="69"/>
      <c r="J99" s="69"/>
      <c r="K99" s="69"/>
      <c r="L99" s="94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2"/>
      <c r="C100" s="10"/>
      <c r="D100" s="10"/>
      <c r="E100" s="32"/>
      <c r="F100" s="32"/>
      <c r="G100" s="69"/>
      <c r="H100" s="70"/>
      <c r="I100" s="69"/>
      <c r="J100" s="69"/>
      <c r="K100" s="69"/>
      <c r="L100" s="94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2"/>
      <c r="C101" s="10"/>
      <c r="D101" s="10"/>
      <c r="E101" s="32"/>
      <c r="F101" s="32"/>
      <c r="G101" s="69"/>
      <c r="H101" s="70"/>
      <c r="I101" s="69"/>
      <c r="J101" s="69"/>
      <c r="K101" s="69"/>
      <c r="L101" s="94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2"/>
      <c r="C102" s="10"/>
      <c r="D102" s="10"/>
      <c r="E102" s="32"/>
      <c r="F102" s="32"/>
      <c r="G102" s="69"/>
      <c r="H102" s="70"/>
      <c r="I102" s="69"/>
      <c r="J102" s="69"/>
      <c r="K102" s="69"/>
      <c r="L102" s="94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46"/>
      <c r="C103" s="10"/>
      <c r="D103" s="10"/>
      <c r="E103" s="32"/>
      <c r="F103" s="32"/>
      <c r="G103" s="69"/>
      <c r="H103" s="70"/>
      <c r="I103" s="69"/>
      <c r="J103" s="69"/>
      <c r="K103" s="69"/>
      <c r="L103" s="94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46"/>
      <c r="C104" s="10"/>
      <c r="D104" s="32"/>
      <c r="E104" s="69"/>
      <c r="F104" s="69"/>
      <c r="G104" s="69"/>
      <c r="H104" s="70"/>
      <c r="I104" s="69"/>
      <c r="J104" s="69"/>
      <c r="K104" s="69"/>
      <c r="L104" s="94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46"/>
      <c r="C105" s="10"/>
      <c r="D105" s="10"/>
      <c r="E105" s="32"/>
      <c r="F105" s="32"/>
      <c r="G105" s="69"/>
      <c r="H105" s="70"/>
      <c r="I105" s="69"/>
      <c r="J105" s="69"/>
      <c r="K105" s="69"/>
      <c r="L105" s="94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46"/>
      <c r="C106" s="10"/>
      <c r="D106" s="10"/>
      <c r="E106" s="32"/>
      <c r="F106" s="32"/>
      <c r="G106" s="69"/>
      <c r="H106" s="70"/>
      <c r="I106" s="69"/>
      <c r="J106" s="69"/>
      <c r="K106" s="69"/>
      <c r="L106" s="94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32"/>
      <c r="B107" s="32"/>
      <c r="C107" s="10"/>
      <c r="D107" s="32"/>
      <c r="E107" s="32"/>
      <c r="F107" s="32"/>
      <c r="G107" s="69"/>
      <c r="H107" s="70"/>
      <c r="I107" s="69"/>
      <c r="J107" s="69"/>
      <c r="K107" s="69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32"/>
      <c r="B108" s="32"/>
      <c r="C108" s="10"/>
      <c r="D108" s="32"/>
      <c r="E108" s="32"/>
      <c r="F108" s="32"/>
      <c r="G108" s="69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32"/>
      <c r="B109" s="32"/>
      <c r="C109" s="10"/>
      <c r="D109" s="10"/>
      <c r="E109" s="32"/>
      <c r="F109" s="32"/>
      <c r="G109" s="69"/>
      <c r="H109" s="70"/>
      <c r="I109" s="69"/>
      <c r="J109" s="69"/>
      <c r="K109" s="69"/>
      <c r="L109" s="94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32"/>
      <c r="C110" s="10"/>
      <c r="D110" s="10"/>
      <c r="E110" s="32"/>
      <c r="F110" s="32"/>
      <c r="G110" s="69"/>
      <c r="H110" s="70"/>
      <c r="I110" s="69"/>
      <c r="J110" s="69"/>
      <c r="K110" s="69"/>
      <c r="L110" s="94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32"/>
      <c r="C111" s="10"/>
      <c r="D111" s="10"/>
      <c r="E111" s="32"/>
      <c r="F111" s="32"/>
      <c r="G111" s="69"/>
      <c r="H111" s="70"/>
      <c r="I111" s="69"/>
      <c r="J111" s="69"/>
      <c r="K111" s="69"/>
      <c r="L111" s="94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32"/>
      <c r="C112" s="10"/>
      <c r="D112" s="10"/>
      <c r="E112" s="32"/>
      <c r="F112" s="32"/>
      <c r="G112" s="69"/>
      <c r="H112" s="70"/>
      <c r="I112" s="69"/>
      <c r="J112" s="69"/>
      <c r="K112" s="69"/>
      <c r="L112" s="94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2"/>
      <c r="C113" s="10"/>
      <c r="D113" s="10"/>
      <c r="E113" s="32"/>
      <c r="F113" s="32"/>
      <c r="G113" s="69"/>
      <c r="H113" s="70"/>
      <c r="I113" s="69"/>
      <c r="J113" s="69"/>
      <c r="K113" s="69"/>
      <c r="L113" s="94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32"/>
      <c r="B114" s="2"/>
      <c r="C114" s="10"/>
      <c r="D114" s="10"/>
      <c r="E114" s="32"/>
      <c r="F114" s="32"/>
      <c r="G114" s="69"/>
      <c r="H114" s="70"/>
      <c r="I114" s="69"/>
      <c r="J114" s="69"/>
      <c r="K114" s="69"/>
      <c r="L114" s="94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32"/>
      <c r="B115" s="2"/>
      <c r="C115" s="10"/>
      <c r="D115" s="10"/>
      <c r="E115" s="32"/>
      <c r="F115" s="32"/>
      <c r="G115" s="69"/>
      <c r="H115" s="70"/>
      <c r="I115" s="69"/>
      <c r="J115" s="69"/>
      <c r="K115" s="69"/>
      <c r="L115" s="94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32"/>
      <c r="B116" s="2"/>
      <c r="C116" s="10"/>
      <c r="D116" s="32"/>
      <c r="E116" s="32"/>
      <c r="F116" s="32"/>
      <c r="G116" s="69"/>
      <c r="H116" s="70"/>
      <c r="I116" s="69"/>
      <c r="J116" s="69"/>
      <c r="K116" s="69"/>
      <c r="L116" s="94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32"/>
      <c r="B117" s="2"/>
      <c r="C117" s="10"/>
      <c r="D117" s="10"/>
      <c r="E117" s="32"/>
      <c r="F117" s="32"/>
      <c r="G117" s="69"/>
      <c r="H117" s="70"/>
      <c r="I117" s="69"/>
      <c r="J117" s="69"/>
      <c r="K117" s="69"/>
      <c r="L117" s="94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32"/>
      <c r="B118" s="2"/>
      <c r="C118" s="10"/>
      <c r="D118" s="10"/>
      <c r="E118" s="32"/>
      <c r="F118" s="32"/>
      <c r="G118" s="69"/>
      <c r="H118" s="70"/>
      <c r="I118" s="69"/>
      <c r="J118" s="69"/>
      <c r="K118" s="69"/>
      <c r="L118" s="94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32"/>
      <c r="B119" s="46"/>
      <c r="C119" s="10"/>
      <c r="D119" s="32"/>
      <c r="E119" s="32"/>
      <c r="F119" s="32"/>
      <c r="G119" s="69"/>
      <c r="H119" s="70"/>
      <c r="I119" s="69"/>
      <c r="J119" s="69"/>
      <c r="K119" s="69"/>
      <c r="L119" s="94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32"/>
      <c r="B120" s="46"/>
      <c r="C120" s="10"/>
      <c r="D120" s="10"/>
      <c r="E120" s="32"/>
      <c r="F120" s="32"/>
      <c r="G120" s="69"/>
      <c r="H120" s="70"/>
      <c r="I120" s="69"/>
      <c r="J120" s="69"/>
      <c r="K120" s="69"/>
      <c r="L120" s="94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32"/>
      <c r="B121" s="46"/>
      <c r="C121" s="10"/>
      <c r="D121" s="10"/>
      <c r="E121" s="32"/>
      <c r="F121" s="32"/>
      <c r="G121" s="69"/>
      <c r="H121" s="70"/>
      <c r="I121" s="69"/>
      <c r="J121" s="69"/>
      <c r="K121" s="69"/>
      <c r="L121" s="94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32"/>
      <c r="B122" s="46"/>
      <c r="C122" s="10"/>
      <c r="D122" s="10"/>
      <c r="E122" s="32"/>
      <c r="F122" s="32"/>
      <c r="G122" s="69"/>
      <c r="H122" s="70"/>
      <c r="I122" s="69"/>
      <c r="J122" s="69"/>
      <c r="K122" s="69"/>
      <c r="L122" s="94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32"/>
      <c r="B123" s="46"/>
      <c r="C123" s="10"/>
      <c r="D123" s="32"/>
      <c r="E123" s="32"/>
      <c r="F123" s="32"/>
      <c r="G123" s="69"/>
      <c r="H123" s="70"/>
      <c r="I123" s="69"/>
      <c r="J123" s="69"/>
      <c r="K123" s="69"/>
      <c r="L123" s="94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32"/>
      <c r="B124" s="46"/>
      <c r="C124" s="10"/>
      <c r="D124" s="10"/>
      <c r="E124" s="32"/>
      <c r="F124" s="32"/>
      <c r="G124" s="69"/>
      <c r="H124" s="70"/>
      <c r="I124" s="69"/>
      <c r="J124" s="69"/>
      <c r="K124" s="69"/>
      <c r="L124" s="94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32"/>
      <c r="B125" s="46"/>
      <c r="C125" s="10"/>
      <c r="D125" s="10"/>
      <c r="E125" s="32"/>
      <c r="F125" s="32"/>
      <c r="G125" s="69"/>
      <c r="H125" s="70"/>
      <c r="I125" s="69"/>
      <c r="J125" s="69"/>
      <c r="K125" s="69"/>
      <c r="L125" s="94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32"/>
      <c r="B126" s="46"/>
      <c r="C126" s="10"/>
      <c r="D126" s="10"/>
      <c r="E126" s="32"/>
      <c r="F126" s="32"/>
      <c r="G126" s="69"/>
      <c r="H126" s="70"/>
      <c r="I126" s="69"/>
      <c r="J126" s="69"/>
      <c r="K126" s="69"/>
      <c r="L126" s="94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32"/>
      <c r="C127" s="10"/>
      <c r="D127" s="32"/>
      <c r="E127" s="32"/>
      <c r="F127" s="32"/>
      <c r="G127" s="69"/>
      <c r="H127" s="70"/>
      <c r="I127" s="69"/>
      <c r="J127" s="69"/>
      <c r="K127" s="69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32"/>
      <c r="C128" s="10"/>
      <c r="D128" s="32"/>
      <c r="E128" s="32"/>
      <c r="F128" s="32"/>
      <c r="G128" s="69"/>
      <c r="H128" s="70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2"/>
      <c r="B129" s="32"/>
      <c r="C129" s="10"/>
      <c r="D129" s="32"/>
      <c r="E129" s="69"/>
      <c r="F129" s="69"/>
      <c r="G129" s="69"/>
      <c r="H129" s="70"/>
      <c r="I129" s="69"/>
      <c r="J129" s="69"/>
      <c r="K129" s="69"/>
      <c r="L129" s="94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2"/>
      <c r="B130" s="32"/>
      <c r="C130" s="10"/>
      <c r="D130" s="32"/>
      <c r="E130" s="32"/>
      <c r="F130" s="32"/>
      <c r="G130" s="69"/>
      <c r="H130" s="70"/>
      <c r="I130" s="69"/>
      <c r="J130" s="69"/>
      <c r="K130" s="69"/>
      <c r="L130" s="94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2"/>
      <c r="B131" s="32"/>
      <c r="C131" s="10"/>
      <c r="D131" s="10"/>
      <c r="E131" s="32"/>
      <c r="F131" s="32"/>
      <c r="G131" s="69"/>
      <c r="H131" s="70"/>
      <c r="I131" s="69"/>
      <c r="J131" s="69"/>
      <c r="K131" s="69"/>
      <c r="L131" s="94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2"/>
      <c r="B132" s="32"/>
      <c r="C132" s="10"/>
      <c r="D132" s="10"/>
      <c r="E132" s="32"/>
      <c r="F132" s="32"/>
      <c r="G132" s="69"/>
      <c r="H132" s="70"/>
      <c r="I132" s="69"/>
      <c r="J132" s="69"/>
      <c r="K132" s="69"/>
      <c r="L132" s="94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2"/>
      <c r="B133" s="2"/>
      <c r="C133" s="10"/>
      <c r="D133" s="10"/>
      <c r="E133" s="32"/>
      <c r="F133" s="32"/>
      <c r="G133" s="69"/>
      <c r="H133" s="70"/>
      <c r="I133" s="69"/>
      <c r="J133" s="69"/>
      <c r="K133" s="69"/>
      <c r="L133" s="94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2"/>
      <c r="B134" s="2"/>
      <c r="C134" s="10"/>
      <c r="D134" s="10"/>
      <c r="E134" s="69"/>
      <c r="F134" s="69"/>
      <c r="G134" s="69"/>
      <c r="H134" s="70"/>
      <c r="I134" s="69"/>
      <c r="J134" s="69"/>
      <c r="K134" s="69"/>
      <c r="L134" s="94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2"/>
      <c r="B135" s="2"/>
      <c r="C135" s="10"/>
      <c r="D135" s="32"/>
      <c r="E135" s="69"/>
      <c r="F135" s="69"/>
      <c r="G135" s="69"/>
      <c r="H135" s="70"/>
      <c r="I135" s="69"/>
      <c r="J135" s="69"/>
      <c r="K135" s="69"/>
      <c r="L135" s="94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2"/>
      <c r="B136" s="2"/>
      <c r="C136" s="10"/>
      <c r="D136" s="32"/>
      <c r="E136" s="69"/>
      <c r="F136" s="69"/>
      <c r="G136" s="69"/>
      <c r="H136" s="70"/>
      <c r="I136" s="69"/>
      <c r="J136" s="69"/>
      <c r="K136" s="69"/>
      <c r="L136" s="94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2"/>
      <c r="B137" s="2"/>
      <c r="C137" s="10"/>
      <c r="D137" s="10"/>
      <c r="E137" s="69"/>
      <c r="F137" s="69"/>
      <c r="G137" s="69"/>
      <c r="H137" s="70"/>
      <c r="I137" s="69"/>
      <c r="J137" s="69"/>
      <c r="K137" s="69"/>
      <c r="L137" s="94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2"/>
      <c r="B138" s="2"/>
      <c r="C138" s="10"/>
      <c r="D138" s="10"/>
      <c r="E138" s="32"/>
      <c r="F138" s="32"/>
      <c r="G138" s="69"/>
      <c r="H138" s="70"/>
      <c r="I138" s="69"/>
      <c r="J138" s="69"/>
      <c r="K138" s="69"/>
      <c r="L138" s="94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2"/>
      <c r="B139" s="46"/>
      <c r="C139" s="10"/>
      <c r="D139" s="10"/>
      <c r="E139" s="69"/>
      <c r="F139" s="69"/>
      <c r="G139" s="69"/>
      <c r="H139" s="70"/>
      <c r="I139" s="69"/>
      <c r="J139" s="69"/>
      <c r="K139" s="69"/>
      <c r="L139" s="94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2"/>
      <c r="B140" s="46"/>
      <c r="C140" s="10"/>
      <c r="D140" s="10"/>
      <c r="E140" s="32"/>
      <c r="F140" s="32"/>
      <c r="G140" s="69"/>
      <c r="H140" s="70"/>
      <c r="I140" s="69"/>
      <c r="J140" s="69"/>
      <c r="K140" s="69"/>
      <c r="L140" s="94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2"/>
      <c r="B141" s="46"/>
      <c r="C141" s="10"/>
      <c r="D141" s="10"/>
      <c r="E141" s="69"/>
      <c r="F141" s="69"/>
      <c r="G141" s="69"/>
      <c r="H141" s="70"/>
      <c r="I141" s="69"/>
      <c r="J141" s="69"/>
      <c r="K141" s="69"/>
      <c r="L141" s="94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46"/>
      <c r="C142" s="10"/>
      <c r="D142" s="10"/>
      <c r="E142" s="69"/>
      <c r="F142" s="69"/>
      <c r="G142" s="69"/>
      <c r="H142" s="70"/>
      <c r="I142" s="69"/>
      <c r="J142" s="69"/>
      <c r="K142" s="69"/>
      <c r="L142" s="94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46"/>
      <c r="C143" s="10"/>
      <c r="D143" s="32"/>
      <c r="E143" s="32"/>
      <c r="F143" s="32"/>
      <c r="G143" s="69"/>
      <c r="H143" s="70"/>
      <c r="I143" s="69"/>
      <c r="J143" s="69"/>
      <c r="K143" s="69"/>
      <c r="L143" s="94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46"/>
      <c r="C144" s="10"/>
      <c r="D144" s="10"/>
      <c r="E144" s="32"/>
      <c r="F144" s="32"/>
      <c r="G144" s="69"/>
      <c r="H144" s="70"/>
      <c r="I144" s="69"/>
      <c r="J144" s="69"/>
      <c r="K144" s="69"/>
      <c r="L144" s="94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2"/>
      <c r="B145" s="46"/>
      <c r="C145" s="10"/>
      <c r="D145" s="10"/>
      <c r="E145" s="69"/>
      <c r="F145" s="69"/>
      <c r="G145" s="69"/>
      <c r="H145" s="70"/>
      <c r="I145" s="69"/>
      <c r="J145" s="69"/>
      <c r="K145" s="69"/>
      <c r="L145" s="94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46"/>
      <c r="C146" s="10"/>
      <c r="D146" s="10"/>
      <c r="E146" s="32"/>
      <c r="F146" s="32"/>
      <c r="G146" s="69"/>
      <c r="H146" s="70"/>
      <c r="I146" s="69"/>
      <c r="J146" s="69"/>
      <c r="K146" s="69"/>
      <c r="L146" s="94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32"/>
      <c r="C147" s="10"/>
      <c r="D147" s="32"/>
      <c r="E147" s="32"/>
      <c r="F147" s="32"/>
      <c r="G147" s="69"/>
      <c r="H147" s="70"/>
      <c r="I147" s="69"/>
      <c r="J147" s="69"/>
      <c r="K147" s="69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2"/>
      <c r="C148" s="10"/>
      <c r="D148" s="10"/>
      <c r="E148" s="32"/>
      <c r="F148" s="32"/>
      <c r="G148" s="69"/>
      <c r="H148" s="70"/>
      <c r="I148" s="69"/>
      <c r="J148" s="69"/>
      <c r="K148" s="69"/>
      <c r="L148" s="94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2"/>
      <c r="C149" s="10"/>
      <c r="D149" s="10"/>
      <c r="E149" s="32"/>
      <c r="F149" s="32"/>
      <c r="G149" s="69"/>
      <c r="H149" s="70"/>
      <c r="I149" s="69"/>
      <c r="J149" s="69"/>
      <c r="K149" s="69"/>
      <c r="L149" s="94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2"/>
      <c r="C150" s="10"/>
      <c r="D150" s="10"/>
      <c r="E150" s="32"/>
      <c r="F150" s="32"/>
      <c r="G150" s="69"/>
      <c r="H150" s="70"/>
      <c r="I150" s="69"/>
      <c r="J150" s="69"/>
      <c r="K150" s="69"/>
      <c r="L150" s="94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46"/>
      <c r="C151" s="10"/>
      <c r="D151" s="10"/>
      <c r="E151" s="32"/>
      <c r="F151" s="32"/>
      <c r="G151" s="69"/>
      <c r="H151" s="70"/>
      <c r="I151" s="69"/>
      <c r="J151" s="69"/>
      <c r="K151" s="69"/>
      <c r="L151" s="94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46"/>
      <c r="C152" s="10"/>
      <c r="D152" s="32"/>
      <c r="E152" s="69"/>
      <c r="F152" s="69"/>
      <c r="G152" s="69"/>
      <c r="H152" s="70"/>
      <c r="I152" s="69"/>
      <c r="J152" s="69"/>
      <c r="K152" s="69"/>
      <c r="L152" s="94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32"/>
      <c r="E153" s="32"/>
      <c r="F153" s="32"/>
      <c r="G153" s="69"/>
      <c r="H153" s="70"/>
      <c r="I153" s="69"/>
      <c r="J153" s="69"/>
      <c r="K153" s="69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2"/>
      <c r="C154" s="10"/>
      <c r="D154" s="10"/>
      <c r="E154" s="32"/>
      <c r="F154" s="32"/>
      <c r="G154" s="69"/>
      <c r="H154" s="70"/>
      <c r="I154" s="69"/>
      <c r="J154" s="69"/>
      <c r="K154" s="69"/>
      <c r="L154" s="94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32"/>
      <c r="E155" s="32"/>
      <c r="F155" s="32"/>
      <c r="G155" s="69"/>
      <c r="H155" s="70"/>
      <c r="I155" s="69"/>
      <c r="J155" s="69"/>
      <c r="K155" s="69"/>
      <c r="L155" s="94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69"/>
      <c r="H156" s="70"/>
      <c r="I156" s="69"/>
      <c r="J156" s="69"/>
      <c r="K156" s="69"/>
      <c r="L156" s="94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2"/>
      <c r="C157" s="10"/>
      <c r="D157" s="10"/>
      <c r="E157" s="32"/>
      <c r="F157" s="32"/>
      <c r="G157" s="69"/>
      <c r="H157" s="70"/>
      <c r="I157" s="69"/>
      <c r="J157" s="69"/>
      <c r="K157" s="69"/>
      <c r="L157" s="94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2"/>
      <c r="C158" s="10"/>
      <c r="D158" s="10"/>
      <c r="E158" s="32"/>
      <c r="F158" s="32"/>
      <c r="G158" s="69"/>
      <c r="H158" s="70"/>
      <c r="I158" s="69"/>
      <c r="J158" s="69"/>
      <c r="K158" s="69"/>
      <c r="L158" s="94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2"/>
      <c r="C159" s="10"/>
      <c r="D159" s="32"/>
      <c r="E159" s="69"/>
      <c r="F159" s="69"/>
      <c r="G159" s="69"/>
      <c r="H159" s="70"/>
      <c r="I159" s="69"/>
      <c r="J159" s="69"/>
      <c r="K159" s="69"/>
      <c r="L159" s="94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46"/>
      <c r="C160" s="10"/>
      <c r="D160" s="32"/>
      <c r="E160" s="69"/>
      <c r="F160" s="69"/>
      <c r="G160" s="69"/>
      <c r="H160" s="70"/>
      <c r="I160" s="69"/>
      <c r="J160" s="69"/>
      <c r="K160" s="69"/>
      <c r="L160" s="94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46"/>
      <c r="C161" s="10"/>
      <c r="D161" s="32"/>
      <c r="E161" s="69"/>
      <c r="F161" s="69"/>
      <c r="G161" s="69"/>
      <c r="H161" s="70"/>
      <c r="I161" s="69"/>
      <c r="J161" s="69"/>
      <c r="K161" s="69"/>
      <c r="L161" s="94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46"/>
      <c r="C162" s="10"/>
      <c r="D162" s="10"/>
      <c r="E162" s="32"/>
      <c r="F162" s="32"/>
      <c r="G162" s="69"/>
      <c r="H162" s="70"/>
      <c r="I162" s="69"/>
      <c r="J162" s="69"/>
      <c r="K162" s="69"/>
      <c r="L162" s="94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46"/>
      <c r="C163" s="10"/>
      <c r="D163" s="10"/>
      <c r="E163" s="32"/>
      <c r="F163" s="32"/>
      <c r="G163" s="69"/>
      <c r="H163" s="70"/>
      <c r="I163" s="69"/>
      <c r="J163" s="69"/>
      <c r="K163" s="69"/>
      <c r="L163" s="94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46"/>
      <c r="C164" s="10"/>
      <c r="D164" s="32"/>
      <c r="E164" s="69"/>
      <c r="F164" s="69"/>
      <c r="G164" s="69"/>
      <c r="H164" s="70"/>
      <c r="I164" s="69"/>
      <c r="J164" s="69"/>
      <c r="K164" s="69"/>
      <c r="L164" s="94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10"/>
      <c r="D165" s="32"/>
      <c r="E165" s="69"/>
      <c r="F165" s="69"/>
      <c r="G165" s="69"/>
      <c r="H165" s="70"/>
      <c r="I165" s="69"/>
      <c r="J165" s="69"/>
      <c r="K165" s="69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32"/>
      <c r="E166" s="32"/>
      <c r="F166" s="32"/>
      <c r="G166" s="69"/>
      <c r="H166" s="70"/>
      <c r="I166" s="69"/>
      <c r="J166" s="69"/>
      <c r="K166" s="69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2"/>
      <c r="C167" s="10"/>
      <c r="D167" s="10"/>
      <c r="E167" s="69"/>
      <c r="F167" s="69"/>
      <c r="G167" s="69"/>
      <c r="H167" s="70"/>
      <c r="I167" s="69"/>
      <c r="J167" s="69"/>
      <c r="K167" s="69"/>
      <c r="L167" s="94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69"/>
      <c r="H168" s="70"/>
      <c r="I168" s="69"/>
      <c r="J168" s="69"/>
      <c r="K168" s="69"/>
      <c r="L168" s="94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2"/>
      <c r="B169" s="32"/>
      <c r="C169" s="10"/>
      <c r="D169" s="32"/>
      <c r="E169" s="69"/>
      <c r="F169" s="69"/>
      <c r="G169" s="69"/>
      <c r="H169" s="70"/>
      <c r="I169" s="69"/>
      <c r="J169" s="69"/>
      <c r="K169" s="69"/>
      <c r="L169" s="94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2"/>
      <c r="B170" s="32"/>
      <c r="C170" s="10"/>
      <c r="D170" s="10"/>
      <c r="E170" s="32"/>
      <c r="F170" s="32"/>
      <c r="G170" s="69"/>
      <c r="H170" s="70"/>
      <c r="I170" s="69"/>
      <c r="J170" s="69"/>
      <c r="K170" s="69"/>
      <c r="L170" s="94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10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10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10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10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10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10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10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10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10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10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10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10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10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10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10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10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10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10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10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10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10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10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10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10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10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10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10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3" width="12.6640625" customWidth="1"/>
    <col min="14" max="20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521</v>
      </c>
      <c r="D1" s="63" t="s">
        <v>522</v>
      </c>
      <c r="E1" s="63" t="s">
        <v>399</v>
      </c>
      <c r="F1" s="62" t="s">
        <v>400</v>
      </c>
      <c r="G1" s="62" t="s">
        <v>401</v>
      </c>
      <c r="H1" s="62" t="s">
        <v>402</v>
      </c>
      <c r="I1" s="62" t="s">
        <v>403</v>
      </c>
      <c r="J1" s="64" t="s">
        <v>404</v>
      </c>
      <c r="K1" s="62" t="s">
        <v>405</v>
      </c>
      <c r="L1" s="65" t="s">
        <v>406</v>
      </c>
      <c r="M1" s="65" t="s">
        <v>407</v>
      </c>
      <c r="N1" s="65" t="s">
        <v>408</v>
      </c>
      <c r="O1" s="66" t="s">
        <v>409</v>
      </c>
      <c r="P1" s="66" t="s">
        <v>294</v>
      </c>
      <c r="Q1" s="66" t="s">
        <v>410</v>
      </c>
      <c r="R1" s="67" t="s">
        <v>283</v>
      </c>
      <c r="S1" s="67" t="s">
        <v>284</v>
      </c>
      <c r="T1" s="68" t="s">
        <v>285</v>
      </c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48</v>
      </c>
      <c r="C2" s="2" t="s">
        <v>581</v>
      </c>
      <c r="D2" s="2" t="s">
        <v>582</v>
      </c>
      <c r="E2" s="2" t="s">
        <v>583</v>
      </c>
      <c r="F2" s="32" t="s">
        <v>584</v>
      </c>
      <c r="G2" s="69">
        <v>-29594.720000000001</v>
      </c>
      <c r="H2" s="69">
        <v>4389.53</v>
      </c>
      <c r="I2" s="69">
        <f t="shared" ref="I2:I6" si="0">H2*0.745</f>
        <v>3270.19985</v>
      </c>
      <c r="J2" s="70">
        <v>1</v>
      </c>
      <c r="K2" s="69">
        <f t="shared" ref="K2:K6" si="1">(G2+I2)*J2</f>
        <v>-26324.52015</v>
      </c>
      <c r="L2" s="61">
        <v>0</v>
      </c>
      <c r="M2" s="61">
        <f t="shared" ref="M2:M6" si="2">H2*0.255*J2</f>
        <v>1119.33015</v>
      </c>
      <c r="N2" s="61">
        <f>SUM(L:M)</f>
        <v>2246.3944499999998</v>
      </c>
      <c r="O2" s="2" t="s">
        <v>412</v>
      </c>
      <c r="P2" s="2" t="s">
        <v>413</v>
      </c>
      <c r="Q2" s="32">
        <v>0</v>
      </c>
      <c r="R2" s="32">
        <f>SUM(K:K)</f>
        <v>-31554.404449999998</v>
      </c>
      <c r="S2" s="32">
        <f>SUM(Q:Q)</f>
        <v>32976.01</v>
      </c>
      <c r="T2" s="32">
        <f>R2+S2</f>
        <v>1421.6055500000039</v>
      </c>
      <c r="U2" s="2"/>
      <c r="V2" s="2"/>
      <c r="W2" s="2"/>
      <c r="X2" s="2"/>
      <c r="Y2" s="2"/>
      <c r="Z2" s="2"/>
    </row>
    <row r="3" spans="1:26" ht="15.75" customHeight="1" x14ac:dyDescent="0.3">
      <c r="A3" s="2" t="s">
        <v>317</v>
      </c>
      <c r="B3" s="32" t="s">
        <v>48</v>
      </c>
      <c r="C3" s="2" t="s">
        <v>585</v>
      </c>
      <c r="D3" s="2" t="s">
        <v>586</v>
      </c>
      <c r="E3" s="2" t="s">
        <v>587</v>
      </c>
      <c r="F3" s="32" t="s">
        <v>588</v>
      </c>
      <c r="G3" s="69">
        <v>12365.4</v>
      </c>
      <c r="H3" s="69">
        <v>877.96</v>
      </c>
      <c r="I3" s="69">
        <f t="shared" si="0"/>
        <v>654.08019999999999</v>
      </c>
      <c r="J3" s="70">
        <v>1</v>
      </c>
      <c r="K3" s="69">
        <f t="shared" si="1"/>
        <v>13019.4802</v>
      </c>
      <c r="L3" s="61">
        <v>0</v>
      </c>
      <c r="M3" s="61">
        <f t="shared" si="2"/>
        <v>223.87980000000002</v>
      </c>
      <c r="N3" s="61"/>
      <c r="O3" s="2" t="s">
        <v>304</v>
      </c>
      <c r="P3" s="2" t="s">
        <v>589</v>
      </c>
      <c r="Q3" s="32">
        <v>-16039.08</v>
      </c>
      <c r="R3" s="32"/>
      <c r="S3" s="32"/>
      <c r="T3" s="32"/>
      <c r="U3" s="2"/>
      <c r="V3" s="2"/>
      <c r="W3" s="2"/>
      <c r="X3" s="2"/>
      <c r="Y3" s="2"/>
      <c r="Z3" s="2"/>
    </row>
    <row r="4" spans="1:26" ht="15.75" customHeight="1" x14ac:dyDescent="0.3">
      <c r="A4" s="2" t="s">
        <v>325</v>
      </c>
      <c r="B4" s="32" t="s">
        <v>48</v>
      </c>
      <c r="C4" s="10" t="s">
        <v>581</v>
      </c>
      <c r="D4" s="10" t="s">
        <v>582</v>
      </c>
      <c r="E4" s="10" t="s">
        <v>583</v>
      </c>
      <c r="F4" s="46" t="s">
        <v>584</v>
      </c>
      <c r="G4" s="69">
        <v>-2304.0700000000002</v>
      </c>
      <c r="H4" s="69">
        <v>183.96</v>
      </c>
      <c r="I4" s="69">
        <f t="shared" si="0"/>
        <v>137.05020000000002</v>
      </c>
      <c r="J4" s="70">
        <v>1</v>
      </c>
      <c r="K4" s="69">
        <f t="shared" si="1"/>
        <v>-2167.0198</v>
      </c>
      <c r="L4" s="61">
        <v>0</v>
      </c>
      <c r="M4" s="61">
        <f t="shared" si="2"/>
        <v>46.909800000000004</v>
      </c>
      <c r="N4" s="61"/>
      <c r="O4" s="2" t="s">
        <v>304</v>
      </c>
      <c r="P4" s="2" t="s">
        <v>590</v>
      </c>
      <c r="Q4" s="32">
        <v>60</v>
      </c>
      <c r="R4" s="32"/>
      <c r="S4" s="32"/>
      <c r="T4" s="32"/>
      <c r="U4" s="2"/>
      <c r="V4" s="2"/>
      <c r="W4" s="2"/>
      <c r="X4" s="2"/>
      <c r="Y4" s="2"/>
      <c r="Z4" s="2"/>
    </row>
    <row r="5" spans="1:26" ht="15.75" customHeight="1" x14ac:dyDescent="0.3">
      <c r="A5" s="32" t="s">
        <v>332</v>
      </c>
      <c r="B5" s="32" t="s">
        <v>48</v>
      </c>
      <c r="C5" s="10" t="s">
        <v>591</v>
      </c>
      <c r="D5" s="10" t="s">
        <v>592</v>
      </c>
      <c r="E5" s="10" t="s">
        <v>593</v>
      </c>
      <c r="F5" s="46" t="s">
        <v>594</v>
      </c>
      <c r="G5" s="69">
        <v>-64</v>
      </c>
      <c r="H5" s="69">
        <v>954.97</v>
      </c>
      <c r="I5" s="69">
        <f t="shared" si="0"/>
        <v>711.45265000000006</v>
      </c>
      <c r="J5" s="70">
        <v>1</v>
      </c>
      <c r="K5" s="69">
        <f t="shared" si="1"/>
        <v>647.45265000000006</v>
      </c>
      <c r="L5" s="61">
        <v>0</v>
      </c>
      <c r="M5" s="61">
        <f t="shared" si="2"/>
        <v>243.51735000000002</v>
      </c>
      <c r="N5" s="61"/>
      <c r="O5" s="32" t="s">
        <v>312</v>
      </c>
      <c r="P5" s="32" t="s">
        <v>529</v>
      </c>
      <c r="Q5" s="69">
        <v>42303.6</v>
      </c>
      <c r="R5" s="32"/>
      <c r="S5" s="32"/>
      <c r="T5" s="32"/>
      <c r="U5" s="2"/>
      <c r="V5" s="2"/>
      <c r="W5" s="2"/>
      <c r="X5" s="2"/>
      <c r="Y5" s="2"/>
      <c r="Z5" s="2"/>
    </row>
    <row r="6" spans="1:26" ht="15.75" customHeight="1" x14ac:dyDescent="0.3">
      <c r="A6" s="32" t="s">
        <v>332</v>
      </c>
      <c r="B6" s="32" t="s">
        <v>48</v>
      </c>
      <c r="C6" s="10" t="s">
        <v>581</v>
      </c>
      <c r="D6" s="10" t="s">
        <v>582</v>
      </c>
      <c r="E6" s="10" t="s">
        <v>583</v>
      </c>
      <c r="F6" s="10" t="s">
        <v>584</v>
      </c>
      <c r="G6" s="69">
        <v>-18520.009999999998</v>
      </c>
      <c r="H6" s="69">
        <v>2402.9699999999998</v>
      </c>
      <c r="I6" s="69">
        <f t="shared" si="0"/>
        <v>1790.2126499999999</v>
      </c>
      <c r="J6" s="70">
        <v>1</v>
      </c>
      <c r="K6" s="69">
        <f t="shared" si="1"/>
        <v>-16729.797349999997</v>
      </c>
      <c r="L6" s="61">
        <v>0</v>
      </c>
      <c r="M6" s="61">
        <f t="shared" si="2"/>
        <v>612.75734999999997</v>
      </c>
      <c r="N6" s="61"/>
      <c r="O6" s="32" t="s">
        <v>295</v>
      </c>
      <c r="P6" s="32" t="s">
        <v>595</v>
      </c>
      <c r="Q6" s="69">
        <v>30</v>
      </c>
      <c r="R6" s="32"/>
      <c r="S6" s="32"/>
      <c r="T6" s="3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340</v>
      </c>
      <c r="B7" s="46" t="s">
        <v>468</v>
      </c>
      <c r="C7" s="10" t="s">
        <v>468</v>
      </c>
      <c r="D7" s="10" t="s">
        <v>468</v>
      </c>
      <c r="E7" s="10" t="s">
        <v>468</v>
      </c>
      <c r="F7" s="10" t="s">
        <v>468</v>
      </c>
      <c r="G7" s="46" t="s">
        <v>468</v>
      </c>
      <c r="H7" s="46" t="s">
        <v>468</v>
      </c>
      <c r="I7" s="46" t="s">
        <v>468</v>
      </c>
      <c r="J7" s="81" t="s">
        <v>468</v>
      </c>
      <c r="K7" s="46" t="s">
        <v>468</v>
      </c>
      <c r="L7" s="82" t="s">
        <v>468</v>
      </c>
      <c r="M7" s="82" t="s">
        <v>468</v>
      </c>
      <c r="N7" s="61"/>
      <c r="O7" s="2" t="s">
        <v>295</v>
      </c>
      <c r="P7" s="2" t="s">
        <v>596</v>
      </c>
      <c r="Q7" s="32">
        <v>18947.89</v>
      </c>
      <c r="R7" s="32"/>
      <c r="S7" s="32"/>
      <c r="T7" s="3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359</v>
      </c>
      <c r="B8" s="46" t="s">
        <v>468</v>
      </c>
      <c r="C8" s="10" t="s">
        <v>468</v>
      </c>
      <c r="D8" s="10" t="s">
        <v>468</v>
      </c>
      <c r="E8" s="10" t="s">
        <v>468</v>
      </c>
      <c r="F8" s="10" t="s">
        <v>468</v>
      </c>
      <c r="G8" s="46" t="s">
        <v>468</v>
      </c>
      <c r="H8" s="46" t="s">
        <v>468</v>
      </c>
      <c r="I8" s="46" t="s">
        <v>468</v>
      </c>
      <c r="J8" s="81" t="s">
        <v>468</v>
      </c>
      <c r="K8" s="46" t="s">
        <v>468</v>
      </c>
      <c r="L8" s="82" t="s">
        <v>468</v>
      </c>
      <c r="M8" s="82" t="s">
        <v>468</v>
      </c>
      <c r="N8" s="61"/>
      <c r="O8" s="2" t="s">
        <v>597</v>
      </c>
      <c r="P8" s="2" t="s">
        <v>529</v>
      </c>
      <c r="Q8" s="32">
        <v>-31997.37</v>
      </c>
      <c r="R8" s="32"/>
      <c r="S8" s="32"/>
      <c r="T8" s="32"/>
      <c r="U8" s="2"/>
      <c r="V8" s="2"/>
      <c r="W8" s="2"/>
      <c r="X8" s="2"/>
      <c r="Y8" s="2"/>
      <c r="Z8" s="2"/>
    </row>
    <row r="9" spans="1:26" ht="15.75" customHeight="1" x14ac:dyDescent="0.3">
      <c r="A9" s="2" t="s">
        <v>366</v>
      </c>
      <c r="B9" s="46" t="s">
        <v>468</v>
      </c>
      <c r="C9" s="10" t="s">
        <v>468</v>
      </c>
      <c r="D9" s="10" t="s">
        <v>468</v>
      </c>
      <c r="E9" s="10" t="s">
        <v>468</v>
      </c>
      <c r="F9" s="10" t="s">
        <v>468</v>
      </c>
      <c r="G9" s="46" t="s">
        <v>468</v>
      </c>
      <c r="H9" s="46" t="s">
        <v>468</v>
      </c>
      <c r="I9" s="46" t="s">
        <v>468</v>
      </c>
      <c r="J9" s="81" t="s">
        <v>468</v>
      </c>
      <c r="K9" s="46" t="s">
        <v>468</v>
      </c>
      <c r="L9" s="82" t="s">
        <v>468</v>
      </c>
      <c r="M9" s="82" t="s">
        <v>468</v>
      </c>
      <c r="N9" s="61"/>
      <c r="O9" s="2" t="s">
        <v>299</v>
      </c>
      <c r="P9" s="2" t="s">
        <v>598</v>
      </c>
      <c r="Q9" s="32">
        <v>-6146.2</v>
      </c>
      <c r="R9" s="32"/>
      <c r="S9" s="32"/>
      <c r="T9" s="3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370</v>
      </c>
      <c r="B10" s="46" t="s">
        <v>468</v>
      </c>
      <c r="C10" s="10" t="s">
        <v>468</v>
      </c>
      <c r="D10" s="10" t="s">
        <v>468</v>
      </c>
      <c r="E10" s="10" t="s">
        <v>468</v>
      </c>
      <c r="F10" s="10" t="s">
        <v>468</v>
      </c>
      <c r="G10" s="46" t="s">
        <v>468</v>
      </c>
      <c r="H10" s="46" t="s">
        <v>468</v>
      </c>
      <c r="I10" s="46" t="s">
        <v>468</v>
      </c>
      <c r="J10" s="81" t="s">
        <v>468</v>
      </c>
      <c r="K10" s="46" t="s">
        <v>468</v>
      </c>
      <c r="L10" s="82" t="s">
        <v>468</v>
      </c>
      <c r="M10" s="82" t="s">
        <v>468</v>
      </c>
      <c r="N10" s="61"/>
      <c r="O10" s="2" t="s">
        <v>530</v>
      </c>
      <c r="P10" s="2" t="s">
        <v>529</v>
      </c>
      <c r="Q10" s="32">
        <v>8313.2199999999993</v>
      </c>
      <c r="R10" s="32"/>
      <c r="S10" s="32"/>
      <c r="T10" s="3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372</v>
      </c>
      <c r="B11" s="46" t="s">
        <v>468</v>
      </c>
      <c r="C11" s="10" t="s">
        <v>468</v>
      </c>
      <c r="D11" s="10" t="s">
        <v>468</v>
      </c>
      <c r="E11" s="10" t="s">
        <v>468</v>
      </c>
      <c r="F11" s="10" t="s">
        <v>468</v>
      </c>
      <c r="G11" s="46" t="s">
        <v>468</v>
      </c>
      <c r="H11" s="46" t="s">
        <v>468</v>
      </c>
      <c r="I11" s="46" t="s">
        <v>468</v>
      </c>
      <c r="J11" s="81" t="s">
        <v>468</v>
      </c>
      <c r="K11" s="46" t="s">
        <v>468</v>
      </c>
      <c r="L11" s="82" t="s">
        <v>468</v>
      </c>
      <c r="M11" s="82" t="s">
        <v>468</v>
      </c>
      <c r="N11" s="61"/>
      <c r="O11" s="2" t="s">
        <v>599</v>
      </c>
      <c r="P11" s="2" t="s">
        <v>600</v>
      </c>
      <c r="Q11" s="32">
        <v>10</v>
      </c>
      <c r="R11" s="32"/>
      <c r="S11" s="32"/>
      <c r="T11" s="3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377</v>
      </c>
      <c r="B12" s="46" t="s">
        <v>468</v>
      </c>
      <c r="C12" s="10" t="s">
        <v>468</v>
      </c>
      <c r="D12" s="10" t="s">
        <v>468</v>
      </c>
      <c r="E12" s="10" t="s">
        <v>468</v>
      </c>
      <c r="F12" s="10" t="s">
        <v>468</v>
      </c>
      <c r="G12" s="46" t="s">
        <v>468</v>
      </c>
      <c r="H12" s="46" t="s">
        <v>468</v>
      </c>
      <c r="I12" s="46" t="s">
        <v>468</v>
      </c>
      <c r="J12" s="81" t="s">
        <v>468</v>
      </c>
      <c r="K12" s="46" t="s">
        <v>468</v>
      </c>
      <c r="L12" s="82" t="s">
        <v>468</v>
      </c>
      <c r="M12" s="82" t="s">
        <v>468</v>
      </c>
      <c r="N12" s="61"/>
      <c r="O12" s="2" t="s">
        <v>301</v>
      </c>
      <c r="P12" s="2" t="s">
        <v>600</v>
      </c>
      <c r="Q12" s="32">
        <v>10</v>
      </c>
      <c r="R12" s="32"/>
      <c r="S12" s="32"/>
      <c r="T12" s="3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379</v>
      </c>
      <c r="B13" s="46" t="s">
        <v>468</v>
      </c>
      <c r="C13" s="10" t="s">
        <v>468</v>
      </c>
      <c r="D13" s="10" t="s">
        <v>468</v>
      </c>
      <c r="E13" s="10" t="s">
        <v>468</v>
      </c>
      <c r="F13" s="10" t="s">
        <v>468</v>
      </c>
      <c r="G13" s="46" t="s">
        <v>468</v>
      </c>
      <c r="H13" s="46" t="s">
        <v>468</v>
      </c>
      <c r="I13" s="46" t="s">
        <v>468</v>
      </c>
      <c r="J13" s="81" t="s">
        <v>468</v>
      </c>
      <c r="K13" s="46" t="s">
        <v>468</v>
      </c>
      <c r="L13" s="82" t="s">
        <v>468</v>
      </c>
      <c r="M13" s="82" t="s">
        <v>468</v>
      </c>
      <c r="N13" s="61"/>
      <c r="O13" s="2" t="s">
        <v>334</v>
      </c>
      <c r="P13" s="2" t="s">
        <v>601</v>
      </c>
      <c r="Q13" s="32">
        <v>5020.3599999999997</v>
      </c>
      <c r="R13" s="32"/>
      <c r="S13" s="32"/>
      <c r="T13" s="32"/>
      <c r="U13" s="2"/>
      <c r="V13" s="2"/>
      <c r="W13" s="2"/>
      <c r="X13" s="2"/>
      <c r="Y13" s="2"/>
      <c r="Z13" s="2"/>
    </row>
    <row r="14" spans="1:26" ht="15.75" customHeight="1" x14ac:dyDescent="0.3">
      <c r="A14" s="32" t="s">
        <v>380</v>
      </c>
      <c r="B14" s="46" t="s">
        <v>468</v>
      </c>
      <c r="C14" s="10" t="s">
        <v>468</v>
      </c>
      <c r="D14" s="10" t="s">
        <v>468</v>
      </c>
      <c r="E14" s="10" t="s">
        <v>468</v>
      </c>
      <c r="F14" s="10" t="s">
        <v>468</v>
      </c>
      <c r="G14" s="46" t="s">
        <v>468</v>
      </c>
      <c r="H14" s="46" t="s">
        <v>468</v>
      </c>
      <c r="I14" s="46" t="s">
        <v>468</v>
      </c>
      <c r="J14" s="81" t="s">
        <v>468</v>
      </c>
      <c r="K14" s="46" t="s">
        <v>468</v>
      </c>
      <c r="L14" s="82" t="s">
        <v>468</v>
      </c>
      <c r="M14" s="82" t="s">
        <v>468</v>
      </c>
      <c r="N14" s="61"/>
      <c r="O14" s="2" t="s">
        <v>334</v>
      </c>
      <c r="P14" s="2" t="s">
        <v>600</v>
      </c>
      <c r="Q14" s="32">
        <v>10</v>
      </c>
      <c r="R14" s="32"/>
      <c r="S14" s="32"/>
      <c r="T14" s="32"/>
      <c r="U14" s="2"/>
      <c r="V14" s="2"/>
      <c r="W14" s="2"/>
      <c r="X14" s="2"/>
      <c r="Y14" s="2"/>
      <c r="Z14" s="2"/>
    </row>
    <row r="15" spans="1:26" ht="15.75" customHeight="1" x14ac:dyDescent="0.3">
      <c r="A15" s="32" t="s">
        <v>381</v>
      </c>
      <c r="B15" s="46" t="s">
        <v>468</v>
      </c>
      <c r="C15" s="10" t="s">
        <v>468</v>
      </c>
      <c r="D15" s="10" t="s">
        <v>468</v>
      </c>
      <c r="E15" s="10" t="s">
        <v>468</v>
      </c>
      <c r="F15" s="10" t="s">
        <v>468</v>
      </c>
      <c r="G15" s="46" t="s">
        <v>468</v>
      </c>
      <c r="H15" s="46" t="s">
        <v>468</v>
      </c>
      <c r="I15" s="46" t="s">
        <v>468</v>
      </c>
      <c r="J15" s="81" t="s">
        <v>468</v>
      </c>
      <c r="K15" s="46" t="s">
        <v>468</v>
      </c>
      <c r="L15" s="82" t="s">
        <v>468</v>
      </c>
      <c r="M15" s="82" t="s">
        <v>468</v>
      </c>
      <c r="N15" s="61"/>
      <c r="O15" s="2" t="s">
        <v>602</v>
      </c>
      <c r="P15" s="2" t="s">
        <v>529</v>
      </c>
      <c r="Q15" s="32">
        <v>11031.98</v>
      </c>
      <c r="R15" s="32"/>
      <c r="S15" s="32"/>
      <c r="T15" s="32"/>
      <c r="U15" s="2"/>
      <c r="V15" s="2"/>
      <c r="W15" s="2"/>
      <c r="X15" s="2"/>
      <c r="Y15" s="2"/>
      <c r="Z15" s="2"/>
    </row>
    <row r="16" spans="1:26" ht="15.75" customHeight="1" x14ac:dyDescent="0.3">
      <c r="A16" s="32" t="s">
        <v>603</v>
      </c>
      <c r="B16" s="46" t="s">
        <v>603</v>
      </c>
      <c r="C16" s="46" t="s">
        <v>603</v>
      </c>
      <c r="D16" s="46" t="s">
        <v>603</v>
      </c>
      <c r="E16" s="46" t="s">
        <v>603</v>
      </c>
      <c r="F16" s="46" t="s">
        <v>603</v>
      </c>
      <c r="G16" s="46" t="s">
        <v>603</v>
      </c>
      <c r="H16" s="46" t="s">
        <v>603</v>
      </c>
      <c r="I16" s="46" t="s">
        <v>603</v>
      </c>
      <c r="J16" s="46" t="s">
        <v>603</v>
      </c>
      <c r="K16" s="46" t="s">
        <v>603</v>
      </c>
      <c r="L16" s="82" t="s">
        <v>603</v>
      </c>
      <c r="M16" s="82" t="s">
        <v>603</v>
      </c>
      <c r="N16" s="61"/>
      <c r="O16" s="2" t="s">
        <v>350</v>
      </c>
      <c r="P16" s="2" t="s">
        <v>604</v>
      </c>
      <c r="Q16" s="32">
        <v>20</v>
      </c>
      <c r="R16" s="32"/>
      <c r="S16" s="32"/>
      <c r="T16" s="3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10"/>
      <c r="F17" s="10"/>
      <c r="G17" s="69"/>
      <c r="H17" s="69"/>
      <c r="I17" s="69"/>
      <c r="J17" s="70"/>
      <c r="K17" s="69"/>
      <c r="L17" s="69"/>
      <c r="M17" s="69"/>
      <c r="N17" s="69"/>
      <c r="O17" s="2" t="s">
        <v>350</v>
      </c>
      <c r="P17" s="2" t="s">
        <v>605</v>
      </c>
      <c r="Q17" s="32">
        <v>-6994.74</v>
      </c>
      <c r="R17" s="32"/>
      <c r="S17" s="32"/>
      <c r="T17" s="3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2"/>
      <c r="C18" s="10"/>
      <c r="D18" s="10"/>
      <c r="E18" s="10"/>
      <c r="F18" s="86"/>
      <c r="G18" s="69"/>
      <c r="H18" s="69"/>
      <c r="I18" s="69"/>
      <c r="J18" s="70"/>
      <c r="K18" s="69"/>
      <c r="L18" s="69"/>
      <c r="M18" s="69"/>
      <c r="N18" s="69"/>
      <c r="O18" s="2" t="s">
        <v>606</v>
      </c>
      <c r="P18" s="2" t="s">
        <v>529</v>
      </c>
      <c r="Q18" s="32">
        <v>6974.74</v>
      </c>
      <c r="R18" s="32"/>
      <c r="S18" s="32"/>
      <c r="T18" s="3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2"/>
      <c r="C19" s="10"/>
      <c r="D19" s="10"/>
      <c r="E19" s="10"/>
      <c r="F19" s="86"/>
      <c r="G19" s="69"/>
      <c r="H19" s="69"/>
      <c r="I19" s="69"/>
      <c r="J19" s="70"/>
      <c r="K19" s="69"/>
      <c r="L19" s="69"/>
      <c r="M19" s="69"/>
      <c r="N19" s="69"/>
      <c r="O19" s="2" t="s">
        <v>607</v>
      </c>
      <c r="P19" s="2" t="s">
        <v>590</v>
      </c>
      <c r="Q19" s="32">
        <v>60</v>
      </c>
      <c r="R19" s="32"/>
      <c r="S19" s="32"/>
      <c r="T19" s="32"/>
      <c r="U19" s="2"/>
      <c r="V19" s="2"/>
      <c r="W19" s="2"/>
      <c r="X19" s="2"/>
      <c r="Y19" s="2"/>
      <c r="Z19" s="2"/>
    </row>
    <row r="20" spans="1:26" ht="15.75" customHeight="1" x14ac:dyDescent="0.3">
      <c r="A20" s="32"/>
      <c r="B20" s="2"/>
      <c r="C20" s="10"/>
      <c r="D20" s="10"/>
      <c r="E20" s="10"/>
      <c r="F20" s="46"/>
      <c r="G20" s="69"/>
      <c r="H20" s="69"/>
      <c r="I20" s="69"/>
      <c r="J20" s="70"/>
      <c r="K20" s="69"/>
      <c r="L20" s="69"/>
      <c r="M20" s="69"/>
      <c r="N20" s="69"/>
      <c r="O20" s="2" t="s">
        <v>361</v>
      </c>
      <c r="P20" s="2" t="s">
        <v>608</v>
      </c>
      <c r="Q20" s="32">
        <v>-1362.71</v>
      </c>
      <c r="R20" s="32"/>
      <c r="S20" s="32"/>
      <c r="T20" s="32"/>
      <c r="U20" s="2"/>
      <c r="V20" s="2"/>
      <c r="W20" s="2"/>
      <c r="X20" s="2"/>
      <c r="Y20" s="2"/>
      <c r="Z20" s="2"/>
    </row>
    <row r="21" spans="1:26" ht="15.75" customHeight="1" x14ac:dyDescent="0.3">
      <c r="A21" s="32"/>
      <c r="B21" s="2"/>
      <c r="C21" s="10"/>
      <c r="D21" s="10"/>
      <c r="E21" s="10"/>
      <c r="F21" s="86"/>
      <c r="G21" s="69"/>
      <c r="H21" s="69"/>
      <c r="I21" s="69"/>
      <c r="J21" s="70"/>
      <c r="K21" s="69"/>
      <c r="L21" s="69"/>
      <c r="M21" s="69"/>
      <c r="N21" s="69"/>
      <c r="O21" s="2" t="s">
        <v>609</v>
      </c>
      <c r="P21" s="2" t="s">
        <v>529</v>
      </c>
      <c r="Q21" s="32">
        <v>1302.71</v>
      </c>
      <c r="R21" s="32"/>
      <c r="S21" s="32"/>
      <c r="T21" s="32"/>
      <c r="U21" s="2"/>
      <c r="V21" s="2"/>
      <c r="W21" s="2"/>
      <c r="X21" s="2"/>
      <c r="Y21" s="2"/>
      <c r="Z21" s="2"/>
    </row>
    <row r="22" spans="1:26" ht="15.75" customHeight="1" x14ac:dyDescent="0.3">
      <c r="A22" s="32"/>
      <c r="B22" s="2"/>
      <c r="C22" s="10"/>
      <c r="D22" s="10"/>
      <c r="E22" s="10"/>
      <c r="F22" s="86"/>
      <c r="G22" s="69"/>
      <c r="H22" s="69"/>
      <c r="I22" s="69"/>
      <c r="J22" s="70"/>
      <c r="K22" s="69"/>
      <c r="L22" s="69"/>
      <c r="M22" s="69"/>
      <c r="N22" s="69"/>
      <c r="O22" s="2" t="s">
        <v>367</v>
      </c>
      <c r="P22" s="2" t="s">
        <v>610</v>
      </c>
      <c r="Q22" s="32">
        <v>4875.0200000000004</v>
      </c>
      <c r="R22" s="32"/>
      <c r="S22" s="32"/>
      <c r="T22" s="32"/>
      <c r="U22" s="2"/>
      <c r="V22" s="2"/>
      <c r="W22" s="2"/>
      <c r="X22" s="2"/>
      <c r="Y22" s="2"/>
      <c r="Z22" s="2"/>
    </row>
    <row r="23" spans="1:26" ht="15.75" customHeight="1" x14ac:dyDescent="0.3">
      <c r="A23" s="32"/>
      <c r="B23" s="2"/>
      <c r="C23" s="10"/>
      <c r="D23" s="10"/>
      <c r="E23" s="10"/>
      <c r="F23" s="86"/>
      <c r="G23" s="69"/>
      <c r="H23" s="69"/>
      <c r="I23" s="69"/>
      <c r="J23" s="70"/>
      <c r="K23" s="69"/>
      <c r="L23" s="69"/>
      <c r="M23" s="69"/>
      <c r="N23" s="69"/>
      <c r="O23" s="2" t="s">
        <v>611</v>
      </c>
      <c r="P23" s="2" t="s">
        <v>529</v>
      </c>
      <c r="Q23" s="32">
        <v>-4875.0200000000004</v>
      </c>
      <c r="R23" s="32"/>
      <c r="S23" s="32"/>
      <c r="T23" s="32"/>
      <c r="U23" s="2"/>
      <c r="V23" s="2"/>
      <c r="W23" s="2"/>
      <c r="X23" s="2"/>
      <c r="Y23" s="2"/>
      <c r="Z23" s="2"/>
    </row>
    <row r="24" spans="1:26" ht="15.75" customHeight="1" x14ac:dyDescent="0.3">
      <c r="A24" s="32"/>
      <c r="B24" s="2"/>
      <c r="C24" s="10"/>
      <c r="D24" s="10"/>
      <c r="E24" s="10"/>
      <c r="F24" s="86"/>
      <c r="G24" s="69"/>
      <c r="H24" s="69"/>
      <c r="I24" s="69"/>
      <c r="J24" s="70"/>
      <c r="K24" s="69"/>
      <c r="L24" s="69"/>
      <c r="M24" s="69"/>
      <c r="N24" s="69"/>
      <c r="O24" s="2" t="s">
        <v>612</v>
      </c>
      <c r="P24" s="2" t="s">
        <v>600</v>
      </c>
      <c r="Q24" s="32">
        <v>10</v>
      </c>
      <c r="R24" s="32"/>
      <c r="S24" s="32"/>
      <c r="T24" s="32"/>
      <c r="U24" s="2"/>
      <c r="V24" s="2"/>
      <c r="W24" s="2"/>
      <c r="X24" s="2"/>
      <c r="Y24" s="2"/>
      <c r="Z24" s="2"/>
    </row>
    <row r="25" spans="1:26" ht="15.75" customHeight="1" x14ac:dyDescent="0.3">
      <c r="A25" s="32"/>
      <c r="B25" s="2"/>
      <c r="C25" s="10"/>
      <c r="D25" s="10"/>
      <c r="E25" s="10"/>
      <c r="F25" s="86"/>
      <c r="G25" s="69"/>
      <c r="H25" s="69"/>
      <c r="I25" s="69"/>
      <c r="J25" s="70"/>
      <c r="K25" s="69"/>
      <c r="L25" s="69"/>
      <c r="M25" s="69"/>
      <c r="N25" s="69"/>
      <c r="O25" s="2" t="s">
        <v>311</v>
      </c>
      <c r="P25" s="2" t="s">
        <v>613</v>
      </c>
      <c r="Q25" s="32">
        <v>-4769.1099999999997</v>
      </c>
      <c r="R25" s="32"/>
      <c r="S25" s="32"/>
      <c r="T25" s="32"/>
      <c r="U25" s="2"/>
      <c r="V25" s="2"/>
      <c r="W25" s="2"/>
      <c r="X25" s="2"/>
      <c r="Y25" s="2"/>
      <c r="Z25" s="2"/>
    </row>
    <row r="26" spans="1:26" ht="15.75" customHeight="1" x14ac:dyDescent="0.3">
      <c r="A26" s="32"/>
      <c r="B26" s="2"/>
      <c r="C26" s="10"/>
      <c r="D26" s="10"/>
      <c r="E26" s="10"/>
      <c r="F26" s="86"/>
      <c r="G26" s="69"/>
      <c r="H26" s="69"/>
      <c r="I26" s="69"/>
      <c r="J26" s="70"/>
      <c r="K26" s="69"/>
      <c r="L26" s="69"/>
      <c r="M26" s="69"/>
      <c r="N26" s="69"/>
      <c r="O26" s="2" t="s">
        <v>429</v>
      </c>
      <c r="P26" s="2" t="s">
        <v>529</v>
      </c>
      <c r="Q26" s="32">
        <v>4759.1099999999997</v>
      </c>
      <c r="R26" s="32"/>
      <c r="S26" s="32"/>
      <c r="T26" s="3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2"/>
      <c r="C27" s="10"/>
      <c r="D27" s="10"/>
      <c r="E27" s="10"/>
      <c r="F27" s="86"/>
      <c r="G27" s="69"/>
      <c r="H27" s="69"/>
      <c r="I27" s="69"/>
      <c r="J27" s="70"/>
      <c r="K27" s="69"/>
      <c r="L27" s="69"/>
      <c r="M27" s="69"/>
      <c r="N27" s="69"/>
      <c r="O27" s="2" t="s">
        <v>314</v>
      </c>
      <c r="P27" s="2" t="s">
        <v>614</v>
      </c>
      <c r="Q27" s="32">
        <v>-37.25</v>
      </c>
      <c r="R27" s="32"/>
      <c r="S27" s="32"/>
      <c r="T27" s="3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2"/>
      <c r="C28" s="10"/>
      <c r="D28" s="10"/>
      <c r="E28" s="10"/>
      <c r="F28" s="86"/>
      <c r="G28" s="69"/>
      <c r="H28" s="69"/>
      <c r="I28" s="69"/>
      <c r="J28" s="70"/>
      <c r="K28" s="69"/>
      <c r="L28" s="69"/>
      <c r="M28" s="69"/>
      <c r="N28" s="69"/>
      <c r="O28" s="2" t="s">
        <v>378</v>
      </c>
      <c r="P28" s="2" t="s">
        <v>615</v>
      </c>
      <c r="Q28" s="32">
        <v>5162.12</v>
      </c>
      <c r="R28" s="32"/>
      <c r="S28" s="32"/>
      <c r="T28" s="3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2"/>
      <c r="C29" s="10"/>
      <c r="D29" s="10"/>
      <c r="E29" s="10"/>
      <c r="F29" s="46"/>
      <c r="G29" s="69"/>
      <c r="H29" s="69"/>
      <c r="I29" s="69"/>
      <c r="J29" s="70"/>
      <c r="K29" s="69"/>
      <c r="L29" s="69"/>
      <c r="M29" s="69"/>
      <c r="N29" s="69"/>
      <c r="O29" s="2" t="s">
        <v>378</v>
      </c>
      <c r="P29" s="2" t="s">
        <v>616</v>
      </c>
      <c r="Q29" s="32">
        <v>70</v>
      </c>
      <c r="R29" s="32"/>
      <c r="S29" s="32"/>
      <c r="T29" s="32"/>
      <c r="U29" s="2"/>
      <c r="V29" s="2"/>
      <c r="W29" s="2"/>
      <c r="X29" s="2"/>
      <c r="Y29" s="2"/>
      <c r="Z29" s="2"/>
    </row>
    <row r="30" spans="1:26" ht="13.8" x14ac:dyDescent="0.3">
      <c r="A30" s="32"/>
      <c r="B30" s="2"/>
      <c r="C30" s="10"/>
      <c r="D30" s="10"/>
      <c r="E30" s="10"/>
      <c r="F30" s="86"/>
      <c r="G30" s="69"/>
      <c r="H30" s="69"/>
      <c r="I30" s="69"/>
      <c r="J30" s="70"/>
      <c r="K30" s="69"/>
      <c r="L30" s="69"/>
      <c r="M30" s="69"/>
      <c r="N30" s="69"/>
      <c r="O30" s="2" t="s">
        <v>436</v>
      </c>
      <c r="P30" s="2" t="s">
        <v>529</v>
      </c>
      <c r="Q30" s="32">
        <v>-5194.87</v>
      </c>
      <c r="R30" s="32"/>
      <c r="S30" s="32"/>
      <c r="T30" s="32"/>
      <c r="U30" s="2"/>
      <c r="V30" s="2"/>
      <c r="W30" s="2"/>
      <c r="X30" s="2"/>
      <c r="Y30" s="2"/>
      <c r="Z30" s="2"/>
    </row>
    <row r="31" spans="1:26" ht="13.8" x14ac:dyDescent="0.3">
      <c r="A31" s="32"/>
      <c r="B31" s="2"/>
      <c r="C31" s="10"/>
      <c r="D31" s="10"/>
      <c r="E31" s="10"/>
      <c r="F31" s="86"/>
      <c r="G31" s="69"/>
      <c r="H31" s="69"/>
      <c r="I31" s="69"/>
      <c r="J31" s="70"/>
      <c r="K31" s="69"/>
      <c r="L31" s="69"/>
      <c r="M31" s="69"/>
      <c r="N31" s="69"/>
      <c r="O31" s="2" t="s">
        <v>389</v>
      </c>
      <c r="P31" s="2" t="s">
        <v>617</v>
      </c>
      <c r="Q31" s="32">
        <v>809.5</v>
      </c>
      <c r="R31" s="32"/>
      <c r="S31" s="32"/>
      <c r="T31" s="32"/>
      <c r="U31" s="2"/>
      <c r="V31" s="2"/>
      <c r="W31" s="2"/>
      <c r="X31" s="2"/>
      <c r="Y31" s="2"/>
      <c r="Z31" s="2"/>
    </row>
    <row r="32" spans="1:26" ht="13.8" x14ac:dyDescent="0.3">
      <c r="A32" s="32"/>
      <c r="B32" s="2"/>
      <c r="C32" s="10"/>
      <c r="D32" s="10"/>
      <c r="E32" s="10"/>
      <c r="F32" s="86"/>
      <c r="G32" s="69"/>
      <c r="H32" s="69"/>
      <c r="I32" s="69"/>
      <c r="J32" s="70"/>
      <c r="K32" s="69"/>
      <c r="L32" s="69"/>
      <c r="M32" s="69"/>
      <c r="N32" s="69"/>
      <c r="O32" s="2" t="s">
        <v>319</v>
      </c>
      <c r="P32" s="2" t="s">
        <v>618</v>
      </c>
      <c r="Q32" s="32">
        <v>-363.16</v>
      </c>
      <c r="R32" s="32"/>
      <c r="S32" s="32"/>
      <c r="T32" s="32"/>
      <c r="U32" s="2"/>
      <c r="V32" s="2"/>
      <c r="W32" s="2"/>
      <c r="X32" s="2"/>
      <c r="Y32" s="2"/>
      <c r="Z32" s="2"/>
    </row>
    <row r="33" spans="1:26" ht="13.8" x14ac:dyDescent="0.3">
      <c r="A33" s="32"/>
      <c r="B33" s="2"/>
      <c r="C33" s="10"/>
      <c r="D33" s="10"/>
      <c r="E33" s="10"/>
      <c r="F33" s="86"/>
      <c r="G33" s="69"/>
      <c r="H33" s="69"/>
      <c r="I33" s="69"/>
      <c r="J33" s="70"/>
      <c r="K33" s="69"/>
      <c r="L33" s="69"/>
      <c r="M33" s="69"/>
      <c r="N33" s="69"/>
      <c r="O33" s="2" t="s">
        <v>394</v>
      </c>
      <c r="P33" s="2" t="s">
        <v>619</v>
      </c>
      <c r="Q33" s="32">
        <v>5090.63</v>
      </c>
      <c r="R33" s="32"/>
      <c r="S33" s="32"/>
      <c r="T33" s="32"/>
      <c r="U33" s="2"/>
      <c r="V33" s="2"/>
      <c r="W33" s="2"/>
      <c r="X33" s="2"/>
      <c r="Y33" s="2"/>
      <c r="Z33" s="2"/>
    </row>
    <row r="34" spans="1:26" ht="13.8" x14ac:dyDescent="0.3">
      <c r="A34" s="32"/>
      <c r="B34" s="2"/>
      <c r="C34" s="10"/>
      <c r="D34" s="10"/>
      <c r="E34" s="10"/>
      <c r="F34" s="86"/>
      <c r="G34" s="69"/>
      <c r="H34" s="69"/>
      <c r="I34" s="69"/>
      <c r="J34" s="70"/>
      <c r="K34" s="69"/>
      <c r="L34" s="69"/>
      <c r="M34" s="69"/>
      <c r="N34" s="69"/>
      <c r="O34" s="2" t="s">
        <v>531</v>
      </c>
      <c r="P34" s="2" t="s">
        <v>529</v>
      </c>
      <c r="Q34" s="32">
        <v>-5536.97</v>
      </c>
      <c r="R34" s="32"/>
      <c r="S34" s="32"/>
      <c r="T34" s="32"/>
      <c r="U34" s="2"/>
      <c r="V34" s="2"/>
      <c r="W34" s="2"/>
      <c r="X34" s="2"/>
      <c r="Y34" s="2"/>
      <c r="Z34" s="2"/>
    </row>
    <row r="35" spans="1:26" ht="13.8" x14ac:dyDescent="0.3">
      <c r="A35" s="32"/>
      <c r="B35" s="2"/>
      <c r="C35" s="10"/>
      <c r="D35" s="10"/>
      <c r="E35" s="10"/>
      <c r="F35" s="86"/>
      <c r="G35" s="69"/>
      <c r="H35" s="69"/>
      <c r="I35" s="69"/>
      <c r="J35" s="70"/>
      <c r="K35" s="69"/>
      <c r="L35" s="69"/>
      <c r="M35" s="69"/>
      <c r="N35" s="69"/>
      <c r="O35" s="2" t="s">
        <v>397</v>
      </c>
      <c r="P35" s="2" t="s">
        <v>620</v>
      </c>
      <c r="Q35" s="32">
        <v>874.22</v>
      </c>
      <c r="R35" s="32"/>
      <c r="S35" s="32"/>
      <c r="T35" s="32"/>
      <c r="U35" s="2"/>
      <c r="V35" s="2"/>
      <c r="W35" s="2"/>
      <c r="X35" s="2"/>
      <c r="Y35" s="2"/>
      <c r="Z35" s="2"/>
    </row>
    <row r="36" spans="1:26" ht="13.8" x14ac:dyDescent="0.3">
      <c r="A36" s="32"/>
      <c r="B36" s="2"/>
      <c r="C36" s="10"/>
      <c r="D36" s="10"/>
      <c r="E36" s="10"/>
      <c r="F36" s="86"/>
      <c r="G36" s="69"/>
      <c r="H36" s="69"/>
      <c r="I36" s="69"/>
      <c r="J36" s="70"/>
      <c r="K36" s="69"/>
      <c r="L36" s="69"/>
      <c r="M36" s="69"/>
      <c r="N36" s="69"/>
      <c r="O36" s="2" t="s">
        <v>323</v>
      </c>
      <c r="P36" s="2" t="s">
        <v>616</v>
      </c>
      <c r="Q36" s="32">
        <v>70</v>
      </c>
      <c r="R36" s="32"/>
      <c r="S36" s="32"/>
      <c r="T36" s="32"/>
      <c r="U36" s="2"/>
      <c r="V36" s="2"/>
      <c r="W36" s="2"/>
      <c r="X36" s="2"/>
      <c r="Y36" s="2"/>
      <c r="Z36" s="2"/>
    </row>
    <row r="37" spans="1:26" ht="13.8" x14ac:dyDescent="0.3">
      <c r="A37" s="32"/>
      <c r="B37" s="2"/>
      <c r="C37" s="10"/>
      <c r="D37" s="10"/>
      <c r="E37" s="10"/>
      <c r="F37" s="86"/>
      <c r="G37" s="69"/>
      <c r="H37" s="69"/>
      <c r="I37" s="69"/>
      <c r="J37" s="70"/>
      <c r="K37" s="69"/>
      <c r="L37" s="69"/>
      <c r="M37" s="69"/>
      <c r="N37" s="69"/>
      <c r="O37" s="2" t="s">
        <v>398</v>
      </c>
      <c r="P37" s="2" t="s">
        <v>621</v>
      </c>
      <c r="Q37" s="32">
        <v>582.91</v>
      </c>
      <c r="R37" s="32"/>
      <c r="S37" s="32"/>
      <c r="T37" s="32"/>
      <c r="U37" s="2"/>
      <c r="V37" s="2"/>
      <c r="W37" s="2"/>
      <c r="X37" s="2"/>
      <c r="Y37" s="2"/>
      <c r="Z37" s="2"/>
    </row>
    <row r="38" spans="1:26" ht="13.8" x14ac:dyDescent="0.3">
      <c r="A38" s="32"/>
      <c r="B38" s="2"/>
      <c r="C38" s="10"/>
      <c r="D38" s="10"/>
      <c r="E38" s="10"/>
      <c r="F38" s="46"/>
      <c r="G38" s="69"/>
      <c r="H38" s="69"/>
      <c r="I38" s="69"/>
      <c r="J38" s="70"/>
      <c r="K38" s="69"/>
      <c r="L38" s="69"/>
      <c r="M38" s="69"/>
      <c r="N38" s="69"/>
      <c r="O38" s="2" t="s">
        <v>348</v>
      </c>
      <c r="P38" s="2" t="s">
        <v>622</v>
      </c>
      <c r="Q38" s="32">
        <v>-105.52</v>
      </c>
      <c r="R38" s="32"/>
      <c r="S38" s="32"/>
      <c r="T38" s="32"/>
      <c r="U38" s="2"/>
      <c r="V38" s="2"/>
      <c r="W38" s="2"/>
      <c r="X38" s="2"/>
      <c r="Y38" s="2"/>
      <c r="Z38" s="2"/>
    </row>
    <row r="39" spans="1:26" ht="13.8" x14ac:dyDescent="0.3">
      <c r="A39" s="2"/>
      <c r="B39" s="2"/>
      <c r="C39" s="10"/>
      <c r="D39" s="10"/>
      <c r="E39" s="10"/>
      <c r="F39" s="86"/>
      <c r="G39" s="69"/>
      <c r="H39" s="69"/>
      <c r="I39" s="69"/>
      <c r="J39" s="70"/>
      <c r="K39" s="69"/>
      <c r="L39" s="69"/>
      <c r="M39" s="69"/>
      <c r="N39" s="69"/>
      <c r="O39" s="2"/>
      <c r="P39" s="2"/>
      <c r="Q39" s="32"/>
      <c r="R39" s="32"/>
      <c r="S39" s="32"/>
      <c r="T39" s="32"/>
      <c r="U39" s="2"/>
      <c r="V39" s="2"/>
      <c r="W39" s="2"/>
      <c r="X39" s="2"/>
      <c r="Y39" s="2"/>
      <c r="Z39" s="2"/>
    </row>
    <row r="40" spans="1:26" ht="13.8" x14ac:dyDescent="0.3">
      <c r="A40" s="32"/>
      <c r="B40" s="2"/>
      <c r="C40" s="10"/>
      <c r="D40" s="10"/>
      <c r="E40" s="10"/>
      <c r="F40" s="86"/>
      <c r="G40" s="69"/>
      <c r="H40" s="69"/>
      <c r="I40" s="69"/>
      <c r="J40" s="70"/>
      <c r="K40" s="69"/>
      <c r="L40" s="69"/>
      <c r="M40" s="69"/>
      <c r="N40" s="69"/>
      <c r="O40" s="2"/>
      <c r="P40" s="2"/>
      <c r="Q40" s="32"/>
      <c r="R40" s="32"/>
      <c r="S40" s="32"/>
      <c r="T40" s="32"/>
      <c r="U40" s="2"/>
      <c r="V40" s="2"/>
      <c r="W40" s="2"/>
      <c r="X40" s="2"/>
      <c r="Y40" s="2"/>
      <c r="Z40" s="2"/>
    </row>
    <row r="41" spans="1:26" ht="13.8" x14ac:dyDescent="0.3">
      <c r="A41" s="32"/>
      <c r="B41" s="2"/>
      <c r="C41" s="10"/>
      <c r="D41" s="10"/>
      <c r="E41" s="10"/>
      <c r="F41" s="86"/>
      <c r="G41" s="69"/>
      <c r="H41" s="69"/>
      <c r="I41" s="69"/>
      <c r="J41" s="70"/>
      <c r="K41" s="69"/>
      <c r="L41" s="69"/>
      <c r="M41" s="69"/>
      <c r="N41" s="69"/>
      <c r="O41" s="2"/>
      <c r="P41" s="2"/>
      <c r="Q41" s="32"/>
      <c r="R41" s="32"/>
      <c r="S41" s="32"/>
      <c r="T41" s="32"/>
      <c r="U41" s="2"/>
      <c r="V41" s="2"/>
      <c r="W41" s="2"/>
      <c r="X41" s="2"/>
      <c r="Y41" s="2"/>
      <c r="Z41" s="2"/>
    </row>
    <row r="42" spans="1:26" ht="13.8" x14ac:dyDescent="0.3">
      <c r="A42" s="32"/>
      <c r="B42" s="2"/>
      <c r="C42" s="10"/>
      <c r="D42" s="10"/>
      <c r="E42" s="10"/>
      <c r="F42" s="86"/>
      <c r="G42" s="69"/>
      <c r="H42" s="69"/>
      <c r="I42" s="69"/>
      <c r="J42" s="70"/>
      <c r="K42" s="69"/>
      <c r="L42" s="69"/>
      <c r="M42" s="69"/>
      <c r="N42" s="69"/>
      <c r="O42" s="2"/>
      <c r="P42" s="2"/>
      <c r="Q42" s="32"/>
      <c r="R42" s="32"/>
      <c r="S42" s="32"/>
      <c r="T42" s="32"/>
      <c r="U42" s="2"/>
      <c r="V42" s="2"/>
      <c r="W42" s="2"/>
      <c r="X42" s="2"/>
      <c r="Y42" s="2"/>
      <c r="Z42" s="2"/>
    </row>
    <row r="43" spans="1:26" ht="13.8" x14ac:dyDescent="0.3">
      <c r="A43" s="32"/>
      <c r="B43" s="2"/>
      <c r="C43" s="10"/>
      <c r="D43" s="10"/>
      <c r="E43" s="10"/>
      <c r="F43" s="86"/>
      <c r="G43" s="69"/>
      <c r="H43" s="69"/>
      <c r="I43" s="69"/>
      <c r="J43" s="70"/>
      <c r="K43" s="69"/>
      <c r="L43" s="69"/>
      <c r="M43" s="69"/>
      <c r="N43" s="69"/>
      <c r="O43" s="2"/>
      <c r="P43" s="2"/>
      <c r="Q43" s="32"/>
      <c r="R43" s="32"/>
      <c r="S43" s="32"/>
      <c r="T43" s="32"/>
      <c r="U43" s="2"/>
      <c r="V43" s="2"/>
      <c r="W43" s="2"/>
      <c r="X43" s="2"/>
      <c r="Y43" s="2"/>
      <c r="Z43" s="2"/>
    </row>
    <row r="44" spans="1:26" ht="13.8" x14ac:dyDescent="0.3">
      <c r="A44" s="32"/>
      <c r="B44" s="2"/>
      <c r="C44" s="10"/>
      <c r="D44" s="10"/>
      <c r="E44" s="10"/>
      <c r="F44" s="86"/>
      <c r="G44" s="69"/>
      <c r="H44" s="69"/>
      <c r="I44" s="69"/>
      <c r="J44" s="70"/>
      <c r="K44" s="69"/>
      <c r="L44" s="69"/>
      <c r="M44" s="69"/>
      <c r="N44" s="69"/>
      <c r="O44" s="2"/>
      <c r="P44" s="2"/>
      <c r="Q44" s="32"/>
      <c r="R44" s="32"/>
      <c r="S44" s="32"/>
      <c r="T44" s="32"/>
      <c r="U44" s="2"/>
      <c r="V44" s="2"/>
      <c r="W44" s="2"/>
      <c r="X44" s="2"/>
      <c r="Y44" s="2"/>
      <c r="Z44" s="2"/>
    </row>
    <row r="45" spans="1:26" ht="13.8" x14ac:dyDescent="0.3">
      <c r="A45" s="32"/>
      <c r="B45" s="2"/>
      <c r="C45" s="10"/>
      <c r="D45" s="10"/>
      <c r="E45" s="10"/>
      <c r="F45" s="86"/>
      <c r="G45" s="69"/>
      <c r="H45" s="69"/>
      <c r="I45" s="69"/>
      <c r="J45" s="70"/>
      <c r="K45" s="69"/>
      <c r="L45" s="69"/>
      <c r="M45" s="69"/>
      <c r="N45" s="69"/>
      <c r="O45" s="2"/>
      <c r="P45" s="2"/>
      <c r="Q45" s="32"/>
      <c r="R45" s="32"/>
      <c r="S45" s="32"/>
      <c r="T45" s="32"/>
      <c r="U45" s="2"/>
      <c r="V45" s="2"/>
      <c r="W45" s="2"/>
      <c r="X45" s="2"/>
      <c r="Y45" s="2"/>
      <c r="Z45" s="2"/>
    </row>
    <row r="46" spans="1:26" ht="13.8" x14ac:dyDescent="0.3">
      <c r="A46" s="32"/>
      <c r="B46" s="2"/>
      <c r="C46" s="10"/>
      <c r="D46" s="10"/>
      <c r="E46" s="10"/>
      <c r="F46" s="46"/>
      <c r="G46" s="69"/>
      <c r="H46" s="69"/>
      <c r="I46" s="69"/>
      <c r="J46" s="70"/>
      <c r="K46" s="69"/>
      <c r="L46" s="69"/>
      <c r="M46" s="69"/>
      <c r="N46" s="69"/>
      <c r="O46" s="2"/>
      <c r="P46" s="2"/>
      <c r="Q46" s="32"/>
      <c r="R46" s="32"/>
      <c r="S46" s="32"/>
      <c r="T46" s="32"/>
      <c r="U46" s="2"/>
      <c r="V46" s="2"/>
      <c r="W46" s="2"/>
      <c r="X46" s="2"/>
      <c r="Y46" s="2"/>
      <c r="Z46" s="2"/>
    </row>
    <row r="47" spans="1:26" ht="13.8" x14ac:dyDescent="0.3">
      <c r="A47" s="32"/>
      <c r="B47" s="2"/>
      <c r="C47" s="10"/>
      <c r="D47" s="10"/>
      <c r="E47" s="10"/>
      <c r="F47" s="86"/>
      <c r="G47" s="69"/>
      <c r="H47" s="69"/>
      <c r="I47" s="69"/>
      <c r="J47" s="70"/>
      <c r="K47" s="69"/>
      <c r="L47" s="69"/>
      <c r="M47" s="69"/>
      <c r="N47" s="69"/>
      <c r="O47" s="2"/>
      <c r="P47" s="2"/>
      <c r="Q47" s="32"/>
      <c r="R47" s="32"/>
      <c r="S47" s="32"/>
      <c r="T47" s="32"/>
      <c r="U47" s="2"/>
      <c r="V47" s="2"/>
      <c r="W47" s="2"/>
      <c r="X47" s="2"/>
      <c r="Y47" s="2"/>
      <c r="Z47" s="2"/>
    </row>
    <row r="48" spans="1:26" ht="13.8" x14ac:dyDescent="0.3">
      <c r="A48" s="32"/>
      <c r="B48" s="2"/>
      <c r="C48" s="10"/>
      <c r="D48" s="10"/>
      <c r="E48" s="10"/>
      <c r="F48" s="46"/>
      <c r="G48" s="69"/>
      <c r="H48" s="69"/>
      <c r="I48" s="69"/>
      <c r="J48" s="70"/>
      <c r="K48" s="69"/>
      <c r="L48" s="69"/>
      <c r="M48" s="69"/>
      <c r="N48" s="69"/>
      <c r="O48" s="2"/>
      <c r="P48" s="2"/>
      <c r="Q48" s="32"/>
      <c r="R48" s="32"/>
      <c r="S48" s="32"/>
      <c r="T48" s="32"/>
      <c r="U48" s="2"/>
      <c r="V48" s="2"/>
      <c r="W48" s="2"/>
      <c r="X48" s="2"/>
      <c r="Y48" s="2"/>
      <c r="Z48" s="2"/>
    </row>
    <row r="49" spans="1:26" ht="13.8" x14ac:dyDescent="0.3">
      <c r="A49" s="32"/>
      <c r="B49" s="2"/>
      <c r="C49" s="10"/>
      <c r="D49" s="10"/>
      <c r="E49" s="10"/>
      <c r="F49" s="86"/>
      <c r="G49" s="69"/>
      <c r="H49" s="69"/>
      <c r="I49" s="69"/>
      <c r="J49" s="70"/>
      <c r="K49" s="69"/>
      <c r="L49" s="69"/>
      <c r="M49" s="69"/>
      <c r="N49" s="69"/>
      <c r="O49" s="2"/>
      <c r="P49" s="2"/>
      <c r="Q49" s="32"/>
      <c r="R49" s="32"/>
      <c r="S49" s="32"/>
      <c r="T49" s="32"/>
      <c r="U49" s="2"/>
      <c r="V49" s="2"/>
      <c r="W49" s="2"/>
      <c r="X49" s="2"/>
      <c r="Y49" s="2"/>
      <c r="Z49" s="2"/>
    </row>
    <row r="50" spans="1:26" ht="13.8" x14ac:dyDescent="0.3">
      <c r="A50" s="32"/>
      <c r="B50" s="2"/>
      <c r="C50" s="10"/>
      <c r="D50" s="10"/>
      <c r="E50" s="10"/>
      <c r="F50" s="86"/>
      <c r="G50" s="69"/>
      <c r="H50" s="69"/>
      <c r="I50" s="69"/>
      <c r="J50" s="70"/>
      <c r="K50" s="69"/>
      <c r="L50" s="69"/>
      <c r="M50" s="69"/>
      <c r="N50" s="69"/>
      <c r="O50" s="2"/>
      <c r="P50" s="2"/>
      <c r="Q50" s="32"/>
      <c r="R50" s="32"/>
      <c r="S50" s="32"/>
      <c r="T50" s="32"/>
      <c r="U50" s="2"/>
      <c r="V50" s="2"/>
      <c r="W50" s="2"/>
      <c r="X50" s="2"/>
      <c r="Y50" s="2"/>
      <c r="Z50" s="2"/>
    </row>
    <row r="51" spans="1:26" ht="13.8" x14ac:dyDescent="0.3">
      <c r="A51" s="32"/>
      <c r="B51" s="2"/>
      <c r="C51" s="10"/>
      <c r="D51" s="10"/>
      <c r="E51" s="10"/>
      <c r="F51" s="86"/>
      <c r="G51" s="69"/>
      <c r="H51" s="69"/>
      <c r="I51" s="69"/>
      <c r="J51" s="70"/>
      <c r="K51" s="69"/>
      <c r="L51" s="69"/>
      <c r="M51" s="69"/>
      <c r="N51" s="69"/>
      <c r="O51" s="2"/>
      <c r="P51" s="2"/>
      <c r="Q51" s="32"/>
      <c r="R51" s="32"/>
      <c r="S51" s="32"/>
      <c r="T51" s="32"/>
      <c r="U51" s="2"/>
      <c r="V51" s="2"/>
      <c r="W51" s="2"/>
      <c r="X51" s="2"/>
      <c r="Y51" s="2"/>
      <c r="Z51" s="2"/>
    </row>
    <row r="52" spans="1:26" ht="13.8" x14ac:dyDescent="0.3">
      <c r="A52" s="32"/>
      <c r="B52" s="2"/>
      <c r="C52" s="10"/>
      <c r="D52" s="10"/>
      <c r="E52" s="10"/>
      <c r="F52" s="46"/>
      <c r="G52" s="69"/>
      <c r="H52" s="69"/>
      <c r="I52" s="69"/>
      <c r="J52" s="70"/>
      <c r="K52" s="69"/>
      <c r="L52" s="69"/>
      <c r="M52" s="69"/>
      <c r="N52" s="69"/>
      <c r="O52" s="2"/>
      <c r="P52" s="2"/>
      <c r="Q52" s="32"/>
      <c r="R52" s="32"/>
      <c r="S52" s="32"/>
      <c r="T52" s="32"/>
      <c r="U52" s="2"/>
      <c r="V52" s="2"/>
      <c r="W52" s="2"/>
      <c r="X52" s="2"/>
      <c r="Y52" s="2"/>
      <c r="Z52" s="2"/>
    </row>
    <row r="53" spans="1:26" ht="13.8" x14ac:dyDescent="0.3">
      <c r="A53" s="32"/>
      <c r="B53" s="2"/>
      <c r="C53" s="10"/>
      <c r="D53" s="10"/>
      <c r="E53" s="10"/>
      <c r="F53" s="10"/>
      <c r="G53" s="69"/>
      <c r="H53" s="69"/>
      <c r="I53" s="69"/>
      <c r="J53" s="70"/>
      <c r="K53" s="69"/>
      <c r="L53" s="69"/>
      <c r="M53" s="69"/>
      <c r="N53" s="69"/>
      <c r="O53" s="2"/>
      <c r="P53" s="2"/>
      <c r="Q53" s="32"/>
      <c r="R53" s="32"/>
      <c r="S53" s="32"/>
      <c r="T53" s="3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10"/>
      <c r="F54" s="10"/>
      <c r="G54" s="69"/>
      <c r="H54" s="69"/>
      <c r="I54" s="69"/>
      <c r="J54" s="70"/>
      <c r="K54" s="69"/>
      <c r="L54" s="69"/>
      <c r="M54" s="69"/>
      <c r="N54" s="69"/>
      <c r="O54" s="2"/>
      <c r="P54" s="2"/>
      <c r="Q54" s="32"/>
      <c r="R54" s="32"/>
      <c r="S54" s="32"/>
      <c r="T54" s="3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10"/>
      <c r="F55" s="10"/>
      <c r="G55" s="69"/>
      <c r="H55" s="69"/>
      <c r="I55" s="69"/>
      <c r="J55" s="70"/>
      <c r="K55" s="69"/>
      <c r="L55" s="69"/>
      <c r="M55" s="69"/>
      <c r="N55" s="69"/>
      <c r="O55" s="2"/>
      <c r="P55" s="2"/>
      <c r="Q55" s="32"/>
      <c r="R55" s="32"/>
      <c r="S55" s="32"/>
      <c r="T55" s="32"/>
      <c r="U55" s="2"/>
      <c r="V55" s="2"/>
      <c r="W55" s="2"/>
      <c r="X55" s="2"/>
      <c r="Y55" s="2"/>
      <c r="Z55" s="2"/>
    </row>
    <row r="56" spans="1:26" ht="13.8" x14ac:dyDescent="0.3">
      <c r="A56" s="32"/>
      <c r="B56" s="2"/>
      <c r="C56" s="10"/>
      <c r="D56" s="10"/>
      <c r="E56" s="10"/>
      <c r="F56" s="10"/>
      <c r="G56" s="69"/>
      <c r="H56" s="69"/>
      <c r="I56" s="69"/>
      <c r="J56" s="70"/>
      <c r="K56" s="69"/>
      <c r="L56" s="69"/>
      <c r="M56" s="69"/>
      <c r="N56" s="69"/>
      <c r="O56" s="2"/>
      <c r="P56" s="2"/>
      <c r="Q56" s="32"/>
      <c r="R56" s="32"/>
      <c r="S56" s="32"/>
      <c r="T56" s="3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10"/>
      <c r="F57" s="10"/>
      <c r="G57" s="69"/>
      <c r="H57" s="69"/>
      <c r="I57" s="69"/>
      <c r="J57" s="70"/>
      <c r="K57" s="69"/>
      <c r="L57" s="69"/>
      <c r="M57" s="69"/>
      <c r="N57" s="69"/>
      <c r="O57" s="2"/>
      <c r="P57" s="2"/>
      <c r="Q57" s="32"/>
      <c r="R57" s="32"/>
      <c r="S57" s="32"/>
      <c r="T57" s="3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10"/>
      <c r="F58" s="10"/>
      <c r="G58" s="69"/>
      <c r="H58" s="69"/>
      <c r="I58" s="69"/>
      <c r="J58" s="70"/>
      <c r="K58" s="69"/>
      <c r="L58" s="69"/>
      <c r="M58" s="69"/>
      <c r="N58" s="69"/>
      <c r="O58" s="2"/>
      <c r="P58" s="2"/>
      <c r="Q58" s="32"/>
      <c r="R58" s="32"/>
      <c r="S58" s="32"/>
      <c r="T58" s="3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10"/>
      <c r="F59" s="10"/>
      <c r="G59" s="69"/>
      <c r="H59" s="69"/>
      <c r="I59" s="69"/>
      <c r="J59" s="70"/>
      <c r="K59" s="69"/>
      <c r="L59" s="69"/>
      <c r="M59" s="69"/>
      <c r="N59" s="69"/>
      <c r="O59" s="2"/>
      <c r="P59" s="2"/>
      <c r="Q59" s="32"/>
      <c r="R59" s="32"/>
      <c r="S59" s="32"/>
      <c r="T59" s="32"/>
      <c r="U59" s="2"/>
      <c r="V59" s="2"/>
      <c r="W59" s="2"/>
      <c r="X59" s="2"/>
      <c r="Y59" s="2"/>
      <c r="Z59" s="2"/>
    </row>
    <row r="60" spans="1:26" ht="13.8" x14ac:dyDescent="0.3">
      <c r="A60" s="32"/>
      <c r="B60" s="2"/>
      <c r="C60" s="10"/>
      <c r="D60" s="10"/>
      <c r="E60" s="10"/>
      <c r="F60" s="10"/>
      <c r="G60" s="69"/>
      <c r="H60" s="69"/>
      <c r="I60" s="69"/>
      <c r="J60" s="70"/>
      <c r="K60" s="69"/>
      <c r="L60" s="69"/>
      <c r="M60" s="69"/>
      <c r="N60" s="69"/>
      <c r="O60" s="2"/>
      <c r="P60" s="2"/>
      <c r="Q60" s="32"/>
      <c r="R60" s="32"/>
      <c r="S60" s="32"/>
      <c r="T60" s="32"/>
      <c r="U60" s="2"/>
      <c r="V60" s="2"/>
      <c r="W60" s="2"/>
      <c r="X60" s="2"/>
      <c r="Y60" s="2"/>
      <c r="Z60" s="2"/>
    </row>
    <row r="61" spans="1:26" ht="13.8" x14ac:dyDescent="0.3">
      <c r="A61" s="32"/>
      <c r="B61" s="2"/>
      <c r="C61" s="10"/>
      <c r="D61" s="10"/>
      <c r="E61" s="10"/>
      <c r="F61" s="46"/>
      <c r="G61" s="69"/>
      <c r="H61" s="69"/>
      <c r="I61" s="69"/>
      <c r="J61" s="70"/>
      <c r="K61" s="69"/>
      <c r="L61" s="69"/>
      <c r="M61" s="69"/>
      <c r="N61" s="69"/>
      <c r="O61" s="2"/>
      <c r="P61" s="2"/>
      <c r="Q61" s="32"/>
      <c r="R61" s="32"/>
      <c r="S61" s="32"/>
      <c r="T61" s="3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10"/>
      <c r="F62" s="86"/>
      <c r="G62" s="69"/>
      <c r="H62" s="69"/>
      <c r="I62" s="69"/>
      <c r="J62" s="70"/>
      <c r="K62" s="69"/>
      <c r="L62" s="69"/>
      <c r="M62" s="69"/>
      <c r="N62" s="69"/>
      <c r="O62" s="2"/>
      <c r="P62" s="2"/>
      <c r="Q62" s="32"/>
      <c r="R62" s="32"/>
      <c r="S62" s="32"/>
      <c r="T62" s="3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10"/>
      <c r="F63" s="86"/>
      <c r="G63" s="69"/>
      <c r="H63" s="69"/>
      <c r="I63" s="69"/>
      <c r="J63" s="70"/>
      <c r="K63" s="69"/>
      <c r="L63" s="69"/>
      <c r="M63" s="69"/>
      <c r="N63" s="69"/>
      <c r="O63" s="2"/>
      <c r="P63" s="2"/>
      <c r="Q63" s="32"/>
      <c r="R63" s="32"/>
      <c r="S63" s="32"/>
      <c r="T63" s="32"/>
      <c r="U63" s="2"/>
      <c r="V63" s="2"/>
      <c r="W63" s="2"/>
      <c r="X63" s="2"/>
      <c r="Y63" s="2"/>
      <c r="Z63" s="2"/>
    </row>
    <row r="64" spans="1:26" ht="13.8" x14ac:dyDescent="0.3">
      <c r="A64" s="32"/>
      <c r="B64" s="2"/>
      <c r="C64" s="10"/>
      <c r="D64" s="10"/>
      <c r="E64" s="10"/>
      <c r="F64" s="86"/>
      <c r="G64" s="69"/>
      <c r="H64" s="69"/>
      <c r="I64" s="69"/>
      <c r="J64" s="70"/>
      <c r="K64" s="69"/>
      <c r="L64" s="69"/>
      <c r="M64" s="69"/>
      <c r="N64" s="69"/>
      <c r="O64" s="2"/>
      <c r="P64" s="2"/>
      <c r="Q64" s="32"/>
      <c r="R64" s="32"/>
      <c r="S64" s="32"/>
      <c r="T64" s="32"/>
      <c r="U64" s="2"/>
      <c r="V64" s="2"/>
      <c r="W64" s="2"/>
      <c r="X64" s="2"/>
      <c r="Y64" s="2"/>
      <c r="Z64" s="2"/>
    </row>
    <row r="65" spans="1:26" ht="13.8" x14ac:dyDescent="0.3">
      <c r="A65" s="32"/>
      <c r="B65" s="2"/>
      <c r="C65" s="10"/>
      <c r="D65" s="10"/>
      <c r="E65" s="10"/>
      <c r="F65" s="86"/>
      <c r="G65" s="69"/>
      <c r="H65" s="69"/>
      <c r="I65" s="69"/>
      <c r="J65" s="70"/>
      <c r="K65" s="69"/>
      <c r="L65" s="69"/>
      <c r="M65" s="69"/>
      <c r="N65" s="69"/>
      <c r="O65" s="2"/>
      <c r="P65" s="2"/>
      <c r="Q65" s="32"/>
      <c r="R65" s="32"/>
      <c r="S65" s="32"/>
      <c r="T65" s="32"/>
      <c r="U65" s="2"/>
      <c r="V65" s="2"/>
      <c r="W65" s="2"/>
      <c r="X65" s="2"/>
      <c r="Y65" s="2"/>
      <c r="Z65" s="2"/>
    </row>
    <row r="66" spans="1:26" ht="13.8" x14ac:dyDescent="0.3">
      <c r="A66" s="32"/>
      <c r="B66" s="2"/>
      <c r="C66" s="10"/>
      <c r="D66" s="10"/>
      <c r="E66" s="10"/>
      <c r="F66" s="86"/>
      <c r="G66" s="69"/>
      <c r="H66" s="69"/>
      <c r="I66" s="69"/>
      <c r="J66" s="70"/>
      <c r="K66" s="69"/>
      <c r="L66" s="69"/>
      <c r="M66" s="69"/>
      <c r="N66" s="69"/>
      <c r="O66" s="2"/>
      <c r="P66" s="2"/>
      <c r="Q66" s="32"/>
      <c r="R66" s="32"/>
      <c r="S66" s="32"/>
      <c r="T66" s="32"/>
      <c r="U66" s="2"/>
      <c r="V66" s="2"/>
      <c r="W66" s="2"/>
      <c r="X66" s="2"/>
      <c r="Y66" s="2"/>
      <c r="Z66" s="2"/>
    </row>
    <row r="67" spans="1:26" ht="13.8" x14ac:dyDescent="0.3">
      <c r="A67" s="32"/>
      <c r="B67" s="2"/>
      <c r="C67" s="10"/>
      <c r="D67" s="10"/>
      <c r="E67" s="10"/>
      <c r="F67" s="86"/>
      <c r="G67" s="69"/>
      <c r="H67" s="69"/>
      <c r="I67" s="69"/>
      <c r="J67" s="70"/>
      <c r="K67" s="69"/>
      <c r="L67" s="69"/>
      <c r="M67" s="69"/>
      <c r="N67" s="69"/>
      <c r="O67" s="2"/>
      <c r="P67" s="2"/>
      <c r="Q67" s="32"/>
      <c r="R67" s="32"/>
      <c r="S67" s="32"/>
      <c r="T67" s="3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10"/>
      <c r="F68" s="86"/>
      <c r="G68" s="69"/>
      <c r="H68" s="69"/>
      <c r="I68" s="69"/>
      <c r="J68" s="70"/>
      <c r="K68" s="69"/>
      <c r="L68" s="69"/>
      <c r="M68" s="69"/>
      <c r="N68" s="69"/>
      <c r="O68" s="2"/>
      <c r="P68" s="2"/>
      <c r="Q68" s="32"/>
      <c r="R68" s="32"/>
      <c r="S68" s="32"/>
      <c r="T68" s="3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10"/>
      <c r="F69" s="86"/>
      <c r="G69" s="69"/>
      <c r="H69" s="69"/>
      <c r="I69" s="69"/>
      <c r="J69" s="70"/>
      <c r="K69" s="69"/>
      <c r="L69" s="69"/>
      <c r="M69" s="69"/>
      <c r="N69" s="69"/>
      <c r="O69" s="2"/>
      <c r="P69" s="2"/>
      <c r="Q69" s="32"/>
      <c r="R69" s="32"/>
      <c r="S69" s="32"/>
      <c r="T69" s="32"/>
      <c r="U69" s="2"/>
      <c r="V69" s="2"/>
      <c r="W69" s="2"/>
      <c r="X69" s="2"/>
      <c r="Y69" s="2"/>
      <c r="Z69" s="2"/>
    </row>
    <row r="70" spans="1:26" ht="13.8" x14ac:dyDescent="0.3">
      <c r="A70" s="32"/>
      <c r="B70" s="2"/>
      <c r="C70" s="10"/>
      <c r="D70" s="10"/>
      <c r="E70" s="10"/>
      <c r="F70" s="86"/>
      <c r="G70" s="69"/>
      <c r="H70" s="69"/>
      <c r="I70" s="69"/>
      <c r="J70" s="70"/>
      <c r="K70" s="69"/>
      <c r="L70" s="69"/>
      <c r="M70" s="69"/>
      <c r="N70" s="69"/>
      <c r="O70" s="2"/>
      <c r="P70" s="2"/>
      <c r="Q70" s="32"/>
      <c r="R70" s="32"/>
      <c r="S70" s="32"/>
      <c r="T70" s="32"/>
      <c r="U70" s="2"/>
      <c r="V70" s="2"/>
      <c r="W70" s="2"/>
      <c r="X70" s="2"/>
      <c r="Y70" s="2"/>
      <c r="Z70" s="2"/>
    </row>
    <row r="71" spans="1:26" ht="13.8" x14ac:dyDescent="0.3">
      <c r="A71" s="2"/>
      <c r="B71" s="2"/>
      <c r="C71" s="10"/>
      <c r="D71" s="10"/>
      <c r="E71" s="10"/>
      <c r="F71" s="10"/>
      <c r="G71" s="32"/>
      <c r="H71" s="32"/>
      <c r="I71" s="32"/>
      <c r="J71" s="73"/>
      <c r="K71" s="32"/>
      <c r="L71" s="32"/>
      <c r="M71" s="32"/>
      <c r="N71" s="32"/>
      <c r="O71" s="2"/>
      <c r="P71" s="2"/>
      <c r="Q71" s="32"/>
      <c r="R71" s="32"/>
      <c r="S71" s="32"/>
      <c r="T71" s="32"/>
      <c r="U71" s="2"/>
      <c r="V71" s="2"/>
      <c r="W71" s="2"/>
      <c r="X71" s="2"/>
      <c r="Y71" s="2"/>
      <c r="Z71" s="2"/>
    </row>
    <row r="72" spans="1:26" ht="13.8" x14ac:dyDescent="0.3">
      <c r="A72" s="2"/>
      <c r="B72" s="2"/>
      <c r="C72" s="10"/>
      <c r="D72" s="10"/>
      <c r="E72" s="10"/>
      <c r="F72" s="46"/>
      <c r="G72" s="69"/>
      <c r="H72" s="69"/>
      <c r="I72" s="69"/>
      <c r="J72" s="70"/>
      <c r="K72" s="69"/>
      <c r="L72" s="69"/>
      <c r="M72" s="69"/>
      <c r="N72" s="69"/>
      <c r="O72" s="2"/>
      <c r="P72" s="2"/>
      <c r="Q72" s="32"/>
      <c r="R72" s="32"/>
      <c r="S72" s="32"/>
      <c r="T72" s="32"/>
      <c r="U72" s="2"/>
      <c r="V72" s="2"/>
      <c r="W72" s="2"/>
      <c r="X72" s="2"/>
      <c r="Y72" s="2"/>
      <c r="Z72" s="2"/>
    </row>
    <row r="73" spans="1:26" ht="13.8" x14ac:dyDescent="0.3">
      <c r="A73" s="2"/>
      <c r="B73" s="2"/>
      <c r="C73" s="10"/>
      <c r="D73" s="10"/>
      <c r="E73" s="10"/>
      <c r="F73" s="10"/>
      <c r="G73" s="32"/>
      <c r="H73" s="32"/>
      <c r="I73" s="32"/>
      <c r="J73" s="73"/>
      <c r="K73" s="32"/>
      <c r="L73" s="32"/>
      <c r="M73" s="32"/>
      <c r="N73" s="32"/>
      <c r="O73" s="2"/>
      <c r="P73" s="2"/>
      <c r="Q73" s="32"/>
      <c r="R73" s="32"/>
      <c r="S73" s="32"/>
      <c r="T73" s="32"/>
      <c r="U73" s="2"/>
      <c r="V73" s="2"/>
      <c r="W73" s="2"/>
      <c r="X73" s="2"/>
      <c r="Y73" s="2"/>
      <c r="Z73" s="2"/>
    </row>
    <row r="74" spans="1:26" ht="13.8" x14ac:dyDescent="0.3">
      <c r="A74" s="32"/>
      <c r="B74" s="2"/>
      <c r="C74" s="10"/>
      <c r="D74" s="10"/>
      <c r="E74" s="10"/>
      <c r="F74" s="86"/>
      <c r="G74" s="69"/>
      <c r="H74" s="69"/>
      <c r="I74" s="69"/>
      <c r="J74" s="70"/>
      <c r="K74" s="69"/>
      <c r="L74" s="69"/>
      <c r="M74" s="69"/>
      <c r="N74" s="69"/>
      <c r="O74" s="2"/>
      <c r="P74" s="2"/>
      <c r="Q74" s="32"/>
      <c r="R74" s="32"/>
      <c r="S74" s="32"/>
      <c r="T74" s="32"/>
      <c r="U74" s="2"/>
      <c r="V74" s="2"/>
      <c r="W74" s="2"/>
      <c r="X74" s="2"/>
      <c r="Y74" s="2"/>
      <c r="Z74" s="2"/>
    </row>
    <row r="75" spans="1:26" ht="13.8" x14ac:dyDescent="0.3">
      <c r="A75" s="32"/>
      <c r="B75" s="2"/>
      <c r="C75" s="10"/>
      <c r="D75" s="10"/>
      <c r="E75" s="10"/>
      <c r="F75" s="86"/>
      <c r="G75" s="69"/>
      <c r="H75" s="69"/>
      <c r="I75" s="69"/>
      <c r="J75" s="70"/>
      <c r="K75" s="69"/>
      <c r="L75" s="69"/>
      <c r="M75" s="69"/>
      <c r="N75" s="69"/>
      <c r="O75" s="2"/>
      <c r="P75" s="2"/>
      <c r="Q75" s="32"/>
      <c r="R75" s="32"/>
      <c r="S75" s="32"/>
      <c r="T75" s="32"/>
      <c r="U75" s="2"/>
      <c r="V75" s="2"/>
      <c r="W75" s="2"/>
      <c r="X75" s="2"/>
      <c r="Y75" s="2"/>
      <c r="Z75" s="2"/>
    </row>
    <row r="76" spans="1:26" ht="13.8" x14ac:dyDescent="0.3">
      <c r="A76" s="32"/>
      <c r="B76" s="2"/>
      <c r="C76" s="10"/>
      <c r="D76" s="10"/>
      <c r="E76" s="10"/>
      <c r="F76" s="86"/>
      <c r="G76" s="69"/>
      <c r="H76" s="69"/>
      <c r="I76" s="69"/>
      <c r="J76" s="70"/>
      <c r="K76" s="69"/>
      <c r="L76" s="69"/>
      <c r="M76" s="69"/>
      <c r="N76" s="69"/>
      <c r="O76" s="2"/>
      <c r="P76" s="2"/>
      <c r="Q76" s="32"/>
      <c r="R76" s="32"/>
      <c r="S76" s="32"/>
      <c r="T76" s="3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10"/>
      <c r="F77" s="86"/>
      <c r="G77" s="69"/>
      <c r="H77" s="69"/>
      <c r="I77" s="69"/>
      <c r="J77" s="70"/>
      <c r="K77" s="69"/>
      <c r="L77" s="69"/>
      <c r="M77" s="69"/>
      <c r="N77" s="69"/>
      <c r="O77" s="2"/>
      <c r="P77" s="2"/>
      <c r="Q77" s="32"/>
      <c r="R77" s="32"/>
      <c r="S77" s="32"/>
      <c r="T77" s="3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10"/>
      <c r="F78" s="86"/>
      <c r="G78" s="69"/>
      <c r="H78" s="69"/>
      <c r="I78" s="69"/>
      <c r="J78" s="70"/>
      <c r="K78" s="69"/>
      <c r="L78" s="69"/>
      <c r="M78" s="69"/>
      <c r="N78" s="69"/>
      <c r="O78" s="2"/>
      <c r="P78" s="2"/>
      <c r="Q78" s="32"/>
      <c r="R78" s="32"/>
      <c r="S78" s="32"/>
      <c r="T78" s="32"/>
      <c r="U78" s="2"/>
      <c r="V78" s="2"/>
      <c r="W78" s="2"/>
      <c r="X78" s="2"/>
      <c r="Y78" s="2"/>
      <c r="Z78" s="2"/>
    </row>
    <row r="79" spans="1:26" ht="13.8" x14ac:dyDescent="0.3">
      <c r="A79" s="32"/>
      <c r="B79" s="2"/>
      <c r="C79" s="10"/>
      <c r="D79" s="10"/>
      <c r="E79" s="10"/>
      <c r="F79" s="86"/>
      <c r="G79" s="69"/>
      <c r="H79" s="69"/>
      <c r="I79" s="69"/>
      <c r="J79" s="70"/>
      <c r="K79" s="69"/>
      <c r="L79" s="69"/>
      <c r="M79" s="69"/>
      <c r="N79" s="69"/>
      <c r="O79" s="2"/>
      <c r="P79" s="2"/>
      <c r="Q79" s="32"/>
      <c r="R79" s="32"/>
      <c r="S79" s="32"/>
      <c r="T79" s="32"/>
      <c r="U79" s="2"/>
      <c r="V79" s="2"/>
      <c r="W79" s="2"/>
      <c r="X79" s="2"/>
      <c r="Y79" s="2"/>
      <c r="Z79" s="2"/>
    </row>
    <row r="80" spans="1:26" ht="13.8" x14ac:dyDescent="0.3">
      <c r="A80" s="32"/>
      <c r="B80" s="2"/>
      <c r="C80" s="10"/>
      <c r="D80" s="10"/>
      <c r="E80" s="10"/>
      <c r="F80" s="86"/>
      <c r="G80" s="69"/>
      <c r="H80" s="69"/>
      <c r="I80" s="69"/>
      <c r="J80" s="70"/>
      <c r="K80" s="69"/>
      <c r="L80" s="69"/>
      <c r="M80" s="69"/>
      <c r="N80" s="69"/>
      <c r="O80" s="2"/>
      <c r="P80" s="2"/>
      <c r="Q80" s="32"/>
      <c r="R80" s="32"/>
      <c r="S80" s="32"/>
      <c r="T80" s="32"/>
      <c r="U80" s="2"/>
      <c r="V80" s="2"/>
      <c r="W80" s="2"/>
      <c r="X80" s="2"/>
      <c r="Y80" s="2"/>
      <c r="Z80" s="2"/>
    </row>
    <row r="81" spans="1:26" ht="13.8" x14ac:dyDescent="0.3">
      <c r="A81" s="32"/>
      <c r="B81" s="2"/>
      <c r="C81" s="10"/>
      <c r="D81" s="10"/>
      <c r="E81" s="10"/>
      <c r="F81" s="86"/>
      <c r="G81" s="69"/>
      <c r="H81" s="69"/>
      <c r="I81" s="69"/>
      <c r="J81" s="70"/>
      <c r="K81" s="69"/>
      <c r="L81" s="69"/>
      <c r="M81" s="69"/>
      <c r="N81" s="69"/>
      <c r="O81" s="2"/>
      <c r="P81" s="2"/>
      <c r="Q81" s="32"/>
      <c r="R81" s="32"/>
      <c r="S81" s="32"/>
      <c r="T81" s="32"/>
      <c r="U81" s="2"/>
      <c r="V81" s="2"/>
      <c r="W81" s="2"/>
      <c r="X81" s="2"/>
      <c r="Y81" s="2"/>
      <c r="Z81" s="2"/>
    </row>
    <row r="82" spans="1:26" ht="13.8" x14ac:dyDescent="0.3">
      <c r="A82" s="32"/>
      <c r="B82" s="10"/>
      <c r="C82" s="10"/>
      <c r="D82" s="10"/>
      <c r="E82" s="10"/>
      <c r="F82" s="46"/>
      <c r="G82" s="69"/>
      <c r="H82" s="69"/>
      <c r="I82" s="69"/>
      <c r="J82" s="70"/>
      <c r="K82" s="69"/>
      <c r="L82" s="69"/>
      <c r="M82" s="69"/>
      <c r="N82" s="69"/>
      <c r="O82" s="2"/>
      <c r="P82" s="2"/>
      <c r="Q82" s="32"/>
      <c r="R82" s="32"/>
      <c r="S82" s="32"/>
      <c r="T82" s="32"/>
      <c r="U82" s="2"/>
      <c r="V82" s="2"/>
      <c r="W82" s="2"/>
      <c r="X82" s="2"/>
      <c r="Y82" s="2"/>
      <c r="Z82" s="2"/>
    </row>
    <row r="83" spans="1:26" ht="13.8" x14ac:dyDescent="0.3">
      <c r="A83" s="32"/>
      <c r="B83" s="10"/>
      <c r="C83" s="10"/>
      <c r="D83" s="10"/>
      <c r="E83" s="10"/>
      <c r="F83" s="10"/>
      <c r="G83" s="32"/>
      <c r="H83" s="32"/>
      <c r="I83" s="32"/>
      <c r="J83" s="73"/>
      <c r="K83" s="32"/>
      <c r="L83" s="32"/>
      <c r="M83" s="32"/>
      <c r="N83" s="32"/>
      <c r="O83" s="2"/>
      <c r="P83" s="2"/>
      <c r="Q83" s="32"/>
      <c r="R83" s="32"/>
      <c r="S83" s="32"/>
      <c r="T83" s="32"/>
      <c r="U83" s="2"/>
      <c r="V83" s="2"/>
      <c r="W83" s="2"/>
      <c r="X83" s="2"/>
      <c r="Y83" s="2"/>
      <c r="Z83" s="2"/>
    </row>
    <row r="84" spans="1:26" ht="13.8" x14ac:dyDescent="0.3">
      <c r="A84" s="32"/>
      <c r="B84" s="10"/>
      <c r="C84" s="10"/>
      <c r="D84" s="10"/>
      <c r="E84" s="10"/>
      <c r="F84" s="86"/>
      <c r="G84" s="69"/>
      <c r="H84" s="69"/>
      <c r="I84" s="69"/>
      <c r="J84" s="70"/>
      <c r="K84" s="69"/>
      <c r="L84" s="69"/>
      <c r="M84" s="69"/>
      <c r="N84" s="69"/>
      <c r="O84" s="2"/>
      <c r="P84" s="2"/>
      <c r="Q84" s="32"/>
      <c r="R84" s="32"/>
      <c r="S84" s="32"/>
      <c r="T84" s="32"/>
      <c r="U84" s="2"/>
      <c r="V84" s="2"/>
      <c r="W84" s="2"/>
      <c r="X84" s="2"/>
      <c r="Y84" s="2"/>
      <c r="Z84" s="2"/>
    </row>
    <row r="85" spans="1:26" ht="13.8" x14ac:dyDescent="0.3">
      <c r="A85" s="32"/>
      <c r="B85" s="10"/>
      <c r="C85" s="10"/>
      <c r="D85" s="10"/>
      <c r="E85" s="10"/>
      <c r="F85" s="86"/>
      <c r="G85" s="69"/>
      <c r="H85" s="69"/>
      <c r="I85" s="69"/>
      <c r="J85" s="70"/>
      <c r="K85" s="69"/>
      <c r="L85" s="69"/>
      <c r="M85" s="69"/>
      <c r="N85" s="69"/>
      <c r="O85" s="2"/>
      <c r="P85" s="2"/>
      <c r="Q85" s="32"/>
      <c r="R85" s="32"/>
      <c r="S85" s="32"/>
      <c r="T85" s="32"/>
      <c r="U85" s="2"/>
      <c r="V85" s="2"/>
      <c r="W85" s="2"/>
      <c r="X85" s="2"/>
      <c r="Y85" s="2"/>
      <c r="Z85" s="2"/>
    </row>
    <row r="86" spans="1:26" ht="13.8" x14ac:dyDescent="0.3">
      <c r="A86" s="32"/>
      <c r="B86" s="10"/>
      <c r="C86" s="10"/>
      <c r="D86" s="10"/>
      <c r="E86" s="10"/>
      <c r="F86" s="86"/>
      <c r="G86" s="69"/>
      <c r="H86" s="69"/>
      <c r="I86" s="69"/>
      <c r="J86" s="70"/>
      <c r="K86" s="69"/>
      <c r="L86" s="69"/>
      <c r="M86" s="69"/>
      <c r="N86" s="69"/>
      <c r="O86" s="2"/>
      <c r="P86" s="2"/>
      <c r="Q86" s="32"/>
      <c r="R86" s="32"/>
      <c r="S86" s="32"/>
      <c r="T86" s="32"/>
      <c r="U86" s="2"/>
      <c r="V86" s="2"/>
      <c r="W86" s="2"/>
      <c r="X86" s="2"/>
      <c r="Y86" s="2"/>
      <c r="Z86" s="2"/>
    </row>
    <row r="87" spans="1:26" ht="13.8" x14ac:dyDescent="0.3">
      <c r="A87" s="32"/>
      <c r="B87" s="10"/>
      <c r="C87" s="10"/>
      <c r="D87" s="10"/>
      <c r="E87" s="10"/>
      <c r="F87" s="86"/>
      <c r="G87" s="69"/>
      <c r="H87" s="69"/>
      <c r="I87" s="69"/>
      <c r="J87" s="70"/>
      <c r="K87" s="69"/>
      <c r="L87" s="69"/>
      <c r="M87" s="69"/>
      <c r="N87" s="69"/>
      <c r="O87" s="2"/>
      <c r="P87" s="2"/>
      <c r="Q87" s="32"/>
      <c r="R87" s="32"/>
      <c r="S87" s="32"/>
      <c r="T87" s="32"/>
      <c r="U87" s="2"/>
      <c r="V87" s="2"/>
      <c r="W87" s="2"/>
      <c r="X87" s="2"/>
      <c r="Y87" s="2"/>
      <c r="Z87" s="2"/>
    </row>
    <row r="88" spans="1:26" ht="13.8" x14ac:dyDescent="0.3">
      <c r="A88" s="32"/>
      <c r="B88" s="10"/>
      <c r="C88" s="10"/>
      <c r="D88" s="10"/>
      <c r="E88" s="10"/>
      <c r="F88" s="86"/>
      <c r="G88" s="69"/>
      <c r="H88" s="69"/>
      <c r="I88" s="69"/>
      <c r="J88" s="70"/>
      <c r="K88" s="69"/>
      <c r="L88" s="69"/>
      <c r="M88" s="69"/>
      <c r="N88" s="69"/>
      <c r="O88" s="2"/>
      <c r="P88" s="2"/>
      <c r="Q88" s="32"/>
      <c r="R88" s="32"/>
      <c r="S88" s="32"/>
      <c r="T88" s="32"/>
      <c r="U88" s="2"/>
      <c r="V88" s="2"/>
      <c r="W88" s="2"/>
      <c r="X88" s="2"/>
      <c r="Y88" s="2"/>
      <c r="Z88" s="2"/>
    </row>
    <row r="89" spans="1:26" ht="13.8" x14ac:dyDescent="0.3">
      <c r="A89" s="32"/>
      <c r="B89" s="10"/>
      <c r="C89" s="10"/>
      <c r="D89" s="10"/>
      <c r="E89" s="10"/>
      <c r="F89" s="86"/>
      <c r="G89" s="69"/>
      <c r="H89" s="69"/>
      <c r="I89" s="69"/>
      <c r="J89" s="70"/>
      <c r="K89" s="69"/>
      <c r="L89" s="69"/>
      <c r="M89" s="69"/>
      <c r="N89" s="69"/>
      <c r="O89" s="2"/>
      <c r="P89" s="2"/>
      <c r="Q89" s="32"/>
      <c r="R89" s="32"/>
      <c r="S89" s="32"/>
      <c r="T89" s="32"/>
      <c r="U89" s="2"/>
      <c r="V89" s="2"/>
      <c r="W89" s="2"/>
      <c r="X89" s="2"/>
      <c r="Y89" s="2"/>
      <c r="Z89" s="2"/>
    </row>
    <row r="90" spans="1:26" ht="13.8" x14ac:dyDescent="0.3">
      <c r="A90" s="32"/>
      <c r="B90" s="10"/>
      <c r="C90" s="10"/>
      <c r="D90" s="10"/>
      <c r="E90" s="10"/>
      <c r="F90" s="86"/>
      <c r="G90" s="69"/>
      <c r="H90" s="69"/>
      <c r="I90" s="69"/>
      <c r="J90" s="70"/>
      <c r="K90" s="69"/>
      <c r="L90" s="69"/>
      <c r="M90" s="69"/>
      <c r="N90" s="69"/>
      <c r="O90" s="2"/>
      <c r="P90" s="2"/>
      <c r="Q90" s="32"/>
      <c r="R90" s="32"/>
      <c r="S90" s="32"/>
      <c r="T90" s="32"/>
      <c r="U90" s="2"/>
      <c r="V90" s="2"/>
      <c r="W90" s="2"/>
      <c r="X90" s="2"/>
      <c r="Y90" s="2"/>
      <c r="Z90" s="2"/>
    </row>
    <row r="91" spans="1:26" ht="13.8" x14ac:dyDescent="0.3">
      <c r="A91" s="32"/>
      <c r="B91" s="10"/>
      <c r="C91" s="10"/>
      <c r="D91" s="10"/>
      <c r="E91" s="10"/>
      <c r="F91" s="86"/>
      <c r="G91" s="69"/>
      <c r="H91" s="69"/>
      <c r="I91" s="69"/>
      <c r="J91" s="70"/>
      <c r="K91" s="69"/>
      <c r="L91" s="69"/>
      <c r="M91" s="69"/>
      <c r="N91" s="69"/>
      <c r="O91" s="2"/>
      <c r="P91" s="2"/>
      <c r="Q91" s="32"/>
      <c r="R91" s="32"/>
      <c r="S91" s="32"/>
      <c r="T91" s="32"/>
      <c r="U91" s="2"/>
      <c r="V91" s="2"/>
      <c r="W91" s="2"/>
      <c r="X91" s="2"/>
      <c r="Y91" s="2"/>
      <c r="Z91" s="2"/>
    </row>
    <row r="92" spans="1:26" ht="13.8" x14ac:dyDescent="0.3">
      <c r="A92" s="29"/>
      <c r="B92" s="10"/>
      <c r="C92" s="10"/>
      <c r="D92" s="10"/>
      <c r="E92" s="10"/>
      <c r="F92" s="10"/>
      <c r="G92" s="32"/>
      <c r="H92" s="32"/>
      <c r="I92" s="32"/>
      <c r="J92" s="73"/>
      <c r="K92" s="32"/>
      <c r="L92" s="32"/>
      <c r="M92" s="32"/>
      <c r="N92" s="32"/>
      <c r="O92" s="2"/>
      <c r="P92" s="2"/>
      <c r="Q92" s="32"/>
      <c r="R92" s="32"/>
      <c r="S92" s="32"/>
      <c r="T92" s="32"/>
      <c r="U92" s="2"/>
      <c r="V92" s="2"/>
      <c r="W92" s="2"/>
      <c r="X92" s="2"/>
      <c r="Y92" s="2"/>
      <c r="Z92" s="2"/>
    </row>
    <row r="93" spans="1:26" ht="13.8" x14ac:dyDescent="0.3">
      <c r="A93" s="2"/>
      <c r="B93" s="2"/>
      <c r="C93" s="10"/>
      <c r="D93" s="10"/>
      <c r="E93" s="10"/>
      <c r="F93" s="86"/>
      <c r="G93" s="69"/>
      <c r="H93" s="69"/>
      <c r="I93" s="69"/>
      <c r="J93" s="70"/>
      <c r="K93" s="69"/>
      <c r="L93" s="69"/>
      <c r="M93" s="69"/>
      <c r="N93" s="69"/>
      <c r="O93" s="2"/>
      <c r="P93" s="2"/>
      <c r="Q93" s="32"/>
      <c r="R93" s="32"/>
      <c r="S93" s="32"/>
      <c r="T93" s="32"/>
      <c r="U93" s="2"/>
      <c r="V93" s="2"/>
      <c r="W93" s="2"/>
      <c r="X93" s="2"/>
      <c r="Y93" s="2"/>
      <c r="Z93" s="2"/>
    </row>
    <row r="94" spans="1:26" ht="13.8" x14ac:dyDescent="0.3">
      <c r="A94" s="2"/>
      <c r="B94" s="2"/>
      <c r="C94" s="10"/>
      <c r="D94" s="10"/>
      <c r="E94" s="10"/>
      <c r="F94" s="86"/>
      <c r="G94" s="69"/>
      <c r="H94" s="69"/>
      <c r="I94" s="69"/>
      <c r="J94" s="70"/>
      <c r="K94" s="69"/>
      <c r="L94" s="69"/>
      <c r="M94" s="69"/>
      <c r="N94" s="69"/>
      <c r="O94" s="2"/>
      <c r="P94" s="2"/>
      <c r="Q94" s="32"/>
      <c r="R94" s="32"/>
      <c r="S94" s="32"/>
      <c r="T94" s="32"/>
      <c r="U94" s="2"/>
      <c r="V94" s="2"/>
      <c r="W94" s="2"/>
      <c r="X94" s="2"/>
      <c r="Y94" s="2"/>
      <c r="Z94" s="2"/>
    </row>
    <row r="95" spans="1:26" ht="13.8" x14ac:dyDescent="0.3">
      <c r="A95" s="2"/>
      <c r="B95" s="2"/>
      <c r="C95" s="10"/>
      <c r="D95" s="10"/>
      <c r="E95" s="10"/>
      <c r="F95" s="86"/>
      <c r="G95" s="69"/>
      <c r="H95" s="69"/>
      <c r="I95" s="69"/>
      <c r="J95" s="70"/>
      <c r="K95" s="69"/>
      <c r="L95" s="69"/>
      <c r="M95" s="69"/>
      <c r="N95" s="69"/>
      <c r="O95" s="2"/>
      <c r="P95" s="2"/>
      <c r="Q95" s="32"/>
      <c r="R95" s="32"/>
      <c r="S95" s="32"/>
      <c r="T95" s="32"/>
      <c r="U95" s="2"/>
      <c r="V95" s="2"/>
      <c r="W95" s="2"/>
      <c r="X95" s="2"/>
      <c r="Y95" s="2"/>
      <c r="Z95" s="2"/>
    </row>
    <row r="96" spans="1:26" ht="13.8" x14ac:dyDescent="0.3">
      <c r="A96" s="2"/>
      <c r="B96" s="2"/>
      <c r="C96" s="10"/>
      <c r="D96" s="10"/>
      <c r="E96" s="10"/>
      <c r="F96" s="10"/>
      <c r="G96" s="69"/>
      <c r="H96" s="69"/>
      <c r="I96" s="69"/>
      <c r="J96" s="70"/>
      <c r="K96" s="69"/>
      <c r="L96" s="69"/>
      <c r="M96" s="69"/>
      <c r="N96" s="69"/>
      <c r="O96" s="2"/>
      <c r="P96" s="2"/>
      <c r="Q96" s="32"/>
      <c r="R96" s="32"/>
      <c r="S96" s="32"/>
      <c r="T96" s="3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10"/>
      <c r="F97" s="10"/>
      <c r="G97" s="69"/>
      <c r="H97" s="69"/>
      <c r="I97" s="69"/>
      <c r="J97" s="70"/>
      <c r="K97" s="69"/>
      <c r="L97" s="69"/>
      <c r="M97" s="69"/>
      <c r="N97" s="69"/>
      <c r="O97" s="2"/>
      <c r="P97" s="2"/>
      <c r="Q97" s="32"/>
      <c r="R97" s="32"/>
      <c r="S97" s="32"/>
      <c r="T97" s="3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10"/>
      <c r="F98" s="10"/>
      <c r="G98" s="69"/>
      <c r="H98" s="69"/>
      <c r="I98" s="69"/>
      <c r="J98" s="70"/>
      <c r="K98" s="69"/>
      <c r="L98" s="69"/>
      <c r="M98" s="69"/>
      <c r="N98" s="69"/>
      <c r="O98" s="2"/>
      <c r="P98" s="2"/>
      <c r="Q98" s="32"/>
      <c r="R98" s="32"/>
      <c r="S98" s="32"/>
      <c r="T98" s="32"/>
      <c r="U98" s="2"/>
      <c r="V98" s="2"/>
      <c r="W98" s="2"/>
      <c r="X98" s="2"/>
      <c r="Y98" s="2"/>
      <c r="Z98" s="2"/>
    </row>
    <row r="99" spans="1:26" ht="13.8" x14ac:dyDescent="0.3">
      <c r="A99" s="2"/>
      <c r="B99" s="2"/>
      <c r="C99" s="10"/>
      <c r="D99" s="10"/>
      <c r="E99" s="10"/>
      <c r="F99" s="10"/>
      <c r="G99" s="69"/>
      <c r="H99" s="69"/>
      <c r="I99" s="69"/>
      <c r="J99" s="70"/>
      <c r="K99" s="69"/>
      <c r="L99" s="69"/>
      <c r="M99" s="69"/>
      <c r="N99" s="69"/>
      <c r="O99" s="2"/>
      <c r="P99" s="2"/>
      <c r="Q99" s="32"/>
      <c r="R99" s="32"/>
      <c r="S99" s="32"/>
      <c r="T99" s="32"/>
      <c r="U99" s="2"/>
      <c r="V99" s="2"/>
      <c r="W99" s="2"/>
      <c r="X99" s="2"/>
      <c r="Y99" s="2"/>
      <c r="Z99" s="2"/>
    </row>
    <row r="100" spans="1:26" ht="13.8" x14ac:dyDescent="0.3">
      <c r="A100" s="2"/>
      <c r="B100" s="2"/>
      <c r="C100" s="10"/>
      <c r="D100" s="10"/>
      <c r="E100" s="10"/>
      <c r="F100" s="10"/>
      <c r="G100" s="69"/>
      <c r="H100" s="69"/>
      <c r="I100" s="69"/>
      <c r="J100" s="70"/>
      <c r="K100" s="69"/>
      <c r="L100" s="69"/>
      <c r="M100" s="69"/>
      <c r="N100" s="69"/>
      <c r="O100" s="2"/>
      <c r="P100" s="2"/>
      <c r="Q100" s="32"/>
      <c r="R100" s="32"/>
      <c r="S100" s="32"/>
      <c r="T100" s="3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10"/>
      <c r="F101" s="10"/>
      <c r="G101" s="32"/>
      <c r="H101" s="32"/>
      <c r="I101" s="32"/>
      <c r="J101" s="73"/>
      <c r="K101" s="32"/>
      <c r="L101" s="32"/>
      <c r="M101" s="32"/>
      <c r="N101" s="32"/>
      <c r="O101" s="2"/>
      <c r="P101" s="2"/>
      <c r="Q101" s="32"/>
      <c r="R101" s="32"/>
      <c r="S101" s="32"/>
      <c r="T101" s="3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2"/>
      <c r="C102" s="10"/>
      <c r="D102" s="10"/>
      <c r="E102" s="10"/>
      <c r="F102" s="10"/>
      <c r="G102" s="69"/>
      <c r="H102" s="69"/>
      <c r="I102" s="69"/>
      <c r="J102" s="70"/>
      <c r="K102" s="69"/>
      <c r="L102" s="69"/>
      <c r="M102" s="69"/>
      <c r="N102" s="69"/>
      <c r="O102" s="2"/>
      <c r="P102" s="2"/>
      <c r="Q102" s="32"/>
      <c r="R102" s="32"/>
      <c r="S102" s="32"/>
      <c r="T102" s="3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10"/>
      <c r="F103" s="10"/>
      <c r="G103" s="69"/>
      <c r="H103" s="69"/>
      <c r="I103" s="69"/>
      <c r="J103" s="70"/>
      <c r="K103" s="69"/>
      <c r="L103" s="69"/>
      <c r="M103" s="69"/>
      <c r="N103" s="69"/>
      <c r="O103" s="2"/>
      <c r="P103" s="2"/>
      <c r="Q103" s="32"/>
      <c r="R103" s="32"/>
      <c r="S103" s="32"/>
      <c r="T103" s="3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2"/>
      <c r="C104" s="10"/>
      <c r="D104" s="10"/>
      <c r="E104" s="10"/>
      <c r="F104" s="10"/>
      <c r="G104" s="69"/>
      <c r="H104" s="69"/>
      <c r="I104" s="69"/>
      <c r="J104" s="70"/>
      <c r="K104" s="69"/>
      <c r="L104" s="69"/>
      <c r="M104" s="69"/>
      <c r="N104" s="69"/>
      <c r="O104" s="2"/>
      <c r="P104" s="2"/>
      <c r="Q104" s="32"/>
      <c r="R104" s="32"/>
      <c r="S104" s="32"/>
      <c r="T104" s="3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2"/>
      <c r="C105" s="10"/>
      <c r="D105" s="10"/>
      <c r="E105" s="10"/>
      <c r="F105" s="10"/>
      <c r="G105" s="69"/>
      <c r="H105" s="69"/>
      <c r="I105" s="69"/>
      <c r="J105" s="70"/>
      <c r="K105" s="69"/>
      <c r="L105" s="69"/>
      <c r="M105" s="69"/>
      <c r="N105" s="69"/>
      <c r="O105" s="2"/>
      <c r="P105" s="2"/>
      <c r="Q105" s="32"/>
      <c r="R105" s="32"/>
      <c r="S105" s="32"/>
      <c r="T105" s="3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10"/>
      <c r="F106" s="10"/>
      <c r="G106" s="69"/>
      <c r="H106" s="69"/>
      <c r="I106" s="69"/>
      <c r="J106" s="70"/>
      <c r="K106" s="69"/>
      <c r="L106" s="69"/>
      <c r="M106" s="69"/>
      <c r="N106" s="69"/>
      <c r="O106" s="2"/>
      <c r="P106" s="2"/>
      <c r="Q106" s="32"/>
      <c r="R106" s="32"/>
      <c r="S106" s="32"/>
      <c r="T106" s="3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2"/>
      <c r="C107" s="10"/>
      <c r="D107" s="10"/>
      <c r="E107" s="10"/>
      <c r="F107" s="10"/>
      <c r="G107" s="69"/>
      <c r="H107" s="69"/>
      <c r="I107" s="69"/>
      <c r="J107" s="70"/>
      <c r="K107" s="69"/>
      <c r="L107" s="69"/>
      <c r="M107" s="69"/>
      <c r="N107" s="69"/>
      <c r="O107" s="2"/>
      <c r="P107" s="2"/>
      <c r="Q107" s="32"/>
      <c r="R107" s="32"/>
      <c r="S107" s="32"/>
      <c r="T107" s="3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2"/>
      <c r="C108" s="10"/>
      <c r="D108" s="10"/>
      <c r="E108" s="10"/>
      <c r="F108" s="10"/>
      <c r="G108" s="69"/>
      <c r="H108" s="69"/>
      <c r="I108" s="69"/>
      <c r="J108" s="70"/>
      <c r="K108" s="69"/>
      <c r="L108" s="69"/>
      <c r="M108" s="69"/>
      <c r="N108" s="69"/>
      <c r="O108" s="2"/>
      <c r="P108" s="2"/>
      <c r="Q108" s="32"/>
      <c r="R108" s="32"/>
      <c r="S108" s="32"/>
      <c r="T108" s="3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2"/>
      <c r="C109" s="10"/>
      <c r="D109" s="10"/>
      <c r="E109" s="10"/>
      <c r="F109" s="10"/>
      <c r="G109" s="69"/>
      <c r="H109" s="69"/>
      <c r="I109" s="69"/>
      <c r="J109" s="70"/>
      <c r="K109" s="69"/>
      <c r="L109" s="69"/>
      <c r="M109" s="69"/>
      <c r="N109" s="69"/>
      <c r="O109" s="2"/>
      <c r="P109" s="2"/>
      <c r="Q109" s="32"/>
      <c r="R109" s="32"/>
      <c r="S109" s="32"/>
      <c r="T109" s="32"/>
      <c r="U109" s="2"/>
      <c r="V109" s="2"/>
      <c r="W109" s="2"/>
      <c r="X109" s="2"/>
      <c r="Y109" s="2"/>
      <c r="Z109" s="2"/>
    </row>
    <row r="110" spans="1:26" ht="13.8" x14ac:dyDescent="0.3">
      <c r="A110" s="2"/>
      <c r="B110" s="2"/>
      <c r="C110" s="10"/>
      <c r="D110" s="10"/>
      <c r="E110" s="10"/>
      <c r="F110" s="10"/>
      <c r="G110" s="69"/>
      <c r="H110" s="69"/>
      <c r="I110" s="69"/>
      <c r="J110" s="70"/>
      <c r="K110" s="69"/>
      <c r="L110" s="69"/>
      <c r="M110" s="69"/>
      <c r="N110" s="69"/>
      <c r="O110" s="2"/>
      <c r="P110" s="2"/>
      <c r="Q110" s="32"/>
      <c r="R110" s="32"/>
      <c r="S110" s="32"/>
      <c r="T110" s="32"/>
      <c r="U110" s="2"/>
      <c r="V110" s="2"/>
      <c r="W110" s="2"/>
      <c r="X110" s="2"/>
      <c r="Y110" s="2"/>
      <c r="Z110" s="2"/>
    </row>
    <row r="111" spans="1:26" ht="13.8" x14ac:dyDescent="0.3">
      <c r="A111" s="2"/>
      <c r="B111" s="10"/>
      <c r="C111" s="10"/>
      <c r="D111" s="10"/>
      <c r="E111" s="10"/>
      <c r="F111" s="10"/>
      <c r="G111" s="32"/>
      <c r="H111" s="32"/>
      <c r="I111" s="32"/>
      <c r="J111" s="73"/>
      <c r="K111" s="32"/>
      <c r="L111" s="32"/>
      <c r="M111" s="32"/>
      <c r="N111" s="32"/>
      <c r="O111" s="2"/>
      <c r="P111" s="2"/>
      <c r="Q111" s="32"/>
      <c r="R111" s="32"/>
      <c r="S111" s="32"/>
      <c r="T111" s="3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2"/>
      <c r="C112" s="10"/>
      <c r="D112" s="10"/>
      <c r="E112" s="10"/>
      <c r="F112" s="10"/>
      <c r="G112" s="69"/>
      <c r="H112" s="69"/>
      <c r="I112" s="69"/>
      <c r="J112" s="70"/>
      <c r="K112" s="69"/>
      <c r="L112" s="69"/>
      <c r="M112" s="69"/>
      <c r="N112" s="69"/>
      <c r="O112" s="2"/>
      <c r="P112" s="2"/>
      <c r="Q112" s="32"/>
      <c r="R112" s="32"/>
      <c r="S112" s="32"/>
      <c r="T112" s="3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2"/>
      <c r="C113" s="10"/>
      <c r="D113" s="10"/>
      <c r="E113" s="10"/>
      <c r="F113" s="10"/>
      <c r="G113" s="69"/>
      <c r="H113" s="69"/>
      <c r="I113" s="69"/>
      <c r="J113" s="70"/>
      <c r="K113" s="69"/>
      <c r="L113" s="69"/>
      <c r="M113" s="69"/>
      <c r="N113" s="69"/>
      <c r="O113" s="2"/>
      <c r="P113" s="2"/>
      <c r="Q113" s="32"/>
      <c r="R113" s="32"/>
      <c r="S113" s="32"/>
      <c r="T113" s="32"/>
      <c r="U113" s="2"/>
      <c r="V113" s="2"/>
      <c r="W113" s="2"/>
      <c r="X113" s="2"/>
      <c r="Y113" s="2"/>
      <c r="Z113" s="2"/>
    </row>
    <row r="114" spans="1:26" ht="13.8" x14ac:dyDescent="0.3">
      <c r="A114" s="32"/>
      <c r="B114" s="2"/>
      <c r="C114" s="10"/>
      <c r="D114" s="10"/>
      <c r="E114" s="10"/>
      <c r="F114" s="10"/>
      <c r="G114" s="69"/>
      <c r="H114" s="69"/>
      <c r="I114" s="69"/>
      <c r="J114" s="70"/>
      <c r="K114" s="69"/>
      <c r="L114" s="69"/>
      <c r="M114" s="69"/>
      <c r="N114" s="69"/>
      <c r="O114" s="2"/>
      <c r="P114" s="2"/>
      <c r="Q114" s="32"/>
      <c r="R114" s="32"/>
      <c r="S114" s="32"/>
      <c r="T114" s="32"/>
      <c r="U114" s="2"/>
      <c r="V114" s="2"/>
      <c r="W114" s="2"/>
      <c r="X114" s="2"/>
      <c r="Y114" s="2"/>
      <c r="Z114" s="2"/>
    </row>
    <row r="115" spans="1:26" ht="13.8" x14ac:dyDescent="0.3">
      <c r="A115" s="32"/>
      <c r="B115" s="2"/>
      <c r="C115" s="10"/>
      <c r="D115" s="10"/>
      <c r="E115" s="10"/>
      <c r="F115" s="10"/>
      <c r="G115" s="69"/>
      <c r="H115" s="69"/>
      <c r="I115" s="69"/>
      <c r="J115" s="70"/>
      <c r="K115" s="69"/>
      <c r="L115" s="69"/>
      <c r="M115" s="69"/>
      <c r="N115" s="69"/>
      <c r="O115" s="2"/>
      <c r="P115" s="2"/>
      <c r="Q115" s="32"/>
      <c r="R115" s="32"/>
      <c r="S115" s="32"/>
      <c r="T115" s="32"/>
      <c r="U115" s="2"/>
      <c r="V115" s="2"/>
      <c r="W115" s="2"/>
      <c r="X115" s="2"/>
      <c r="Y115" s="2"/>
      <c r="Z115" s="2"/>
    </row>
    <row r="116" spans="1:26" ht="13.8" x14ac:dyDescent="0.3">
      <c r="A116" s="32"/>
      <c r="B116" s="2"/>
      <c r="C116" s="10"/>
      <c r="D116" s="10"/>
      <c r="E116" s="10"/>
      <c r="F116" s="10"/>
      <c r="G116" s="69"/>
      <c r="H116" s="69"/>
      <c r="I116" s="69"/>
      <c r="J116" s="70"/>
      <c r="K116" s="69"/>
      <c r="L116" s="69"/>
      <c r="M116" s="69"/>
      <c r="N116" s="69"/>
      <c r="O116" s="2"/>
      <c r="P116" s="2"/>
      <c r="Q116" s="32"/>
      <c r="R116" s="32"/>
      <c r="S116" s="32"/>
      <c r="T116" s="32"/>
      <c r="U116" s="2"/>
      <c r="V116" s="2"/>
      <c r="W116" s="2"/>
      <c r="X116" s="2"/>
      <c r="Y116" s="2"/>
      <c r="Z116" s="2"/>
    </row>
    <row r="117" spans="1:26" ht="13.8" x14ac:dyDescent="0.3">
      <c r="A117" s="32"/>
      <c r="B117" s="2"/>
      <c r="C117" s="10"/>
      <c r="D117" s="10"/>
      <c r="E117" s="10"/>
      <c r="F117" s="10"/>
      <c r="G117" s="69"/>
      <c r="H117" s="69"/>
      <c r="I117" s="69"/>
      <c r="J117" s="70"/>
      <c r="K117" s="69"/>
      <c r="L117" s="69"/>
      <c r="M117" s="69"/>
      <c r="N117" s="69"/>
      <c r="O117" s="2"/>
      <c r="P117" s="2"/>
      <c r="Q117" s="32"/>
      <c r="R117" s="32"/>
      <c r="S117" s="32"/>
      <c r="T117" s="32"/>
      <c r="U117" s="2"/>
      <c r="V117" s="2"/>
      <c r="W117" s="2"/>
      <c r="X117" s="2"/>
      <c r="Y117" s="2"/>
      <c r="Z117" s="2"/>
    </row>
    <row r="118" spans="1:26" ht="13.8" x14ac:dyDescent="0.3">
      <c r="A118" s="32"/>
      <c r="B118" s="2"/>
      <c r="C118" s="10"/>
      <c r="D118" s="10"/>
      <c r="E118" s="10"/>
      <c r="F118" s="10"/>
      <c r="G118" s="69"/>
      <c r="H118" s="69"/>
      <c r="I118" s="69"/>
      <c r="J118" s="70"/>
      <c r="K118" s="69"/>
      <c r="L118" s="69"/>
      <c r="M118" s="69"/>
      <c r="N118" s="69"/>
      <c r="O118" s="2"/>
      <c r="P118" s="2"/>
      <c r="Q118" s="32"/>
      <c r="R118" s="32"/>
      <c r="S118" s="32"/>
      <c r="T118" s="32"/>
      <c r="U118" s="2"/>
      <c r="V118" s="2"/>
      <c r="W118" s="2"/>
      <c r="X118" s="2"/>
      <c r="Y118" s="2"/>
      <c r="Z118" s="2"/>
    </row>
    <row r="119" spans="1:26" ht="13.8" x14ac:dyDescent="0.3">
      <c r="A119" s="32"/>
      <c r="B119" s="2"/>
      <c r="C119" s="10"/>
      <c r="D119" s="10"/>
      <c r="E119" s="10"/>
      <c r="F119" s="10"/>
      <c r="G119" s="69"/>
      <c r="H119" s="69"/>
      <c r="I119" s="69"/>
      <c r="J119" s="70"/>
      <c r="K119" s="69"/>
      <c r="L119" s="69"/>
      <c r="M119" s="69"/>
      <c r="N119" s="69"/>
      <c r="O119" s="2"/>
      <c r="P119" s="2"/>
      <c r="Q119" s="32"/>
      <c r="R119" s="32"/>
      <c r="S119" s="32"/>
      <c r="T119" s="32"/>
      <c r="U119" s="2"/>
      <c r="V119" s="2"/>
      <c r="W119" s="2"/>
      <c r="X119" s="2"/>
      <c r="Y119" s="2"/>
      <c r="Z119" s="2"/>
    </row>
    <row r="120" spans="1:26" ht="13.8" x14ac:dyDescent="0.3">
      <c r="A120" s="32"/>
      <c r="B120" s="2"/>
      <c r="C120" s="10"/>
      <c r="D120" s="10"/>
      <c r="E120" s="10"/>
      <c r="F120" s="10"/>
      <c r="G120" s="69"/>
      <c r="H120" s="69"/>
      <c r="I120" s="69"/>
      <c r="J120" s="70"/>
      <c r="K120" s="69"/>
      <c r="L120" s="69"/>
      <c r="M120" s="69"/>
      <c r="N120" s="69"/>
      <c r="O120" s="2"/>
      <c r="P120" s="2"/>
      <c r="Q120" s="32"/>
      <c r="R120" s="32"/>
      <c r="S120" s="32"/>
      <c r="T120" s="32"/>
      <c r="U120" s="2"/>
      <c r="V120" s="2"/>
      <c r="W120" s="2"/>
      <c r="X120" s="2"/>
      <c r="Y120" s="2"/>
      <c r="Z120" s="2"/>
    </row>
    <row r="121" spans="1:26" ht="13.8" x14ac:dyDescent="0.3">
      <c r="A121" s="32"/>
      <c r="B121" s="2"/>
      <c r="C121" s="10"/>
      <c r="D121" s="10"/>
      <c r="E121" s="10"/>
      <c r="F121" s="10"/>
      <c r="G121" s="69"/>
      <c r="H121" s="69"/>
      <c r="I121" s="69"/>
      <c r="J121" s="70"/>
      <c r="K121" s="69"/>
      <c r="L121" s="69"/>
      <c r="M121" s="69"/>
      <c r="N121" s="69"/>
      <c r="O121" s="2"/>
      <c r="P121" s="2"/>
      <c r="Q121" s="32"/>
      <c r="R121" s="32"/>
      <c r="S121" s="32"/>
      <c r="T121" s="32"/>
      <c r="U121" s="2"/>
      <c r="V121" s="2"/>
      <c r="W121" s="2"/>
      <c r="X121" s="2"/>
      <c r="Y121" s="2"/>
      <c r="Z121" s="2"/>
    </row>
    <row r="122" spans="1:26" ht="13.8" x14ac:dyDescent="0.3">
      <c r="A122" s="32"/>
      <c r="B122" s="2"/>
      <c r="C122" s="10"/>
      <c r="D122" s="10"/>
      <c r="E122" s="10"/>
      <c r="F122" s="10"/>
      <c r="G122" s="69"/>
      <c r="H122" s="69"/>
      <c r="I122" s="69"/>
      <c r="J122" s="70"/>
      <c r="K122" s="69"/>
      <c r="L122" s="69"/>
      <c r="M122" s="69"/>
      <c r="N122" s="69"/>
      <c r="O122" s="2"/>
      <c r="P122" s="2"/>
      <c r="Q122" s="32"/>
      <c r="R122" s="32"/>
      <c r="S122" s="32"/>
      <c r="T122" s="32"/>
      <c r="U122" s="2"/>
      <c r="V122" s="2"/>
      <c r="W122" s="2"/>
      <c r="X122" s="2"/>
      <c r="Y122" s="2"/>
      <c r="Z122" s="2"/>
    </row>
    <row r="123" spans="1:26" ht="13.8" x14ac:dyDescent="0.3">
      <c r="A123" s="32"/>
      <c r="B123" s="2"/>
      <c r="C123" s="10"/>
      <c r="D123" s="10"/>
      <c r="E123" s="10"/>
      <c r="F123" s="10"/>
      <c r="G123" s="69"/>
      <c r="H123" s="69"/>
      <c r="I123" s="69"/>
      <c r="J123" s="70"/>
      <c r="K123" s="69"/>
      <c r="L123" s="69"/>
      <c r="M123" s="69"/>
      <c r="N123" s="69"/>
      <c r="O123" s="2"/>
      <c r="P123" s="2"/>
      <c r="Q123" s="32"/>
      <c r="R123" s="32"/>
      <c r="S123" s="32"/>
      <c r="T123" s="32"/>
      <c r="U123" s="2"/>
      <c r="V123" s="2"/>
      <c r="W123" s="2"/>
      <c r="X123" s="2"/>
      <c r="Y123" s="2"/>
      <c r="Z123" s="2"/>
    </row>
    <row r="124" spans="1:26" ht="13.8" x14ac:dyDescent="0.3">
      <c r="A124" s="32"/>
      <c r="B124" s="2"/>
      <c r="C124" s="10"/>
      <c r="D124" s="10"/>
      <c r="E124" s="10"/>
      <c r="F124" s="10"/>
      <c r="G124" s="69"/>
      <c r="H124" s="69"/>
      <c r="I124" s="69"/>
      <c r="J124" s="70"/>
      <c r="K124" s="69"/>
      <c r="L124" s="69"/>
      <c r="M124" s="69"/>
      <c r="N124" s="69"/>
      <c r="O124" s="2"/>
      <c r="P124" s="2"/>
      <c r="Q124" s="32"/>
      <c r="R124" s="32"/>
      <c r="S124" s="32"/>
      <c r="T124" s="32"/>
      <c r="U124" s="2"/>
      <c r="V124" s="2"/>
      <c r="W124" s="2"/>
      <c r="X124" s="2"/>
      <c r="Y124" s="2"/>
      <c r="Z124" s="2"/>
    </row>
    <row r="125" spans="1:26" ht="13.8" x14ac:dyDescent="0.3">
      <c r="A125" s="32"/>
      <c r="B125" s="2"/>
      <c r="C125" s="10"/>
      <c r="D125" s="10"/>
      <c r="E125" s="10"/>
      <c r="F125" s="10"/>
      <c r="G125" s="69"/>
      <c r="H125" s="69"/>
      <c r="I125" s="69"/>
      <c r="J125" s="70"/>
      <c r="K125" s="69"/>
      <c r="L125" s="69"/>
      <c r="M125" s="69"/>
      <c r="N125" s="69"/>
      <c r="O125" s="2"/>
      <c r="P125" s="2"/>
      <c r="Q125" s="32"/>
      <c r="R125" s="32"/>
      <c r="S125" s="32"/>
      <c r="T125" s="32"/>
      <c r="U125" s="2"/>
      <c r="V125" s="2"/>
      <c r="W125" s="2"/>
      <c r="X125" s="2"/>
      <c r="Y125" s="2"/>
      <c r="Z125" s="2"/>
    </row>
    <row r="126" spans="1:26" ht="13.8" x14ac:dyDescent="0.3">
      <c r="A126" s="32"/>
      <c r="B126" s="2"/>
      <c r="C126" s="10"/>
      <c r="D126" s="10"/>
      <c r="E126" s="10"/>
      <c r="F126" s="10"/>
      <c r="G126" s="69"/>
      <c r="H126" s="69"/>
      <c r="I126" s="69"/>
      <c r="J126" s="70"/>
      <c r="K126" s="69"/>
      <c r="L126" s="69"/>
      <c r="M126" s="69"/>
      <c r="N126" s="69"/>
      <c r="O126" s="2"/>
      <c r="P126" s="2"/>
      <c r="Q126" s="32"/>
      <c r="R126" s="32"/>
      <c r="S126" s="32"/>
      <c r="T126" s="32"/>
      <c r="U126" s="2"/>
      <c r="V126" s="2"/>
      <c r="W126" s="2"/>
      <c r="X126" s="2"/>
      <c r="Y126" s="2"/>
      <c r="Z126" s="2"/>
    </row>
    <row r="127" spans="1:26" ht="13.8" x14ac:dyDescent="0.3">
      <c r="A127" s="32"/>
      <c r="B127" s="2"/>
      <c r="C127" s="10"/>
      <c r="D127" s="10"/>
      <c r="E127" s="10"/>
      <c r="F127" s="10"/>
      <c r="G127" s="69"/>
      <c r="H127" s="69"/>
      <c r="I127" s="69"/>
      <c r="J127" s="70"/>
      <c r="K127" s="69"/>
      <c r="L127" s="69"/>
      <c r="M127" s="69"/>
      <c r="N127" s="69"/>
      <c r="O127" s="2"/>
      <c r="P127" s="2"/>
      <c r="Q127" s="32"/>
      <c r="R127" s="32"/>
      <c r="S127" s="32"/>
      <c r="T127" s="32"/>
      <c r="U127" s="2"/>
      <c r="V127" s="2"/>
      <c r="W127" s="2"/>
      <c r="X127" s="2"/>
      <c r="Y127" s="2"/>
      <c r="Z127" s="2"/>
    </row>
    <row r="128" spans="1:26" ht="13.8" x14ac:dyDescent="0.3">
      <c r="A128" s="32"/>
      <c r="B128" s="2"/>
      <c r="C128" s="10"/>
      <c r="D128" s="10"/>
      <c r="E128" s="10"/>
      <c r="F128" s="10"/>
      <c r="G128" s="69"/>
      <c r="H128" s="69"/>
      <c r="I128" s="69"/>
      <c r="J128" s="70"/>
      <c r="K128" s="69"/>
      <c r="L128" s="69"/>
      <c r="M128" s="69"/>
      <c r="N128" s="69"/>
      <c r="O128" s="2"/>
      <c r="P128" s="2"/>
      <c r="Q128" s="32"/>
      <c r="R128" s="32"/>
      <c r="S128" s="32"/>
      <c r="T128" s="32"/>
      <c r="U128" s="2"/>
      <c r="V128" s="2"/>
      <c r="W128" s="2"/>
      <c r="X128" s="2"/>
      <c r="Y128" s="2"/>
      <c r="Z128" s="2"/>
    </row>
    <row r="129" spans="1:26" ht="13.8" x14ac:dyDescent="0.3">
      <c r="A129" s="2"/>
      <c r="B129" s="2"/>
      <c r="C129" s="10"/>
      <c r="D129" s="10"/>
      <c r="E129" s="10"/>
      <c r="F129" s="10"/>
      <c r="G129" s="69"/>
      <c r="H129" s="69"/>
      <c r="I129" s="69"/>
      <c r="J129" s="70"/>
      <c r="K129" s="69"/>
      <c r="L129" s="69"/>
      <c r="M129" s="69"/>
      <c r="N129" s="69"/>
      <c r="O129" s="2"/>
      <c r="P129" s="2"/>
      <c r="Q129" s="32"/>
      <c r="R129" s="32"/>
      <c r="S129" s="32"/>
      <c r="T129" s="32"/>
      <c r="U129" s="2"/>
      <c r="V129" s="2"/>
      <c r="W129" s="2"/>
      <c r="X129" s="2"/>
      <c r="Y129" s="2"/>
      <c r="Z129" s="2"/>
    </row>
    <row r="130" spans="1:26" ht="13.8" x14ac:dyDescent="0.3">
      <c r="A130" s="2"/>
      <c r="B130" s="2"/>
      <c r="C130" s="10"/>
      <c r="D130" s="10"/>
      <c r="E130" s="10"/>
      <c r="F130" s="10"/>
      <c r="G130" s="69"/>
      <c r="H130" s="69"/>
      <c r="I130" s="69"/>
      <c r="J130" s="70"/>
      <c r="K130" s="69"/>
      <c r="L130" s="69"/>
      <c r="M130" s="69"/>
      <c r="N130" s="69"/>
      <c r="O130" s="2"/>
      <c r="P130" s="2"/>
      <c r="Q130" s="32"/>
      <c r="R130" s="32"/>
      <c r="S130" s="32"/>
      <c r="T130" s="32"/>
      <c r="U130" s="2"/>
      <c r="V130" s="2"/>
      <c r="W130" s="2"/>
      <c r="X130" s="2"/>
      <c r="Y130" s="2"/>
      <c r="Z130" s="2"/>
    </row>
    <row r="131" spans="1:26" ht="13.8" x14ac:dyDescent="0.3">
      <c r="A131" s="2"/>
      <c r="B131" s="10"/>
      <c r="C131" s="10"/>
      <c r="D131" s="10"/>
      <c r="E131" s="10"/>
      <c r="F131" s="10"/>
      <c r="G131" s="32"/>
      <c r="H131" s="32"/>
      <c r="I131" s="32"/>
      <c r="J131" s="73"/>
      <c r="K131" s="32"/>
      <c r="L131" s="32"/>
      <c r="M131" s="32"/>
      <c r="N131" s="32"/>
      <c r="O131" s="2"/>
      <c r="P131" s="2"/>
      <c r="Q131" s="32"/>
      <c r="R131" s="32"/>
      <c r="S131" s="32"/>
      <c r="T131" s="32"/>
      <c r="U131" s="2"/>
      <c r="V131" s="2"/>
      <c r="W131" s="2"/>
      <c r="X131" s="2"/>
      <c r="Y131" s="2"/>
      <c r="Z131" s="2"/>
    </row>
    <row r="132" spans="1:26" ht="13.8" x14ac:dyDescent="0.3">
      <c r="A132" s="2"/>
      <c r="B132" s="2"/>
      <c r="C132" s="2"/>
      <c r="D132" s="2"/>
      <c r="E132" s="10"/>
      <c r="F132" s="32"/>
      <c r="G132" s="69"/>
      <c r="H132" s="69"/>
      <c r="I132" s="32"/>
      <c r="J132" s="70"/>
      <c r="K132" s="32"/>
      <c r="L132" s="32"/>
      <c r="M132" s="32"/>
      <c r="N132" s="32"/>
      <c r="O132" s="2"/>
      <c r="P132" s="2"/>
      <c r="Q132" s="32"/>
      <c r="R132" s="32"/>
      <c r="S132" s="32"/>
      <c r="T132" s="3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10"/>
      <c r="C133" s="10"/>
      <c r="D133" s="10"/>
      <c r="E133" s="10"/>
      <c r="F133" s="10"/>
      <c r="G133" s="32"/>
      <c r="H133" s="32"/>
      <c r="I133" s="32"/>
      <c r="J133" s="73"/>
      <c r="K133" s="32"/>
      <c r="L133" s="32"/>
      <c r="M133" s="32"/>
      <c r="N133" s="32"/>
      <c r="O133" s="2"/>
      <c r="P133" s="2"/>
      <c r="Q133" s="32"/>
      <c r="R133" s="32"/>
      <c r="S133" s="32"/>
      <c r="T133" s="3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2"/>
      <c r="C134" s="2"/>
      <c r="D134" s="2"/>
      <c r="E134" s="10"/>
      <c r="F134" s="32"/>
      <c r="G134" s="69"/>
      <c r="H134" s="69"/>
      <c r="I134" s="32"/>
      <c r="J134" s="87"/>
      <c r="K134" s="32"/>
      <c r="L134" s="32"/>
      <c r="M134" s="32"/>
      <c r="N134" s="32"/>
      <c r="O134" s="2"/>
      <c r="P134" s="2"/>
      <c r="Q134" s="32"/>
      <c r="R134" s="32"/>
      <c r="S134" s="32"/>
      <c r="T134" s="32"/>
      <c r="U134" s="2"/>
      <c r="V134" s="2"/>
      <c r="W134" s="2"/>
      <c r="X134" s="2"/>
      <c r="Y134" s="2"/>
      <c r="Z134" s="2"/>
    </row>
    <row r="135" spans="1:26" ht="13.8" x14ac:dyDescent="0.3">
      <c r="A135" s="2"/>
      <c r="B135" s="2"/>
      <c r="C135" s="10"/>
      <c r="D135" s="10"/>
      <c r="E135" s="10"/>
      <c r="F135" s="10"/>
      <c r="G135" s="69"/>
      <c r="H135" s="69"/>
      <c r="I135" s="69"/>
      <c r="J135" s="70"/>
      <c r="K135" s="69"/>
      <c r="L135" s="69"/>
      <c r="M135" s="69"/>
      <c r="N135" s="69"/>
      <c r="O135" s="2"/>
      <c r="P135" s="2"/>
      <c r="Q135" s="32"/>
      <c r="R135" s="32"/>
      <c r="S135" s="32"/>
      <c r="T135" s="3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2"/>
      <c r="C136" s="10"/>
      <c r="D136" s="10"/>
      <c r="E136" s="10"/>
      <c r="F136" s="10"/>
      <c r="G136" s="69"/>
      <c r="H136" s="69"/>
      <c r="I136" s="69"/>
      <c r="J136" s="70"/>
      <c r="K136" s="69"/>
      <c r="L136" s="69"/>
      <c r="M136" s="69"/>
      <c r="N136" s="69"/>
      <c r="O136" s="2"/>
      <c r="P136" s="2"/>
      <c r="Q136" s="32"/>
      <c r="R136" s="32"/>
      <c r="S136" s="32"/>
      <c r="T136" s="3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2"/>
      <c r="C137" s="10"/>
      <c r="D137" s="10"/>
      <c r="E137" s="10"/>
      <c r="F137" s="10"/>
      <c r="G137" s="69"/>
      <c r="H137" s="69"/>
      <c r="I137" s="69"/>
      <c r="J137" s="70"/>
      <c r="K137" s="69"/>
      <c r="L137" s="69"/>
      <c r="M137" s="69"/>
      <c r="N137" s="69"/>
      <c r="O137" s="2"/>
      <c r="P137" s="2"/>
      <c r="Q137" s="32"/>
      <c r="R137" s="32"/>
      <c r="S137" s="32"/>
      <c r="T137" s="3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2"/>
      <c r="C138" s="10"/>
      <c r="D138" s="10"/>
      <c r="E138" s="10"/>
      <c r="F138" s="10"/>
      <c r="G138" s="69"/>
      <c r="H138" s="69"/>
      <c r="I138" s="69"/>
      <c r="J138" s="70"/>
      <c r="K138" s="69"/>
      <c r="L138" s="69"/>
      <c r="M138" s="69"/>
      <c r="N138" s="69"/>
      <c r="O138" s="2"/>
      <c r="P138" s="2"/>
      <c r="Q138" s="32"/>
      <c r="R138" s="32"/>
      <c r="S138" s="32"/>
      <c r="T138" s="3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2"/>
      <c r="C139" s="10"/>
      <c r="D139" s="10"/>
      <c r="E139" s="10"/>
      <c r="F139" s="10"/>
      <c r="G139" s="69"/>
      <c r="H139" s="69"/>
      <c r="I139" s="69"/>
      <c r="J139" s="70"/>
      <c r="K139" s="69"/>
      <c r="L139" s="69"/>
      <c r="M139" s="69"/>
      <c r="N139" s="69"/>
      <c r="O139" s="2"/>
      <c r="P139" s="2"/>
      <c r="Q139" s="32"/>
      <c r="R139" s="32"/>
      <c r="S139" s="32"/>
      <c r="T139" s="3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2"/>
      <c r="C140" s="10"/>
      <c r="D140" s="10"/>
      <c r="E140" s="10"/>
      <c r="F140" s="10"/>
      <c r="G140" s="69"/>
      <c r="H140" s="69"/>
      <c r="I140" s="69"/>
      <c r="J140" s="70"/>
      <c r="K140" s="69"/>
      <c r="L140" s="69"/>
      <c r="M140" s="69"/>
      <c r="N140" s="69"/>
      <c r="O140" s="2"/>
      <c r="P140" s="2"/>
      <c r="Q140" s="32"/>
      <c r="R140" s="32"/>
      <c r="S140" s="32"/>
      <c r="T140" s="3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2"/>
      <c r="C141" s="10"/>
      <c r="D141" s="10"/>
      <c r="E141" s="10"/>
      <c r="F141" s="10"/>
      <c r="G141" s="69"/>
      <c r="H141" s="69"/>
      <c r="I141" s="69"/>
      <c r="J141" s="70"/>
      <c r="K141" s="69"/>
      <c r="L141" s="69"/>
      <c r="M141" s="69"/>
      <c r="N141" s="69"/>
      <c r="O141" s="2"/>
      <c r="P141" s="2"/>
      <c r="Q141" s="32"/>
      <c r="R141" s="32"/>
      <c r="S141" s="32"/>
      <c r="T141" s="32"/>
      <c r="U141" s="2"/>
      <c r="V141" s="2"/>
      <c r="W141" s="2"/>
      <c r="X141" s="2"/>
      <c r="Y141" s="2"/>
      <c r="Z141" s="2"/>
    </row>
    <row r="142" spans="1:26" ht="13.8" x14ac:dyDescent="0.3">
      <c r="A142" s="32"/>
      <c r="B142" s="2"/>
      <c r="C142" s="10"/>
      <c r="D142" s="10"/>
      <c r="E142" s="10"/>
      <c r="F142" s="2"/>
      <c r="G142" s="69"/>
      <c r="H142" s="69"/>
      <c r="I142" s="69"/>
      <c r="J142" s="70"/>
      <c r="K142" s="69"/>
      <c r="L142" s="69"/>
      <c r="M142" s="69"/>
      <c r="N142" s="69"/>
      <c r="O142" s="2"/>
      <c r="P142" s="2"/>
      <c r="Q142" s="32"/>
      <c r="R142" s="32"/>
      <c r="S142" s="32"/>
      <c r="T142" s="32"/>
      <c r="U142" s="2"/>
      <c r="V142" s="2"/>
      <c r="W142" s="2"/>
      <c r="X142" s="2"/>
      <c r="Y142" s="2"/>
      <c r="Z142" s="2"/>
    </row>
    <row r="143" spans="1:26" ht="13.8" x14ac:dyDescent="0.3">
      <c r="A143" s="32"/>
      <c r="B143" s="2"/>
      <c r="C143" s="10"/>
      <c r="D143" s="10"/>
      <c r="E143" s="10"/>
      <c r="F143" s="2"/>
      <c r="G143" s="69"/>
      <c r="H143" s="69"/>
      <c r="I143" s="69"/>
      <c r="J143" s="70"/>
      <c r="K143" s="69"/>
      <c r="L143" s="69"/>
      <c r="M143" s="69"/>
      <c r="N143" s="69"/>
      <c r="O143" s="2"/>
      <c r="P143" s="2"/>
      <c r="Q143" s="32"/>
      <c r="R143" s="32"/>
      <c r="S143" s="32"/>
      <c r="T143" s="3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10"/>
      <c r="F144" s="2"/>
      <c r="G144" s="69"/>
      <c r="H144" s="69"/>
      <c r="I144" s="69"/>
      <c r="J144" s="70"/>
      <c r="K144" s="69"/>
      <c r="L144" s="69"/>
      <c r="M144" s="69"/>
      <c r="N144" s="69"/>
      <c r="O144" s="2"/>
      <c r="P144" s="2"/>
      <c r="Q144" s="32"/>
      <c r="R144" s="32"/>
      <c r="S144" s="32"/>
      <c r="T144" s="32"/>
      <c r="U144" s="2"/>
      <c r="V144" s="2"/>
      <c r="W144" s="2"/>
      <c r="X144" s="2"/>
      <c r="Y144" s="2"/>
      <c r="Z144" s="2"/>
    </row>
    <row r="145" spans="1:26" ht="13.8" x14ac:dyDescent="0.3">
      <c r="A145" s="2"/>
      <c r="B145" s="2"/>
      <c r="C145" s="10"/>
      <c r="D145" s="10"/>
      <c r="E145" s="10"/>
      <c r="F145" s="2"/>
      <c r="G145" s="69"/>
      <c r="H145" s="69"/>
      <c r="I145" s="69"/>
      <c r="J145" s="70"/>
      <c r="K145" s="69"/>
      <c r="L145" s="69"/>
      <c r="M145" s="69"/>
      <c r="N145" s="69"/>
      <c r="O145" s="2"/>
      <c r="P145" s="2"/>
      <c r="Q145" s="32"/>
      <c r="R145" s="32"/>
      <c r="S145" s="32"/>
      <c r="T145" s="3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10"/>
      <c r="F146" s="2"/>
      <c r="G146" s="69"/>
      <c r="H146" s="69"/>
      <c r="I146" s="69"/>
      <c r="J146" s="70"/>
      <c r="K146" s="69"/>
      <c r="L146" s="69"/>
      <c r="M146" s="69"/>
      <c r="N146" s="69"/>
      <c r="O146" s="2"/>
      <c r="P146" s="2"/>
      <c r="Q146" s="32"/>
      <c r="R146" s="32"/>
      <c r="S146" s="32"/>
      <c r="T146" s="3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2"/>
      <c r="C147" s="10"/>
      <c r="D147" s="10"/>
      <c r="E147" s="10"/>
      <c r="F147" s="2"/>
      <c r="G147" s="69"/>
      <c r="H147" s="69"/>
      <c r="I147" s="69"/>
      <c r="J147" s="70"/>
      <c r="K147" s="69"/>
      <c r="L147" s="69"/>
      <c r="M147" s="69"/>
      <c r="N147" s="69"/>
      <c r="O147" s="2"/>
      <c r="P147" s="2"/>
      <c r="Q147" s="32"/>
      <c r="R147" s="32"/>
      <c r="S147" s="32"/>
      <c r="T147" s="3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10"/>
      <c r="F148" s="10"/>
      <c r="G148" s="32"/>
      <c r="H148" s="32"/>
      <c r="I148" s="32"/>
      <c r="J148" s="73"/>
      <c r="K148" s="32"/>
      <c r="L148" s="32"/>
      <c r="M148" s="32"/>
      <c r="N148" s="32"/>
      <c r="O148" s="2"/>
      <c r="P148" s="2"/>
      <c r="Q148" s="32"/>
      <c r="R148" s="32"/>
      <c r="S148" s="32"/>
      <c r="T148" s="3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2"/>
      <c r="C149" s="2"/>
      <c r="D149" s="2"/>
      <c r="E149" s="10"/>
      <c r="F149" s="32"/>
      <c r="G149" s="69"/>
      <c r="H149" s="69"/>
      <c r="I149" s="32"/>
      <c r="J149" s="87"/>
      <c r="K149" s="32"/>
      <c r="L149" s="32"/>
      <c r="M149" s="32"/>
      <c r="N149" s="32"/>
      <c r="O149" s="2"/>
      <c r="P149" s="2"/>
      <c r="Q149" s="32"/>
      <c r="R149" s="32"/>
      <c r="S149" s="32"/>
      <c r="T149" s="3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2"/>
      <c r="C150" s="10"/>
      <c r="D150" s="10"/>
      <c r="E150" s="10"/>
      <c r="F150" s="10"/>
      <c r="G150" s="69"/>
      <c r="H150" s="69"/>
      <c r="I150" s="69"/>
      <c r="J150" s="70"/>
      <c r="K150" s="69"/>
      <c r="L150" s="69"/>
      <c r="M150" s="69"/>
      <c r="N150" s="69"/>
      <c r="O150" s="2"/>
      <c r="P150" s="2"/>
      <c r="Q150" s="32"/>
      <c r="R150" s="32"/>
      <c r="S150" s="32"/>
      <c r="T150" s="3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2"/>
      <c r="C151" s="10"/>
      <c r="D151" s="10"/>
      <c r="E151" s="10"/>
      <c r="F151" s="10"/>
      <c r="G151" s="69"/>
      <c r="H151" s="69"/>
      <c r="I151" s="69"/>
      <c r="J151" s="70"/>
      <c r="K151" s="69"/>
      <c r="L151" s="69"/>
      <c r="M151" s="69"/>
      <c r="N151" s="69"/>
      <c r="O151" s="2"/>
      <c r="P151" s="2"/>
      <c r="Q151" s="32"/>
      <c r="R151" s="32"/>
      <c r="S151" s="32"/>
      <c r="T151" s="32"/>
      <c r="U151" s="2"/>
      <c r="V151" s="2"/>
      <c r="W151" s="2"/>
      <c r="X151" s="2"/>
      <c r="Y151" s="2"/>
      <c r="Z151" s="2"/>
    </row>
    <row r="152" spans="1:26" ht="13.8" x14ac:dyDescent="0.3">
      <c r="A152" s="32"/>
      <c r="B152" s="2"/>
      <c r="C152" s="10"/>
      <c r="D152" s="10"/>
      <c r="E152" s="10"/>
      <c r="F152" s="10"/>
      <c r="G152" s="69"/>
      <c r="H152" s="69"/>
      <c r="I152" s="69"/>
      <c r="J152" s="70"/>
      <c r="K152" s="69"/>
      <c r="L152" s="69"/>
      <c r="M152" s="69"/>
      <c r="N152" s="69"/>
      <c r="O152" s="2"/>
      <c r="P152" s="2"/>
      <c r="Q152" s="32"/>
      <c r="R152" s="32"/>
      <c r="S152" s="32"/>
      <c r="T152" s="32"/>
      <c r="U152" s="2"/>
      <c r="V152" s="2"/>
      <c r="W152" s="2"/>
      <c r="X152" s="2"/>
      <c r="Y152" s="2"/>
      <c r="Z152" s="2"/>
    </row>
    <row r="153" spans="1:26" ht="13.8" x14ac:dyDescent="0.3">
      <c r="A153" s="32"/>
      <c r="B153" s="2"/>
      <c r="C153" s="10"/>
      <c r="D153" s="10"/>
      <c r="E153" s="10"/>
      <c r="F153" s="10"/>
      <c r="G153" s="69"/>
      <c r="H153" s="69"/>
      <c r="I153" s="69"/>
      <c r="J153" s="70"/>
      <c r="K153" s="69"/>
      <c r="L153" s="69"/>
      <c r="M153" s="69"/>
      <c r="N153" s="69"/>
      <c r="O153" s="2"/>
      <c r="P153" s="2"/>
      <c r="Q153" s="32"/>
      <c r="R153" s="32"/>
      <c r="S153" s="32"/>
      <c r="T153" s="32"/>
      <c r="U153" s="2"/>
      <c r="V153" s="2"/>
      <c r="W153" s="2"/>
      <c r="X153" s="2"/>
      <c r="Y153" s="2"/>
      <c r="Z153" s="2"/>
    </row>
    <row r="154" spans="1:26" ht="13.8" x14ac:dyDescent="0.3">
      <c r="A154" s="32"/>
      <c r="B154" s="2"/>
      <c r="C154" s="10"/>
      <c r="D154" s="10"/>
      <c r="E154" s="10"/>
      <c r="F154" s="10"/>
      <c r="G154" s="69"/>
      <c r="H154" s="69"/>
      <c r="I154" s="69"/>
      <c r="J154" s="70"/>
      <c r="K154" s="69"/>
      <c r="L154" s="69"/>
      <c r="M154" s="69"/>
      <c r="N154" s="69"/>
      <c r="O154" s="2"/>
      <c r="P154" s="2"/>
      <c r="Q154" s="32"/>
      <c r="R154" s="32"/>
      <c r="S154" s="32"/>
      <c r="T154" s="32"/>
      <c r="U154" s="2"/>
      <c r="V154" s="2"/>
      <c r="W154" s="2"/>
      <c r="X154" s="2"/>
      <c r="Y154" s="2"/>
      <c r="Z154" s="2"/>
    </row>
    <row r="155" spans="1:26" ht="13.8" x14ac:dyDescent="0.3">
      <c r="A155" s="32"/>
      <c r="B155" s="2"/>
      <c r="C155" s="10"/>
      <c r="D155" s="10"/>
      <c r="E155" s="10"/>
      <c r="F155" s="10"/>
      <c r="G155" s="69"/>
      <c r="H155" s="69"/>
      <c r="I155" s="69"/>
      <c r="J155" s="70"/>
      <c r="K155" s="69"/>
      <c r="L155" s="69"/>
      <c r="M155" s="69"/>
      <c r="N155" s="69"/>
      <c r="O155" s="2"/>
      <c r="P155" s="2"/>
      <c r="Q155" s="32"/>
      <c r="R155" s="32"/>
      <c r="S155" s="32"/>
      <c r="T155" s="32"/>
      <c r="U155" s="2"/>
      <c r="V155" s="2"/>
      <c r="W155" s="2"/>
      <c r="X155" s="2"/>
      <c r="Y155" s="2"/>
      <c r="Z155" s="2"/>
    </row>
    <row r="156" spans="1:26" ht="13.8" x14ac:dyDescent="0.3">
      <c r="A156" s="32"/>
      <c r="B156" s="2"/>
      <c r="C156" s="10"/>
      <c r="D156" s="10"/>
      <c r="E156" s="10"/>
      <c r="F156" s="10"/>
      <c r="G156" s="69"/>
      <c r="H156" s="69"/>
      <c r="I156" s="69"/>
      <c r="J156" s="70"/>
      <c r="K156" s="69"/>
      <c r="L156" s="69"/>
      <c r="M156" s="69"/>
      <c r="N156" s="69"/>
      <c r="O156" s="2"/>
      <c r="P156" s="2"/>
      <c r="Q156" s="32"/>
      <c r="R156" s="32"/>
      <c r="S156" s="32"/>
      <c r="T156" s="32"/>
      <c r="U156" s="2"/>
      <c r="V156" s="2"/>
      <c r="W156" s="2"/>
      <c r="X156" s="2"/>
      <c r="Y156" s="2"/>
      <c r="Z156" s="2"/>
    </row>
    <row r="157" spans="1:26" ht="13.8" x14ac:dyDescent="0.3">
      <c r="A157" s="32"/>
      <c r="B157" s="2"/>
      <c r="C157" s="10"/>
      <c r="D157" s="10"/>
      <c r="E157" s="10"/>
      <c r="F157" s="10"/>
      <c r="G157" s="69"/>
      <c r="H157" s="69"/>
      <c r="I157" s="69"/>
      <c r="J157" s="70"/>
      <c r="K157" s="69"/>
      <c r="L157" s="69"/>
      <c r="M157" s="69"/>
      <c r="N157" s="69"/>
      <c r="O157" s="2"/>
      <c r="P157" s="2"/>
      <c r="Q157" s="32"/>
      <c r="R157" s="32"/>
      <c r="S157" s="32"/>
      <c r="T157" s="32"/>
      <c r="U157" s="2"/>
      <c r="V157" s="2"/>
      <c r="W157" s="2"/>
      <c r="X157" s="2"/>
      <c r="Y157" s="2"/>
      <c r="Z157" s="2"/>
    </row>
    <row r="158" spans="1:26" ht="13.8" x14ac:dyDescent="0.3">
      <c r="A158" s="32"/>
      <c r="B158" s="2"/>
      <c r="C158" s="10"/>
      <c r="D158" s="10"/>
      <c r="E158" s="10"/>
      <c r="F158" s="10"/>
      <c r="G158" s="69"/>
      <c r="H158" s="69"/>
      <c r="I158" s="69"/>
      <c r="J158" s="70"/>
      <c r="K158" s="69"/>
      <c r="L158" s="69"/>
      <c r="M158" s="69"/>
      <c r="N158" s="69"/>
      <c r="O158" s="2"/>
      <c r="P158" s="2"/>
      <c r="Q158" s="32"/>
      <c r="R158" s="32"/>
      <c r="S158" s="32"/>
      <c r="T158" s="32"/>
      <c r="U158" s="2"/>
      <c r="V158" s="2"/>
      <c r="W158" s="2"/>
      <c r="X158" s="2"/>
      <c r="Y158" s="2"/>
      <c r="Z158" s="2"/>
    </row>
    <row r="159" spans="1:26" ht="13.8" x14ac:dyDescent="0.3">
      <c r="A159" s="32"/>
      <c r="B159" s="2"/>
      <c r="C159" s="10"/>
      <c r="D159" s="10"/>
      <c r="E159" s="10"/>
      <c r="F159" s="10"/>
      <c r="G159" s="69"/>
      <c r="H159" s="69"/>
      <c r="I159" s="69"/>
      <c r="J159" s="70"/>
      <c r="K159" s="69"/>
      <c r="L159" s="69"/>
      <c r="M159" s="69"/>
      <c r="N159" s="69"/>
      <c r="O159" s="2"/>
      <c r="P159" s="2"/>
      <c r="Q159" s="32"/>
      <c r="R159" s="32"/>
      <c r="S159" s="32"/>
      <c r="T159" s="32"/>
      <c r="U159" s="2"/>
      <c r="V159" s="2"/>
      <c r="W159" s="2"/>
      <c r="X159" s="2"/>
      <c r="Y159" s="2"/>
      <c r="Z159" s="2"/>
    </row>
    <row r="160" spans="1:26" ht="13.8" x14ac:dyDescent="0.3">
      <c r="A160" s="32"/>
      <c r="B160" s="2"/>
      <c r="C160" s="10"/>
      <c r="D160" s="10"/>
      <c r="E160" s="10"/>
      <c r="F160" s="10"/>
      <c r="G160" s="69"/>
      <c r="H160" s="69"/>
      <c r="I160" s="69"/>
      <c r="J160" s="70"/>
      <c r="K160" s="69"/>
      <c r="L160" s="69"/>
      <c r="M160" s="69"/>
      <c r="N160" s="69"/>
      <c r="O160" s="2"/>
      <c r="P160" s="2"/>
      <c r="Q160" s="32"/>
      <c r="R160" s="32"/>
      <c r="S160" s="32"/>
      <c r="T160" s="32"/>
      <c r="U160" s="2"/>
      <c r="V160" s="2"/>
      <c r="W160" s="2"/>
      <c r="X160" s="2"/>
      <c r="Y160" s="2"/>
      <c r="Z160" s="2"/>
    </row>
    <row r="161" spans="1:26" ht="13.8" x14ac:dyDescent="0.3">
      <c r="A161" s="32"/>
      <c r="B161" s="2"/>
      <c r="C161" s="10"/>
      <c r="D161" s="10"/>
      <c r="E161" s="10"/>
      <c r="F161" s="10"/>
      <c r="G161" s="69"/>
      <c r="H161" s="69"/>
      <c r="I161" s="69"/>
      <c r="J161" s="70"/>
      <c r="K161" s="69"/>
      <c r="L161" s="69"/>
      <c r="M161" s="69"/>
      <c r="N161" s="69"/>
      <c r="O161" s="2"/>
      <c r="P161" s="2"/>
      <c r="Q161" s="32"/>
      <c r="R161" s="32"/>
      <c r="S161" s="32"/>
      <c r="T161" s="32"/>
      <c r="U161" s="2"/>
      <c r="V161" s="2"/>
      <c r="W161" s="2"/>
      <c r="X161" s="2"/>
      <c r="Y161" s="2"/>
      <c r="Z161" s="2"/>
    </row>
    <row r="162" spans="1:26" ht="13.8" x14ac:dyDescent="0.3">
      <c r="A162" s="32"/>
      <c r="B162" s="2"/>
      <c r="C162" s="10"/>
      <c r="D162" s="10"/>
      <c r="E162" s="10"/>
      <c r="F162" s="10"/>
      <c r="G162" s="69"/>
      <c r="H162" s="69"/>
      <c r="I162" s="69"/>
      <c r="J162" s="70"/>
      <c r="K162" s="69"/>
      <c r="L162" s="69"/>
      <c r="M162" s="69"/>
      <c r="N162" s="69"/>
      <c r="O162" s="2"/>
      <c r="P162" s="2"/>
      <c r="Q162" s="32"/>
      <c r="R162" s="32"/>
      <c r="S162" s="32"/>
      <c r="T162" s="32"/>
      <c r="U162" s="2"/>
      <c r="V162" s="2"/>
      <c r="W162" s="2"/>
      <c r="X162" s="2"/>
      <c r="Y162" s="2"/>
      <c r="Z162" s="2"/>
    </row>
    <row r="163" spans="1:26" ht="13.8" x14ac:dyDescent="0.3">
      <c r="A163" s="32"/>
      <c r="B163" s="2"/>
      <c r="C163" s="10"/>
      <c r="D163" s="10"/>
      <c r="E163" s="10"/>
      <c r="F163" s="10"/>
      <c r="G163" s="69"/>
      <c r="H163" s="69"/>
      <c r="I163" s="69"/>
      <c r="J163" s="70"/>
      <c r="K163" s="69"/>
      <c r="L163" s="69"/>
      <c r="M163" s="69"/>
      <c r="N163" s="69"/>
      <c r="O163" s="2"/>
      <c r="P163" s="2"/>
      <c r="Q163" s="32"/>
      <c r="R163" s="32"/>
      <c r="S163" s="32"/>
      <c r="T163" s="32"/>
      <c r="U163" s="2"/>
      <c r="V163" s="2"/>
      <c r="W163" s="2"/>
      <c r="X163" s="2"/>
      <c r="Y163" s="2"/>
      <c r="Z163" s="2"/>
    </row>
    <row r="164" spans="1:26" ht="13.8" x14ac:dyDescent="0.3">
      <c r="A164" s="32"/>
      <c r="B164" s="2"/>
      <c r="C164" s="10"/>
      <c r="D164" s="10"/>
      <c r="E164" s="10"/>
      <c r="F164" s="10"/>
      <c r="G164" s="69"/>
      <c r="H164" s="69"/>
      <c r="I164" s="69"/>
      <c r="J164" s="70"/>
      <c r="K164" s="69"/>
      <c r="L164" s="69"/>
      <c r="M164" s="69"/>
      <c r="N164" s="69"/>
      <c r="O164" s="2"/>
      <c r="P164" s="2"/>
      <c r="Q164" s="32"/>
      <c r="R164" s="32"/>
      <c r="S164" s="32"/>
      <c r="T164" s="32"/>
      <c r="U164" s="2"/>
      <c r="V164" s="2"/>
      <c r="W164" s="2"/>
      <c r="X164" s="2"/>
      <c r="Y164" s="2"/>
      <c r="Z164" s="2"/>
    </row>
    <row r="165" spans="1:26" ht="13.8" x14ac:dyDescent="0.3">
      <c r="A165" s="32"/>
      <c r="B165" s="2"/>
      <c r="C165" s="10"/>
      <c r="D165" s="10"/>
      <c r="E165" s="10"/>
      <c r="F165" s="10"/>
      <c r="G165" s="69"/>
      <c r="H165" s="69"/>
      <c r="I165" s="69"/>
      <c r="J165" s="70"/>
      <c r="K165" s="69"/>
      <c r="L165" s="69"/>
      <c r="M165" s="69"/>
      <c r="N165" s="69"/>
      <c r="O165" s="2"/>
      <c r="P165" s="2"/>
      <c r="Q165" s="32"/>
      <c r="R165" s="32"/>
      <c r="S165" s="32"/>
      <c r="T165" s="32"/>
      <c r="U165" s="2"/>
      <c r="V165" s="2"/>
      <c r="W165" s="2"/>
      <c r="X165" s="2"/>
      <c r="Y165" s="2"/>
      <c r="Z165" s="2"/>
    </row>
    <row r="166" spans="1:26" ht="13.8" x14ac:dyDescent="0.3">
      <c r="A166" s="32"/>
      <c r="B166" s="2"/>
      <c r="C166" s="10"/>
      <c r="D166" s="10"/>
      <c r="E166" s="10"/>
      <c r="F166" s="10"/>
      <c r="G166" s="69"/>
      <c r="H166" s="69"/>
      <c r="I166" s="69"/>
      <c r="J166" s="70"/>
      <c r="K166" s="69"/>
      <c r="L166" s="69"/>
      <c r="M166" s="69"/>
      <c r="N166" s="69"/>
      <c r="O166" s="2"/>
      <c r="P166" s="2"/>
      <c r="Q166" s="32"/>
      <c r="R166" s="32"/>
      <c r="S166" s="32"/>
      <c r="T166" s="32"/>
      <c r="U166" s="2"/>
      <c r="V166" s="2"/>
      <c r="W166" s="2"/>
      <c r="X166" s="2"/>
      <c r="Y166" s="2"/>
      <c r="Z166" s="2"/>
    </row>
    <row r="167" spans="1:26" ht="13.8" x14ac:dyDescent="0.3">
      <c r="A167" s="32"/>
      <c r="B167" s="2"/>
      <c r="C167" s="10"/>
      <c r="D167" s="10"/>
      <c r="E167" s="10"/>
      <c r="F167" s="10"/>
      <c r="G167" s="69"/>
      <c r="H167" s="69"/>
      <c r="I167" s="69"/>
      <c r="J167" s="70"/>
      <c r="K167" s="69"/>
      <c r="L167" s="69"/>
      <c r="M167" s="69"/>
      <c r="N167" s="69"/>
      <c r="O167" s="2"/>
      <c r="P167" s="2"/>
      <c r="Q167" s="32"/>
      <c r="R167" s="32"/>
      <c r="S167" s="32"/>
      <c r="T167" s="32"/>
      <c r="U167" s="2"/>
      <c r="V167" s="2"/>
      <c r="W167" s="2"/>
      <c r="X167" s="2"/>
      <c r="Y167" s="2"/>
      <c r="Z167" s="2"/>
    </row>
    <row r="168" spans="1:26" ht="13.8" x14ac:dyDescent="0.3">
      <c r="A168" s="32"/>
      <c r="B168" s="2"/>
      <c r="C168" s="10"/>
      <c r="D168" s="10"/>
      <c r="E168" s="10"/>
      <c r="F168" s="10"/>
      <c r="G168" s="69"/>
      <c r="H168" s="69"/>
      <c r="I168" s="69"/>
      <c r="J168" s="70"/>
      <c r="K168" s="69"/>
      <c r="L168" s="69"/>
      <c r="M168" s="69"/>
      <c r="N168" s="69"/>
      <c r="O168" s="2"/>
      <c r="P168" s="2"/>
      <c r="Q168" s="32"/>
      <c r="R168" s="32"/>
      <c r="S168" s="32"/>
      <c r="T168" s="3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2"/>
      <c r="C169" s="10"/>
      <c r="D169" s="10"/>
      <c r="E169" s="10"/>
      <c r="F169" s="10"/>
      <c r="G169" s="69"/>
      <c r="H169" s="69"/>
      <c r="I169" s="69"/>
      <c r="J169" s="70"/>
      <c r="K169" s="69"/>
      <c r="L169" s="69"/>
      <c r="M169" s="69"/>
      <c r="N169" s="69"/>
      <c r="O169" s="2"/>
      <c r="P169" s="2"/>
      <c r="Q169" s="32"/>
      <c r="R169" s="32"/>
      <c r="S169" s="32"/>
      <c r="T169" s="3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2"/>
      <c r="C170" s="10"/>
      <c r="D170" s="10"/>
      <c r="E170" s="10"/>
      <c r="F170" s="10"/>
      <c r="G170" s="69"/>
      <c r="H170" s="69"/>
      <c r="I170" s="69"/>
      <c r="J170" s="70"/>
      <c r="K170" s="69"/>
      <c r="L170" s="69"/>
      <c r="M170" s="69"/>
      <c r="N170" s="69"/>
      <c r="O170" s="2"/>
      <c r="P170" s="2"/>
      <c r="Q170" s="32"/>
      <c r="R170" s="32"/>
      <c r="S170" s="32"/>
      <c r="T170" s="3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2"/>
      <c r="C171" s="10"/>
      <c r="D171" s="10"/>
      <c r="E171" s="10"/>
      <c r="F171" s="10"/>
      <c r="G171" s="69"/>
      <c r="H171" s="69"/>
      <c r="I171" s="69"/>
      <c r="J171" s="70"/>
      <c r="K171" s="69"/>
      <c r="L171" s="69"/>
      <c r="M171" s="69"/>
      <c r="N171" s="69"/>
      <c r="O171" s="2"/>
      <c r="P171" s="2"/>
      <c r="Q171" s="32"/>
      <c r="R171" s="32"/>
      <c r="S171" s="32"/>
      <c r="T171" s="3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2"/>
      <c r="C172" s="10"/>
      <c r="D172" s="10"/>
      <c r="E172" s="10"/>
      <c r="F172" s="10"/>
      <c r="G172" s="69"/>
      <c r="H172" s="69"/>
      <c r="I172" s="69"/>
      <c r="J172" s="70"/>
      <c r="K172" s="69"/>
      <c r="L172" s="69"/>
      <c r="M172" s="69"/>
      <c r="N172" s="69"/>
      <c r="O172" s="2"/>
      <c r="P172" s="2"/>
      <c r="Q172" s="32"/>
      <c r="R172" s="32"/>
      <c r="S172" s="32"/>
      <c r="T172" s="32"/>
      <c r="U172" s="2"/>
      <c r="V172" s="2"/>
      <c r="W172" s="2"/>
      <c r="X172" s="2"/>
      <c r="Y172" s="2"/>
      <c r="Z172" s="2"/>
    </row>
    <row r="173" spans="1:26" ht="13.8" x14ac:dyDescent="0.3">
      <c r="A173" s="32"/>
      <c r="B173" s="2"/>
      <c r="C173" s="10"/>
      <c r="D173" s="10"/>
      <c r="E173" s="10"/>
      <c r="F173" s="10"/>
      <c r="G173" s="69"/>
      <c r="H173" s="69"/>
      <c r="I173" s="69"/>
      <c r="J173" s="70"/>
      <c r="K173" s="69"/>
      <c r="L173" s="69"/>
      <c r="M173" s="69"/>
      <c r="N173" s="69"/>
      <c r="O173" s="2"/>
      <c r="P173" s="2"/>
      <c r="Q173" s="32"/>
      <c r="R173" s="32"/>
      <c r="S173" s="32"/>
      <c r="T173" s="32"/>
      <c r="U173" s="2"/>
      <c r="V173" s="2"/>
      <c r="W173" s="2"/>
      <c r="X173" s="2"/>
      <c r="Y173" s="2"/>
      <c r="Z173" s="2"/>
    </row>
    <row r="174" spans="1:26" ht="13.8" x14ac:dyDescent="0.3">
      <c r="A174" s="32"/>
      <c r="B174" s="2"/>
      <c r="C174" s="10"/>
      <c r="D174" s="10"/>
      <c r="E174" s="10"/>
      <c r="F174" s="10"/>
      <c r="G174" s="69"/>
      <c r="H174" s="69"/>
      <c r="I174" s="69"/>
      <c r="J174" s="70"/>
      <c r="K174" s="69"/>
      <c r="L174" s="69"/>
      <c r="M174" s="69"/>
      <c r="N174" s="69"/>
      <c r="O174" s="2"/>
      <c r="P174" s="2"/>
      <c r="Q174" s="32"/>
      <c r="R174" s="32"/>
      <c r="S174" s="32"/>
      <c r="T174" s="3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2"/>
      <c r="C175" s="10"/>
      <c r="D175" s="10"/>
      <c r="E175" s="10"/>
      <c r="F175" s="10"/>
      <c r="G175" s="69"/>
      <c r="H175" s="69"/>
      <c r="I175" s="69"/>
      <c r="J175" s="70"/>
      <c r="K175" s="69"/>
      <c r="L175" s="69"/>
      <c r="M175" s="69"/>
      <c r="N175" s="69"/>
      <c r="O175" s="2"/>
      <c r="P175" s="2"/>
      <c r="Q175" s="32"/>
      <c r="R175" s="32"/>
      <c r="S175" s="32"/>
      <c r="T175" s="32"/>
      <c r="U175" s="2"/>
      <c r="V175" s="2"/>
      <c r="W175" s="2"/>
      <c r="X175" s="2"/>
      <c r="Y175" s="2"/>
      <c r="Z175" s="2"/>
    </row>
    <row r="176" spans="1:26" ht="13.8" x14ac:dyDescent="0.3">
      <c r="A176" s="2"/>
      <c r="B176" s="2"/>
      <c r="C176" s="10"/>
      <c r="D176" s="10"/>
      <c r="E176" s="10"/>
      <c r="F176" s="10"/>
      <c r="G176" s="69"/>
      <c r="H176" s="69"/>
      <c r="I176" s="69"/>
      <c r="J176" s="70"/>
      <c r="K176" s="69"/>
      <c r="L176" s="69"/>
      <c r="M176" s="69"/>
      <c r="N176" s="69"/>
      <c r="O176" s="2"/>
      <c r="P176" s="2"/>
      <c r="Q176" s="32"/>
      <c r="R176" s="32"/>
      <c r="S176" s="32"/>
      <c r="T176" s="32"/>
      <c r="U176" s="2"/>
      <c r="V176" s="2"/>
      <c r="W176" s="2"/>
      <c r="X176" s="2"/>
      <c r="Y176" s="2"/>
      <c r="Z176" s="2"/>
    </row>
    <row r="177" spans="1:26" ht="13.8" x14ac:dyDescent="0.3">
      <c r="A177" s="2"/>
      <c r="B177" s="2"/>
      <c r="C177" s="10"/>
      <c r="D177" s="10"/>
      <c r="E177" s="10"/>
      <c r="F177" s="10"/>
      <c r="G177" s="69"/>
      <c r="H177" s="69"/>
      <c r="I177" s="69"/>
      <c r="J177" s="70"/>
      <c r="K177" s="69"/>
      <c r="L177" s="69"/>
      <c r="M177" s="69"/>
      <c r="N177" s="69"/>
      <c r="O177" s="2"/>
      <c r="P177" s="2"/>
      <c r="Q177" s="32"/>
      <c r="R177" s="32"/>
      <c r="S177" s="32"/>
      <c r="T177" s="32"/>
      <c r="U177" s="2"/>
      <c r="V177" s="2"/>
      <c r="W177" s="2"/>
      <c r="X177" s="2"/>
      <c r="Y177" s="2"/>
      <c r="Z177" s="2"/>
    </row>
    <row r="178" spans="1:26" ht="13.8" x14ac:dyDescent="0.3">
      <c r="A178" s="2"/>
      <c r="B178" s="2"/>
      <c r="C178" s="10"/>
      <c r="D178" s="10"/>
      <c r="E178" s="10"/>
      <c r="F178" s="10"/>
      <c r="G178" s="69"/>
      <c r="H178" s="69"/>
      <c r="I178" s="69"/>
      <c r="J178" s="70"/>
      <c r="K178" s="69"/>
      <c r="L178" s="69"/>
      <c r="M178" s="69"/>
      <c r="N178" s="69"/>
      <c r="O178" s="2"/>
      <c r="P178" s="2"/>
      <c r="Q178" s="32"/>
      <c r="R178" s="32"/>
      <c r="S178" s="32"/>
      <c r="T178" s="32"/>
      <c r="U178" s="2"/>
      <c r="V178" s="2"/>
      <c r="W178" s="2"/>
      <c r="X178" s="2"/>
      <c r="Y178" s="2"/>
      <c r="Z178" s="2"/>
    </row>
    <row r="179" spans="1:26" ht="13.8" x14ac:dyDescent="0.3">
      <c r="A179" s="2"/>
      <c r="B179" s="2"/>
      <c r="C179" s="10"/>
      <c r="D179" s="10"/>
      <c r="E179" s="10"/>
      <c r="F179" s="10"/>
      <c r="G179" s="69"/>
      <c r="H179" s="69"/>
      <c r="I179" s="69"/>
      <c r="J179" s="70"/>
      <c r="K179" s="69"/>
      <c r="L179" s="69"/>
      <c r="M179" s="69"/>
      <c r="N179" s="69"/>
      <c r="O179" s="2"/>
      <c r="P179" s="2"/>
      <c r="Q179" s="32"/>
      <c r="R179" s="32"/>
      <c r="S179" s="32"/>
      <c r="T179" s="32"/>
      <c r="U179" s="2"/>
      <c r="V179" s="2"/>
      <c r="W179" s="2"/>
      <c r="X179" s="2"/>
      <c r="Y179" s="2"/>
      <c r="Z179" s="2"/>
    </row>
    <row r="180" spans="1:26" ht="13.8" x14ac:dyDescent="0.3">
      <c r="A180" s="2"/>
      <c r="B180" s="2"/>
      <c r="C180" s="10"/>
      <c r="D180" s="10"/>
      <c r="E180" s="10"/>
      <c r="F180" s="10"/>
      <c r="G180" s="69"/>
      <c r="H180" s="69"/>
      <c r="I180" s="69"/>
      <c r="J180" s="70"/>
      <c r="K180" s="69"/>
      <c r="L180" s="69"/>
      <c r="M180" s="69"/>
      <c r="N180" s="69"/>
      <c r="O180" s="2"/>
      <c r="P180" s="2"/>
      <c r="Q180" s="32"/>
      <c r="R180" s="32"/>
      <c r="S180" s="32"/>
      <c r="T180" s="32"/>
      <c r="U180" s="2"/>
      <c r="V180" s="2"/>
      <c r="W180" s="2"/>
      <c r="X180" s="2"/>
      <c r="Y180" s="2"/>
      <c r="Z180" s="2"/>
    </row>
    <row r="181" spans="1:26" ht="13.8" x14ac:dyDescent="0.3">
      <c r="A181" s="2"/>
      <c r="B181" s="2"/>
      <c r="C181" s="10"/>
      <c r="D181" s="10"/>
      <c r="E181" s="10"/>
      <c r="F181" s="10"/>
      <c r="G181" s="69"/>
      <c r="H181" s="69"/>
      <c r="I181" s="69"/>
      <c r="J181" s="70"/>
      <c r="K181" s="69"/>
      <c r="L181" s="69"/>
      <c r="M181" s="69"/>
      <c r="N181" s="69"/>
      <c r="O181" s="2"/>
      <c r="P181" s="2"/>
      <c r="Q181" s="32"/>
      <c r="R181" s="32"/>
      <c r="S181" s="32"/>
      <c r="T181" s="32"/>
      <c r="U181" s="2"/>
      <c r="V181" s="2"/>
      <c r="W181" s="2"/>
      <c r="X181" s="2"/>
      <c r="Y181" s="2"/>
      <c r="Z181" s="2"/>
    </row>
    <row r="182" spans="1:26" ht="13.8" x14ac:dyDescent="0.3">
      <c r="A182" s="2"/>
      <c r="B182" s="2"/>
      <c r="C182" s="10"/>
      <c r="D182" s="10"/>
      <c r="E182" s="10"/>
      <c r="F182" s="10"/>
      <c r="G182" s="69"/>
      <c r="H182" s="69"/>
      <c r="I182" s="69"/>
      <c r="J182" s="70"/>
      <c r="K182" s="69"/>
      <c r="L182" s="69"/>
      <c r="M182" s="69"/>
      <c r="N182" s="69"/>
      <c r="O182" s="2"/>
      <c r="P182" s="2"/>
      <c r="Q182" s="32"/>
      <c r="R182" s="32"/>
      <c r="S182" s="32"/>
      <c r="T182" s="32"/>
      <c r="U182" s="2"/>
      <c r="V182" s="2"/>
      <c r="W182" s="2"/>
      <c r="X182" s="2"/>
      <c r="Y182" s="2"/>
      <c r="Z182" s="2"/>
    </row>
    <row r="183" spans="1:26" ht="13.8" x14ac:dyDescent="0.3">
      <c r="A183" s="2"/>
      <c r="B183" s="2"/>
      <c r="C183" s="10"/>
      <c r="D183" s="10"/>
      <c r="E183" s="10"/>
      <c r="F183" s="10"/>
      <c r="G183" s="69"/>
      <c r="H183" s="69"/>
      <c r="I183" s="69"/>
      <c r="J183" s="70"/>
      <c r="K183" s="69"/>
      <c r="L183" s="69"/>
      <c r="M183" s="69"/>
      <c r="N183" s="69"/>
      <c r="O183" s="2"/>
      <c r="P183" s="2"/>
      <c r="Q183" s="32"/>
      <c r="R183" s="32"/>
      <c r="S183" s="32"/>
      <c r="T183" s="32"/>
      <c r="U183" s="2"/>
      <c r="V183" s="2"/>
      <c r="W183" s="2"/>
      <c r="X183" s="2"/>
      <c r="Y183" s="2"/>
      <c r="Z183" s="2"/>
    </row>
    <row r="184" spans="1:26" ht="13.8" x14ac:dyDescent="0.3">
      <c r="A184" s="2"/>
      <c r="B184" s="2"/>
      <c r="C184" s="10"/>
      <c r="D184" s="10"/>
      <c r="E184" s="10"/>
      <c r="F184" s="10"/>
      <c r="G184" s="69"/>
      <c r="H184" s="69"/>
      <c r="I184" s="69"/>
      <c r="J184" s="70"/>
      <c r="K184" s="69"/>
      <c r="L184" s="69"/>
      <c r="M184" s="69"/>
      <c r="N184" s="69"/>
      <c r="O184" s="2"/>
      <c r="P184" s="2"/>
      <c r="Q184" s="32"/>
      <c r="R184" s="32"/>
      <c r="S184" s="32"/>
      <c r="T184" s="32"/>
      <c r="U184" s="2"/>
      <c r="V184" s="2"/>
      <c r="W184" s="2"/>
      <c r="X184" s="2"/>
      <c r="Y184" s="2"/>
      <c r="Z184" s="2"/>
    </row>
    <row r="185" spans="1:26" ht="13.8" x14ac:dyDescent="0.3">
      <c r="A185" s="2"/>
      <c r="B185" s="2"/>
      <c r="C185" s="10"/>
      <c r="D185" s="10"/>
      <c r="E185" s="10"/>
      <c r="F185" s="10"/>
      <c r="G185" s="69"/>
      <c r="H185" s="69"/>
      <c r="I185" s="69"/>
      <c r="J185" s="70"/>
      <c r="K185" s="69"/>
      <c r="L185" s="69"/>
      <c r="M185" s="69"/>
      <c r="N185" s="69"/>
      <c r="O185" s="2"/>
      <c r="P185" s="2"/>
      <c r="Q185" s="32"/>
      <c r="R185" s="32"/>
      <c r="S185" s="32"/>
      <c r="T185" s="3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2"/>
      <c r="C186" s="10"/>
      <c r="D186" s="10"/>
      <c r="E186" s="10"/>
      <c r="F186" s="10"/>
      <c r="G186" s="69"/>
      <c r="H186" s="69"/>
      <c r="I186" s="69"/>
      <c r="J186" s="70"/>
      <c r="K186" s="69"/>
      <c r="L186" s="69"/>
      <c r="M186" s="69"/>
      <c r="N186" s="69"/>
      <c r="O186" s="2"/>
      <c r="P186" s="2"/>
      <c r="Q186" s="32"/>
      <c r="R186" s="32"/>
      <c r="S186" s="32"/>
      <c r="T186" s="3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2"/>
      <c r="C187" s="10"/>
      <c r="D187" s="10"/>
      <c r="E187" s="10"/>
      <c r="F187" s="10"/>
      <c r="G187" s="69"/>
      <c r="H187" s="69"/>
      <c r="I187" s="69"/>
      <c r="J187" s="70"/>
      <c r="K187" s="69"/>
      <c r="L187" s="69"/>
      <c r="M187" s="69"/>
      <c r="N187" s="69"/>
      <c r="O187" s="2"/>
      <c r="P187" s="2"/>
      <c r="Q187" s="32"/>
      <c r="R187" s="32"/>
      <c r="S187" s="32"/>
      <c r="T187" s="3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2"/>
      <c r="C188" s="10"/>
      <c r="D188" s="10"/>
      <c r="E188" s="10"/>
      <c r="F188" s="10"/>
      <c r="G188" s="69"/>
      <c r="H188" s="69"/>
      <c r="I188" s="69"/>
      <c r="J188" s="70"/>
      <c r="K188" s="69"/>
      <c r="L188" s="69"/>
      <c r="M188" s="69"/>
      <c r="N188" s="69"/>
      <c r="O188" s="2"/>
      <c r="P188" s="2"/>
      <c r="Q188" s="32"/>
      <c r="R188" s="32"/>
      <c r="S188" s="32"/>
      <c r="T188" s="32"/>
      <c r="U188" s="2"/>
      <c r="V188" s="2"/>
      <c r="W188" s="2"/>
      <c r="X188" s="2"/>
      <c r="Y188" s="2"/>
      <c r="Z188" s="2"/>
    </row>
    <row r="189" spans="1:26" ht="13.8" x14ac:dyDescent="0.3">
      <c r="A189" s="2"/>
      <c r="B189" s="2"/>
      <c r="C189" s="10"/>
      <c r="D189" s="10"/>
      <c r="E189" s="10"/>
      <c r="F189" s="10"/>
      <c r="G189" s="69"/>
      <c r="H189" s="69"/>
      <c r="I189" s="69"/>
      <c r="J189" s="70"/>
      <c r="K189" s="69"/>
      <c r="L189" s="69"/>
      <c r="M189" s="69"/>
      <c r="N189" s="69"/>
      <c r="O189" s="2"/>
      <c r="P189" s="2"/>
      <c r="Q189" s="32"/>
      <c r="R189" s="32"/>
      <c r="S189" s="32"/>
      <c r="T189" s="32"/>
      <c r="U189" s="2"/>
      <c r="V189" s="2"/>
      <c r="W189" s="2"/>
      <c r="X189" s="2"/>
      <c r="Y189" s="2"/>
      <c r="Z189" s="2"/>
    </row>
    <row r="190" spans="1:26" ht="13.8" x14ac:dyDescent="0.3">
      <c r="A190" s="2"/>
      <c r="B190" s="2"/>
      <c r="C190" s="10"/>
      <c r="D190" s="10"/>
      <c r="E190" s="10"/>
      <c r="F190" s="10"/>
      <c r="G190" s="69"/>
      <c r="H190" s="69"/>
      <c r="I190" s="69"/>
      <c r="J190" s="70"/>
      <c r="K190" s="69"/>
      <c r="L190" s="69"/>
      <c r="M190" s="69"/>
      <c r="N190" s="69"/>
      <c r="O190" s="2"/>
      <c r="P190" s="2"/>
      <c r="Q190" s="32"/>
      <c r="R190" s="32"/>
      <c r="S190" s="32"/>
      <c r="T190" s="32"/>
      <c r="U190" s="2"/>
      <c r="V190" s="2"/>
      <c r="W190" s="2"/>
      <c r="X190" s="2"/>
      <c r="Y190" s="2"/>
      <c r="Z190" s="2"/>
    </row>
    <row r="191" spans="1:26" ht="13.8" x14ac:dyDescent="0.3">
      <c r="A191" s="2"/>
      <c r="B191" s="2"/>
      <c r="C191" s="10"/>
      <c r="D191" s="10"/>
      <c r="E191" s="10"/>
      <c r="F191" s="10"/>
      <c r="G191" s="69"/>
      <c r="H191" s="69"/>
      <c r="I191" s="69"/>
      <c r="J191" s="70"/>
      <c r="K191" s="69"/>
      <c r="L191" s="69"/>
      <c r="M191" s="69"/>
      <c r="N191" s="69"/>
      <c r="O191" s="2"/>
      <c r="P191" s="2"/>
      <c r="Q191" s="32"/>
      <c r="R191" s="32"/>
      <c r="S191" s="32"/>
      <c r="T191" s="32"/>
      <c r="U191" s="2"/>
      <c r="V191" s="2"/>
      <c r="W191" s="2"/>
      <c r="X191" s="2"/>
      <c r="Y191" s="2"/>
      <c r="Z191" s="2"/>
    </row>
    <row r="192" spans="1:26" ht="13.8" x14ac:dyDescent="0.3">
      <c r="A192" s="2"/>
      <c r="B192" s="2"/>
      <c r="C192" s="10"/>
      <c r="D192" s="10"/>
      <c r="E192" s="10"/>
      <c r="F192" s="10"/>
      <c r="G192" s="69"/>
      <c r="H192" s="69"/>
      <c r="I192" s="69"/>
      <c r="J192" s="70"/>
      <c r="K192" s="69"/>
      <c r="L192" s="69"/>
      <c r="M192" s="69"/>
      <c r="N192" s="69"/>
      <c r="O192" s="2"/>
      <c r="P192" s="2"/>
      <c r="Q192" s="32"/>
      <c r="R192" s="32"/>
      <c r="S192" s="32"/>
      <c r="T192" s="32"/>
      <c r="U192" s="2"/>
      <c r="V192" s="2"/>
      <c r="W192" s="2"/>
      <c r="X192" s="2"/>
      <c r="Y192" s="2"/>
      <c r="Z192" s="2"/>
    </row>
    <row r="193" spans="1:26" ht="13.8" x14ac:dyDescent="0.3">
      <c r="A193" s="2"/>
      <c r="B193" s="2"/>
      <c r="C193" s="10"/>
      <c r="D193" s="10"/>
      <c r="E193" s="10"/>
      <c r="F193" s="10"/>
      <c r="G193" s="69"/>
      <c r="H193" s="69"/>
      <c r="I193" s="69"/>
      <c r="J193" s="70"/>
      <c r="K193" s="69"/>
      <c r="L193" s="69"/>
      <c r="M193" s="69"/>
      <c r="N193" s="69"/>
      <c r="O193" s="2"/>
      <c r="P193" s="2"/>
      <c r="Q193" s="32"/>
      <c r="R193" s="32"/>
      <c r="S193" s="32"/>
      <c r="T193" s="32"/>
      <c r="U193" s="2"/>
      <c r="V193" s="2"/>
      <c r="W193" s="2"/>
      <c r="X193" s="2"/>
      <c r="Y193" s="2"/>
      <c r="Z193" s="2"/>
    </row>
    <row r="194" spans="1:26" ht="13.8" x14ac:dyDescent="0.3">
      <c r="A194" s="2"/>
      <c r="B194" s="2"/>
      <c r="C194" s="10"/>
      <c r="D194" s="10"/>
      <c r="E194" s="10"/>
      <c r="F194" s="10"/>
      <c r="G194" s="69"/>
      <c r="H194" s="69"/>
      <c r="I194" s="69"/>
      <c r="J194" s="70"/>
      <c r="K194" s="69"/>
      <c r="L194" s="69"/>
      <c r="M194" s="69"/>
      <c r="N194" s="69"/>
      <c r="O194" s="2"/>
      <c r="P194" s="2"/>
      <c r="Q194" s="32"/>
      <c r="R194" s="32"/>
      <c r="S194" s="32"/>
      <c r="T194" s="32"/>
      <c r="U194" s="2"/>
      <c r="V194" s="2"/>
      <c r="W194" s="2"/>
      <c r="X194" s="2"/>
      <c r="Y194" s="2"/>
      <c r="Z194" s="2"/>
    </row>
    <row r="195" spans="1:26" ht="13.8" x14ac:dyDescent="0.3">
      <c r="A195" s="2"/>
      <c r="B195" s="2"/>
      <c r="C195" s="10"/>
      <c r="D195" s="10"/>
      <c r="E195" s="10"/>
      <c r="F195" s="10"/>
      <c r="G195" s="69"/>
      <c r="H195" s="69"/>
      <c r="I195" s="69"/>
      <c r="J195" s="70"/>
      <c r="K195" s="69"/>
      <c r="L195" s="69"/>
      <c r="M195" s="69"/>
      <c r="N195" s="69"/>
      <c r="O195" s="2"/>
      <c r="P195" s="2"/>
      <c r="Q195" s="32"/>
      <c r="R195" s="32"/>
      <c r="S195" s="32"/>
      <c r="T195" s="32"/>
      <c r="U195" s="2"/>
      <c r="V195" s="2"/>
      <c r="W195" s="2"/>
      <c r="X195" s="2"/>
      <c r="Y195" s="2"/>
      <c r="Z195" s="2"/>
    </row>
    <row r="196" spans="1:26" ht="13.8" x14ac:dyDescent="0.3">
      <c r="A196" s="2"/>
      <c r="B196" s="2"/>
      <c r="C196" s="10"/>
      <c r="D196" s="10"/>
      <c r="E196" s="10"/>
      <c r="F196" s="10"/>
      <c r="G196" s="69"/>
      <c r="H196" s="69"/>
      <c r="I196" s="69"/>
      <c r="J196" s="70"/>
      <c r="K196" s="69"/>
      <c r="L196" s="69"/>
      <c r="M196" s="69"/>
      <c r="N196" s="69"/>
      <c r="O196" s="2"/>
      <c r="P196" s="2"/>
      <c r="Q196" s="32"/>
      <c r="R196" s="32"/>
      <c r="S196" s="32"/>
      <c r="T196" s="32"/>
      <c r="U196" s="2"/>
      <c r="V196" s="2"/>
      <c r="W196" s="2"/>
      <c r="X196" s="2"/>
      <c r="Y196" s="2"/>
      <c r="Z196" s="2"/>
    </row>
    <row r="197" spans="1:26" ht="13.8" x14ac:dyDescent="0.3">
      <c r="A197" s="2"/>
      <c r="B197" s="2"/>
      <c r="C197" s="10"/>
      <c r="D197" s="10"/>
      <c r="E197" s="10"/>
      <c r="F197" s="10"/>
      <c r="G197" s="69"/>
      <c r="H197" s="69"/>
      <c r="I197" s="69"/>
      <c r="J197" s="70"/>
      <c r="K197" s="69"/>
      <c r="L197" s="69"/>
      <c r="M197" s="69"/>
      <c r="N197" s="69"/>
      <c r="O197" s="2"/>
      <c r="P197" s="2"/>
      <c r="Q197" s="32"/>
      <c r="R197" s="32"/>
      <c r="S197" s="32"/>
      <c r="T197" s="32"/>
      <c r="U197" s="2"/>
      <c r="V197" s="2"/>
      <c r="W197" s="2"/>
      <c r="X197" s="2"/>
      <c r="Y197" s="2"/>
      <c r="Z197" s="2"/>
    </row>
    <row r="198" spans="1:26" ht="13.8" x14ac:dyDescent="0.3">
      <c r="A198" s="2"/>
      <c r="B198" s="2"/>
      <c r="C198" s="10"/>
      <c r="D198" s="10"/>
      <c r="E198" s="10"/>
      <c r="F198" s="10"/>
      <c r="G198" s="69"/>
      <c r="H198" s="69"/>
      <c r="I198" s="69"/>
      <c r="J198" s="70"/>
      <c r="K198" s="69"/>
      <c r="L198" s="69"/>
      <c r="M198" s="69"/>
      <c r="N198" s="69"/>
      <c r="O198" s="2"/>
      <c r="P198" s="2"/>
      <c r="Q198" s="32"/>
      <c r="R198" s="32"/>
      <c r="S198" s="32"/>
      <c r="T198" s="32"/>
      <c r="U198" s="2"/>
      <c r="V198" s="2"/>
      <c r="W198" s="2"/>
      <c r="X198" s="2"/>
      <c r="Y198" s="2"/>
      <c r="Z198" s="2"/>
    </row>
    <row r="199" spans="1:26" ht="13.8" x14ac:dyDescent="0.3">
      <c r="A199" s="2"/>
      <c r="B199" s="2"/>
      <c r="C199" s="10"/>
      <c r="D199" s="10"/>
      <c r="E199" s="10"/>
      <c r="F199" s="10"/>
      <c r="G199" s="69"/>
      <c r="H199" s="69"/>
      <c r="I199" s="69"/>
      <c r="J199" s="70"/>
      <c r="K199" s="69"/>
      <c r="L199" s="69"/>
      <c r="M199" s="69"/>
      <c r="N199" s="69"/>
      <c r="O199" s="2"/>
      <c r="P199" s="2"/>
      <c r="Q199" s="32"/>
      <c r="R199" s="32"/>
      <c r="S199" s="32"/>
      <c r="T199" s="32"/>
      <c r="U199" s="2"/>
      <c r="V199" s="2"/>
      <c r="W199" s="2"/>
      <c r="X199" s="2"/>
      <c r="Y199" s="2"/>
      <c r="Z199" s="2"/>
    </row>
    <row r="200" spans="1:26" ht="13.8" x14ac:dyDescent="0.3">
      <c r="A200" s="2"/>
      <c r="B200" s="2"/>
      <c r="C200" s="10"/>
      <c r="D200" s="10"/>
      <c r="E200" s="10"/>
      <c r="F200" s="10"/>
      <c r="G200" s="69"/>
      <c r="H200" s="69"/>
      <c r="I200" s="69"/>
      <c r="J200" s="70"/>
      <c r="K200" s="69"/>
      <c r="L200" s="69"/>
      <c r="M200" s="69"/>
      <c r="N200" s="69"/>
      <c r="O200" s="2"/>
      <c r="P200" s="2"/>
      <c r="Q200" s="32"/>
      <c r="R200" s="32"/>
      <c r="S200" s="32"/>
      <c r="T200" s="32"/>
      <c r="U200" s="2"/>
      <c r="V200" s="2"/>
      <c r="W200" s="2"/>
      <c r="X200" s="2"/>
      <c r="Y200" s="2"/>
      <c r="Z200" s="2"/>
    </row>
    <row r="201" spans="1:26" ht="13.8" x14ac:dyDescent="0.3">
      <c r="A201" s="2"/>
      <c r="B201" s="2"/>
      <c r="C201" s="10"/>
      <c r="D201" s="10"/>
      <c r="E201" s="10"/>
      <c r="F201" s="10"/>
      <c r="G201" s="69"/>
      <c r="H201" s="69"/>
      <c r="I201" s="69"/>
      <c r="J201" s="70"/>
      <c r="K201" s="69"/>
      <c r="L201" s="69"/>
      <c r="M201" s="69"/>
      <c r="N201" s="69"/>
      <c r="O201" s="2"/>
      <c r="P201" s="2"/>
      <c r="Q201" s="32"/>
      <c r="R201" s="32"/>
      <c r="S201" s="32"/>
      <c r="T201" s="32"/>
      <c r="U201" s="2"/>
      <c r="V201" s="2"/>
      <c r="W201" s="2"/>
      <c r="X201" s="2"/>
      <c r="Y201" s="2"/>
      <c r="Z201" s="2"/>
    </row>
    <row r="202" spans="1:26" ht="13.8" x14ac:dyDescent="0.3">
      <c r="A202" s="2"/>
      <c r="B202" s="2"/>
      <c r="C202" s="10"/>
      <c r="D202" s="10"/>
      <c r="E202" s="10"/>
      <c r="F202" s="10"/>
      <c r="G202" s="69"/>
      <c r="H202" s="69"/>
      <c r="I202" s="69"/>
      <c r="J202" s="70"/>
      <c r="K202" s="69"/>
      <c r="L202" s="69"/>
      <c r="M202" s="69"/>
      <c r="N202" s="69"/>
      <c r="O202" s="2"/>
      <c r="P202" s="2"/>
      <c r="Q202" s="32"/>
      <c r="R202" s="32"/>
      <c r="S202" s="32"/>
      <c r="T202" s="32"/>
      <c r="U202" s="2"/>
      <c r="V202" s="2"/>
      <c r="W202" s="2"/>
      <c r="X202" s="2"/>
      <c r="Y202" s="2"/>
      <c r="Z202" s="2"/>
    </row>
    <row r="203" spans="1:26" ht="13.8" x14ac:dyDescent="0.3">
      <c r="A203" s="2"/>
      <c r="B203" s="2"/>
      <c r="C203" s="10"/>
      <c r="D203" s="10"/>
      <c r="E203" s="10"/>
      <c r="F203" s="10"/>
      <c r="G203" s="69"/>
      <c r="H203" s="69"/>
      <c r="I203" s="69"/>
      <c r="J203" s="70"/>
      <c r="K203" s="69"/>
      <c r="L203" s="69"/>
      <c r="M203" s="69"/>
      <c r="N203" s="69"/>
      <c r="O203" s="2"/>
      <c r="P203" s="2"/>
      <c r="Q203" s="32"/>
      <c r="R203" s="32"/>
      <c r="S203" s="32"/>
      <c r="T203" s="32"/>
      <c r="U203" s="2"/>
      <c r="V203" s="2"/>
      <c r="W203" s="2"/>
      <c r="X203" s="2"/>
      <c r="Y203" s="2"/>
      <c r="Z203" s="2"/>
    </row>
    <row r="204" spans="1:26" ht="13.8" x14ac:dyDescent="0.3">
      <c r="A204" s="2"/>
      <c r="B204" s="2"/>
      <c r="C204" s="10"/>
      <c r="D204" s="10"/>
      <c r="E204" s="10"/>
      <c r="F204" s="10"/>
      <c r="G204" s="69"/>
      <c r="H204" s="69"/>
      <c r="I204" s="69"/>
      <c r="J204" s="70"/>
      <c r="K204" s="69"/>
      <c r="L204" s="69"/>
      <c r="M204" s="69"/>
      <c r="N204" s="69"/>
      <c r="O204" s="2"/>
      <c r="P204" s="2"/>
      <c r="Q204" s="32"/>
      <c r="R204" s="32"/>
      <c r="S204" s="32"/>
      <c r="T204" s="32"/>
      <c r="U204" s="2"/>
      <c r="V204" s="2"/>
      <c r="W204" s="2"/>
      <c r="X204" s="2"/>
      <c r="Y204" s="2"/>
      <c r="Z204" s="2"/>
    </row>
    <row r="205" spans="1:26" ht="13.8" x14ac:dyDescent="0.3">
      <c r="A205" s="2"/>
      <c r="B205" s="2"/>
      <c r="C205" s="10"/>
      <c r="D205" s="10"/>
      <c r="E205" s="10"/>
      <c r="F205" s="10"/>
      <c r="G205" s="69"/>
      <c r="H205" s="69"/>
      <c r="I205" s="69"/>
      <c r="J205" s="70"/>
      <c r="K205" s="69"/>
      <c r="L205" s="69"/>
      <c r="M205" s="69"/>
      <c r="N205" s="69"/>
      <c r="O205" s="2"/>
      <c r="P205" s="2"/>
      <c r="Q205" s="32"/>
      <c r="R205" s="32"/>
      <c r="S205" s="32"/>
      <c r="T205" s="32"/>
      <c r="U205" s="2"/>
      <c r="V205" s="2"/>
      <c r="W205" s="2"/>
      <c r="X205" s="2"/>
      <c r="Y205" s="2"/>
      <c r="Z205" s="2"/>
    </row>
    <row r="206" spans="1:26" ht="13.8" x14ac:dyDescent="0.3">
      <c r="A206" s="2"/>
      <c r="B206" s="2"/>
      <c r="C206" s="10"/>
      <c r="D206" s="10"/>
      <c r="E206" s="10"/>
      <c r="F206" s="10"/>
      <c r="G206" s="69"/>
      <c r="H206" s="69"/>
      <c r="I206" s="69"/>
      <c r="J206" s="70"/>
      <c r="K206" s="69"/>
      <c r="L206" s="69"/>
      <c r="M206" s="69"/>
      <c r="N206" s="69"/>
      <c r="O206" s="2"/>
      <c r="P206" s="2"/>
      <c r="Q206" s="32"/>
      <c r="R206" s="32"/>
      <c r="S206" s="32"/>
      <c r="T206" s="32"/>
      <c r="U206" s="2"/>
      <c r="V206" s="2"/>
      <c r="W206" s="2"/>
      <c r="X206" s="2"/>
      <c r="Y206" s="2"/>
      <c r="Z206" s="2"/>
    </row>
    <row r="207" spans="1:26" ht="13.8" x14ac:dyDescent="0.3">
      <c r="A207" s="2"/>
      <c r="B207" s="2"/>
      <c r="C207" s="10"/>
      <c r="D207" s="10"/>
      <c r="E207" s="10"/>
      <c r="F207" s="10"/>
      <c r="G207" s="69"/>
      <c r="H207" s="69"/>
      <c r="I207" s="69"/>
      <c r="J207" s="70"/>
      <c r="K207" s="69"/>
      <c r="L207" s="69"/>
      <c r="M207" s="69"/>
      <c r="N207" s="69"/>
      <c r="O207" s="2"/>
      <c r="P207" s="2"/>
      <c r="Q207" s="32"/>
      <c r="R207" s="32"/>
      <c r="S207" s="32"/>
      <c r="T207" s="32"/>
      <c r="U207" s="2"/>
      <c r="V207" s="2"/>
      <c r="W207" s="2"/>
      <c r="X207" s="2"/>
      <c r="Y207" s="2"/>
      <c r="Z207" s="2"/>
    </row>
    <row r="208" spans="1:26" ht="13.8" x14ac:dyDescent="0.3">
      <c r="A208" s="2"/>
      <c r="B208" s="2"/>
      <c r="C208" s="10"/>
      <c r="D208" s="10"/>
      <c r="E208" s="10"/>
      <c r="F208" s="10"/>
      <c r="G208" s="69"/>
      <c r="H208" s="69"/>
      <c r="I208" s="69"/>
      <c r="J208" s="70"/>
      <c r="K208" s="69"/>
      <c r="L208" s="69"/>
      <c r="M208" s="69"/>
      <c r="N208" s="69"/>
      <c r="O208" s="2"/>
      <c r="P208" s="2"/>
      <c r="Q208" s="32"/>
      <c r="R208" s="32"/>
      <c r="S208" s="32"/>
      <c r="T208" s="32"/>
      <c r="U208" s="2"/>
      <c r="V208" s="2"/>
      <c r="W208" s="2"/>
      <c r="X208" s="2"/>
      <c r="Y208" s="2"/>
      <c r="Z208" s="2"/>
    </row>
    <row r="209" spans="1:26" ht="13.8" x14ac:dyDescent="0.3">
      <c r="A209" s="2"/>
      <c r="B209" s="2"/>
      <c r="C209" s="10"/>
      <c r="D209" s="10"/>
      <c r="E209" s="10"/>
      <c r="F209" s="10"/>
      <c r="G209" s="69"/>
      <c r="H209" s="69"/>
      <c r="I209" s="69"/>
      <c r="J209" s="70"/>
      <c r="K209" s="69"/>
      <c r="L209" s="69"/>
      <c r="M209" s="69"/>
      <c r="N209" s="69"/>
      <c r="O209" s="2"/>
      <c r="P209" s="2"/>
      <c r="Q209" s="32"/>
      <c r="R209" s="32"/>
      <c r="S209" s="32"/>
      <c r="T209" s="32"/>
      <c r="U209" s="2"/>
      <c r="V209" s="2"/>
      <c r="W209" s="2"/>
      <c r="X209" s="2"/>
      <c r="Y209" s="2"/>
      <c r="Z209" s="2"/>
    </row>
    <row r="210" spans="1:26" ht="13.8" x14ac:dyDescent="0.3">
      <c r="A210" s="2"/>
      <c r="B210" s="2"/>
      <c r="C210" s="10"/>
      <c r="D210" s="10"/>
      <c r="E210" s="10"/>
      <c r="F210" s="10"/>
      <c r="G210" s="69"/>
      <c r="H210" s="69"/>
      <c r="I210" s="69"/>
      <c r="J210" s="70"/>
      <c r="K210" s="69"/>
      <c r="L210" s="69"/>
      <c r="M210" s="69"/>
      <c r="N210" s="69"/>
      <c r="O210" s="2"/>
      <c r="P210" s="2"/>
      <c r="Q210" s="32"/>
      <c r="R210" s="32"/>
      <c r="S210" s="32"/>
      <c r="T210" s="32"/>
      <c r="U210" s="2"/>
      <c r="V210" s="2"/>
      <c r="W210" s="2"/>
      <c r="X210" s="2"/>
      <c r="Y210" s="2"/>
      <c r="Z210" s="2"/>
    </row>
    <row r="211" spans="1:26" ht="13.8" x14ac:dyDescent="0.3">
      <c r="A211" s="2"/>
      <c r="B211" s="2"/>
      <c r="C211" s="10"/>
      <c r="D211" s="10"/>
      <c r="E211" s="10"/>
      <c r="F211" s="10"/>
      <c r="G211" s="69"/>
      <c r="H211" s="69"/>
      <c r="I211" s="69"/>
      <c r="J211" s="70"/>
      <c r="K211" s="69"/>
      <c r="L211" s="69"/>
      <c r="M211" s="69"/>
      <c r="N211" s="69"/>
      <c r="O211" s="2"/>
      <c r="P211" s="2"/>
      <c r="Q211" s="32"/>
      <c r="R211" s="32"/>
      <c r="S211" s="32"/>
      <c r="T211" s="32"/>
      <c r="U211" s="2"/>
      <c r="V211" s="2"/>
      <c r="W211" s="2"/>
      <c r="X211" s="2"/>
      <c r="Y211" s="2"/>
      <c r="Z211" s="2"/>
    </row>
    <row r="212" spans="1:26" ht="13.8" x14ac:dyDescent="0.3">
      <c r="A212" s="2"/>
      <c r="B212" s="2"/>
      <c r="C212" s="10"/>
      <c r="D212" s="10"/>
      <c r="E212" s="10"/>
      <c r="F212" s="10"/>
      <c r="G212" s="69"/>
      <c r="H212" s="69"/>
      <c r="I212" s="69"/>
      <c r="J212" s="70"/>
      <c r="K212" s="69"/>
      <c r="L212" s="69"/>
      <c r="M212" s="69"/>
      <c r="N212" s="69"/>
      <c r="O212" s="2"/>
      <c r="P212" s="2"/>
      <c r="Q212" s="32"/>
      <c r="R212" s="32"/>
      <c r="S212" s="32"/>
      <c r="T212" s="3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2"/>
      <c r="C213" s="10"/>
      <c r="D213" s="10"/>
      <c r="E213" s="10"/>
      <c r="F213" s="10"/>
      <c r="G213" s="69"/>
      <c r="H213" s="69"/>
      <c r="I213" s="69"/>
      <c r="J213" s="70"/>
      <c r="K213" s="69"/>
      <c r="L213" s="69"/>
      <c r="M213" s="69"/>
      <c r="N213" s="69"/>
      <c r="O213" s="2"/>
      <c r="P213" s="2"/>
      <c r="Q213" s="32"/>
      <c r="R213" s="32"/>
      <c r="S213" s="32"/>
      <c r="T213" s="32"/>
      <c r="U213" s="2"/>
      <c r="V213" s="2"/>
      <c r="W213" s="2"/>
      <c r="X213" s="2"/>
      <c r="Y213" s="2"/>
      <c r="Z213" s="2"/>
    </row>
    <row r="214" spans="1:26" ht="13.8" x14ac:dyDescent="0.3">
      <c r="A214" s="2"/>
      <c r="B214" s="2"/>
      <c r="C214" s="10"/>
      <c r="D214" s="10"/>
      <c r="E214" s="10"/>
      <c r="F214" s="10"/>
      <c r="G214" s="69"/>
      <c r="H214" s="69"/>
      <c r="I214" s="69"/>
      <c r="J214" s="70"/>
      <c r="K214" s="69"/>
      <c r="L214" s="69"/>
      <c r="M214" s="69"/>
      <c r="N214" s="69"/>
      <c r="O214" s="2"/>
      <c r="P214" s="2"/>
      <c r="Q214" s="32"/>
      <c r="R214" s="32"/>
      <c r="S214" s="32"/>
      <c r="T214" s="32"/>
      <c r="U214" s="2"/>
      <c r="V214" s="2"/>
      <c r="W214" s="2"/>
      <c r="X214" s="2"/>
      <c r="Y214" s="2"/>
      <c r="Z214" s="2"/>
    </row>
    <row r="215" spans="1:26" ht="13.8" x14ac:dyDescent="0.3">
      <c r="A215" s="2"/>
      <c r="B215" s="2"/>
      <c r="C215" s="10"/>
      <c r="D215" s="10"/>
      <c r="E215" s="10"/>
      <c r="F215" s="10"/>
      <c r="G215" s="69"/>
      <c r="H215" s="69"/>
      <c r="I215" s="69"/>
      <c r="J215" s="70"/>
      <c r="K215" s="69"/>
      <c r="L215" s="69"/>
      <c r="M215" s="69"/>
      <c r="N215" s="69"/>
      <c r="O215" s="2"/>
      <c r="P215" s="2"/>
      <c r="Q215" s="32"/>
      <c r="R215" s="32"/>
      <c r="S215" s="32"/>
      <c r="T215" s="32"/>
      <c r="U215" s="2"/>
      <c r="V215" s="2"/>
      <c r="W215" s="2"/>
      <c r="X215" s="2"/>
      <c r="Y215" s="2"/>
      <c r="Z215" s="2"/>
    </row>
    <row r="216" spans="1:26" ht="13.8" x14ac:dyDescent="0.3">
      <c r="A216" s="2"/>
      <c r="B216" s="2"/>
      <c r="C216" s="10"/>
      <c r="D216" s="10"/>
      <c r="E216" s="10"/>
      <c r="F216" s="10"/>
      <c r="G216" s="69"/>
      <c r="H216" s="69"/>
      <c r="I216" s="69"/>
      <c r="J216" s="70"/>
      <c r="K216" s="69"/>
      <c r="L216" s="69"/>
      <c r="M216" s="69"/>
      <c r="N216" s="69"/>
      <c r="O216" s="2"/>
      <c r="P216" s="2"/>
      <c r="Q216" s="32"/>
      <c r="R216" s="32"/>
      <c r="S216" s="32"/>
      <c r="T216" s="32"/>
      <c r="U216" s="2"/>
      <c r="V216" s="2"/>
      <c r="W216" s="2"/>
      <c r="X216" s="2"/>
      <c r="Y216" s="2"/>
      <c r="Z216" s="2"/>
    </row>
    <row r="217" spans="1:26" ht="13.8" x14ac:dyDescent="0.3">
      <c r="A217" s="2"/>
      <c r="B217" s="2"/>
      <c r="C217" s="10"/>
      <c r="D217" s="10"/>
      <c r="E217" s="10"/>
      <c r="F217" s="10"/>
      <c r="G217" s="69"/>
      <c r="H217" s="69"/>
      <c r="I217" s="69"/>
      <c r="J217" s="70"/>
      <c r="K217" s="69"/>
      <c r="L217" s="69"/>
      <c r="M217" s="69"/>
      <c r="N217" s="69"/>
      <c r="O217" s="2"/>
      <c r="P217" s="2"/>
      <c r="Q217" s="32"/>
      <c r="R217" s="32"/>
      <c r="S217" s="32"/>
      <c r="T217" s="32"/>
      <c r="U217" s="2"/>
      <c r="V217" s="2"/>
      <c r="W217" s="2"/>
      <c r="X217" s="2"/>
      <c r="Y217" s="2"/>
      <c r="Z217" s="2"/>
    </row>
    <row r="218" spans="1:26" ht="13.8" x14ac:dyDescent="0.3">
      <c r="A218" s="2"/>
      <c r="B218" s="2"/>
      <c r="C218" s="10"/>
      <c r="D218" s="10"/>
      <c r="E218" s="10"/>
      <c r="F218" s="10"/>
      <c r="G218" s="69"/>
      <c r="H218" s="69"/>
      <c r="I218" s="69"/>
      <c r="J218" s="70"/>
      <c r="K218" s="69"/>
      <c r="L218" s="69"/>
      <c r="M218" s="69"/>
      <c r="N218" s="69"/>
      <c r="O218" s="2"/>
      <c r="P218" s="2"/>
      <c r="Q218" s="32"/>
      <c r="R218" s="32"/>
      <c r="S218" s="32"/>
      <c r="T218" s="32"/>
      <c r="U218" s="2"/>
      <c r="V218" s="2"/>
      <c r="W218" s="2"/>
      <c r="X218" s="2"/>
      <c r="Y218" s="2"/>
      <c r="Z218" s="2"/>
    </row>
    <row r="219" spans="1:26" ht="13.8" x14ac:dyDescent="0.3">
      <c r="A219" s="2"/>
      <c r="B219" s="2"/>
      <c r="C219" s="10"/>
      <c r="D219" s="10"/>
      <c r="E219" s="10"/>
      <c r="F219" s="10"/>
      <c r="G219" s="69"/>
      <c r="H219" s="69"/>
      <c r="I219" s="69"/>
      <c r="J219" s="70"/>
      <c r="K219" s="69"/>
      <c r="L219" s="69"/>
      <c r="M219" s="69"/>
      <c r="N219" s="69"/>
      <c r="O219" s="2"/>
      <c r="P219" s="2"/>
      <c r="Q219" s="32"/>
      <c r="R219" s="32"/>
      <c r="S219" s="32"/>
      <c r="T219" s="32"/>
      <c r="U219" s="2"/>
      <c r="V219" s="2"/>
      <c r="W219" s="2"/>
      <c r="X219" s="2"/>
      <c r="Y219" s="2"/>
      <c r="Z219" s="2"/>
    </row>
    <row r="220" spans="1:26" ht="13.8" x14ac:dyDescent="0.3">
      <c r="A220" s="2"/>
      <c r="B220" s="2"/>
      <c r="C220" s="10"/>
      <c r="D220" s="10"/>
      <c r="E220" s="10"/>
      <c r="F220" s="10"/>
      <c r="G220" s="69"/>
      <c r="H220" s="69"/>
      <c r="I220" s="69"/>
      <c r="J220" s="70"/>
      <c r="K220" s="69"/>
      <c r="L220" s="69"/>
      <c r="M220" s="69"/>
      <c r="N220" s="69"/>
      <c r="O220" s="2"/>
      <c r="P220" s="2"/>
      <c r="Q220" s="32"/>
      <c r="R220" s="32"/>
      <c r="S220" s="32"/>
      <c r="T220" s="32"/>
      <c r="U220" s="2"/>
      <c r="V220" s="2"/>
      <c r="W220" s="2"/>
      <c r="X220" s="2"/>
      <c r="Y220" s="2"/>
      <c r="Z220" s="2"/>
    </row>
    <row r="221" spans="1:26" ht="13.8" x14ac:dyDescent="0.3">
      <c r="A221" s="2"/>
      <c r="B221" s="2"/>
      <c r="C221" s="10"/>
      <c r="D221" s="10"/>
      <c r="E221" s="10"/>
      <c r="F221" s="10"/>
      <c r="G221" s="69"/>
      <c r="H221" s="69"/>
      <c r="I221" s="69"/>
      <c r="J221" s="70"/>
      <c r="K221" s="69"/>
      <c r="L221" s="69"/>
      <c r="M221" s="69"/>
      <c r="N221" s="69"/>
      <c r="O221" s="2"/>
      <c r="P221" s="2"/>
      <c r="Q221" s="32"/>
      <c r="R221" s="32"/>
      <c r="S221" s="32"/>
      <c r="T221" s="3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2"/>
      <c r="C222" s="10"/>
      <c r="D222" s="10"/>
      <c r="E222" s="10"/>
      <c r="F222" s="10"/>
      <c r="G222" s="69"/>
      <c r="H222" s="69"/>
      <c r="I222" s="69"/>
      <c r="J222" s="70"/>
      <c r="K222" s="69"/>
      <c r="L222" s="69"/>
      <c r="M222" s="69"/>
      <c r="N222" s="69"/>
      <c r="O222" s="2"/>
      <c r="P222" s="2"/>
      <c r="Q222" s="32"/>
      <c r="R222" s="32"/>
      <c r="S222" s="32"/>
      <c r="T222" s="3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2"/>
      <c r="C223" s="10"/>
      <c r="D223" s="10"/>
      <c r="E223" s="10"/>
      <c r="F223" s="10"/>
      <c r="G223" s="69"/>
      <c r="H223" s="69"/>
      <c r="I223" s="69"/>
      <c r="J223" s="70"/>
      <c r="K223" s="69"/>
      <c r="L223" s="69"/>
      <c r="M223" s="69"/>
      <c r="N223" s="69"/>
      <c r="O223" s="2"/>
      <c r="P223" s="2"/>
      <c r="Q223" s="32"/>
      <c r="R223" s="32"/>
      <c r="S223" s="32"/>
      <c r="T223" s="3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2"/>
      <c r="C224" s="10"/>
      <c r="D224" s="10"/>
      <c r="E224" s="10"/>
      <c r="F224" s="10"/>
      <c r="G224" s="69"/>
      <c r="H224" s="69"/>
      <c r="I224" s="69"/>
      <c r="J224" s="70"/>
      <c r="K224" s="69"/>
      <c r="L224" s="69"/>
      <c r="M224" s="69"/>
      <c r="N224" s="69"/>
      <c r="O224" s="2"/>
      <c r="P224" s="2"/>
      <c r="Q224" s="32"/>
      <c r="R224" s="32"/>
      <c r="S224" s="32"/>
      <c r="T224" s="3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2"/>
      <c r="C225" s="10"/>
      <c r="D225" s="10"/>
      <c r="E225" s="10"/>
      <c r="F225" s="10"/>
      <c r="G225" s="69"/>
      <c r="H225" s="69"/>
      <c r="I225" s="69"/>
      <c r="J225" s="70"/>
      <c r="K225" s="69"/>
      <c r="L225" s="69"/>
      <c r="M225" s="69"/>
      <c r="N225" s="69"/>
      <c r="O225" s="2"/>
      <c r="P225" s="2"/>
      <c r="Q225" s="32"/>
      <c r="R225" s="32"/>
      <c r="S225" s="32"/>
      <c r="T225" s="3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2"/>
      <c r="C226" s="10"/>
      <c r="D226" s="10"/>
      <c r="E226" s="10"/>
      <c r="F226" s="10"/>
      <c r="G226" s="69"/>
      <c r="H226" s="69"/>
      <c r="I226" s="69"/>
      <c r="J226" s="70"/>
      <c r="K226" s="69"/>
      <c r="L226" s="69"/>
      <c r="M226" s="69"/>
      <c r="N226" s="69"/>
      <c r="O226" s="2"/>
      <c r="P226" s="2"/>
      <c r="Q226" s="32"/>
      <c r="R226" s="32"/>
      <c r="S226" s="32"/>
      <c r="T226" s="32"/>
      <c r="U226" s="2"/>
      <c r="V226" s="2"/>
      <c r="W226" s="2"/>
      <c r="X226" s="2"/>
      <c r="Y226" s="2"/>
      <c r="Z226" s="2"/>
    </row>
    <row r="227" spans="1:26" ht="13.8" x14ac:dyDescent="0.3">
      <c r="A227" s="2"/>
      <c r="B227" s="2"/>
      <c r="C227" s="10"/>
      <c r="D227" s="10"/>
      <c r="E227" s="10"/>
      <c r="F227" s="10"/>
      <c r="G227" s="69"/>
      <c r="H227" s="69"/>
      <c r="I227" s="69"/>
      <c r="J227" s="70"/>
      <c r="K227" s="69"/>
      <c r="L227" s="69"/>
      <c r="M227" s="69"/>
      <c r="N227" s="69"/>
      <c r="O227" s="2"/>
      <c r="P227" s="2"/>
      <c r="Q227" s="32"/>
      <c r="R227" s="32"/>
      <c r="S227" s="32"/>
      <c r="T227" s="32"/>
      <c r="U227" s="2"/>
      <c r="V227" s="2"/>
      <c r="W227" s="2"/>
      <c r="X227" s="2"/>
      <c r="Y227" s="2"/>
      <c r="Z227" s="2"/>
    </row>
    <row r="228" spans="1:26" ht="13.8" x14ac:dyDescent="0.3">
      <c r="A228" s="2"/>
      <c r="B228" s="2"/>
      <c r="C228" s="10"/>
      <c r="D228" s="10"/>
      <c r="E228" s="10"/>
      <c r="F228" s="10"/>
      <c r="G228" s="69"/>
      <c r="H228" s="69"/>
      <c r="I228" s="69"/>
      <c r="J228" s="70"/>
      <c r="K228" s="69"/>
      <c r="L228" s="69"/>
      <c r="M228" s="69"/>
      <c r="N228" s="69"/>
      <c r="O228" s="2"/>
      <c r="P228" s="2"/>
      <c r="Q228" s="32"/>
      <c r="R228" s="32"/>
      <c r="S228" s="32"/>
      <c r="T228" s="32"/>
      <c r="U228" s="2"/>
      <c r="V228" s="2"/>
      <c r="W228" s="2"/>
      <c r="X228" s="2"/>
      <c r="Y228" s="2"/>
      <c r="Z228" s="2"/>
    </row>
    <row r="229" spans="1:26" ht="13.8" x14ac:dyDescent="0.3">
      <c r="A229" s="2"/>
      <c r="B229" s="2"/>
      <c r="C229" s="10"/>
      <c r="D229" s="10"/>
      <c r="E229" s="10"/>
      <c r="F229" s="10"/>
      <c r="G229" s="69"/>
      <c r="H229" s="69"/>
      <c r="I229" s="69"/>
      <c r="J229" s="70"/>
      <c r="K229" s="69"/>
      <c r="L229" s="69"/>
      <c r="M229" s="69"/>
      <c r="N229" s="69"/>
      <c r="O229" s="2"/>
      <c r="P229" s="2"/>
      <c r="Q229" s="32"/>
      <c r="R229" s="32"/>
      <c r="S229" s="32"/>
      <c r="T229" s="32"/>
      <c r="U229" s="2"/>
      <c r="V229" s="2"/>
      <c r="W229" s="2"/>
      <c r="X229" s="2"/>
      <c r="Y229" s="2"/>
      <c r="Z229" s="2"/>
    </row>
    <row r="230" spans="1:26" ht="13.8" x14ac:dyDescent="0.3">
      <c r="A230" s="2"/>
      <c r="B230" s="2"/>
      <c r="C230" s="10"/>
      <c r="D230" s="10"/>
      <c r="E230" s="10"/>
      <c r="F230" s="10"/>
      <c r="G230" s="69"/>
      <c r="H230" s="69"/>
      <c r="I230" s="69"/>
      <c r="J230" s="70"/>
      <c r="K230" s="69"/>
      <c r="L230" s="69"/>
      <c r="M230" s="69"/>
      <c r="N230" s="69"/>
      <c r="O230" s="2"/>
      <c r="P230" s="2"/>
      <c r="Q230" s="32"/>
      <c r="R230" s="32"/>
      <c r="S230" s="32"/>
      <c r="T230" s="32"/>
      <c r="U230" s="2"/>
      <c r="V230" s="2"/>
      <c r="W230" s="2"/>
      <c r="X230" s="2"/>
      <c r="Y230" s="2"/>
      <c r="Z230" s="2"/>
    </row>
    <row r="231" spans="1:26" ht="13.8" x14ac:dyDescent="0.3">
      <c r="A231" s="2"/>
      <c r="B231" s="2"/>
      <c r="C231" s="10"/>
      <c r="D231" s="10"/>
      <c r="E231" s="10"/>
      <c r="F231" s="10"/>
      <c r="G231" s="69"/>
      <c r="H231" s="69"/>
      <c r="I231" s="69"/>
      <c r="J231" s="70"/>
      <c r="K231" s="69"/>
      <c r="L231" s="69"/>
      <c r="M231" s="69"/>
      <c r="N231" s="69"/>
      <c r="O231" s="2"/>
      <c r="P231" s="2"/>
      <c r="Q231" s="32"/>
      <c r="R231" s="32"/>
      <c r="S231" s="32"/>
      <c r="T231" s="32"/>
      <c r="U231" s="2"/>
      <c r="V231" s="2"/>
      <c r="W231" s="2"/>
      <c r="X231" s="2"/>
      <c r="Y231" s="2"/>
      <c r="Z231" s="2"/>
    </row>
    <row r="232" spans="1:26" ht="13.8" x14ac:dyDescent="0.3">
      <c r="A232" s="2"/>
      <c r="B232" s="2"/>
      <c r="C232" s="10"/>
      <c r="D232" s="10"/>
      <c r="E232" s="10"/>
      <c r="F232" s="10"/>
      <c r="G232" s="69"/>
      <c r="H232" s="69"/>
      <c r="I232" s="69"/>
      <c r="J232" s="70"/>
      <c r="K232" s="69"/>
      <c r="L232" s="69"/>
      <c r="M232" s="69"/>
      <c r="N232" s="69"/>
      <c r="O232" s="2"/>
      <c r="P232" s="2"/>
      <c r="Q232" s="32"/>
      <c r="R232" s="32"/>
      <c r="S232" s="32"/>
      <c r="T232" s="3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2"/>
      <c r="C233" s="10"/>
      <c r="D233" s="10"/>
      <c r="E233" s="10"/>
      <c r="F233" s="10"/>
      <c r="G233" s="69"/>
      <c r="H233" s="69"/>
      <c r="I233" s="69"/>
      <c r="J233" s="70"/>
      <c r="K233" s="69"/>
      <c r="L233" s="69"/>
      <c r="M233" s="69"/>
      <c r="N233" s="69"/>
      <c r="O233" s="2"/>
      <c r="P233" s="2"/>
      <c r="Q233" s="32"/>
      <c r="R233" s="32"/>
      <c r="S233" s="32"/>
      <c r="T233" s="3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10"/>
      <c r="F234" s="10"/>
      <c r="G234" s="69"/>
      <c r="H234" s="69"/>
      <c r="I234" s="69"/>
      <c r="J234" s="70"/>
      <c r="K234" s="69"/>
      <c r="L234" s="69"/>
      <c r="M234" s="69"/>
      <c r="N234" s="69"/>
      <c r="O234" s="2"/>
      <c r="P234" s="2"/>
      <c r="Q234" s="32"/>
      <c r="R234" s="32"/>
      <c r="S234" s="32"/>
      <c r="T234" s="3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"/>
      <c r="C235" s="10"/>
      <c r="D235" s="10"/>
      <c r="E235" s="10"/>
      <c r="F235" s="10"/>
      <c r="G235" s="69"/>
      <c r="H235" s="69"/>
      <c r="I235" s="69"/>
      <c r="J235" s="70"/>
      <c r="K235" s="69"/>
      <c r="L235" s="69"/>
      <c r="M235" s="69"/>
      <c r="N235" s="69"/>
      <c r="O235" s="2"/>
      <c r="P235" s="2"/>
      <c r="Q235" s="32"/>
      <c r="R235" s="32"/>
      <c r="S235" s="32"/>
      <c r="T235" s="3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2"/>
      <c r="C236" s="10"/>
      <c r="D236" s="10"/>
      <c r="E236" s="10"/>
      <c r="F236" s="10"/>
      <c r="G236" s="69"/>
      <c r="H236" s="69"/>
      <c r="I236" s="69"/>
      <c r="J236" s="70"/>
      <c r="K236" s="69"/>
      <c r="L236" s="69"/>
      <c r="M236" s="69"/>
      <c r="N236" s="69"/>
      <c r="O236" s="2"/>
      <c r="P236" s="2"/>
      <c r="Q236" s="32"/>
      <c r="R236" s="32"/>
      <c r="S236" s="32"/>
      <c r="T236" s="3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2"/>
      <c r="C237" s="10"/>
      <c r="D237" s="10"/>
      <c r="E237" s="10"/>
      <c r="F237" s="10"/>
      <c r="G237" s="69"/>
      <c r="H237" s="69"/>
      <c r="I237" s="69"/>
      <c r="J237" s="70"/>
      <c r="K237" s="69"/>
      <c r="L237" s="69"/>
      <c r="M237" s="69"/>
      <c r="N237" s="69"/>
      <c r="O237" s="2"/>
      <c r="P237" s="2"/>
      <c r="Q237" s="32"/>
      <c r="R237" s="32"/>
      <c r="S237" s="32"/>
      <c r="T237" s="3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2"/>
      <c r="C238" s="10"/>
      <c r="D238" s="10"/>
      <c r="E238" s="10"/>
      <c r="F238" s="10"/>
      <c r="G238" s="69"/>
      <c r="H238" s="69"/>
      <c r="I238" s="69"/>
      <c r="J238" s="70"/>
      <c r="K238" s="69"/>
      <c r="L238" s="69"/>
      <c r="M238" s="69"/>
      <c r="N238" s="69"/>
      <c r="O238" s="2"/>
      <c r="P238" s="2"/>
      <c r="Q238" s="32"/>
      <c r="R238" s="32"/>
      <c r="S238" s="32"/>
      <c r="T238" s="3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10"/>
      <c r="F239" s="10"/>
      <c r="G239" s="69"/>
      <c r="H239" s="69"/>
      <c r="I239" s="69"/>
      <c r="J239" s="70"/>
      <c r="K239" s="69"/>
      <c r="L239" s="69"/>
      <c r="M239" s="69"/>
      <c r="N239" s="69"/>
      <c r="O239" s="2"/>
      <c r="P239" s="2"/>
      <c r="Q239" s="32"/>
      <c r="R239" s="32"/>
      <c r="S239" s="32"/>
      <c r="T239" s="32"/>
      <c r="U239" s="2"/>
      <c r="V239" s="2"/>
      <c r="W239" s="2"/>
      <c r="X239" s="2"/>
      <c r="Y239" s="2"/>
      <c r="Z239" s="2"/>
    </row>
    <row r="240" spans="1:26" ht="13.8" x14ac:dyDescent="0.3">
      <c r="A240" s="2"/>
      <c r="B240" s="2"/>
      <c r="C240" s="10"/>
      <c r="D240" s="10"/>
      <c r="E240" s="10"/>
      <c r="F240" s="10"/>
      <c r="G240" s="69"/>
      <c r="H240" s="69"/>
      <c r="I240" s="69"/>
      <c r="J240" s="70"/>
      <c r="K240" s="69"/>
      <c r="L240" s="69"/>
      <c r="M240" s="69"/>
      <c r="N240" s="69"/>
      <c r="O240" s="2"/>
      <c r="P240" s="2"/>
      <c r="Q240" s="32"/>
      <c r="R240" s="32"/>
      <c r="S240" s="32"/>
      <c r="T240" s="32"/>
      <c r="U240" s="2"/>
      <c r="V240" s="2"/>
      <c r="W240" s="2"/>
      <c r="X240" s="2"/>
      <c r="Y240" s="2"/>
      <c r="Z240" s="2"/>
    </row>
    <row r="241" spans="1:26" ht="13.8" x14ac:dyDescent="0.3">
      <c r="A241" s="2"/>
      <c r="B241" s="2"/>
      <c r="C241" s="10"/>
      <c r="D241" s="10"/>
      <c r="E241" s="10"/>
      <c r="F241" s="10"/>
      <c r="G241" s="69"/>
      <c r="H241" s="69"/>
      <c r="I241" s="69"/>
      <c r="J241" s="70"/>
      <c r="K241" s="69"/>
      <c r="L241" s="69"/>
      <c r="M241" s="69"/>
      <c r="N241" s="69"/>
      <c r="O241" s="2"/>
      <c r="P241" s="2"/>
      <c r="Q241" s="32"/>
      <c r="R241" s="32"/>
      <c r="S241" s="32"/>
      <c r="T241" s="32"/>
      <c r="U241" s="2"/>
      <c r="V241" s="2"/>
      <c r="W241" s="2"/>
      <c r="X241" s="2"/>
      <c r="Y241" s="2"/>
      <c r="Z241" s="2"/>
    </row>
    <row r="242" spans="1:26" ht="13.8" x14ac:dyDescent="0.3">
      <c r="A242" s="2"/>
      <c r="B242" s="2"/>
      <c r="C242" s="10"/>
      <c r="D242" s="10"/>
      <c r="E242" s="10"/>
      <c r="F242" s="10"/>
      <c r="G242" s="69"/>
      <c r="H242" s="69"/>
      <c r="I242" s="69"/>
      <c r="J242" s="70"/>
      <c r="K242" s="69"/>
      <c r="L242" s="69"/>
      <c r="M242" s="69"/>
      <c r="N242" s="69"/>
      <c r="O242" s="2"/>
      <c r="P242" s="2"/>
      <c r="Q242" s="32"/>
      <c r="R242" s="32"/>
      <c r="S242" s="32"/>
      <c r="T242" s="3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2"/>
      <c r="C243" s="10"/>
      <c r="D243" s="10"/>
      <c r="E243" s="10"/>
      <c r="F243" s="10"/>
      <c r="G243" s="69"/>
      <c r="H243" s="69"/>
      <c r="I243" s="69"/>
      <c r="J243" s="70"/>
      <c r="K243" s="69"/>
      <c r="L243" s="69"/>
      <c r="M243" s="69"/>
      <c r="N243" s="69"/>
      <c r="O243" s="2"/>
      <c r="P243" s="2"/>
      <c r="Q243" s="32"/>
      <c r="R243" s="32"/>
      <c r="S243" s="32"/>
      <c r="T243" s="3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2"/>
      <c r="C244" s="10"/>
      <c r="D244" s="10"/>
      <c r="E244" s="10"/>
      <c r="F244" s="10"/>
      <c r="G244" s="69"/>
      <c r="H244" s="69"/>
      <c r="I244" s="69"/>
      <c r="J244" s="70"/>
      <c r="K244" s="69"/>
      <c r="L244" s="69"/>
      <c r="M244" s="69"/>
      <c r="N244" s="69"/>
      <c r="O244" s="2"/>
      <c r="P244" s="2"/>
      <c r="Q244" s="32"/>
      <c r="R244" s="32"/>
      <c r="S244" s="32"/>
      <c r="T244" s="3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2"/>
      <c r="C245" s="10"/>
      <c r="D245" s="10"/>
      <c r="E245" s="10"/>
      <c r="F245" s="10"/>
      <c r="G245" s="69"/>
      <c r="H245" s="69"/>
      <c r="I245" s="69"/>
      <c r="J245" s="70"/>
      <c r="K245" s="69"/>
      <c r="L245" s="69"/>
      <c r="M245" s="69"/>
      <c r="N245" s="69"/>
      <c r="O245" s="2"/>
      <c r="P245" s="2"/>
      <c r="Q245" s="32"/>
      <c r="R245" s="32"/>
      <c r="S245" s="32"/>
      <c r="T245" s="3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2"/>
      <c r="C246" s="10"/>
      <c r="D246" s="10"/>
      <c r="E246" s="10"/>
      <c r="F246" s="10"/>
      <c r="G246" s="69"/>
      <c r="H246" s="69"/>
      <c r="I246" s="69"/>
      <c r="J246" s="70"/>
      <c r="K246" s="69"/>
      <c r="L246" s="69"/>
      <c r="M246" s="69"/>
      <c r="N246" s="69"/>
      <c r="O246" s="2"/>
      <c r="P246" s="2"/>
      <c r="Q246" s="32"/>
      <c r="R246" s="32"/>
      <c r="S246" s="32"/>
      <c r="T246" s="3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10"/>
      <c r="F247" s="10"/>
      <c r="G247" s="69"/>
      <c r="H247" s="69"/>
      <c r="I247" s="69"/>
      <c r="J247" s="70"/>
      <c r="K247" s="69"/>
      <c r="L247" s="69"/>
      <c r="M247" s="69"/>
      <c r="N247" s="69"/>
      <c r="O247" s="2"/>
      <c r="P247" s="2"/>
      <c r="Q247" s="32"/>
      <c r="R247" s="32"/>
      <c r="S247" s="32"/>
      <c r="T247" s="32"/>
      <c r="U247" s="2"/>
      <c r="V247" s="2"/>
      <c r="W247" s="2"/>
      <c r="X247" s="2"/>
      <c r="Y247" s="2"/>
      <c r="Z247" s="2"/>
    </row>
    <row r="248" spans="1:26" ht="13.8" x14ac:dyDescent="0.3">
      <c r="A248" s="2"/>
      <c r="B248" s="2"/>
      <c r="C248" s="10"/>
      <c r="D248" s="10"/>
      <c r="E248" s="10"/>
      <c r="F248" s="10"/>
      <c r="G248" s="69"/>
      <c r="H248" s="69"/>
      <c r="I248" s="69"/>
      <c r="J248" s="70"/>
      <c r="K248" s="69"/>
      <c r="L248" s="69"/>
      <c r="M248" s="69"/>
      <c r="N248" s="69"/>
      <c r="O248" s="2"/>
      <c r="P248" s="2"/>
      <c r="Q248" s="32"/>
      <c r="R248" s="32"/>
      <c r="S248" s="32"/>
      <c r="T248" s="32"/>
      <c r="U248" s="2"/>
      <c r="V248" s="2"/>
      <c r="W248" s="2"/>
      <c r="X248" s="2"/>
      <c r="Y248" s="2"/>
      <c r="Z248" s="2"/>
    </row>
    <row r="249" spans="1:26" ht="13.8" x14ac:dyDescent="0.3">
      <c r="A249" s="2"/>
      <c r="B249" s="2"/>
      <c r="C249" s="10"/>
      <c r="D249" s="10"/>
      <c r="E249" s="10"/>
      <c r="F249" s="10"/>
      <c r="G249" s="69"/>
      <c r="H249" s="69"/>
      <c r="I249" s="69"/>
      <c r="J249" s="70"/>
      <c r="K249" s="69"/>
      <c r="L249" s="69"/>
      <c r="M249" s="69"/>
      <c r="N249" s="69"/>
      <c r="O249" s="2"/>
      <c r="P249" s="2"/>
      <c r="Q249" s="32"/>
      <c r="R249" s="32"/>
      <c r="S249" s="32"/>
      <c r="T249" s="32"/>
      <c r="U249" s="2"/>
      <c r="V249" s="2"/>
      <c r="W249" s="2"/>
      <c r="X249" s="2"/>
      <c r="Y249" s="2"/>
      <c r="Z249" s="2"/>
    </row>
    <row r="250" spans="1:26" ht="13.8" x14ac:dyDescent="0.3">
      <c r="A250" s="2"/>
      <c r="B250" s="2"/>
      <c r="C250" s="10"/>
      <c r="D250" s="10"/>
      <c r="E250" s="10"/>
      <c r="F250" s="10"/>
      <c r="G250" s="69"/>
      <c r="H250" s="69"/>
      <c r="I250" s="69"/>
      <c r="J250" s="70"/>
      <c r="K250" s="69"/>
      <c r="L250" s="69"/>
      <c r="M250" s="69"/>
      <c r="N250" s="69"/>
      <c r="O250" s="2"/>
      <c r="P250" s="2"/>
      <c r="Q250" s="32"/>
      <c r="R250" s="32"/>
      <c r="S250" s="32"/>
      <c r="T250" s="3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2"/>
      <c r="C251" s="10"/>
      <c r="D251" s="10"/>
      <c r="E251" s="10"/>
      <c r="F251" s="10"/>
      <c r="G251" s="69"/>
      <c r="H251" s="69"/>
      <c r="I251" s="69"/>
      <c r="J251" s="70"/>
      <c r="K251" s="69"/>
      <c r="L251" s="69"/>
      <c r="M251" s="69"/>
      <c r="N251" s="69"/>
      <c r="O251" s="2"/>
      <c r="P251" s="2"/>
      <c r="Q251" s="32"/>
      <c r="R251" s="32"/>
      <c r="S251" s="32"/>
      <c r="T251" s="3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10"/>
      <c r="F252" s="10"/>
      <c r="G252" s="69"/>
      <c r="H252" s="69"/>
      <c r="I252" s="69"/>
      <c r="J252" s="70"/>
      <c r="K252" s="69"/>
      <c r="L252" s="69"/>
      <c r="M252" s="69"/>
      <c r="N252" s="69"/>
      <c r="O252" s="2"/>
      <c r="P252" s="2"/>
      <c r="Q252" s="32"/>
      <c r="R252" s="32"/>
      <c r="S252" s="32"/>
      <c r="T252" s="32"/>
      <c r="U252" s="2"/>
      <c r="V252" s="2"/>
      <c r="W252" s="2"/>
      <c r="X252" s="2"/>
      <c r="Y252" s="2"/>
      <c r="Z252" s="2"/>
    </row>
    <row r="253" spans="1:26" ht="13.8" x14ac:dyDescent="0.3">
      <c r="A253" s="2"/>
      <c r="B253" s="2"/>
      <c r="C253" s="10"/>
      <c r="D253" s="10"/>
      <c r="E253" s="10"/>
      <c r="F253" s="10"/>
      <c r="G253" s="69"/>
      <c r="H253" s="69"/>
      <c r="I253" s="69"/>
      <c r="J253" s="70"/>
      <c r="K253" s="69"/>
      <c r="L253" s="69"/>
      <c r="M253" s="69"/>
      <c r="N253" s="69"/>
      <c r="O253" s="2"/>
      <c r="P253" s="2"/>
      <c r="Q253" s="32"/>
      <c r="R253" s="32"/>
      <c r="S253" s="32"/>
      <c r="T253" s="32"/>
      <c r="U253" s="2"/>
      <c r="V253" s="2"/>
      <c r="W253" s="2"/>
      <c r="X253" s="2"/>
      <c r="Y253" s="2"/>
      <c r="Z253" s="2"/>
    </row>
    <row r="254" spans="1:26" ht="13.8" x14ac:dyDescent="0.3">
      <c r="A254" s="2"/>
      <c r="B254" s="2"/>
      <c r="C254" s="10"/>
      <c r="D254" s="10"/>
      <c r="E254" s="10"/>
      <c r="F254" s="10"/>
      <c r="G254" s="69"/>
      <c r="H254" s="69"/>
      <c r="I254" s="69"/>
      <c r="J254" s="70"/>
      <c r="K254" s="69"/>
      <c r="L254" s="69"/>
      <c r="M254" s="69"/>
      <c r="N254" s="69"/>
      <c r="O254" s="2"/>
      <c r="P254" s="2"/>
      <c r="Q254" s="32"/>
      <c r="R254" s="32"/>
      <c r="S254" s="32"/>
      <c r="T254" s="32"/>
      <c r="U254" s="2"/>
      <c r="V254" s="2"/>
      <c r="W254" s="2"/>
      <c r="X254" s="2"/>
      <c r="Y254" s="2"/>
      <c r="Z254" s="2"/>
    </row>
    <row r="255" spans="1:26" ht="13.8" x14ac:dyDescent="0.3">
      <c r="A255" s="2"/>
      <c r="B255" s="2"/>
      <c r="C255" s="10"/>
      <c r="D255" s="10"/>
      <c r="E255" s="10"/>
      <c r="F255" s="10"/>
      <c r="G255" s="69"/>
      <c r="H255" s="69"/>
      <c r="I255" s="69"/>
      <c r="J255" s="70"/>
      <c r="K255" s="69"/>
      <c r="L255" s="69"/>
      <c r="M255" s="69"/>
      <c r="N255" s="69"/>
      <c r="O255" s="2"/>
      <c r="P255" s="2"/>
      <c r="Q255" s="32"/>
      <c r="R255" s="32"/>
      <c r="S255" s="32"/>
      <c r="T255" s="3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2"/>
      <c r="C256" s="10"/>
      <c r="D256" s="10"/>
      <c r="E256" s="10"/>
      <c r="F256" s="10"/>
      <c r="G256" s="69"/>
      <c r="H256" s="69"/>
      <c r="I256" s="69"/>
      <c r="J256" s="70"/>
      <c r="K256" s="69"/>
      <c r="L256" s="69"/>
      <c r="M256" s="69"/>
      <c r="N256" s="69"/>
      <c r="O256" s="2"/>
      <c r="P256" s="2"/>
      <c r="Q256" s="32"/>
      <c r="R256" s="32"/>
      <c r="S256" s="32"/>
      <c r="T256" s="3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2"/>
      <c r="C257" s="10"/>
      <c r="D257" s="10"/>
      <c r="E257" s="10"/>
      <c r="F257" s="10"/>
      <c r="G257" s="69"/>
      <c r="H257" s="69"/>
      <c r="I257" s="69"/>
      <c r="J257" s="70"/>
      <c r="K257" s="69"/>
      <c r="L257" s="69"/>
      <c r="M257" s="69"/>
      <c r="N257" s="69"/>
      <c r="O257" s="2"/>
      <c r="P257" s="2"/>
      <c r="Q257" s="32"/>
      <c r="R257" s="32"/>
      <c r="S257" s="32"/>
      <c r="T257" s="3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2"/>
      <c r="C258" s="10"/>
      <c r="D258" s="10"/>
      <c r="E258" s="10"/>
      <c r="F258" s="10"/>
      <c r="G258" s="69"/>
      <c r="H258" s="69"/>
      <c r="I258" s="69"/>
      <c r="J258" s="70"/>
      <c r="K258" s="69"/>
      <c r="L258" s="69"/>
      <c r="M258" s="69"/>
      <c r="N258" s="69"/>
      <c r="O258" s="2"/>
      <c r="P258" s="2"/>
      <c r="Q258" s="32"/>
      <c r="R258" s="32"/>
      <c r="S258" s="32"/>
      <c r="T258" s="3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2"/>
      <c r="C259" s="10"/>
      <c r="D259" s="10"/>
      <c r="E259" s="10"/>
      <c r="F259" s="10"/>
      <c r="G259" s="69"/>
      <c r="H259" s="69"/>
      <c r="I259" s="69"/>
      <c r="J259" s="70"/>
      <c r="K259" s="69"/>
      <c r="L259" s="69"/>
      <c r="M259" s="69"/>
      <c r="N259" s="69"/>
      <c r="O259" s="2"/>
      <c r="P259" s="2"/>
      <c r="Q259" s="32"/>
      <c r="R259" s="32"/>
      <c r="S259" s="32"/>
      <c r="T259" s="3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2"/>
      <c r="C260" s="10"/>
      <c r="D260" s="10"/>
      <c r="E260" s="10"/>
      <c r="F260" s="10"/>
      <c r="G260" s="69"/>
      <c r="H260" s="69"/>
      <c r="I260" s="69"/>
      <c r="J260" s="70"/>
      <c r="K260" s="69"/>
      <c r="L260" s="69"/>
      <c r="M260" s="69"/>
      <c r="N260" s="69"/>
      <c r="O260" s="2"/>
      <c r="P260" s="2"/>
      <c r="Q260" s="32"/>
      <c r="R260" s="32"/>
      <c r="S260" s="32"/>
      <c r="T260" s="3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2"/>
      <c r="C261" s="10"/>
      <c r="D261" s="10"/>
      <c r="E261" s="10"/>
      <c r="F261" s="10"/>
      <c r="G261" s="69"/>
      <c r="H261" s="69"/>
      <c r="I261" s="69"/>
      <c r="J261" s="70"/>
      <c r="K261" s="69"/>
      <c r="L261" s="69"/>
      <c r="M261" s="69"/>
      <c r="N261" s="69"/>
      <c r="O261" s="2"/>
      <c r="P261" s="2"/>
      <c r="Q261" s="32"/>
      <c r="R261" s="32"/>
      <c r="S261" s="32"/>
      <c r="T261" s="3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2"/>
      <c r="C262" s="10"/>
      <c r="D262" s="10"/>
      <c r="E262" s="10"/>
      <c r="F262" s="10"/>
      <c r="G262" s="69"/>
      <c r="H262" s="69"/>
      <c r="I262" s="69"/>
      <c r="J262" s="70"/>
      <c r="K262" s="69"/>
      <c r="L262" s="69"/>
      <c r="M262" s="69"/>
      <c r="N262" s="69"/>
      <c r="O262" s="2"/>
      <c r="P262" s="2"/>
      <c r="Q262" s="32"/>
      <c r="R262" s="32"/>
      <c r="S262" s="32"/>
      <c r="T262" s="3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2"/>
      <c r="C263" s="10"/>
      <c r="D263" s="10"/>
      <c r="E263" s="10"/>
      <c r="F263" s="10"/>
      <c r="G263" s="69"/>
      <c r="H263" s="69"/>
      <c r="I263" s="69"/>
      <c r="J263" s="70"/>
      <c r="K263" s="69"/>
      <c r="L263" s="69"/>
      <c r="M263" s="69"/>
      <c r="N263" s="69"/>
      <c r="O263" s="2"/>
      <c r="P263" s="2"/>
      <c r="Q263" s="32"/>
      <c r="R263" s="32"/>
      <c r="S263" s="32"/>
      <c r="T263" s="3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2"/>
      <c r="C264" s="10"/>
      <c r="D264" s="10"/>
      <c r="E264" s="10"/>
      <c r="F264" s="10"/>
      <c r="G264" s="69"/>
      <c r="H264" s="69"/>
      <c r="I264" s="69"/>
      <c r="J264" s="70"/>
      <c r="K264" s="69"/>
      <c r="L264" s="69"/>
      <c r="M264" s="69"/>
      <c r="N264" s="69"/>
      <c r="O264" s="2"/>
      <c r="P264" s="2"/>
      <c r="Q264" s="32"/>
      <c r="R264" s="32"/>
      <c r="S264" s="32"/>
      <c r="T264" s="3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2"/>
      <c r="C265" s="10"/>
      <c r="D265" s="10"/>
      <c r="E265" s="10"/>
      <c r="F265" s="10"/>
      <c r="G265" s="69"/>
      <c r="H265" s="69"/>
      <c r="I265" s="69"/>
      <c r="J265" s="70"/>
      <c r="K265" s="69"/>
      <c r="L265" s="69"/>
      <c r="M265" s="69"/>
      <c r="N265" s="69"/>
      <c r="O265" s="2"/>
      <c r="P265" s="2"/>
      <c r="Q265" s="32"/>
      <c r="R265" s="32"/>
      <c r="S265" s="32"/>
      <c r="T265" s="3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2"/>
      <c r="C266" s="10"/>
      <c r="D266" s="10"/>
      <c r="E266" s="10"/>
      <c r="F266" s="10"/>
      <c r="G266" s="69"/>
      <c r="H266" s="69"/>
      <c r="I266" s="69"/>
      <c r="J266" s="70"/>
      <c r="K266" s="69"/>
      <c r="L266" s="69"/>
      <c r="M266" s="69"/>
      <c r="N266" s="69"/>
      <c r="O266" s="2"/>
      <c r="P266" s="2"/>
      <c r="Q266" s="32"/>
      <c r="R266" s="32"/>
      <c r="S266" s="32"/>
      <c r="T266" s="3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2"/>
      <c r="C267" s="10"/>
      <c r="D267" s="10"/>
      <c r="E267" s="10"/>
      <c r="F267" s="10"/>
      <c r="G267" s="69"/>
      <c r="H267" s="69"/>
      <c r="I267" s="69"/>
      <c r="J267" s="70"/>
      <c r="K267" s="69"/>
      <c r="L267" s="69"/>
      <c r="M267" s="69"/>
      <c r="N267" s="69"/>
      <c r="O267" s="2"/>
      <c r="P267" s="2"/>
      <c r="Q267" s="32"/>
      <c r="R267" s="32"/>
      <c r="S267" s="32"/>
      <c r="T267" s="3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2"/>
      <c r="C268" s="10"/>
      <c r="D268" s="10"/>
      <c r="E268" s="10"/>
      <c r="F268" s="10"/>
      <c r="G268" s="69"/>
      <c r="H268" s="69"/>
      <c r="I268" s="69"/>
      <c r="J268" s="70"/>
      <c r="K268" s="69"/>
      <c r="L268" s="69"/>
      <c r="M268" s="69"/>
      <c r="N268" s="69"/>
      <c r="O268" s="2"/>
      <c r="P268" s="2"/>
      <c r="Q268" s="32"/>
      <c r="R268" s="32"/>
      <c r="S268" s="32"/>
      <c r="T268" s="3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2"/>
      <c r="C269" s="10"/>
      <c r="D269" s="10"/>
      <c r="E269" s="10"/>
      <c r="F269" s="10"/>
      <c r="G269" s="69"/>
      <c r="H269" s="69"/>
      <c r="I269" s="69"/>
      <c r="J269" s="70"/>
      <c r="K269" s="69"/>
      <c r="L269" s="69"/>
      <c r="M269" s="69"/>
      <c r="N269" s="69"/>
      <c r="O269" s="2"/>
      <c r="P269" s="2"/>
      <c r="Q269" s="32"/>
      <c r="R269" s="32"/>
      <c r="S269" s="32"/>
      <c r="T269" s="3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2"/>
      <c r="C270" s="10"/>
      <c r="D270" s="10"/>
      <c r="E270" s="10"/>
      <c r="F270" s="10"/>
      <c r="G270" s="69"/>
      <c r="H270" s="69"/>
      <c r="I270" s="69"/>
      <c r="J270" s="70"/>
      <c r="K270" s="69"/>
      <c r="L270" s="69"/>
      <c r="M270" s="69"/>
      <c r="N270" s="69"/>
      <c r="O270" s="2"/>
      <c r="P270" s="2"/>
      <c r="Q270" s="32"/>
      <c r="R270" s="32"/>
      <c r="S270" s="32"/>
      <c r="T270" s="3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2"/>
      <c r="C271" s="10"/>
      <c r="D271" s="10"/>
      <c r="E271" s="10"/>
      <c r="F271" s="10"/>
      <c r="G271" s="69"/>
      <c r="H271" s="69"/>
      <c r="I271" s="69"/>
      <c r="J271" s="70"/>
      <c r="K271" s="69"/>
      <c r="L271" s="69"/>
      <c r="M271" s="69"/>
      <c r="N271" s="69"/>
      <c r="O271" s="2"/>
      <c r="P271" s="2"/>
      <c r="Q271" s="32"/>
      <c r="R271" s="32"/>
      <c r="S271" s="32"/>
      <c r="T271" s="3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2"/>
      <c r="C272" s="10"/>
      <c r="D272" s="10"/>
      <c r="E272" s="10"/>
      <c r="F272" s="10"/>
      <c r="G272" s="69"/>
      <c r="H272" s="69"/>
      <c r="I272" s="69"/>
      <c r="J272" s="70"/>
      <c r="K272" s="69"/>
      <c r="L272" s="69"/>
      <c r="M272" s="69"/>
      <c r="N272" s="69"/>
      <c r="O272" s="2"/>
      <c r="P272" s="2"/>
      <c r="Q272" s="32"/>
      <c r="R272" s="32"/>
      <c r="S272" s="32"/>
      <c r="T272" s="3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2"/>
      <c r="C273" s="10"/>
      <c r="D273" s="10"/>
      <c r="E273" s="10"/>
      <c r="F273" s="10"/>
      <c r="G273" s="69"/>
      <c r="H273" s="69"/>
      <c r="I273" s="69"/>
      <c r="J273" s="70"/>
      <c r="K273" s="69"/>
      <c r="L273" s="69"/>
      <c r="M273" s="69"/>
      <c r="N273" s="69"/>
      <c r="O273" s="2"/>
      <c r="P273" s="2"/>
      <c r="Q273" s="32"/>
      <c r="R273" s="32"/>
      <c r="S273" s="32"/>
      <c r="T273" s="3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2"/>
      <c r="C274" s="10"/>
      <c r="D274" s="10"/>
      <c r="E274" s="10"/>
      <c r="F274" s="10"/>
      <c r="G274" s="69"/>
      <c r="H274" s="69"/>
      <c r="I274" s="69"/>
      <c r="J274" s="70"/>
      <c r="K274" s="69"/>
      <c r="L274" s="69"/>
      <c r="M274" s="69"/>
      <c r="N274" s="69"/>
      <c r="O274" s="2"/>
      <c r="P274" s="2"/>
      <c r="Q274" s="32"/>
      <c r="R274" s="32"/>
      <c r="S274" s="32"/>
      <c r="T274" s="3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2"/>
      <c r="C275" s="10"/>
      <c r="D275" s="10"/>
      <c r="E275" s="10"/>
      <c r="F275" s="10"/>
      <c r="G275" s="69"/>
      <c r="H275" s="69"/>
      <c r="I275" s="69"/>
      <c r="J275" s="70"/>
      <c r="K275" s="69"/>
      <c r="L275" s="69"/>
      <c r="M275" s="69"/>
      <c r="N275" s="69"/>
      <c r="O275" s="2"/>
      <c r="P275" s="2"/>
      <c r="Q275" s="32"/>
      <c r="R275" s="32"/>
      <c r="S275" s="32"/>
      <c r="T275" s="3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2"/>
      <c r="C276" s="10"/>
      <c r="D276" s="10"/>
      <c r="E276" s="10"/>
      <c r="F276" s="10"/>
      <c r="G276" s="69"/>
      <c r="H276" s="69"/>
      <c r="I276" s="69"/>
      <c r="J276" s="70"/>
      <c r="K276" s="69"/>
      <c r="L276" s="69"/>
      <c r="M276" s="69"/>
      <c r="N276" s="69"/>
      <c r="O276" s="2"/>
      <c r="P276" s="2"/>
      <c r="Q276" s="32"/>
      <c r="R276" s="32"/>
      <c r="S276" s="32"/>
      <c r="T276" s="3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2"/>
      <c r="C277" s="10"/>
      <c r="D277" s="10"/>
      <c r="E277" s="10"/>
      <c r="F277" s="10"/>
      <c r="G277" s="69"/>
      <c r="H277" s="69"/>
      <c r="I277" s="69"/>
      <c r="J277" s="70"/>
      <c r="K277" s="69"/>
      <c r="L277" s="69"/>
      <c r="M277" s="69"/>
      <c r="N277" s="69"/>
      <c r="O277" s="2"/>
      <c r="P277" s="2"/>
      <c r="Q277" s="32"/>
      <c r="R277" s="32"/>
      <c r="S277" s="32"/>
      <c r="T277" s="3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2"/>
      <c r="C278" s="10"/>
      <c r="D278" s="10"/>
      <c r="E278" s="10"/>
      <c r="F278" s="10"/>
      <c r="G278" s="69"/>
      <c r="H278" s="69"/>
      <c r="I278" s="69"/>
      <c r="J278" s="70"/>
      <c r="K278" s="69"/>
      <c r="L278" s="69"/>
      <c r="M278" s="69"/>
      <c r="N278" s="69"/>
      <c r="O278" s="2"/>
      <c r="P278" s="2"/>
      <c r="Q278" s="32"/>
      <c r="R278" s="32"/>
      <c r="S278" s="32"/>
      <c r="T278" s="3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2"/>
      <c r="C279" s="10"/>
      <c r="D279" s="10"/>
      <c r="E279" s="10"/>
      <c r="F279" s="10"/>
      <c r="G279" s="69"/>
      <c r="H279" s="69"/>
      <c r="I279" s="69"/>
      <c r="J279" s="70"/>
      <c r="K279" s="69"/>
      <c r="L279" s="69"/>
      <c r="M279" s="69"/>
      <c r="N279" s="69"/>
      <c r="O279" s="2"/>
      <c r="P279" s="2"/>
      <c r="Q279" s="32"/>
      <c r="R279" s="32"/>
      <c r="S279" s="32"/>
      <c r="T279" s="3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2"/>
      <c r="C280" s="10"/>
      <c r="D280" s="10"/>
      <c r="E280" s="10"/>
      <c r="F280" s="10"/>
      <c r="G280" s="69"/>
      <c r="H280" s="69"/>
      <c r="I280" s="69"/>
      <c r="J280" s="70"/>
      <c r="K280" s="69"/>
      <c r="L280" s="69"/>
      <c r="M280" s="69"/>
      <c r="N280" s="69"/>
      <c r="O280" s="2"/>
      <c r="P280" s="2"/>
      <c r="Q280" s="32"/>
      <c r="R280" s="32"/>
      <c r="S280" s="32"/>
      <c r="T280" s="3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2"/>
      <c r="C281" s="10"/>
      <c r="D281" s="10"/>
      <c r="E281" s="10"/>
      <c r="F281" s="10"/>
      <c r="G281" s="69"/>
      <c r="H281" s="69"/>
      <c r="I281" s="69"/>
      <c r="J281" s="70"/>
      <c r="K281" s="69"/>
      <c r="L281" s="69"/>
      <c r="M281" s="69"/>
      <c r="N281" s="69"/>
      <c r="O281" s="2"/>
      <c r="P281" s="2"/>
      <c r="Q281" s="32"/>
      <c r="R281" s="32"/>
      <c r="S281" s="32"/>
      <c r="T281" s="3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2"/>
      <c r="C282" s="10"/>
      <c r="D282" s="10"/>
      <c r="E282" s="10"/>
      <c r="F282" s="10"/>
      <c r="G282" s="69"/>
      <c r="H282" s="69"/>
      <c r="I282" s="69"/>
      <c r="J282" s="70"/>
      <c r="K282" s="69"/>
      <c r="L282" s="69"/>
      <c r="M282" s="69"/>
      <c r="N282" s="69"/>
      <c r="O282" s="2"/>
      <c r="P282" s="2"/>
      <c r="Q282" s="32"/>
      <c r="R282" s="32"/>
      <c r="S282" s="32"/>
      <c r="T282" s="3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2"/>
      <c r="C283" s="10"/>
      <c r="D283" s="10"/>
      <c r="E283" s="10"/>
      <c r="F283" s="10"/>
      <c r="G283" s="69"/>
      <c r="H283" s="69"/>
      <c r="I283" s="69"/>
      <c r="J283" s="70"/>
      <c r="K283" s="69"/>
      <c r="L283" s="69"/>
      <c r="M283" s="69"/>
      <c r="N283" s="69"/>
      <c r="O283" s="2"/>
      <c r="P283" s="2"/>
      <c r="Q283" s="32"/>
      <c r="R283" s="32"/>
      <c r="S283" s="32"/>
      <c r="T283" s="3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2"/>
      <c r="C284" s="10"/>
      <c r="D284" s="10"/>
      <c r="E284" s="10"/>
      <c r="F284" s="10"/>
      <c r="G284" s="69"/>
      <c r="H284" s="69"/>
      <c r="I284" s="69"/>
      <c r="J284" s="70"/>
      <c r="K284" s="69"/>
      <c r="L284" s="69"/>
      <c r="M284" s="69"/>
      <c r="N284" s="69"/>
      <c r="O284" s="2"/>
      <c r="P284" s="2"/>
      <c r="Q284" s="32"/>
      <c r="R284" s="32"/>
      <c r="S284" s="32"/>
      <c r="T284" s="3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2"/>
      <c r="C285" s="10"/>
      <c r="D285" s="10"/>
      <c r="E285" s="10"/>
      <c r="F285" s="10"/>
      <c r="G285" s="69"/>
      <c r="H285" s="69"/>
      <c r="I285" s="69"/>
      <c r="J285" s="70"/>
      <c r="K285" s="69"/>
      <c r="L285" s="69"/>
      <c r="M285" s="69"/>
      <c r="N285" s="69"/>
      <c r="O285" s="2"/>
      <c r="P285" s="2"/>
      <c r="Q285" s="32"/>
      <c r="R285" s="32"/>
      <c r="S285" s="32"/>
      <c r="T285" s="3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2"/>
      <c r="C286" s="10"/>
      <c r="D286" s="10"/>
      <c r="E286" s="10"/>
      <c r="F286" s="10"/>
      <c r="G286" s="69"/>
      <c r="H286" s="69"/>
      <c r="I286" s="69"/>
      <c r="J286" s="70"/>
      <c r="K286" s="69"/>
      <c r="L286" s="69"/>
      <c r="M286" s="69"/>
      <c r="N286" s="69"/>
      <c r="O286" s="2"/>
      <c r="P286" s="2"/>
      <c r="Q286" s="32"/>
      <c r="R286" s="32"/>
      <c r="S286" s="32"/>
      <c r="T286" s="3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2"/>
      <c r="C287" s="10"/>
      <c r="D287" s="10"/>
      <c r="E287" s="10"/>
      <c r="F287" s="10"/>
      <c r="G287" s="69"/>
      <c r="H287" s="69"/>
      <c r="I287" s="69"/>
      <c r="J287" s="70"/>
      <c r="K287" s="69"/>
      <c r="L287" s="69"/>
      <c r="M287" s="69"/>
      <c r="N287" s="69"/>
      <c r="O287" s="2"/>
      <c r="P287" s="2"/>
      <c r="Q287" s="32"/>
      <c r="R287" s="32"/>
      <c r="S287" s="32"/>
      <c r="T287" s="3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2"/>
      <c r="C288" s="10"/>
      <c r="D288" s="10"/>
      <c r="E288" s="10"/>
      <c r="F288" s="10"/>
      <c r="G288" s="69"/>
      <c r="H288" s="69"/>
      <c r="I288" s="69"/>
      <c r="J288" s="70"/>
      <c r="K288" s="69"/>
      <c r="L288" s="69"/>
      <c r="M288" s="69"/>
      <c r="N288" s="69"/>
      <c r="O288" s="2"/>
      <c r="P288" s="2"/>
      <c r="Q288" s="32"/>
      <c r="R288" s="32"/>
      <c r="S288" s="32"/>
      <c r="T288" s="3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2"/>
      <c r="C289" s="10"/>
      <c r="D289" s="10"/>
      <c r="E289" s="10"/>
      <c r="F289" s="10"/>
      <c r="G289" s="69"/>
      <c r="H289" s="69"/>
      <c r="I289" s="69"/>
      <c r="J289" s="70"/>
      <c r="K289" s="69"/>
      <c r="L289" s="69"/>
      <c r="M289" s="69"/>
      <c r="N289" s="69"/>
      <c r="O289" s="2"/>
      <c r="P289" s="2"/>
      <c r="Q289" s="32"/>
      <c r="R289" s="32"/>
      <c r="S289" s="32"/>
      <c r="T289" s="3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2"/>
      <c r="C290" s="10"/>
      <c r="D290" s="10"/>
      <c r="E290" s="10"/>
      <c r="F290" s="10"/>
      <c r="G290" s="69"/>
      <c r="H290" s="69"/>
      <c r="I290" s="69"/>
      <c r="J290" s="70"/>
      <c r="K290" s="69"/>
      <c r="L290" s="69"/>
      <c r="M290" s="69"/>
      <c r="N290" s="69"/>
      <c r="O290" s="2"/>
      <c r="P290" s="2"/>
      <c r="Q290" s="32"/>
      <c r="R290" s="32"/>
      <c r="S290" s="32"/>
      <c r="T290" s="3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2"/>
      <c r="C291" s="10"/>
      <c r="D291" s="10"/>
      <c r="E291" s="10"/>
      <c r="F291" s="10"/>
      <c r="G291" s="69"/>
      <c r="H291" s="69"/>
      <c r="I291" s="69"/>
      <c r="J291" s="70"/>
      <c r="K291" s="69"/>
      <c r="L291" s="69"/>
      <c r="M291" s="69"/>
      <c r="N291" s="69"/>
      <c r="O291" s="2"/>
      <c r="P291" s="2"/>
      <c r="Q291" s="32"/>
      <c r="R291" s="32"/>
      <c r="S291" s="32"/>
      <c r="T291" s="3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2"/>
      <c r="C292" s="10"/>
      <c r="D292" s="10"/>
      <c r="E292" s="10"/>
      <c r="F292" s="10"/>
      <c r="G292" s="69"/>
      <c r="H292" s="69"/>
      <c r="I292" s="69"/>
      <c r="J292" s="70"/>
      <c r="K292" s="69"/>
      <c r="L292" s="69"/>
      <c r="M292" s="69"/>
      <c r="N292" s="69"/>
      <c r="O292" s="2"/>
      <c r="P292" s="2"/>
      <c r="Q292" s="32"/>
      <c r="R292" s="32"/>
      <c r="S292" s="32"/>
      <c r="T292" s="3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2"/>
      <c r="C293" s="10"/>
      <c r="D293" s="10"/>
      <c r="E293" s="10"/>
      <c r="F293" s="10"/>
      <c r="G293" s="69"/>
      <c r="H293" s="69"/>
      <c r="I293" s="69"/>
      <c r="J293" s="70"/>
      <c r="K293" s="69"/>
      <c r="L293" s="69"/>
      <c r="M293" s="69"/>
      <c r="N293" s="69"/>
      <c r="O293" s="2"/>
      <c r="P293" s="2"/>
      <c r="Q293" s="32"/>
      <c r="R293" s="32"/>
      <c r="S293" s="32"/>
      <c r="T293" s="3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2"/>
      <c r="C294" s="10"/>
      <c r="D294" s="10"/>
      <c r="E294" s="10"/>
      <c r="F294" s="10"/>
      <c r="G294" s="69"/>
      <c r="H294" s="69"/>
      <c r="I294" s="69"/>
      <c r="J294" s="70"/>
      <c r="K294" s="69"/>
      <c r="L294" s="69"/>
      <c r="M294" s="69"/>
      <c r="N294" s="69"/>
      <c r="O294" s="2"/>
      <c r="P294" s="2"/>
      <c r="Q294" s="32"/>
      <c r="R294" s="32"/>
      <c r="S294" s="32"/>
      <c r="T294" s="3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2"/>
      <c r="C295" s="10"/>
      <c r="D295" s="10"/>
      <c r="E295" s="10"/>
      <c r="F295" s="10"/>
      <c r="G295" s="69"/>
      <c r="H295" s="69"/>
      <c r="I295" s="69"/>
      <c r="J295" s="70"/>
      <c r="K295" s="69"/>
      <c r="L295" s="69"/>
      <c r="M295" s="69"/>
      <c r="N295" s="69"/>
      <c r="O295" s="2"/>
      <c r="P295" s="2"/>
      <c r="Q295" s="32"/>
      <c r="R295" s="32"/>
      <c r="S295" s="32"/>
      <c r="T295" s="3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2"/>
      <c r="C296" s="10"/>
      <c r="D296" s="10"/>
      <c r="E296" s="10"/>
      <c r="F296" s="10"/>
      <c r="G296" s="69"/>
      <c r="H296" s="69"/>
      <c r="I296" s="69"/>
      <c r="J296" s="70"/>
      <c r="K296" s="69"/>
      <c r="L296" s="69"/>
      <c r="M296" s="69"/>
      <c r="N296" s="69"/>
      <c r="O296" s="2"/>
      <c r="P296" s="2"/>
      <c r="Q296" s="32"/>
      <c r="R296" s="32"/>
      <c r="S296" s="32"/>
      <c r="T296" s="3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2"/>
      <c r="C297" s="10"/>
      <c r="D297" s="10"/>
      <c r="E297" s="10"/>
      <c r="F297" s="10"/>
      <c r="G297" s="69"/>
      <c r="H297" s="69"/>
      <c r="I297" s="69"/>
      <c r="J297" s="70"/>
      <c r="K297" s="69"/>
      <c r="L297" s="69"/>
      <c r="M297" s="69"/>
      <c r="N297" s="69"/>
      <c r="O297" s="2"/>
      <c r="P297" s="2"/>
      <c r="Q297" s="32"/>
      <c r="R297" s="32"/>
      <c r="S297" s="32"/>
      <c r="T297" s="3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2"/>
      <c r="C298" s="10"/>
      <c r="D298" s="10"/>
      <c r="E298" s="10"/>
      <c r="F298" s="10"/>
      <c r="G298" s="69"/>
      <c r="H298" s="69"/>
      <c r="I298" s="69"/>
      <c r="J298" s="70"/>
      <c r="K298" s="69"/>
      <c r="L298" s="69"/>
      <c r="M298" s="69"/>
      <c r="N298" s="69"/>
      <c r="O298" s="2"/>
      <c r="P298" s="2"/>
      <c r="Q298" s="32"/>
      <c r="R298" s="32"/>
      <c r="S298" s="32"/>
      <c r="T298" s="3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2"/>
      <c r="C299" s="10"/>
      <c r="D299" s="10"/>
      <c r="E299" s="10"/>
      <c r="F299" s="10"/>
      <c r="G299" s="69"/>
      <c r="H299" s="69"/>
      <c r="I299" s="69"/>
      <c r="J299" s="70"/>
      <c r="K299" s="69"/>
      <c r="L299" s="69"/>
      <c r="M299" s="69"/>
      <c r="N299" s="69"/>
      <c r="O299" s="2"/>
      <c r="P299" s="2"/>
      <c r="Q299" s="32"/>
      <c r="R299" s="32"/>
      <c r="S299" s="32"/>
      <c r="T299" s="3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2"/>
      <c r="C300" s="10"/>
      <c r="D300" s="10"/>
      <c r="E300" s="10"/>
      <c r="F300" s="10"/>
      <c r="G300" s="69"/>
      <c r="H300" s="69"/>
      <c r="I300" s="69"/>
      <c r="J300" s="70"/>
      <c r="K300" s="69"/>
      <c r="L300" s="69"/>
      <c r="M300" s="69"/>
      <c r="N300" s="69"/>
      <c r="O300" s="2"/>
      <c r="P300" s="2"/>
      <c r="Q300" s="32"/>
      <c r="R300" s="32"/>
      <c r="S300" s="32"/>
      <c r="T300" s="3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2"/>
      <c r="C301" s="10"/>
      <c r="D301" s="10"/>
      <c r="E301" s="10"/>
      <c r="F301" s="10"/>
      <c r="G301" s="69"/>
      <c r="H301" s="69"/>
      <c r="I301" s="69"/>
      <c r="J301" s="70"/>
      <c r="K301" s="69"/>
      <c r="L301" s="69"/>
      <c r="M301" s="69"/>
      <c r="N301" s="69"/>
      <c r="O301" s="2"/>
      <c r="P301" s="2"/>
      <c r="Q301" s="32"/>
      <c r="R301" s="32"/>
      <c r="S301" s="32"/>
      <c r="T301" s="3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2"/>
      <c r="C302" s="10"/>
      <c r="D302" s="10"/>
      <c r="E302" s="10"/>
      <c r="F302" s="10"/>
      <c r="G302" s="69"/>
      <c r="H302" s="69"/>
      <c r="I302" s="69"/>
      <c r="J302" s="70"/>
      <c r="K302" s="69"/>
      <c r="L302" s="69"/>
      <c r="M302" s="69"/>
      <c r="N302" s="69"/>
      <c r="O302" s="2"/>
      <c r="P302" s="2"/>
      <c r="Q302" s="32"/>
      <c r="R302" s="32"/>
      <c r="S302" s="32"/>
      <c r="T302" s="3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2"/>
      <c r="C303" s="10"/>
      <c r="D303" s="10"/>
      <c r="E303" s="10"/>
      <c r="F303" s="10"/>
      <c r="G303" s="69"/>
      <c r="H303" s="69"/>
      <c r="I303" s="69"/>
      <c r="J303" s="70"/>
      <c r="K303" s="69"/>
      <c r="L303" s="69"/>
      <c r="M303" s="69"/>
      <c r="N303" s="69"/>
      <c r="O303" s="2"/>
      <c r="P303" s="2"/>
      <c r="Q303" s="32"/>
      <c r="R303" s="32"/>
      <c r="S303" s="32"/>
      <c r="T303" s="3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2"/>
      <c r="C304" s="10"/>
      <c r="D304" s="10"/>
      <c r="E304" s="10"/>
      <c r="F304" s="10"/>
      <c r="G304" s="69"/>
      <c r="H304" s="69"/>
      <c r="I304" s="69"/>
      <c r="J304" s="70"/>
      <c r="K304" s="69"/>
      <c r="L304" s="69"/>
      <c r="M304" s="69"/>
      <c r="N304" s="69"/>
      <c r="O304" s="2"/>
      <c r="P304" s="2"/>
      <c r="Q304" s="32"/>
      <c r="R304" s="32"/>
      <c r="S304" s="32"/>
      <c r="T304" s="3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2"/>
      <c r="C305" s="10"/>
      <c r="D305" s="10"/>
      <c r="E305" s="10"/>
      <c r="F305" s="10"/>
      <c r="G305" s="69"/>
      <c r="H305" s="69"/>
      <c r="I305" s="69"/>
      <c r="J305" s="70"/>
      <c r="K305" s="69"/>
      <c r="L305" s="69"/>
      <c r="M305" s="69"/>
      <c r="N305" s="69"/>
      <c r="O305" s="2"/>
      <c r="P305" s="2"/>
      <c r="Q305" s="32"/>
      <c r="R305" s="32"/>
      <c r="S305" s="32"/>
      <c r="T305" s="3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2"/>
      <c r="C306" s="10"/>
      <c r="D306" s="10"/>
      <c r="E306" s="10"/>
      <c r="F306" s="10"/>
      <c r="G306" s="69"/>
      <c r="H306" s="69"/>
      <c r="I306" s="69"/>
      <c r="J306" s="70"/>
      <c r="K306" s="69"/>
      <c r="L306" s="69"/>
      <c r="M306" s="69"/>
      <c r="N306" s="69"/>
      <c r="O306" s="2"/>
      <c r="P306" s="2"/>
      <c r="Q306" s="32"/>
      <c r="R306" s="32"/>
      <c r="S306" s="32"/>
      <c r="T306" s="3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2"/>
      <c r="C307" s="10"/>
      <c r="D307" s="10"/>
      <c r="E307" s="10"/>
      <c r="F307" s="10"/>
      <c r="G307" s="69"/>
      <c r="H307" s="69"/>
      <c r="I307" s="69"/>
      <c r="J307" s="70"/>
      <c r="K307" s="69"/>
      <c r="L307" s="69"/>
      <c r="M307" s="69"/>
      <c r="N307" s="69"/>
      <c r="O307" s="2"/>
      <c r="P307" s="2"/>
      <c r="Q307" s="32"/>
      <c r="R307" s="32"/>
      <c r="S307" s="32"/>
      <c r="T307" s="3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2"/>
      <c r="C308" s="10"/>
      <c r="D308" s="10"/>
      <c r="E308" s="10"/>
      <c r="F308" s="10"/>
      <c r="G308" s="69"/>
      <c r="H308" s="69"/>
      <c r="I308" s="69"/>
      <c r="J308" s="70"/>
      <c r="K308" s="69"/>
      <c r="L308" s="69"/>
      <c r="M308" s="69"/>
      <c r="N308" s="69"/>
      <c r="O308" s="2"/>
      <c r="P308" s="2"/>
      <c r="Q308" s="32"/>
      <c r="R308" s="32"/>
      <c r="S308" s="32"/>
      <c r="T308" s="3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2"/>
      <c r="C309" s="10"/>
      <c r="D309" s="10"/>
      <c r="E309" s="10"/>
      <c r="F309" s="10"/>
      <c r="G309" s="69"/>
      <c r="H309" s="69"/>
      <c r="I309" s="69"/>
      <c r="J309" s="70"/>
      <c r="K309" s="69"/>
      <c r="L309" s="69"/>
      <c r="M309" s="69"/>
      <c r="N309" s="69"/>
      <c r="O309" s="2"/>
      <c r="P309" s="2"/>
      <c r="Q309" s="32"/>
      <c r="R309" s="32"/>
      <c r="S309" s="32"/>
      <c r="T309" s="3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2"/>
      <c r="C310" s="10"/>
      <c r="D310" s="10"/>
      <c r="E310" s="10"/>
      <c r="F310" s="10"/>
      <c r="G310" s="69"/>
      <c r="H310" s="69"/>
      <c r="I310" s="69"/>
      <c r="J310" s="70"/>
      <c r="K310" s="69"/>
      <c r="L310" s="69"/>
      <c r="M310" s="69"/>
      <c r="N310" s="69"/>
      <c r="O310" s="2"/>
      <c r="P310" s="2"/>
      <c r="Q310" s="32"/>
      <c r="R310" s="32"/>
      <c r="S310" s="32"/>
      <c r="T310" s="3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2"/>
      <c r="C311" s="10"/>
      <c r="D311" s="10"/>
      <c r="E311" s="10"/>
      <c r="F311" s="10"/>
      <c r="G311" s="69"/>
      <c r="H311" s="69"/>
      <c r="I311" s="69"/>
      <c r="J311" s="70"/>
      <c r="K311" s="69"/>
      <c r="L311" s="69"/>
      <c r="M311" s="69"/>
      <c r="N311" s="69"/>
      <c r="O311" s="2"/>
      <c r="P311" s="2"/>
      <c r="Q311" s="32"/>
      <c r="R311" s="32"/>
      <c r="S311" s="32"/>
      <c r="T311" s="3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2"/>
      <c r="C312" s="10"/>
      <c r="D312" s="10"/>
      <c r="E312" s="10"/>
      <c r="F312" s="10"/>
      <c r="G312" s="69"/>
      <c r="H312" s="69"/>
      <c r="I312" s="69"/>
      <c r="J312" s="70"/>
      <c r="K312" s="69"/>
      <c r="L312" s="69"/>
      <c r="M312" s="69"/>
      <c r="N312" s="69"/>
      <c r="O312" s="2"/>
      <c r="P312" s="2"/>
      <c r="Q312" s="32"/>
      <c r="R312" s="32"/>
      <c r="S312" s="32"/>
      <c r="T312" s="3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2"/>
      <c r="C313" s="10"/>
      <c r="D313" s="10"/>
      <c r="E313" s="10"/>
      <c r="F313" s="10"/>
      <c r="G313" s="69"/>
      <c r="H313" s="69"/>
      <c r="I313" s="69"/>
      <c r="J313" s="70"/>
      <c r="K313" s="69"/>
      <c r="L313" s="69"/>
      <c r="M313" s="69"/>
      <c r="N313" s="69"/>
      <c r="O313" s="2"/>
      <c r="P313" s="2"/>
      <c r="Q313" s="32"/>
      <c r="R313" s="32"/>
      <c r="S313" s="32"/>
      <c r="T313" s="3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2"/>
      <c r="C314" s="10"/>
      <c r="D314" s="10"/>
      <c r="E314" s="10"/>
      <c r="F314" s="10"/>
      <c r="G314" s="69"/>
      <c r="H314" s="69"/>
      <c r="I314" s="69"/>
      <c r="J314" s="70"/>
      <c r="K314" s="69"/>
      <c r="L314" s="69"/>
      <c r="M314" s="69"/>
      <c r="N314" s="69"/>
      <c r="O314" s="2"/>
      <c r="P314" s="2"/>
      <c r="Q314" s="32"/>
      <c r="R314" s="32"/>
      <c r="S314" s="32"/>
      <c r="T314" s="3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2"/>
      <c r="C315" s="10"/>
      <c r="D315" s="10"/>
      <c r="E315" s="10"/>
      <c r="F315" s="10"/>
      <c r="G315" s="69"/>
      <c r="H315" s="69"/>
      <c r="I315" s="69"/>
      <c r="J315" s="70"/>
      <c r="K315" s="69"/>
      <c r="L315" s="69"/>
      <c r="M315" s="69"/>
      <c r="N315" s="69"/>
      <c r="O315" s="2"/>
      <c r="P315" s="2"/>
      <c r="Q315" s="32"/>
      <c r="R315" s="32"/>
      <c r="S315" s="32"/>
      <c r="T315" s="3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2"/>
      <c r="C316" s="10"/>
      <c r="D316" s="10"/>
      <c r="E316" s="10"/>
      <c r="F316" s="10"/>
      <c r="G316" s="69"/>
      <c r="H316" s="69"/>
      <c r="I316" s="69"/>
      <c r="J316" s="70"/>
      <c r="K316" s="69"/>
      <c r="L316" s="69"/>
      <c r="M316" s="69"/>
      <c r="N316" s="69"/>
      <c r="O316" s="2"/>
      <c r="P316" s="2"/>
      <c r="Q316" s="32"/>
      <c r="R316" s="32"/>
      <c r="S316" s="32"/>
      <c r="T316" s="3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2"/>
      <c r="C317" s="10"/>
      <c r="D317" s="10"/>
      <c r="E317" s="10"/>
      <c r="F317" s="10"/>
      <c r="G317" s="69"/>
      <c r="H317" s="69"/>
      <c r="I317" s="69"/>
      <c r="J317" s="70"/>
      <c r="K317" s="69"/>
      <c r="L317" s="69"/>
      <c r="M317" s="69"/>
      <c r="N317" s="69"/>
      <c r="O317" s="2"/>
      <c r="P317" s="2"/>
      <c r="Q317" s="32"/>
      <c r="R317" s="32"/>
      <c r="S317" s="32"/>
      <c r="T317" s="3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2"/>
      <c r="C318" s="10"/>
      <c r="D318" s="10"/>
      <c r="E318" s="10"/>
      <c r="F318" s="10"/>
      <c r="G318" s="69"/>
      <c r="H318" s="69"/>
      <c r="I318" s="69"/>
      <c r="J318" s="70"/>
      <c r="K318" s="69"/>
      <c r="L318" s="69"/>
      <c r="M318" s="69"/>
      <c r="N318" s="69"/>
      <c r="O318" s="2"/>
      <c r="P318" s="2"/>
      <c r="Q318" s="32"/>
      <c r="R318" s="32"/>
      <c r="S318" s="32"/>
      <c r="T318" s="3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2"/>
      <c r="C319" s="10"/>
      <c r="D319" s="10"/>
      <c r="E319" s="10"/>
      <c r="F319" s="10"/>
      <c r="G319" s="69"/>
      <c r="H319" s="69"/>
      <c r="I319" s="69"/>
      <c r="J319" s="70"/>
      <c r="K319" s="69"/>
      <c r="L319" s="69"/>
      <c r="M319" s="69"/>
      <c r="N319" s="69"/>
      <c r="O319" s="2"/>
      <c r="P319" s="2"/>
      <c r="Q319" s="32"/>
      <c r="R319" s="32"/>
      <c r="S319" s="32"/>
      <c r="T319" s="3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2"/>
      <c r="C320" s="10"/>
      <c r="D320" s="10"/>
      <c r="E320" s="10"/>
      <c r="F320" s="10"/>
      <c r="G320" s="69"/>
      <c r="H320" s="69"/>
      <c r="I320" s="69"/>
      <c r="J320" s="70"/>
      <c r="K320" s="69"/>
      <c r="L320" s="69"/>
      <c r="M320" s="69"/>
      <c r="N320" s="69"/>
      <c r="O320" s="2"/>
      <c r="P320" s="2"/>
      <c r="Q320" s="32"/>
      <c r="R320" s="32"/>
      <c r="S320" s="32"/>
      <c r="T320" s="3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2"/>
      <c r="C321" s="10"/>
      <c r="D321" s="10"/>
      <c r="E321" s="10"/>
      <c r="F321" s="10"/>
      <c r="G321" s="69"/>
      <c r="H321" s="69"/>
      <c r="I321" s="69"/>
      <c r="J321" s="70"/>
      <c r="K321" s="69"/>
      <c r="L321" s="69"/>
      <c r="M321" s="69"/>
      <c r="N321" s="69"/>
      <c r="O321" s="2"/>
      <c r="P321" s="2"/>
      <c r="Q321" s="32"/>
      <c r="R321" s="32"/>
      <c r="S321" s="32"/>
      <c r="T321" s="3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2"/>
      <c r="C322" s="10"/>
      <c r="D322" s="10"/>
      <c r="E322" s="10"/>
      <c r="F322" s="10"/>
      <c r="G322" s="69"/>
      <c r="H322" s="69"/>
      <c r="I322" s="69"/>
      <c r="J322" s="70"/>
      <c r="K322" s="69"/>
      <c r="L322" s="69"/>
      <c r="M322" s="69"/>
      <c r="N322" s="69"/>
      <c r="O322" s="2"/>
      <c r="P322" s="2"/>
      <c r="Q322" s="32"/>
      <c r="R322" s="32"/>
      <c r="S322" s="32"/>
      <c r="T322" s="3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2"/>
      <c r="C323" s="10"/>
      <c r="D323" s="10"/>
      <c r="E323" s="10"/>
      <c r="F323" s="10"/>
      <c r="G323" s="69"/>
      <c r="H323" s="69"/>
      <c r="I323" s="69"/>
      <c r="J323" s="70"/>
      <c r="K323" s="69"/>
      <c r="L323" s="69"/>
      <c r="M323" s="69"/>
      <c r="N323" s="69"/>
      <c r="O323" s="2"/>
      <c r="P323" s="2"/>
      <c r="Q323" s="32"/>
      <c r="R323" s="32"/>
      <c r="S323" s="32"/>
      <c r="T323" s="3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2"/>
      <c r="C324" s="10"/>
      <c r="D324" s="10"/>
      <c r="E324" s="10"/>
      <c r="F324" s="10"/>
      <c r="G324" s="69"/>
      <c r="H324" s="69"/>
      <c r="I324" s="69"/>
      <c r="J324" s="70"/>
      <c r="K324" s="69"/>
      <c r="L324" s="69"/>
      <c r="M324" s="69"/>
      <c r="N324" s="69"/>
      <c r="O324" s="2"/>
      <c r="P324" s="2"/>
      <c r="Q324" s="32"/>
      <c r="R324" s="32"/>
      <c r="S324" s="32"/>
      <c r="T324" s="3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2"/>
      <c r="C325" s="10"/>
      <c r="D325" s="10"/>
      <c r="E325" s="10"/>
      <c r="F325" s="10"/>
      <c r="G325" s="69"/>
      <c r="H325" s="69"/>
      <c r="I325" s="69"/>
      <c r="J325" s="70"/>
      <c r="K325" s="69"/>
      <c r="L325" s="69"/>
      <c r="M325" s="69"/>
      <c r="N325" s="69"/>
      <c r="O325" s="2"/>
      <c r="P325" s="2"/>
      <c r="Q325" s="32"/>
      <c r="R325" s="32"/>
      <c r="S325" s="32"/>
      <c r="T325" s="3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2"/>
      <c r="C326" s="10"/>
      <c r="D326" s="10"/>
      <c r="E326" s="10"/>
      <c r="F326" s="10"/>
      <c r="G326" s="69"/>
      <c r="H326" s="69"/>
      <c r="I326" s="69"/>
      <c r="J326" s="70"/>
      <c r="K326" s="69"/>
      <c r="L326" s="69"/>
      <c r="M326" s="69"/>
      <c r="N326" s="69"/>
      <c r="O326" s="2"/>
      <c r="P326" s="2"/>
      <c r="Q326" s="32"/>
      <c r="R326" s="32"/>
      <c r="S326" s="32"/>
      <c r="T326" s="3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2"/>
      <c r="C327" s="10"/>
      <c r="D327" s="10"/>
      <c r="E327" s="10"/>
      <c r="F327" s="10"/>
      <c r="G327" s="69"/>
      <c r="H327" s="69"/>
      <c r="I327" s="69"/>
      <c r="J327" s="70"/>
      <c r="K327" s="69"/>
      <c r="L327" s="69"/>
      <c r="M327" s="69"/>
      <c r="N327" s="69"/>
      <c r="O327" s="2"/>
      <c r="P327" s="2"/>
      <c r="Q327" s="32"/>
      <c r="R327" s="32"/>
      <c r="S327" s="32"/>
      <c r="T327" s="3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2"/>
      <c r="C328" s="10"/>
      <c r="D328" s="10"/>
      <c r="E328" s="10"/>
      <c r="F328" s="10"/>
      <c r="G328" s="69"/>
      <c r="H328" s="69"/>
      <c r="I328" s="69"/>
      <c r="J328" s="70"/>
      <c r="K328" s="69"/>
      <c r="L328" s="69"/>
      <c r="M328" s="69"/>
      <c r="N328" s="69"/>
      <c r="O328" s="2"/>
      <c r="P328" s="2"/>
      <c r="Q328" s="32"/>
      <c r="R328" s="32"/>
      <c r="S328" s="32"/>
      <c r="T328" s="3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2"/>
      <c r="C329" s="10"/>
      <c r="D329" s="10"/>
      <c r="E329" s="10"/>
      <c r="F329" s="10"/>
      <c r="G329" s="69"/>
      <c r="H329" s="69"/>
      <c r="I329" s="69"/>
      <c r="J329" s="70"/>
      <c r="K329" s="69"/>
      <c r="L329" s="69"/>
      <c r="M329" s="69"/>
      <c r="N329" s="69"/>
      <c r="O329" s="2"/>
      <c r="P329" s="2"/>
      <c r="Q329" s="32"/>
      <c r="R329" s="32"/>
      <c r="S329" s="32"/>
      <c r="T329" s="3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2"/>
      <c r="C330" s="10"/>
      <c r="D330" s="10"/>
      <c r="E330" s="10"/>
      <c r="F330" s="10"/>
      <c r="G330" s="69"/>
      <c r="H330" s="69"/>
      <c r="I330" s="69"/>
      <c r="J330" s="70"/>
      <c r="K330" s="69"/>
      <c r="L330" s="69"/>
      <c r="M330" s="69"/>
      <c r="N330" s="69"/>
      <c r="O330" s="2"/>
      <c r="P330" s="2"/>
      <c r="Q330" s="32"/>
      <c r="R330" s="32"/>
      <c r="S330" s="32"/>
      <c r="T330" s="3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2"/>
      <c r="C331" s="10"/>
      <c r="D331" s="10"/>
      <c r="E331" s="10"/>
      <c r="F331" s="10"/>
      <c r="G331" s="69"/>
      <c r="H331" s="69"/>
      <c r="I331" s="69"/>
      <c r="J331" s="70"/>
      <c r="K331" s="69"/>
      <c r="L331" s="69"/>
      <c r="M331" s="69"/>
      <c r="N331" s="69"/>
      <c r="O331" s="2"/>
      <c r="P331" s="2"/>
      <c r="Q331" s="32"/>
      <c r="R331" s="32"/>
      <c r="S331" s="32"/>
      <c r="T331" s="3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2"/>
      <c r="C332" s="10"/>
      <c r="D332" s="10"/>
      <c r="E332" s="10"/>
      <c r="F332" s="10"/>
      <c r="G332" s="69"/>
      <c r="H332" s="69"/>
      <c r="I332" s="69"/>
      <c r="J332" s="70"/>
      <c r="K332" s="69"/>
      <c r="L332" s="69"/>
      <c r="M332" s="69"/>
      <c r="N332" s="69"/>
      <c r="O332" s="2"/>
      <c r="P332" s="2"/>
      <c r="Q332" s="32"/>
      <c r="R332" s="32"/>
      <c r="S332" s="32"/>
      <c r="T332" s="3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2"/>
      <c r="C333" s="10"/>
      <c r="D333" s="10"/>
      <c r="E333" s="10"/>
      <c r="F333" s="10"/>
      <c r="G333" s="69"/>
      <c r="H333" s="69"/>
      <c r="I333" s="69"/>
      <c r="J333" s="70"/>
      <c r="K333" s="69"/>
      <c r="L333" s="69"/>
      <c r="M333" s="69"/>
      <c r="N333" s="69"/>
      <c r="O333" s="2"/>
      <c r="P333" s="2"/>
      <c r="Q333" s="32"/>
      <c r="R333" s="32"/>
      <c r="S333" s="32"/>
      <c r="T333" s="3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2"/>
      <c r="C334" s="10"/>
      <c r="D334" s="10"/>
      <c r="E334" s="10"/>
      <c r="F334" s="10"/>
      <c r="G334" s="69"/>
      <c r="H334" s="69"/>
      <c r="I334" s="69"/>
      <c r="J334" s="70"/>
      <c r="K334" s="69"/>
      <c r="L334" s="69"/>
      <c r="M334" s="69"/>
      <c r="N334" s="69"/>
      <c r="O334" s="2"/>
      <c r="P334" s="2"/>
      <c r="Q334" s="32"/>
      <c r="R334" s="32"/>
      <c r="S334" s="32"/>
      <c r="T334" s="3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2"/>
      <c r="C335" s="10"/>
      <c r="D335" s="10"/>
      <c r="E335" s="10"/>
      <c r="F335" s="10"/>
      <c r="G335" s="69"/>
      <c r="H335" s="69"/>
      <c r="I335" s="69"/>
      <c r="J335" s="70"/>
      <c r="K335" s="69"/>
      <c r="L335" s="69"/>
      <c r="M335" s="69"/>
      <c r="N335" s="69"/>
      <c r="O335" s="2"/>
      <c r="P335" s="2"/>
      <c r="Q335" s="32"/>
      <c r="R335" s="32"/>
      <c r="S335" s="32"/>
      <c r="T335" s="3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2"/>
      <c r="C336" s="10"/>
      <c r="D336" s="10"/>
      <c r="E336" s="10"/>
      <c r="F336" s="10"/>
      <c r="G336" s="69"/>
      <c r="H336" s="69"/>
      <c r="I336" s="69"/>
      <c r="J336" s="70"/>
      <c r="K336" s="69"/>
      <c r="L336" s="69"/>
      <c r="M336" s="69"/>
      <c r="N336" s="69"/>
      <c r="O336" s="2"/>
      <c r="P336" s="2"/>
      <c r="Q336" s="32"/>
      <c r="R336" s="32"/>
      <c r="S336" s="32"/>
      <c r="T336" s="3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2"/>
      <c r="C337" s="10"/>
      <c r="D337" s="10"/>
      <c r="E337" s="10"/>
      <c r="F337" s="10"/>
      <c r="G337" s="69"/>
      <c r="H337" s="69"/>
      <c r="I337" s="69"/>
      <c r="J337" s="70"/>
      <c r="K337" s="69"/>
      <c r="L337" s="69"/>
      <c r="M337" s="69"/>
      <c r="N337" s="69"/>
      <c r="O337" s="2"/>
      <c r="P337" s="2"/>
      <c r="Q337" s="32"/>
      <c r="R337" s="32"/>
      <c r="S337" s="32"/>
      <c r="T337" s="3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2"/>
      <c r="C338" s="10"/>
      <c r="D338" s="10"/>
      <c r="E338" s="10"/>
      <c r="F338" s="10"/>
      <c r="G338" s="69"/>
      <c r="H338" s="69"/>
      <c r="I338" s="69"/>
      <c r="J338" s="70"/>
      <c r="K338" s="69"/>
      <c r="L338" s="69"/>
      <c r="M338" s="69"/>
      <c r="N338" s="69"/>
      <c r="O338" s="2"/>
      <c r="P338" s="2"/>
      <c r="Q338" s="32"/>
      <c r="R338" s="32"/>
      <c r="S338" s="32"/>
      <c r="T338" s="3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2"/>
      <c r="C339" s="10"/>
      <c r="D339" s="10"/>
      <c r="E339" s="10"/>
      <c r="F339" s="10"/>
      <c r="G339" s="69"/>
      <c r="H339" s="69"/>
      <c r="I339" s="69"/>
      <c r="J339" s="70"/>
      <c r="K339" s="69"/>
      <c r="L339" s="69"/>
      <c r="M339" s="69"/>
      <c r="N339" s="69"/>
      <c r="O339" s="2"/>
      <c r="P339" s="2"/>
      <c r="Q339" s="32"/>
      <c r="R339" s="32"/>
      <c r="S339" s="32"/>
      <c r="T339" s="3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2"/>
      <c r="C340" s="10"/>
      <c r="D340" s="10"/>
      <c r="E340" s="10"/>
      <c r="F340" s="10"/>
      <c r="G340" s="69"/>
      <c r="H340" s="69"/>
      <c r="I340" s="69"/>
      <c r="J340" s="70"/>
      <c r="K340" s="69"/>
      <c r="L340" s="69"/>
      <c r="M340" s="69"/>
      <c r="N340" s="69"/>
      <c r="O340" s="2"/>
      <c r="P340" s="2"/>
      <c r="Q340" s="32"/>
      <c r="R340" s="32"/>
      <c r="S340" s="32"/>
      <c r="T340" s="3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2"/>
      <c r="C341" s="10"/>
      <c r="D341" s="10"/>
      <c r="E341" s="10"/>
      <c r="F341" s="10"/>
      <c r="G341" s="69"/>
      <c r="H341" s="69"/>
      <c r="I341" s="69"/>
      <c r="J341" s="70"/>
      <c r="K341" s="69"/>
      <c r="L341" s="69"/>
      <c r="M341" s="69"/>
      <c r="N341" s="69"/>
      <c r="O341" s="2"/>
      <c r="P341" s="2"/>
      <c r="Q341" s="32"/>
      <c r="R341" s="32"/>
      <c r="S341" s="32"/>
      <c r="T341" s="3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2"/>
      <c r="C342" s="10"/>
      <c r="D342" s="10"/>
      <c r="E342" s="10"/>
      <c r="F342" s="10"/>
      <c r="G342" s="69"/>
      <c r="H342" s="69"/>
      <c r="I342" s="69"/>
      <c r="J342" s="70"/>
      <c r="K342" s="69"/>
      <c r="L342" s="69"/>
      <c r="M342" s="69"/>
      <c r="N342" s="69"/>
      <c r="O342" s="2"/>
      <c r="P342" s="2"/>
      <c r="Q342" s="32"/>
      <c r="R342" s="32"/>
      <c r="S342" s="32"/>
      <c r="T342" s="3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2"/>
      <c r="C343" s="10"/>
      <c r="D343" s="10"/>
      <c r="E343" s="10"/>
      <c r="F343" s="10"/>
      <c r="G343" s="69"/>
      <c r="H343" s="69"/>
      <c r="I343" s="69"/>
      <c r="J343" s="70"/>
      <c r="K343" s="69"/>
      <c r="L343" s="69"/>
      <c r="M343" s="69"/>
      <c r="N343" s="69"/>
      <c r="O343" s="2"/>
      <c r="P343" s="2"/>
      <c r="Q343" s="32"/>
      <c r="R343" s="32"/>
      <c r="S343" s="32"/>
      <c r="T343" s="3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2"/>
      <c r="C344" s="10"/>
      <c r="D344" s="10"/>
      <c r="E344" s="10"/>
      <c r="F344" s="10"/>
      <c r="G344" s="69"/>
      <c r="H344" s="69"/>
      <c r="I344" s="69"/>
      <c r="J344" s="70"/>
      <c r="K344" s="69"/>
      <c r="L344" s="69"/>
      <c r="M344" s="69"/>
      <c r="N344" s="69"/>
      <c r="O344" s="2"/>
      <c r="P344" s="2"/>
      <c r="Q344" s="32"/>
      <c r="R344" s="32"/>
      <c r="S344" s="32"/>
      <c r="T344" s="3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2"/>
      <c r="C345" s="10"/>
      <c r="D345" s="10"/>
      <c r="E345" s="10"/>
      <c r="F345" s="10"/>
      <c r="G345" s="69"/>
      <c r="H345" s="69"/>
      <c r="I345" s="69"/>
      <c r="J345" s="70"/>
      <c r="K345" s="69"/>
      <c r="L345" s="69"/>
      <c r="M345" s="69"/>
      <c r="N345" s="69"/>
      <c r="O345" s="2"/>
      <c r="P345" s="2"/>
      <c r="Q345" s="32"/>
      <c r="R345" s="32"/>
      <c r="S345" s="32"/>
      <c r="T345" s="3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2"/>
      <c r="C346" s="10"/>
      <c r="D346" s="10"/>
      <c r="E346" s="10"/>
      <c r="F346" s="10"/>
      <c r="G346" s="69"/>
      <c r="H346" s="69"/>
      <c r="I346" s="69"/>
      <c r="J346" s="70"/>
      <c r="K346" s="69"/>
      <c r="L346" s="69"/>
      <c r="M346" s="69"/>
      <c r="N346" s="69"/>
      <c r="O346" s="2"/>
      <c r="P346" s="2"/>
      <c r="Q346" s="32"/>
      <c r="R346" s="32"/>
      <c r="S346" s="32"/>
      <c r="T346" s="3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2"/>
      <c r="C347" s="10"/>
      <c r="D347" s="10"/>
      <c r="E347" s="10"/>
      <c r="F347" s="10"/>
      <c r="G347" s="69"/>
      <c r="H347" s="69"/>
      <c r="I347" s="69"/>
      <c r="J347" s="70"/>
      <c r="K347" s="69"/>
      <c r="L347" s="69"/>
      <c r="M347" s="69"/>
      <c r="N347" s="69"/>
      <c r="O347" s="2"/>
      <c r="P347" s="2"/>
      <c r="Q347" s="32"/>
      <c r="R347" s="32"/>
      <c r="S347" s="32"/>
      <c r="T347" s="3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2"/>
      <c r="C348" s="10"/>
      <c r="D348" s="10"/>
      <c r="E348" s="10"/>
      <c r="F348" s="10"/>
      <c r="G348" s="69"/>
      <c r="H348" s="69"/>
      <c r="I348" s="69"/>
      <c r="J348" s="70"/>
      <c r="K348" s="69"/>
      <c r="L348" s="69"/>
      <c r="M348" s="69"/>
      <c r="N348" s="69"/>
      <c r="O348" s="2"/>
      <c r="P348" s="2"/>
      <c r="Q348" s="32"/>
      <c r="R348" s="32"/>
      <c r="S348" s="32"/>
      <c r="T348" s="3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2"/>
      <c r="C349" s="10"/>
      <c r="D349" s="10"/>
      <c r="E349" s="10"/>
      <c r="F349" s="10"/>
      <c r="G349" s="69"/>
      <c r="H349" s="69"/>
      <c r="I349" s="69"/>
      <c r="J349" s="70"/>
      <c r="K349" s="69"/>
      <c r="L349" s="69"/>
      <c r="M349" s="69"/>
      <c r="N349" s="69"/>
      <c r="O349" s="2"/>
      <c r="P349" s="2"/>
      <c r="Q349" s="32"/>
      <c r="R349" s="32"/>
      <c r="S349" s="32"/>
      <c r="T349" s="3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2"/>
      <c r="C350" s="10"/>
      <c r="D350" s="10"/>
      <c r="E350" s="10"/>
      <c r="F350" s="10"/>
      <c r="G350" s="69"/>
      <c r="H350" s="69"/>
      <c r="I350" s="69"/>
      <c r="J350" s="70"/>
      <c r="K350" s="69"/>
      <c r="L350" s="69"/>
      <c r="M350" s="69"/>
      <c r="N350" s="69"/>
      <c r="O350" s="2"/>
      <c r="P350" s="2"/>
      <c r="Q350" s="32"/>
      <c r="R350" s="32"/>
      <c r="S350" s="32"/>
      <c r="T350" s="3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2"/>
      <c r="C351" s="10"/>
      <c r="D351" s="10"/>
      <c r="E351" s="10"/>
      <c r="F351" s="10"/>
      <c r="G351" s="69"/>
      <c r="H351" s="69"/>
      <c r="I351" s="69"/>
      <c r="J351" s="70"/>
      <c r="K351" s="69"/>
      <c r="L351" s="69"/>
      <c r="M351" s="69"/>
      <c r="N351" s="69"/>
      <c r="O351" s="2"/>
      <c r="P351" s="2"/>
      <c r="Q351" s="32"/>
      <c r="R351" s="32"/>
      <c r="S351" s="32"/>
      <c r="T351" s="3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2"/>
      <c r="C352" s="10"/>
      <c r="D352" s="10"/>
      <c r="E352" s="10"/>
      <c r="F352" s="10"/>
      <c r="G352" s="69"/>
      <c r="H352" s="69"/>
      <c r="I352" s="69"/>
      <c r="J352" s="70"/>
      <c r="K352" s="69"/>
      <c r="L352" s="69"/>
      <c r="M352" s="69"/>
      <c r="N352" s="69"/>
      <c r="O352" s="2"/>
      <c r="P352" s="2"/>
      <c r="Q352" s="32"/>
      <c r="R352" s="32"/>
      <c r="S352" s="32"/>
      <c r="T352" s="3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2"/>
      <c r="C353" s="10"/>
      <c r="D353" s="10"/>
      <c r="E353" s="10"/>
      <c r="F353" s="10"/>
      <c r="G353" s="69"/>
      <c r="H353" s="69"/>
      <c r="I353" s="69"/>
      <c r="J353" s="70"/>
      <c r="K353" s="69"/>
      <c r="L353" s="69"/>
      <c r="M353" s="69"/>
      <c r="N353" s="69"/>
      <c r="O353" s="2"/>
      <c r="P353" s="2"/>
      <c r="Q353" s="32"/>
      <c r="R353" s="32"/>
      <c r="S353" s="32"/>
      <c r="T353" s="3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2"/>
      <c r="C354" s="10"/>
      <c r="D354" s="10"/>
      <c r="E354" s="10"/>
      <c r="F354" s="10"/>
      <c r="G354" s="69"/>
      <c r="H354" s="69"/>
      <c r="I354" s="69"/>
      <c r="J354" s="70"/>
      <c r="K354" s="69"/>
      <c r="L354" s="69"/>
      <c r="M354" s="69"/>
      <c r="N354" s="69"/>
      <c r="O354" s="2"/>
      <c r="P354" s="2"/>
      <c r="Q354" s="32"/>
      <c r="R354" s="32"/>
      <c r="S354" s="32"/>
      <c r="T354" s="3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2"/>
      <c r="C355" s="10"/>
      <c r="D355" s="10"/>
      <c r="E355" s="10"/>
      <c r="F355" s="10"/>
      <c r="G355" s="69"/>
      <c r="H355" s="69"/>
      <c r="I355" s="69"/>
      <c r="J355" s="70"/>
      <c r="K355" s="69"/>
      <c r="L355" s="69"/>
      <c r="M355" s="69"/>
      <c r="N355" s="69"/>
      <c r="O355" s="2"/>
      <c r="P355" s="2"/>
      <c r="Q355" s="32"/>
      <c r="R355" s="32"/>
      <c r="S355" s="32"/>
      <c r="T355" s="3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2"/>
      <c r="C356" s="10"/>
      <c r="D356" s="10"/>
      <c r="E356" s="10"/>
      <c r="F356" s="10"/>
      <c r="G356" s="69"/>
      <c r="H356" s="69"/>
      <c r="I356" s="69"/>
      <c r="J356" s="70"/>
      <c r="K356" s="69"/>
      <c r="L356" s="69"/>
      <c r="M356" s="69"/>
      <c r="N356" s="69"/>
      <c r="O356" s="2"/>
      <c r="P356" s="2"/>
      <c r="Q356" s="32"/>
      <c r="R356" s="32"/>
      <c r="S356" s="32"/>
      <c r="T356" s="3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2"/>
      <c r="C357" s="10"/>
      <c r="D357" s="10"/>
      <c r="E357" s="10"/>
      <c r="F357" s="10"/>
      <c r="G357" s="69"/>
      <c r="H357" s="69"/>
      <c r="I357" s="69"/>
      <c r="J357" s="70"/>
      <c r="K357" s="69"/>
      <c r="L357" s="69"/>
      <c r="M357" s="69"/>
      <c r="N357" s="69"/>
      <c r="O357" s="2"/>
      <c r="P357" s="2"/>
      <c r="Q357" s="32"/>
      <c r="R357" s="32"/>
      <c r="S357" s="32"/>
      <c r="T357" s="3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2"/>
      <c r="C358" s="10"/>
      <c r="D358" s="10"/>
      <c r="E358" s="10"/>
      <c r="F358" s="10"/>
      <c r="G358" s="69"/>
      <c r="H358" s="69"/>
      <c r="I358" s="69"/>
      <c r="J358" s="70"/>
      <c r="K358" s="69"/>
      <c r="L358" s="69"/>
      <c r="M358" s="69"/>
      <c r="N358" s="69"/>
      <c r="O358" s="2"/>
      <c r="P358" s="2"/>
      <c r="Q358" s="32"/>
      <c r="R358" s="32"/>
      <c r="S358" s="32"/>
      <c r="T358" s="3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2"/>
      <c r="C359" s="10"/>
      <c r="D359" s="10"/>
      <c r="E359" s="10"/>
      <c r="F359" s="10"/>
      <c r="G359" s="69"/>
      <c r="H359" s="69"/>
      <c r="I359" s="69"/>
      <c r="J359" s="70"/>
      <c r="K359" s="69"/>
      <c r="L359" s="69"/>
      <c r="M359" s="69"/>
      <c r="N359" s="69"/>
      <c r="O359" s="2"/>
      <c r="P359" s="2"/>
      <c r="Q359" s="32"/>
      <c r="R359" s="32"/>
      <c r="S359" s="32"/>
      <c r="T359" s="3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2"/>
      <c r="C360" s="10"/>
      <c r="D360" s="10"/>
      <c r="E360" s="10"/>
      <c r="F360" s="10"/>
      <c r="G360" s="69"/>
      <c r="H360" s="69"/>
      <c r="I360" s="69"/>
      <c r="J360" s="70"/>
      <c r="K360" s="69"/>
      <c r="L360" s="69"/>
      <c r="M360" s="69"/>
      <c r="N360" s="69"/>
      <c r="O360" s="2"/>
      <c r="P360" s="2"/>
      <c r="Q360" s="32"/>
      <c r="R360" s="32"/>
      <c r="S360" s="32"/>
      <c r="T360" s="3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2"/>
      <c r="C361" s="10"/>
      <c r="D361" s="10"/>
      <c r="E361" s="10"/>
      <c r="F361" s="10"/>
      <c r="G361" s="69"/>
      <c r="H361" s="69"/>
      <c r="I361" s="69"/>
      <c r="J361" s="70"/>
      <c r="K361" s="69"/>
      <c r="L361" s="69"/>
      <c r="M361" s="69"/>
      <c r="N361" s="69"/>
      <c r="O361" s="2"/>
      <c r="P361" s="2"/>
      <c r="Q361" s="32"/>
      <c r="R361" s="32"/>
      <c r="S361" s="32"/>
      <c r="T361" s="3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2"/>
      <c r="C362" s="10"/>
      <c r="D362" s="10"/>
      <c r="E362" s="10"/>
      <c r="F362" s="10"/>
      <c r="G362" s="69"/>
      <c r="H362" s="69"/>
      <c r="I362" s="69"/>
      <c r="J362" s="70"/>
      <c r="K362" s="69"/>
      <c r="L362" s="69"/>
      <c r="M362" s="69"/>
      <c r="N362" s="69"/>
      <c r="O362" s="2"/>
      <c r="P362" s="2"/>
      <c r="Q362" s="32"/>
      <c r="R362" s="32"/>
      <c r="S362" s="32"/>
      <c r="T362" s="3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2"/>
      <c r="C363" s="10"/>
      <c r="D363" s="10"/>
      <c r="E363" s="10"/>
      <c r="F363" s="10"/>
      <c r="G363" s="69"/>
      <c r="H363" s="69"/>
      <c r="I363" s="69"/>
      <c r="J363" s="70"/>
      <c r="K363" s="69"/>
      <c r="L363" s="69"/>
      <c r="M363" s="69"/>
      <c r="N363" s="69"/>
      <c r="O363" s="2"/>
      <c r="P363" s="2"/>
      <c r="Q363" s="32"/>
      <c r="R363" s="32"/>
      <c r="S363" s="32"/>
      <c r="T363" s="3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2"/>
      <c r="C364" s="10"/>
      <c r="D364" s="10"/>
      <c r="E364" s="10"/>
      <c r="F364" s="10"/>
      <c r="G364" s="69"/>
      <c r="H364" s="69"/>
      <c r="I364" s="69"/>
      <c r="J364" s="70"/>
      <c r="K364" s="69"/>
      <c r="L364" s="69"/>
      <c r="M364" s="69"/>
      <c r="N364" s="69"/>
      <c r="O364" s="2"/>
      <c r="P364" s="2"/>
      <c r="Q364" s="32"/>
      <c r="R364" s="32"/>
      <c r="S364" s="32"/>
      <c r="T364" s="3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2"/>
      <c r="C365" s="10"/>
      <c r="D365" s="10"/>
      <c r="E365" s="10"/>
      <c r="F365" s="10"/>
      <c r="G365" s="69"/>
      <c r="H365" s="69"/>
      <c r="I365" s="69"/>
      <c r="J365" s="70"/>
      <c r="K365" s="69"/>
      <c r="L365" s="69"/>
      <c r="M365" s="69"/>
      <c r="N365" s="69"/>
      <c r="O365" s="2"/>
      <c r="P365" s="2"/>
      <c r="Q365" s="32"/>
      <c r="R365" s="32"/>
      <c r="S365" s="32"/>
      <c r="T365" s="3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2"/>
      <c r="C366" s="10"/>
      <c r="D366" s="10"/>
      <c r="E366" s="10"/>
      <c r="F366" s="10"/>
      <c r="G366" s="69"/>
      <c r="H366" s="69"/>
      <c r="I366" s="69"/>
      <c r="J366" s="70"/>
      <c r="K366" s="69"/>
      <c r="L366" s="69"/>
      <c r="M366" s="69"/>
      <c r="N366" s="69"/>
      <c r="O366" s="2"/>
      <c r="P366" s="2"/>
      <c r="Q366" s="32"/>
      <c r="R366" s="32"/>
      <c r="S366" s="32"/>
      <c r="T366" s="3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2"/>
      <c r="C367" s="10"/>
      <c r="D367" s="10"/>
      <c r="E367" s="10"/>
      <c r="F367" s="10"/>
      <c r="G367" s="69"/>
      <c r="H367" s="69"/>
      <c r="I367" s="69"/>
      <c r="J367" s="70"/>
      <c r="K367" s="69"/>
      <c r="L367" s="69"/>
      <c r="M367" s="69"/>
      <c r="N367" s="69"/>
      <c r="O367" s="2"/>
      <c r="P367" s="2"/>
      <c r="Q367" s="32"/>
      <c r="R367" s="32"/>
      <c r="S367" s="32"/>
      <c r="T367" s="3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2"/>
      <c r="C368" s="10"/>
      <c r="D368" s="10"/>
      <c r="E368" s="10"/>
      <c r="F368" s="10"/>
      <c r="G368" s="69"/>
      <c r="H368" s="69"/>
      <c r="I368" s="69"/>
      <c r="J368" s="70"/>
      <c r="K368" s="69"/>
      <c r="L368" s="69"/>
      <c r="M368" s="69"/>
      <c r="N368" s="69"/>
      <c r="O368" s="2"/>
      <c r="P368" s="2"/>
      <c r="Q368" s="32"/>
      <c r="R368" s="32"/>
      <c r="S368" s="32"/>
      <c r="T368" s="3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2"/>
      <c r="C369" s="10"/>
      <c r="D369" s="10"/>
      <c r="E369" s="10"/>
      <c r="F369" s="10"/>
      <c r="G369" s="69"/>
      <c r="H369" s="69"/>
      <c r="I369" s="69"/>
      <c r="J369" s="70"/>
      <c r="K369" s="69"/>
      <c r="L369" s="69"/>
      <c r="M369" s="69"/>
      <c r="N369" s="69"/>
      <c r="O369" s="2"/>
      <c r="P369" s="2"/>
      <c r="Q369" s="32"/>
      <c r="R369" s="32"/>
      <c r="S369" s="32"/>
      <c r="T369" s="3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2"/>
      <c r="C370" s="10"/>
      <c r="D370" s="10"/>
      <c r="E370" s="10"/>
      <c r="F370" s="10"/>
      <c r="G370" s="69"/>
      <c r="H370" s="69"/>
      <c r="I370" s="69"/>
      <c r="J370" s="70"/>
      <c r="K370" s="69"/>
      <c r="L370" s="69"/>
      <c r="M370" s="69"/>
      <c r="N370" s="69"/>
      <c r="O370" s="2"/>
      <c r="P370" s="2"/>
      <c r="Q370" s="32"/>
      <c r="R370" s="32"/>
      <c r="S370" s="32"/>
      <c r="T370" s="3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2"/>
      <c r="C371" s="10"/>
      <c r="D371" s="10"/>
      <c r="E371" s="10"/>
      <c r="F371" s="10"/>
      <c r="G371" s="69"/>
      <c r="H371" s="69"/>
      <c r="I371" s="69"/>
      <c r="J371" s="70"/>
      <c r="K371" s="69"/>
      <c r="L371" s="69"/>
      <c r="M371" s="69"/>
      <c r="N371" s="69"/>
      <c r="O371" s="2"/>
      <c r="P371" s="2"/>
      <c r="Q371" s="32"/>
      <c r="R371" s="32"/>
      <c r="S371" s="32"/>
      <c r="T371" s="3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2"/>
      <c r="C372" s="10"/>
      <c r="D372" s="10"/>
      <c r="E372" s="10"/>
      <c r="F372" s="10"/>
      <c r="G372" s="69"/>
      <c r="H372" s="69"/>
      <c r="I372" s="69"/>
      <c r="J372" s="70"/>
      <c r="K372" s="69"/>
      <c r="L372" s="69"/>
      <c r="M372" s="69"/>
      <c r="N372" s="69"/>
      <c r="O372" s="2"/>
      <c r="P372" s="2"/>
      <c r="Q372" s="32"/>
      <c r="R372" s="32"/>
      <c r="S372" s="32"/>
      <c r="T372" s="3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2"/>
      <c r="C373" s="10"/>
      <c r="D373" s="10"/>
      <c r="E373" s="10"/>
      <c r="F373" s="10"/>
      <c r="G373" s="69"/>
      <c r="H373" s="69"/>
      <c r="I373" s="69"/>
      <c r="J373" s="70"/>
      <c r="K373" s="69"/>
      <c r="L373" s="69"/>
      <c r="M373" s="69"/>
      <c r="N373" s="69"/>
      <c r="O373" s="2"/>
      <c r="P373" s="2"/>
      <c r="Q373" s="32"/>
      <c r="R373" s="32"/>
      <c r="S373" s="32"/>
      <c r="T373" s="3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2"/>
      <c r="C374" s="10"/>
      <c r="D374" s="10"/>
      <c r="E374" s="10"/>
      <c r="F374" s="10"/>
      <c r="G374" s="69"/>
      <c r="H374" s="69"/>
      <c r="I374" s="69"/>
      <c r="J374" s="70"/>
      <c r="K374" s="69"/>
      <c r="L374" s="69"/>
      <c r="M374" s="69"/>
      <c r="N374" s="69"/>
      <c r="O374" s="2"/>
      <c r="P374" s="2"/>
      <c r="Q374" s="32"/>
      <c r="R374" s="32"/>
      <c r="S374" s="32"/>
      <c r="T374" s="3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2"/>
      <c r="C375" s="10"/>
      <c r="D375" s="10"/>
      <c r="E375" s="10"/>
      <c r="F375" s="10"/>
      <c r="G375" s="69"/>
      <c r="H375" s="69"/>
      <c r="I375" s="69"/>
      <c r="J375" s="70"/>
      <c r="K375" s="69"/>
      <c r="L375" s="69"/>
      <c r="M375" s="69"/>
      <c r="N375" s="69"/>
      <c r="O375" s="2"/>
      <c r="P375" s="2"/>
      <c r="Q375" s="32"/>
      <c r="R375" s="32"/>
      <c r="S375" s="32"/>
      <c r="T375" s="3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2"/>
      <c r="C376" s="10"/>
      <c r="D376" s="10"/>
      <c r="E376" s="10"/>
      <c r="F376" s="10"/>
      <c r="G376" s="69"/>
      <c r="H376" s="69"/>
      <c r="I376" s="69"/>
      <c r="J376" s="70"/>
      <c r="K376" s="69"/>
      <c r="L376" s="69"/>
      <c r="M376" s="69"/>
      <c r="N376" s="69"/>
      <c r="O376" s="2"/>
      <c r="P376" s="2"/>
      <c r="Q376" s="32"/>
      <c r="R376" s="32"/>
      <c r="S376" s="32"/>
      <c r="T376" s="3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2"/>
      <c r="C377" s="10"/>
      <c r="D377" s="10"/>
      <c r="E377" s="10"/>
      <c r="F377" s="10"/>
      <c r="G377" s="69"/>
      <c r="H377" s="69"/>
      <c r="I377" s="69"/>
      <c r="J377" s="70"/>
      <c r="K377" s="69"/>
      <c r="L377" s="69"/>
      <c r="M377" s="69"/>
      <c r="N377" s="69"/>
      <c r="O377" s="2"/>
      <c r="P377" s="2"/>
      <c r="Q377" s="32"/>
      <c r="R377" s="32"/>
      <c r="S377" s="32"/>
      <c r="T377" s="3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2"/>
      <c r="C378" s="10"/>
      <c r="D378" s="10"/>
      <c r="E378" s="10"/>
      <c r="F378" s="10"/>
      <c r="G378" s="69"/>
      <c r="H378" s="69"/>
      <c r="I378" s="69"/>
      <c r="J378" s="70"/>
      <c r="K378" s="69"/>
      <c r="L378" s="69"/>
      <c r="M378" s="69"/>
      <c r="N378" s="69"/>
      <c r="O378" s="2"/>
      <c r="P378" s="2"/>
      <c r="Q378" s="32"/>
      <c r="R378" s="32"/>
      <c r="S378" s="32"/>
      <c r="T378" s="3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2"/>
      <c r="C379" s="10"/>
      <c r="D379" s="10"/>
      <c r="E379" s="10"/>
      <c r="F379" s="10"/>
      <c r="G379" s="69"/>
      <c r="H379" s="69"/>
      <c r="I379" s="69"/>
      <c r="J379" s="70"/>
      <c r="K379" s="69"/>
      <c r="L379" s="69"/>
      <c r="M379" s="69"/>
      <c r="N379" s="69"/>
      <c r="O379" s="2"/>
      <c r="P379" s="2"/>
      <c r="Q379" s="32"/>
      <c r="R379" s="32"/>
      <c r="S379" s="32"/>
      <c r="T379" s="3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2"/>
      <c r="C380" s="10"/>
      <c r="D380" s="10"/>
      <c r="E380" s="10"/>
      <c r="F380" s="10"/>
      <c r="G380" s="69"/>
      <c r="H380" s="69"/>
      <c r="I380" s="69"/>
      <c r="J380" s="70"/>
      <c r="K380" s="69"/>
      <c r="L380" s="69"/>
      <c r="M380" s="69"/>
      <c r="N380" s="69"/>
      <c r="O380" s="2"/>
      <c r="P380" s="2"/>
      <c r="Q380" s="32"/>
      <c r="R380" s="32"/>
      <c r="S380" s="32"/>
      <c r="T380" s="3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2"/>
      <c r="C381" s="10"/>
      <c r="D381" s="10"/>
      <c r="E381" s="10"/>
      <c r="F381" s="10"/>
      <c r="G381" s="69"/>
      <c r="H381" s="69"/>
      <c r="I381" s="69"/>
      <c r="J381" s="70"/>
      <c r="K381" s="69"/>
      <c r="L381" s="69"/>
      <c r="M381" s="69"/>
      <c r="N381" s="69"/>
      <c r="O381" s="2"/>
      <c r="P381" s="2"/>
      <c r="Q381" s="32"/>
      <c r="R381" s="32"/>
      <c r="S381" s="32"/>
      <c r="T381" s="3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2"/>
      <c r="C382" s="10"/>
      <c r="D382" s="10"/>
      <c r="E382" s="10"/>
      <c r="F382" s="10"/>
      <c r="G382" s="69"/>
      <c r="H382" s="69"/>
      <c r="I382" s="69"/>
      <c r="J382" s="70"/>
      <c r="K382" s="69"/>
      <c r="L382" s="69"/>
      <c r="M382" s="69"/>
      <c r="N382" s="69"/>
      <c r="O382" s="2"/>
      <c r="P382" s="2"/>
      <c r="Q382" s="32"/>
      <c r="R382" s="32"/>
      <c r="S382" s="32"/>
      <c r="T382" s="3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2"/>
      <c r="C383" s="10"/>
      <c r="D383" s="10"/>
      <c r="E383" s="10"/>
      <c r="F383" s="10"/>
      <c r="G383" s="69"/>
      <c r="H383" s="69"/>
      <c r="I383" s="69"/>
      <c r="J383" s="70"/>
      <c r="K383" s="69"/>
      <c r="L383" s="69"/>
      <c r="M383" s="69"/>
      <c r="N383" s="69"/>
      <c r="O383" s="2"/>
      <c r="P383" s="2"/>
      <c r="Q383" s="32"/>
      <c r="R383" s="32"/>
      <c r="S383" s="32"/>
      <c r="T383" s="3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2"/>
      <c r="C384" s="10"/>
      <c r="D384" s="10"/>
      <c r="E384" s="10"/>
      <c r="F384" s="10"/>
      <c r="G384" s="69"/>
      <c r="H384" s="69"/>
      <c r="I384" s="69"/>
      <c r="J384" s="70"/>
      <c r="K384" s="69"/>
      <c r="L384" s="69"/>
      <c r="M384" s="69"/>
      <c r="N384" s="69"/>
      <c r="O384" s="2"/>
      <c r="P384" s="2"/>
      <c r="Q384" s="32"/>
      <c r="R384" s="32"/>
      <c r="S384" s="32"/>
      <c r="T384" s="3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2"/>
      <c r="C385" s="10"/>
      <c r="D385" s="10"/>
      <c r="E385" s="10"/>
      <c r="F385" s="10"/>
      <c r="G385" s="69"/>
      <c r="H385" s="69"/>
      <c r="I385" s="69"/>
      <c r="J385" s="70"/>
      <c r="K385" s="69"/>
      <c r="L385" s="69"/>
      <c r="M385" s="69"/>
      <c r="N385" s="69"/>
      <c r="O385" s="2"/>
      <c r="P385" s="2"/>
      <c r="Q385" s="32"/>
      <c r="R385" s="32"/>
      <c r="S385" s="32"/>
      <c r="T385" s="3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2"/>
      <c r="C386" s="10"/>
      <c r="D386" s="10"/>
      <c r="E386" s="10"/>
      <c r="F386" s="10"/>
      <c r="G386" s="69"/>
      <c r="H386" s="69"/>
      <c r="I386" s="69"/>
      <c r="J386" s="70"/>
      <c r="K386" s="69"/>
      <c r="L386" s="69"/>
      <c r="M386" s="69"/>
      <c r="N386" s="69"/>
      <c r="O386" s="2"/>
      <c r="P386" s="2"/>
      <c r="Q386" s="32"/>
      <c r="R386" s="32"/>
      <c r="S386" s="32"/>
      <c r="T386" s="3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2"/>
      <c r="C387" s="10"/>
      <c r="D387" s="10"/>
      <c r="E387" s="10"/>
      <c r="F387" s="10"/>
      <c r="G387" s="69"/>
      <c r="H387" s="69"/>
      <c r="I387" s="69"/>
      <c r="J387" s="70"/>
      <c r="K387" s="69"/>
      <c r="L387" s="69"/>
      <c r="M387" s="69"/>
      <c r="N387" s="69"/>
      <c r="O387" s="2"/>
      <c r="P387" s="2"/>
      <c r="Q387" s="32"/>
      <c r="R387" s="32"/>
      <c r="S387" s="32"/>
      <c r="T387" s="3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2"/>
      <c r="C388" s="10"/>
      <c r="D388" s="10"/>
      <c r="E388" s="10"/>
      <c r="F388" s="10"/>
      <c r="G388" s="69"/>
      <c r="H388" s="69"/>
      <c r="I388" s="69"/>
      <c r="J388" s="70"/>
      <c r="K388" s="69"/>
      <c r="L388" s="69"/>
      <c r="M388" s="69"/>
      <c r="N388" s="69"/>
      <c r="O388" s="2"/>
      <c r="P388" s="2"/>
      <c r="Q388" s="32"/>
      <c r="R388" s="32"/>
      <c r="S388" s="32"/>
      <c r="T388" s="3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2"/>
      <c r="C389" s="10"/>
      <c r="D389" s="10"/>
      <c r="E389" s="10"/>
      <c r="F389" s="10"/>
      <c r="G389" s="69"/>
      <c r="H389" s="69"/>
      <c r="I389" s="69"/>
      <c r="J389" s="70"/>
      <c r="K389" s="69"/>
      <c r="L389" s="69"/>
      <c r="M389" s="69"/>
      <c r="N389" s="69"/>
      <c r="O389" s="2"/>
      <c r="P389" s="2"/>
      <c r="Q389" s="32"/>
      <c r="R389" s="32"/>
      <c r="S389" s="32"/>
      <c r="T389" s="3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2"/>
      <c r="C390" s="10"/>
      <c r="D390" s="10"/>
      <c r="E390" s="10"/>
      <c r="F390" s="10"/>
      <c r="G390" s="69"/>
      <c r="H390" s="69"/>
      <c r="I390" s="69"/>
      <c r="J390" s="70"/>
      <c r="K390" s="69"/>
      <c r="L390" s="69"/>
      <c r="M390" s="69"/>
      <c r="N390" s="69"/>
      <c r="O390" s="2"/>
      <c r="P390" s="2"/>
      <c r="Q390" s="32"/>
      <c r="R390" s="32"/>
      <c r="S390" s="32"/>
      <c r="T390" s="3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2"/>
      <c r="C391" s="10"/>
      <c r="D391" s="10"/>
      <c r="E391" s="10"/>
      <c r="F391" s="10"/>
      <c r="G391" s="69"/>
      <c r="H391" s="69"/>
      <c r="I391" s="69"/>
      <c r="J391" s="70"/>
      <c r="K391" s="69"/>
      <c r="L391" s="69"/>
      <c r="M391" s="69"/>
      <c r="N391" s="69"/>
      <c r="O391" s="2"/>
      <c r="P391" s="2"/>
      <c r="Q391" s="32"/>
      <c r="R391" s="32"/>
      <c r="S391" s="32"/>
      <c r="T391" s="3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2"/>
      <c r="C392" s="10"/>
      <c r="D392" s="10"/>
      <c r="E392" s="10"/>
      <c r="F392" s="10"/>
      <c r="G392" s="69"/>
      <c r="H392" s="69"/>
      <c r="I392" s="69"/>
      <c r="J392" s="70"/>
      <c r="K392" s="69"/>
      <c r="L392" s="69"/>
      <c r="M392" s="69"/>
      <c r="N392" s="69"/>
      <c r="O392" s="2"/>
      <c r="P392" s="2"/>
      <c r="Q392" s="32"/>
      <c r="R392" s="32"/>
      <c r="S392" s="32"/>
      <c r="T392" s="3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2"/>
      <c r="C393" s="10"/>
      <c r="D393" s="10"/>
      <c r="E393" s="10"/>
      <c r="F393" s="10"/>
      <c r="G393" s="69"/>
      <c r="H393" s="69"/>
      <c r="I393" s="69"/>
      <c r="J393" s="70"/>
      <c r="K393" s="69"/>
      <c r="L393" s="69"/>
      <c r="M393" s="69"/>
      <c r="N393" s="69"/>
      <c r="O393" s="2"/>
      <c r="P393" s="2"/>
      <c r="Q393" s="32"/>
      <c r="R393" s="32"/>
      <c r="S393" s="32"/>
      <c r="T393" s="3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2"/>
      <c r="C394" s="10"/>
      <c r="D394" s="10"/>
      <c r="E394" s="10"/>
      <c r="F394" s="10"/>
      <c r="G394" s="69"/>
      <c r="H394" s="69"/>
      <c r="I394" s="69"/>
      <c r="J394" s="70"/>
      <c r="K394" s="69"/>
      <c r="L394" s="69"/>
      <c r="M394" s="69"/>
      <c r="N394" s="69"/>
      <c r="O394" s="2"/>
      <c r="P394" s="2"/>
      <c r="Q394" s="32"/>
      <c r="R394" s="32"/>
      <c r="S394" s="32"/>
      <c r="T394" s="3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2"/>
      <c r="C395" s="10"/>
      <c r="D395" s="10"/>
      <c r="E395" s="10"/>
      <c r="F395" s="10"/>
      <c r="G395" s="69"/>
      <c r="H395" s="69"/>
      <c r="I395" s="69"/>
      <c r="J395" s="70"/>
      <c r="K395" s="69"/>
      <c r="L395" s="69"/>
      <c r="M395" s="69"/>
      <c r="N395" s="69"/>
      <c r="O395" s="2"/>
      <c r="P395" s="2"/>
      <c r="Q395" s="32"/>
      <c r="R395" s="32"/>
      <c r="S395" s="32"/>
      <c r="T395" s="3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2"/>
      <c r="C396" s="10"/>
      <c r="D396" s="10"/>
      <c r="E396" s="10"/>
      <c r="F396" s="10"/>
      <c r="G396" s="69"/>
      <c r="H396" s="69"/>
      <c r="I396" s="69"/>
      <c r="J396" s="70"/>
      <c r="K396" s="69"/>
      <c r="L396" s="69"/>
      <c r="M396" s="69"/>
      <c r="N396" s="69"/>
      <c r="O396" s="2"/>
      <c r="P396" s="2"/>
      <c r="Q396" s="32"/>
      <c r="R396" s="32"/>
      <c r="S396" s="32"/>
      <c r="T396" s="3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2"/>
      <c r="C397" s="10"/>
      <c r="D397" s="10"/>
      <c r="E397" s="10"/>
      <c r="F397" s="10"/>
      <c r="G397" s="69"/>
      <c r="H397" s="69"/>
      <c r="I397" s="69"/>
      <c r="J397" s="70"/>
      <c r="K397" s="69"/>
      <c r="L397" s="69"/>
      <c r="M397" s="69"/>
      <c r="N397" s="69"/>
      <c r="O397" s="2"/>
      <c r="P397" s="2"/>
      <c r="Q397" s="32"/>
      <c r="R397" s="32"/>
      <c r="S397" s="32"/>
      <c r="T397" s="3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2"/>
      <c r="C398" s="10"/>
      <c r="D398" s="10"/>
      <c r="E398" s="10"/>
      <c r="F398" s="10"/>
      <c r="G398" s="69"/>
      <c r="H398" s="69"/>
      <c r="I398" s="69"/>
      <c r="J398" s="70"/>
      <c r="K398" s="69"/>
      <c r="L398" s="69"/>
      <c r="M398" s="69"/>
      <c r="N398" s="69"/>
      <c r="O398" s="2"/>
      <c r="P398" s="2"/>
      <c r="Q398" s="32"/>
      <c r="R398" s="32"/>
      <c r="S398" s="32"/>
      <c r="T398" s="3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2"/>
      <c r="C399" s="10"/>
      <c r="D399" s="10"/>
      <c r="E399" s="10"/>
      <c r="F399" s="10"/>
      <c r="G399" s="69"/>
      <c r="H399" s="69"/>
      <c r="I399" s="69"/>
      <c r="J399" s="70"/>
      <c r="K399" s="69"/>
      <c r="L399" s="69"/>
      <c r="M399" s="69"/>
      <c r="N399" s="69"/>
      <c r="O399" s="2"/>
      <c r="P399" s="2"/>
      <c r="Q399" s="32"/>
      <c r="R399" s="32"/>
      <c r="S399" s="32"/>
      <c r="T399" s="3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2"/>
      <c r="C400" s="10"/>
      <c r="D400" s="10"/>
      <c r="E400" s="10"/>
      <c r="F400" s="10"/>
      <c r="G400" s="69"/>
      <c r="H400" s="69"/>
      <c r="I400" s="69"/>
      <c r="J400" s="70"/>
      <c r="K400" s="69"/>
      <c r="L400" s="69"/>
      <c r="M400" s="69"/>
      <c r="N400" s="69"/>
      <c r="O400" s="2"/>
      <c r="P400" s="2"/>
      <c r="Q400" s="32"/>
      <c r="R400" s="32"/>
      <c r="S400" s="32"/>
      <c r="T400" s="3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2"/>
      <c r="C401" s="10"/>
      <c r="D401" s="10"/>
      <c r="E401" s="10"/>
      <c r="F401" s="10"/>
      <c r="G401" s="69"/>
      <c r="H401" s="69"/>
      <c r="I401" s="69"/>
      <c r="J401" s="70"/>
      <c r="K401" s="69"/>
      <c r="L401" s="69"/>
      <c r="M401" s="69"/>
      <c r="N401" s="69"/>
      <c r="O401" s="2"/>
      <c r="P401" s="2"/>
      <c r="Q401" s="32"/>
      <c r="R401" s="32"/>
      <c r="S401" s="32"/>
      <c r="T401" s="3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2"/>
      <c r="C402" s="10"/>
      <c r="D402" s="10"/>
      <c r="E402" s="10"/>
      <c r="F402" s="10"/>
      <c r="G402" s="69"/>
      <c r="H402" s="69"/>
      <c r="I402" s="69"/>
      <c r="J402" s="70"/>
      <c r="K402" s="69"/>
      <c r="L402" s="69"/>
      <c r="M402" s="69"/>
      <c r="N402" s="69"/>
      <c r="O402" s="2"/>
      <c r="P402" s="2"/>
      <c r="Q402" s="32"/>
      <c r="R402" s="32"/>
      <c r="S402" s="32"/>
      <c r="T402" s="3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2"/>
      <c r="C403" s="10"/>
      <c r="D403" s="10"/>
      <c r="E403" s="10"/>
      <c r="F403" s="10"/>
      <c r="G403" s="69"/>
      <c r="H403" s="69"/>
      <c r="I403" s="69"/>
      <c r="J403" s="70"/>
      <c r="K403" s="69"/>
      <c r="L403" s="69"/>
      <c r="M403" s="69"/>
      <c r="N403" s="69"/>
      <c r="O403" s="2"/>
      <c r="P403" s="2"/>
      <c r="Q403" s="32"/>
      <c r="R403" s="32"/>
      <c r="S403" s="32"/>
      <c r="T403" s="3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2"/>
      <c r="C404" s="10"/>
      <c r="D404" s="10"/>
      <c r="E404" s="10"/>
      <c r="F404" s="10"/>
      <c r="G404" s="69"/>
      <c r="H404" s="69"/>
      <c r="I404" s="69"/>
      <c r="J404" s="70"/>
      <c r="K404" s="69"/>
      <c r="L404" s="69"/>
      <c r="M404" s="69"/>
      <c r="N404" s="69"/>
      <c r="O404" s="2"/>
      <c r="P404" s="2"/>
      <c r="Q404" s="32"/>
      <c r="R404" s="32"/>
      <c r="S404" s="32"/>
      <c r="T404" s="3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2"/>
      <c r="C405" s="10"/>
      <c r="D405" s="10"/>
      <c r="E405" s="10"/>
      <c r="F405" s="10"/>
      <c r="G405" s="69"/>
      <c r="H405" s="69"/>
      <c r="I405" s="69"/>
      <c r="J405" s="70"/>
      <c r="K405" s="69"/>
      <c r="L405" s="69"/>
      <c r="M405" s="69"/>
      <c r="N405" s="69"/>
      <c r="O405" s="2"/>
      <c r="P405" s="2"/>
      <c r="Q405" s="32"/>
      <c r="R405" s="32"/>
      <c r="S405" s="32"/>
      <c r="T405" s="3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2"/>
      <c r="C406" s="10"/>
      <c r="D406" s="10"/>
      <c r="E406" s="10"/>
      <c r="F406" s="10"/>
      <c r="G406" s="69"/>
      <c r="H406" s="69"/>
      <c r="I406" s="69"/>
      <c r="J406" s="70"/>
      <c r="K406" s="69"/>
      <c r="L406" s="69"/>
      <c r="M406" s="69"/>
      <c r="N406" s="69"/>
      <c r="O406" s="2"/>
      <c r="P406" s="2"/>
      <c r="Q406" s="32"/>
      <c r="R406" s="32"/>
      <c r="S406" s="32"/>
      <c r="T406" s="3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2"/>
      <c r="C407" s="10"/>
      <c r="D407" s="10"/>
      <c r="E407" s="10"/>
      <c r="F407" s="10"/>
      <c r="G407" s="69"/>
      <c r="H407" s="69"/>
      <c r="I407" s="69"/>
      <c r="J407" s="70"/>
      <c r="K407" s="69"/>
      <c r="L407" s="69"/>
      <c r="M407" s="69"/>
      <c r="N407" s="69"/>
      <c r="O407" s="2"/>
      <c r="P407" s="2"/>
      <c r="Q407" s="32"/>
      <c r="R407" s="32"/>
      <c r="S407" s="32"/>
      <c r="T407" s="3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2"/>
      <c r="C408" s="10"/>
      <c r="D408" s="10"/>
      <c r="E408" s="10"/>
      <c r="F408" s="10"/>
      <c r="G408" s="69"/>
      <c r="H408" s="69"/>
      <c r="I408" s="69"/>
      <c r="J408" s="70"/>
      <c r="K408" s="69"/>
      <c r="L408" s="69"/>
      <c r="M408" s="69"/>
      <c r="N408" s="69"/>
      <c r="O408" s="2"/>
      <c r="P408" s="2"/>
      <c r="Q408" s="32"/>
      <c r="R408" s="32"/>
      <c r="S408" s="32"/>
      <c r="T408" s="3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2"/>
      <c r="C409" s="10"/>
      <c r="D409" s="10"/>
      <c r="E409" s="10"/>
      <c r="F409" s="10"/>
      <c r="G409" s="69"/>
      <c r="H409" s="69"/>
      <c r="I409" s="69"/>
      <c r="J409" s="70"/>
      <c r="K409" s="69"/>
      <c r="L409" s="69"/>
      <c r="M409" s="69"/>
      <c r="N409" s="69"/>
      <c r="O409" s="2"/>
      <c r="P409" s="2"/>
      <c r="Q409" s="32"/>
      <c r="R409" s="32"/>
      <c r="S409" s="32"/>
      <c r="T409" s="3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2"/>
      <c r="C410" s="10"/>
      <c r="D410" s="10"/>
      <c r="E410" s="10"/>
      <c r="F410" s="10"/>
      <c r="G410" s="69"/>
      <c r="H410" s="69"/>
      <c r="I410" s="69"/>
      <c r="J410" s="70"/>
      <c r="K410" s="69"/>
      <c r="L410" s="69"/>
      <c r="M410" s="69"/>
      <c r="N410" s="69"/>
      <c r="O410" s="2"/>
      <c r="P410" s="2"/>
      <c r="Q410" s="32"/>
      <c r="R410" s="32"/>
      <c r="S410" s="32"/>
      <c r="T410" s="3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2"/>
      <c r="C411" s="10"/>
      <c r="D411" s="10"/>
      <c r="E411" s="10"/>
      <c r="F411" s="10"/>
      <c r="G411" s="69"/>
      <c r="H411" s="69"/>
      <c r="I411" s="69"/>
      <c r="J411" s="70"/>
      <c r="K411" s="69"/>
      <c r="L411" s="69"/>
      <c r="M411" s="69"/>
      <c r="N411" s="69"/>
      <c r="O411" s="2"/>
      <c r="P411" s="2"/>
      <c r="Q411" s="32"/>
      <c r="R411" s="32"/>
      <c r="S411" s="32"/>
      <c r="T411" s="3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2"/>
      <c r="C412" s="10"/>
      <c r="D412" s="10"/>
      <c r="E412" s="10"/>
      <c r="F412" s="10"/>
      <c r="G412" s="69"/>
      <c r="H412" s="69"/>
      <c r="I412" s="69"/>
      <c r="J412" s="70"/>
      <c r="K412" s="69"/>
      <c r="L412" s="69"/>
      <c r="M412" s="69"/>
      <c r="N412" s="69"/>
      <c r="O412" s="2"/>
      <c r="P412" s="2"/>
      <c r="Q412" s="32"/>
      <c r="R412" s="32"/>
      <c r="S412" s="32"/>
      <c r="T412" s="3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2"/>
      <c r="C413" s="10"/>
      <c r="D413" s="10"/>
      <c r="E413" s="10"/>
      <c r="F413" s="10"/>
      <c r="G413" s="69"/>
      <c r="H413" s="69"/>
      <c r="I413" s="69"/>
      <c r="J413" s="70"/>
      <c r="K413" s="69"/>
      <c r="L413" s="69"/>
      <c r="M413" s="69"/>
      <c r="N413" s="69"/>
      <c r="O413" s="2"/>
      <c r="P413" s="2"/>
      <c r="Q413" s="32"/>
      <c r="R413" s="32"/>
      <c r="S413" s="32"/>
      <c r="T413" s="3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2"/>
      <c r="C414" s="10"/>
      <c r="D414" s="10"/>
      <c r="E414" s="10"/>
      <c r="F414" s="10"/>
      <c r="G414" s="69"/>
      <c r="H414" s="69"/>
      <c r="I414" s="69"/>
      <c r="J414" s="70"/>
      <c r="K414" s="69"/>
      <c r="L414" s="69"/>
      <c r="M414" s="69"/>
      <c r="N414" s="69"/>
      <c r="O414" s="2"/>
      <c r="P414" s="2"/>
      <c r="Q414" s="32"/>
      <c r="R414" s="32"/>
      <c r="S414" s="32"/>
      <c r="T414" s="3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2"/>
      <c r="C415" s="10"/>
      <c r="D415" s="10"/>
      <c r="E415" s="10"/>
      <c r="F415" s="10"/>
      <c r="G415" s="69"/>
      <c r="H415" s="69"/>
      <c r="I415" s="69"/>
      <c r="J415" s="70"/>
      <c r="K415" s="69"/>
      <c r="L415" s="69"/>
      <c r="M415" s="69"/>
      <c r="N415" s="69"/>
      <c r="O415" s="2"/>
      <c r="P415" s="2"/>
      <c r="Q415" s="32"/>
      <c r="R415" s="32"/>
      <c r="S415" s="32"/>
      <c r="T415" s="3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2"/>
      <c r="C416" s="10"/>
      <c r="D416" s="10"/>
      <c r="E416" s="10"/>
      <c r="F416" s="10"/>
      <c r="G416" s="69"/>
      <c r="H416" s="69"/>
      <c r="I416" s="69"/>
      <c r="J416" s="70"/>
      <c r="K416" s="69"/>
      <c r="L416" s="69"/>
      <c r="M416" s="69"/>
      <c r="N416" s="69"/>
      <c r="O416" s="2"/>
      <c r="P416" s="2"/>
      <c r="Q416" s="32"/>
      <c r="R416" s="32"/>
      <c r="S416" s="32"/>
      <c r="T416" s="3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2"/>
      <c r="C417" s="10"/>
      <c r="D417" s="10"/>
      <c r="E417" s="10"/>
      <c r="F417" s="10"/>
      <c r="G417" s="69"/>
      <c r="H417" s="69"/>
      <c r="I417" s="69"/>
      <c r="J417" s="70"/>
      <c r="K417" s="69"/>
      <c r="L417" s="69"/>
      <c r="M417" s="69"/>
      <c r="N417" s="69"/>
      <c r="O417" s="2"/>
      <c r="P417" s="2"/>
      <c r="Q417" s="32"/>
      <c r="R417" s="32"/>
      <c r="S417" s="32"/>
      <c r="T417" s="3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2"/>
      <c r="C418" s="10"/>
      <c r="D418" s="10"/>
      <c r="E418" s="10"/>
      <c r="F418" s="10"/>
      <c r="G418" s="69"/>
      <c r="H418" s="69"/>
      <c r="I418" s="69"/>
      <c r="J418" s="70"/>
      <c r="K418" s="69"/>
      <c r="L418" s="69"/>
      <c r="M418" s="69"/>
      <c r="N418" s="69"/>
      <c r="O418" s="2"/>
      <c r="P418" s="2"/>
      <c r="Q418" s="32"/>
      <c r="R418" s="32"/>
      <c r="S418" s="32"/>
      <c r="T418" s="3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2"/>
      <c r="C419" s="10"/>
      <c r="D419" s="10"/>
      <c r="E419" s="10"/>
      <c r="F419" s="10"/>
      <c r="G419" s="69"/>
      <c r="H419" s="69"/>
      <c r="I419" s="69"/>
      <c r="J419" s="70"/>
      <c r="K419" s="69"/>
      <c r="L419" s="69"/>
      <c r="M419" s="69"/>
      <c r="N419" s="69"/>
      <c r="O419" s="2"/>
      <c r="P419" s="2"/>
      <c r="Q419" s="32"/>
      <c r="R419" s="32"/>
      <c r="S419" s="32"/>
      <c r="T419" s="3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2"/>
      <c r="C420" s="10"/>
      <c r="D420" s="10"/>
      <c r="E420" s="10"/>
      <c r="F420" s="10"/>
      <c r="G420" s="69"/>
      <c r="H420" s="69"/>
      <c r="I420" s="69"/>
      <c r="J420" s="70"/>
      <c r="K420" s="69"/>
      <c r="L420" s="69"/>
      <c r="M420" s="69"/>
      <c r="N420" s="69"/>
      <c r="O420" s="2"/>
      <c r="P420" s="2"/>
      <c r="Q420" s="32"/>
      <c r="R420" s="32"/>
      <c r="S420" s="32"/>
      <c r="T420" s="3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2"/>
      <c r="C421" s="10"/>
      <c r="D421" s="10"/>
      <c r="E421" s="10"/>
      <c r="F421" s="10"/>
      <c r="G421" s="69"/>
      <c r="H421" s="69"/>
      <c r="I421" s="69"/>
      <c r="J421" s="70"/>
      <c r="K421" s="69"/>
      <c r="L421" s="69"/>
      <c r="M421" s="69"/>
      <c r="N421" s="69"/>
      <c r="O421" s="2"/>
      <c r="P421" s="2"/>
      <c r="Q421" s="32"/>
      <c r="R421" s="32"/>
      <c r="S421" s="32"/>
      <c r="T421" s="3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2"/>
      <c r="C422" s="10"/>
      <c r="D422" s="10"/>
      <c r="E422" s="10"/>
      <c r="F422" s="10"/>
      <c r="G422" s="69"/>
      <c r="H422" s="69"/>
      <c r="I422" s="69"/>
      <c r="J422" s="70"/>
      <c r="K422" s="69"/>
      <c r="L422" s="69"/>
      <c r="M422" s="69"/>
      <c r="N422" s="69"/>
      <c r="O422" s="2"/>
      <c r="P422" s="2"/>
      <c r="Q422" s="32"/>
      <c r="R422" s="32"/>
      <c r="S422" s="32"/>
      <c r="T422" s="3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2"/>
      <c r="C423" s="10"/>
      <c r="D423" s="10"/>
      <c r="E423" s="10"/>
      <c r="F423" s="10"/>
      <c r="G423" s="69"/>
      <c r="H423" s="69"/>
      <c r="I423" s="69"/>
      <c r="J423" s="70"/>
      <c r="K423" s="69"/>
      <c r="L423" s="69"/>
      <c r="M423" s="69"/>
      <c r="N423" s="69"/>
      <c r="O423" s="2"/>
      <c r="P423" s="2"/>
      <c r="Q423" s="32"/>
      <c r="R423" s="32"/>
      <c r="S423" s="32"/>
      <c r="T423" s="3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2"/>
      <c r="C424" s="10"/>
      <c r="D424" s="10"/>
      <c r="E424" s="10"/>
      <c r="F424" s="10"/>
      <c r="G424" s="69"/>
      <c r="H424" s="69"/>
      <c r="I424" s="69"/>
      <c r="J424" s="70"/>
      <c r="K424" s="69"/>
      <c r="L424" s="69"/>
      <c r="M424" s="69"/>
      <c r="N424" s="69"/>
      <c r="O424" s="2"/>
      <c r="P424" s="2"/>
      <c r="Q424" s="32"/>
      <c r="R424" s="32"/>
      <c r="S424" s="32"/>
      <c r="T424" s="3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2"/>
      <c r="C425" s="10"/>
      <c r="D425" s="10"/>
      <c r="E425" s="10"/>
      <c r="F425" s="10"/>
      <c r="G425" s="69"/>
      <c r="H425" s="69"/>
      <c r="I425" s="69"/>
      <c r="J425" s="70"/>
      <c r="K425" s="69"/>
      <c r="L425" s="69"/>
      <c r="M425" s="69"/>
      <c r="N425" s="69"/>
      <c r="O425" s="2"/>
      <c r="P425" s="2"/>
      <c r="Q425" s="32"/>
      <c r="R425" s="32"/>
      <c r="S425" s="32"/>
      <c r="T425" s="3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2"/>
      <c r="C426" s="10"/>
      <c r="D426" s="10"/>
      <c r="E426" s="10"/>
      <c r="F426" s="10"/>
      <c r="G426" s="69"/>
      <c r="H426" s="69"/>
      <c r="I426" s="69"/>
      <c r="J426" s="70"/>
      <c r="K426" s="69"/>
      <c r="L426" s="69"/>
      <c r="M426" s="69"/>
      <c r="N426" s="69"/>
      <c r="O426" s="2"/>
      <c r="P426" s="2"/>
      <c r="Q426" s="32"/>
      <c r="R426" s="32"/>
      <c r="S426" s="32"/>
      <c r="T426" s="3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2"/>
      <c r="C427" s="10"/>
      <c r="D427" s="10"/>
      <c r="E427" s="10"/>
      <c r="F427" s="10"/>
      <c r="G427" s="69"/>
      <c r="H427" s="69"/>
      <c r="I427" s="69"/>
      <c r="J427" s="70"/>
      <c r="K427" s="69"/>
      <c r="L427" s="69"/>
      <c r="M427" s="69"/>
      <c r="N427" s="69"/>
      <c r="O427" s="2"/>
      <c r="P427" s="2"/>
      <c r="Q427" s="32"/>
      <c r="R427" s="32"/>
      <c r="S427" s="32"/>
      <c r="T427" s="3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2"/>
      <c r="C428" s="10"/>
      <c r="D428" s="10"/>
      <c r="E428" s="10"/>
      <c r="F428" s="10"/>
      <c r="G428" s="69"/>
      <c r="H428" s="69"/>
      <c r="I428" s="69"/>
      <c r="J428" s="70"/>
      <c r="K428" s="69"/>
      <c r="L428" s="69"/>
      <c r="M428" s="69"/>
      <c r="N428" s="69"/>
      <c r="O428" s="2"/>
      <c r="P428" s="2"/>
      <c r="Q428" s="32"/>
      <c r="R428" s="32"/>
      <c r="S428" s="32"/>
      <c r="T428" s="3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2"/>
      <c r="C429" s="10"/>
      <c r="D429" s="10"/>
      <c r="E429" s="10"/>
      <c r="F429" s="10"/>
      <c r="G429" s="69"/>
      <c r="H429" s="69"/>
      <c r="I429" s="69"/>
      <c r="J429" s="70"/>
      <c r="K429" s="69"/>
      <c r="L429" s="69"/>
      <c r="M429" s="69"/>
      <c r="N429" s="69"/>
      <c r="O429" s="2"/>
      <c r="P429" s="2"/>
      <c r="Q429" s="32"/>
      <c r="R429" s="32"/>
      <c r="S429" s="32"/>
      <c r="T429" s="3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2"/>
      <c r="C430" s="10"/>
      <c r="D430" s="10"/>
      <c r="E430" s="10"/>
      <c r="F430" s="10"/>
      <c r="G430" s="69"/>
      <c r="H430" s="69"/>
      <c r="I430" s="69"/>
      <c r="J430" s="70"/>
      <c r="K430" s="69"/>
      <c r="L430" s="69"/>
      <c r="M430" s="69"/>
      <c r="N430" s="69"/>
      <c r="O430" s="2"/>
      <c r="P430" s="2"/>
      <c r="Q430" s="32"/>
      <c r="R430" s="32"/>
      <c r="S430" s="32"/>
      <c r="T430" s="3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2"/>
      <c r="C431" s="10"/>
      <c r="D431" s="10"/>
      <c r="E431" s="10"/>
      <c r="F431" s="10"/>
      <c r="G431" s="69"/>
      <c r="H431" s="69"/>
      <c r="I431" s="69"/>
      <c r="J431" s="70"/>
      <c r="K431" s="69"/>
      <c r="L431" s="69"/>
      <c r="M431" s="69"/>
      <c r="N431" s="69"/>
      <c r="O431" s="2"/>
      <c r="P431" s="2"/>
      <c r="Q431" s="32"/>
      <c r="R431" s="32"/>
      <c r="S431" s="32"/>
      <c r="T431" s="3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2"/>
      <c r="C432" s="10"/>
      <c r="D432" s="10"/>
      <c r="E432" s="10"/>
      <c r="F432" s="10"/>
      <c r="G432" s="69"/>
      <c r="H432" s="69"/>
      <c r="I432" s="69"/>
      <c r="J432" s="70"/>
      <c r="K432" s="69"/>
      <c r="L432" s="69"/>
      <c r="M432" s="69"/>
      <c r="N432" s="69"/>
      <c r="O432" s="2"/>
      <c r="P432" s="2"/>
      <c r="Q432" s="32"/>
      <c r="R432" s="32"/>
      <c r="S432" s="32"/>
      <c r="T432" s="3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2"/>
      <c r="C433" s="10"/>
      <c r="D433" s="10"/>
      <c r="E433" s="10"/>
      <c r="F433" s="10"/>
      <c r="G433" s="69"/>
      <c r="H433" s="69"/>
      <c r="I433" s="69"/>
      <c r="J433" s="70"/>
      <c r="K433" s="69"/>
      <c r="L433" s="69"/>
      <c r="M433" s="69"/>
      <c r="N433" s="69"/>
      <c r="O433" s="2"/>
      <c r="P433" s="2"/>
      <c r="Q433" s="32"/>
      <c r="R433" s="32"/>
      <c r="S433" s="32"/>
      <c r="T433" s="3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2"/>
      <c r="C434" s="10"/>
      <c r="D434" s="10"/>
      <c r="E434" s="10"/>
      <c r="F434" s="10"/>
      <c r="G434" s="69"/>
      <c r="H434" s="69"/>
      <c r="I434" s="69"/>
      <c r="J434" s="70"/>
      <c r="K434" s="69"/>
      <c r="L434" s="69"/>
      <c r="M434" s="69"/>
      <c r="N434" s="69"/>
      <c r="O434" s="2"/>
      <c r="P434" s="2"/>
      <c r="Q434" s="32"/>
      <c r="R434" s="32"/>
      <c r="S434" s="32"/>
      <c r="T434" s="3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2"/>
      <c r="C435" s="10"/>
      <c r="D435" s="10"/>
      <c r="E435" s="10"/>
      <c r="F435" s="10"/>
      <c r="G435" s="69"/>
      <c r="H435" s="69"/>
      <c r="I435" s="69"/>
      <c r="J435" s="70"/>
      <c r="K435" s="69"/>
      <c r="L435" s="69"/>
      <c r="M435" s="69"/>
      <c r="N435" s="69"/>
      <c r="O435" s="2"/>
      <c r="P435" s="2"/>
      <c r="Q435" s="32"/>
      <c r="R435" s="32"/>
      <c r="S435" s="32"/>
      <c r="T435" s="3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2"/>
      <c r="C436" s="10"/>
      <c r="D436" s="10"/>
      <c r="E436" s="10"/>
      <c r="F436" s="10"/>
      <c r="G436" s="69"/>
      <c r="H436" s="69"/>
      <c r="I436" s="69"/>
      <c r="J436" s="70"/>
      <c r="K436" s="69"/>
      <c r="L436" s="69"/>
      <c r="M436" s="69"/>
      <c r="N436" s="69"/>
      <c r="O436" s="2"/>
      <c r="P436" s="2"/>
      <c r="Q436" s="32"/>
      <c r="R436" s="32"/>
      <c r="S436" s="32"/>
      <c r="T436" s="3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2"/>
      <c r="C437" s="10"/>
      <c r="D437" s="10"/>
      <c r="E437" s="10"/>
      <c r="F437" s="10"/>
      <c r="G437" s="69"/>
      <c r="H437" s="69"/>
      <c r="I437" s="69"/>
      <c r="J437" s="70"/>
      <c r="K437" s="69"/>
      <c r="L437" s="69"/>
      <c r="M437" s="69"/>
      <c r="N437" s="69"/>
      <c r="O437" s="2"/>
      <c r="P437" s="2"/>
      <c r="Q437" s="32"/>
      <c r="R437" s="32"/>
      <c r="S437" s="32"/>
      <c r="T437" s="3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2"/>
      <c r="C438" s="10"/>
      <c r="D438" s="10"/>
      <c r="E438" s="10"/>
      <c r="F438" s="10"/>
      <c r="G438" s="69"/>
      <c r="H438" s="69"/>
      <c r="I438" s="69"/>
      <c r="J438" s="70"/>
      <c r="K438" s="69"/>
      <c r="L438" s="69"/>
      <c r="M438" s="69"/>
      <c r="N438" s="69"/>
      <c r="O438" s="2"/>
      <c r="P438" s="2"/>
      <c r="Q438" s="32"/>
      <c r="R438" s="32"/>
      <c r="S438" s="32"/>
      <c r="T438" s="3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2"/>
      <c r="C439" s="10"/>
      <c r="D439" s="10"/>
      <c r="E439" s="10"/>
      <c r="F439" s="10"/>
      <c r="G439" s="69"/>
      <c r="H439" s="69"/>
      <c r="I439" s="69"/>
      <c r="J439" s="70"/>
      <c r="K439" s="69"/>
      <c r="L439" s="69"/>
      <c r="M439" s="69"/>
      <c r="N439" s="69"/>
      <c r="O439" s="2"/>
      <c r="P439" s="2"/>
      <c r="Q439" s="32"/>
      <c r="R439" s="32"/>
      <c r="S439" s="32"/>
      <c r="T439" s="3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2"/>
      <c r="C440" s="10"/>
      <c r="D440" s="10"/>
      <c r="E440" s="10"/>
      <c r="F440" s="10"/>
      <c r="G440" s="69"/>
      <c r="H440" s="69"/>
      <c r="I440" s="69"/>
      <c r="J440" s="70"/>
      <c r="K440" s="69"/>
      <c r="L440" s="69"/>
      <c r="M440" s="69"/>
      <c r="N440" s="69"/>
      <c r="O440" s="2"/>
      <c r="P440" s="2"/>
      <c r="Q440" s="32"/>
      <c r="R440" s="32"/>
      <c r="S440" s="32"/>
      <c r="T440" s="3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2"/>
      <c r="C441" s="10"/>
      <c r="D441" s="10"/>
      <c r="E441" s="10"/>
      <c r="F441" s="10"/>
      <c r="G441" s="69"/>
      <c r="H441" s="69"/>
      <c r="I441" s="69"/>
      <c r="J441" s="70"/>
      <c r="K441" s="69"/>
      <c r="L441" s="69"/>
      <c r="M441" s="69"/>
      <c r="N441" s="69"/>
      <c r="O441" s="2"/>
      <c r="P441" s="2"/>
      <c r="Q441" s="32"/>
      <c r="R441" s="32"/>
      <c r="S441" s="32"/>
      <c r="T441" s="3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2"/>
      <c r="C442" s="10"/>
      <c r="D442" s="10"/>
      <c r="E442" s="10"/>
      <c r="F442" s="10"/>
      <c r="G442" s="69"/>
      <c r="H442" s="69"/>
      <c r="I442" s="69"/>
      <c r="J442" s="70"/>
      <c r="K442" s="69"/>
      <c r="L442" s="69"/>
      <c r="M442" s="69"/>
      <c r="N442" s="69"/>
      <c r="O442" s="2"/>
      <c r="P442" s="2"/>
      <c r="Q442" s="32"/>
      <c r="R442" s="32"/>
      <c r="S442" s="32"/>
      <c r="T442" s="3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2"/>
      <c r="C443" s="10"/>
      <c r="D443" s="10"/>
      <c r="E443" s="10"/>
      <c r="F443" s="10"/>
      <c r="G443" s="69"/>
      <c r="H443" s="69"/>
      <c r="I443" s="69"/>
      <c r="J443" s="70"/>
      <c r="K443" s="69"/>
      <c r="L443" s="69"/>
      <c r="M443" s="69"/>
      <c r="N443" s="69"/>
      <c r="O443" s="2"/>
      <c r="P443" s="2"/>
      <c r="Q443" s="32"/>
      <c r="R443" s="32"/>
      <c r="S443" s="32"/>
      <c r="T443" s="3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2"/>
      <c r="C444" s="10"/>
      <c r="D444" s="10"/>
      <c r="E444" s="10"/>
      <c r="F444" s="10"/>
      <c r="G444" s="69"/>
      <c r="H444" s="69"/>
      <c r="I444" s="69"/>
      <c r="J444" s="70"/>
      <c r="K444" s="69"/>
      <c r="L444" s="69"/>
      <c r="M444" s="69"/>
      <c r="N444" s="69"/>
      <c r="O444" s="2"/>
      <c r="P444" s="2"/>
      <c r="Q444" s="32"/>
      <c r="R444" s="32"/>
      <c r="S444" s="32"/>
      <c r="T444" s="3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2"/>
      <c r="C445" s="10"/>
      <c r="D445" s="10"/>
      <c r="E445" s="10"/>
      <c r="F445" s="10"/>
      <c r="G445" s="69"/>
      <c r="H445" s="69"/>
      <c r="I445" s="69"/>
      <c r="J445" s="70"/>
      <c r="K445" s="69"/>
      <c r="L445" s="69"/>
      <c r="M445" s="69"/>
      <c r="N445" s="69"/>
      <c r="O445" s="2"/>
      <c r="P445" s="2"/>
      <c r="Q445" s="32"/>
      <c r="R445" s="32"/>
      <c r="S445" s="32"/>
      <c r="T445" s="3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2"/>
      <c r="C446" s="10"/>
      <c r="D446" s="10"/>
      <c r="E446" s="10"/>
      <c r="F446" s="10"/>
      <c r="G446" s="69"/>
      <c r="H446" s="69"/>
      <c r="I446" s="69"/>
      <c r="J446" s="70"/>
      <c r="K446" s="69"/>
      <c r="L446" s="69"/>
      <c r="M446" s="69"/>
      <c r="N446" s="69"/>
      <c r="O446" s="2"/>
      <c r="P446" s="2"/>
      <c r="Q446" s="32"/>
      <c r="R446" s="32"/>
      <c r="S446" s="32"/>
      <c r="T446" s="3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2"/>
      <c r="C447" s="10"/>
      <c r="D447" s="10"/>
      <c r="E447" s="10"/>
      <c r="F447" s="10"/>
      <c r="G447" s="69"/>
      <c r="H447" s="69"/>
      <c r="I447" s="69"/>
      <c r="J447" s="70"/>
      <c r="K447" s="69"/>
      <c r="L447" s="69"/>
      <c r="M447" s="69"/>
      <c r="N447" s="69"/>
      <c r="O447" s="2"/>
      <c r="P447" s="2"/>
      <c r="Q447" s="32"/>
      <c r="R447" s="32"/>
      <c r="S447" s="32"/>
      <c r="T447" s="3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2"/>
      <c r="C448" s="10"/>
      <c r="D448" s="10"/>
      <c r="E448" s="10"/>
      <c r="F448" s="10"/>
      <c r="G448" s="69"/>
      <c r="H448" s="69"/>
      <c r="I448" s="69"/>
      <c r="J448" s="70"/>
      <c r="K448" s="69"/>
      <c r="L448" s="69"/>
      <c r="M448" s="69"/>
      <c r="N448" s="69"/>
      <c r="O448" s="2"/>
      <c r="P448" s="2"/>
      <c r="Q448" s="32"/>
      <c r="R448" s="32"/>
      <c r="S448" s="32"/>
      <c r="T448" s="3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2"/>
      <c r="C449" s="10"/>
      <c r="D449" s="10"/>
      <c r="E449" s="10"/>
      <c r="F449" s="10"/>
      <c r="G449" s="69"/>
      <c r="H449" s="69"/>
      <c r="I449" s="69"/>
      <c r="J449" s="70"/>
      <c r="K449" s="69"/>
      <c r="L449" s="69"/>
      <c r="M449" s="69"/>
      <c r="N449" s="69"/>
      <c r="O449" s="2"/>
      <c r="P449" s="2"/>
      <c r="Q449" s="32"/>
      <c r="R449" s="32"/>
      <c r="S449" s="32"/>
      <c r="T449" s="3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2"/>
      <c r="C450" s="10"/>
      <c r="D450" s="10"/>
      <c r="E450" s="10"/>
      <c r="F450" s="10"/>
      <c r="G450" s="69"/>
      <c r="H450" s="69"/>
      <c r="I450" s="69"/>
      <c r="J450" s="70"/>
      <c r="K450" s="69"/>
      <c r="L450" s="69"/>
      <c r="M450" s="69"/>
      <c r="N450" s="69"/>
      <c r="O450" s="2"/>
      <c r="P450" s="2"/>
      <c r="Q450" s="32"/>
      <c r="R450" s="32"/>
      <c r="S450" s="32"/>
      <c r="T450" s="3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2"/>
      <c r="C451" s="10"/>
      <c r="D451" s="10"/>
      <c r="E451" s="10"/>
      <c r="F451" s="10"/>
      <c r="G451" s="69"/>
      <c r="H451" s="69"/>
      <c r="I451" s="69"/>
      <c r="J451" s="70"/>
      <c r="K451" s="69"/>
      <c r="L451" s="69"/>
      <c r="M451" s="69"/>
      <c r="N451" s="69"/>
      <c r="O451" s="2"/>
      <c r="P451" s="2"/>
      <c r="Q451" s="32"/>
      <c r="R451" s="32"/>
      <c r="S451" s="32"/>
      <c r="T451" s="3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2"/>
      <c r="C452" s="10"/>
      <c r="D452" s="10"/>
      <c r="E452" s="10"/>
      <c r="F452" s="10"/>
      <c r="G452" s="69"/>
      <c r="H452" s="69"/>
      <c r="I452" s="69"/>
      <c r="J452" s="70"/>
      <c r="K452" s="69"/>
      <c r="L452" s="69"/>
      <c r="M452" s="69"/>
      <c r="N452" s="69"/>
      <c r="O452" s="2"/>
      <c r="P452" s="2"/>
      <c r="Q452" s="32"/>
      <c r="R452" s="32"/>
      <c r="S452" s="32"/>
      <c r="T452" s="3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2"/>
      <c r="C453" s="10"/>
      <c r="D453" s="10"/>
      <c r="E453" s="10"/>
      <c r="F453" s="10"/>
      <c r="G453" s="69"/>
      <c r="H453" s="69"/>
      <c r="I453" s="69"/>
      <c r="J453" s="70"/>
      <c r="K453" s="69"/>
      <c r="L453" s="69"/>
      <c r="M453" s="69"/>
      <c r="N453" s="69"/>
      <c r="O453" s="2"/>
      <c r="P453" s="2"/>
      <c r="Q453" s="32"/>
      <c r="R453" s="32"/>
      <c r="S453" s="32"/>
      <c r="T453" s="3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2"/>
      <c r="C454" s="10"/>
      <c r="D454" s="10"/>
      <c r="E454" s="10"/>
      <c r="F454" s="10"/>
      <c r="G454" s="69"/>
      <c r="H454" s="69"/>
      <c r="I454" s="69"/>
      <c r="J454" s="70"/>
      <c r="K454" s="69"/>
      <c r="L454" s="69"/>
      <c r="M454" s="69"/>
      <c r="N454" s="69"/>
      <c r="O454" s="2"/>
      <c r="P454" s="2"/>
      <c r="Q454" s="32"/>
      <c r="R454" s="32"/>
      <c r="S454" s="32"/>
      <c r="T454" s="3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2"/>
      <c r="C455" s="10"/>
      <c r="D455" s="10"/>
      <c r="E455" s="10"/>
      <c r="F455" s="10"/>
      <c r="G455" s="69"/>
      <c r="H455" s="69"/>
      <c r="I455" s="69"/>
      <c r="J455" s="70"/>
      <c r="K455" s="69"/>
      <c r="L455" s="69"/>
      <c r="M455" s="69"/>
      <c r="N455" s="69"/>
      <c r="O455" s="2"/>
      <c r="P455" s="2"/>
      <c r="Q455" s="32"/>
      <c r="R455" s="32"/>
      <c r="S455" s="32"/>
      <c r="T455" s="3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2"/>
      <c r="C456" s="10"/>
      <c r="D456" s="10"/>
      <c r="E456" s="10"/>
      <c r="F456" s="10"/>
      <c r="G456" s="69"/>
      <c r="H456" s="69"/>
      <c r="I456" s="69"/>
      <c r="J456" s="70"/>
      <c r="K456" s="69"/>
      <c r="L456" s="69"/>
      <c r="M456" s="69"/>
      <c r="N456" s="69"/>
      <c r="O456" s="2"/>
      <c r="P456" s="2"/>
      <c r="Q456" s="32"/>
      <c r="R456" s="32"/>
      <c r="S456" s="32"/>
      <c r="T456" s="3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2"/>
      <c r="C457" s="10"/>
      <c r="D457" s="10"/>
      <c r="E457" s="10"/>
      <c r="F457" s="10"/>
      <c r="G457" s="69"/>
      <c r="H457" s="69"/>
      <c r="I457" s="69"/>
      <c r="J457" s="70"/>
      <c r="K457" s="69"/>
      <c r="L457" s="69"/>
      <c r="M457" s="69"/>
      <c r="N457" s="69"/>
      <c r="O457" s="2"/>
      <c r="P457" s="2"/>
      <c r="Q457" s="32"/>
      <c r="R457" s="32"/>
      <c r="S457" s="32"/>
      <c r="T457" s="3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2"/>
      <c r="C458" s="10"/>
      <c r="D458" s="10"/>
      <c r="E458" s="10"/>
      <c r="F458" s="10"/>
      <c r="G458" s="69"/>
      <c r="H458" s="69"/>
      <c r="I458" s="69"/>
      <c r="J458" s="70"/>
      <c r="K458" s="69"/>
      <c r="L458" s="69"/>
      <c r="M458" s="69"/>
      <c r="N458" s="69"/>
      <c r="O458" s="2"/>
      <c r="P458" s="2"/>
      <c r="Q458" s="32"/>
      <c r="R458" s="32"/>
      <c r="S458" s="32"/>
      <c r="T458" s="3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2"/>
      <c r="C459" s="10"/>
      <c r="D459" s="10"/>
      <c r="E459" s="10"/>
      <c r="F459" s="10"/>
      <c r="G459" s="69"/>
      <c r="H459" s="69"/>
      <c r="I459" s="69"/>
      <c r="J459" s="70"/>
      <c r="K459" s="69"/>
      <c r="L459" s="69"/>
      <c r="M459" s="69"/>
      <c r="N459" s="69"/>
      <c r="O459" s="2"/>
      <c r="P459" s="2"/>
      <c r="Q459" s="32"/>
      <c r="R459" s="32"/>
      <c r="S459" s="32"/>
      <c r="T459" s="3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2"/>
      <c r="C460" s="10"/>
      <c r="D460" s="10"/>
      <c r="E460" s="10"/>
      <c r="F460" s="10"/>
      <c r="G460" s="69"/>
      <c r="H460" s="69"/>
      <c r="I460" s="69"/>
      <c r="J460" s="70"/>
      <c r="K460" s="69"/>
      <c r="L460" s="69"/>
      <c r="M460" s="69"/>
      <c r="N460" s="69"/>
      <c r="O460" s="2"/>
      <c r="P460" s="2"/>
      <c r="Q460" s="32"/>
      <c r="R460" s="32"/>
      <c r="S460" s="32"/>
      <c r="T460" s="3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2"/>
      <c r="C461" s="10"/>
      <c r="D461" s="10"/>
      <c r="E461" s="10"/>
      <c r="F461" s="10"/>
      <c r="G461" s="69"/>
      <c r="H461" s="69"/>
      <c r="I461" s="69"/>
      <c r="J461" s="70"/>
      <c r="K461" s="69"/>
      <c r="L461" s="69"/>
      <c r="M461" s="69"/>
      <c r="N461" s="69"/>
      <c r="O461" s="2"/>
      <c r="P461" s="2"/>
      <c r="Q461" s="32"/>
      <c r="R461" s="32"/>
      <c r="S461" s="32"/>
      <c r="T461" s="3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2"/>
      <c r="C462" s="10"/>
      <c r="D462" s="10"/>
      <c r="E462" s="10"/>
      <c r="F462" s="10"/>
      <c r="G462" s="69"/>
      <c r="H462" s="69"/>
      <c r="I462" s="69"/>
      <c r="J462" s="70"/>
      <c r="K462" s="69"/>
      <c r="L462" s="69"/>
      <c r="M462" s="69"/>
      <c r="N462" s="69"/>
      <c r="O462" s="2"/>
      <c r="P462" s="2"/>
      <c r="Q462" s="32"/>
      <c r="R462" s="32"/>
      <c r="S462" s="32"/>
      <c r="T462" s="3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2"/>
      <c r="C463" s="10"/>
      <c r="D463" s="10"/>
      <c r="E463" s="10"/>
      <c r="F463" s="10"/>
      <c r="G463" s="69"/>
      <c r="H463" s="69"/>
      <c r="I463" s="69"/>
      <c r="J463" s="70"/>
      <c r="K463" s="69"/>
      <c r="L463" s="69"/>
      <c r="M463" s="69"/>
      <c r="N463" s="69"/>
      <c r="O463" s="2"/>
      <c r="P463" s="2"/>
      <c r="Q463" s="32"/>
      <c r="R463" s="32"/>
      <c r="S463" s="32"/>
      <c r="T463" s="3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2"/>
      <c r="C464" s="10"/>
      <c r="D464" s="10"/>
      <c r="E464" s="10"/>
      <c r="F464" s="10"/>
      <c r="G464" s="69"/>
      <c r="H464" s="69"/>
      <c r="I464" s="69"/>
      <c r="J464" s="70"/>
      <c r="K464" s="69"/>
      <c r="L464" s="69"/>
      <c r="M464" s="69"/>
      <c r="N464" s="69"/>
      <c r="O464" s="2"/>
      <c r="P464" s="2"/>
      <c r="Q464" s="32"/>
      <c r="R464" s="32"/>
      <c r="S464" s="32"/>
      <c r="T464" s="3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2"/>
      <c r="C465" s="10"/>
      <c r="D465" s="10"/>
      <c r="E465" s="10"/>
      <c r="F465" s="10"/>
      <c r="G465" s="69"/>
      <c r="H465" s="69"/>
      <c r="I465" s="69"/>
      <c r="J465" s="70"/>
      <c r="K465" s="69"/>
      <c r="L465" s="69"/>
      <c r="M465" s="69"/>
      <c r="N465" s="69"/>
      <c r="O465" s="2"/>
      <c r="P465" s="2"/>
      <c r="Q465" s="32"/>
      <c r="R465" s="32"/>
      <c r="S465" s="32"/>
      <c r="T465" s="3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2"/>
      <c r="C466" s="10"/>
      <c r="D466" s="10"/>
      <c r="E466" s="10"/>
      <c r="F466" s="10"/>
      <c r="G466" s="69"/>
      <c r="H466" s="69"/>
      <c r="I466" s="69"/>
      <c r="J466" s="70"/>
      <c r="K466" s="69"/>
      <c r="L466" s="69"/>
      <c r="M466" s="69"/>
      <c r="N466" s="69"/>
      <c r="O466" s="2"/>
      <c r="P466" s="2"/>
      <c r="Q466" s="32"/>
      <c r="R466" s="32"/>
      <c r="S466" s="32"/>
      <c r="T466" s="3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2"/>
      <c r="C467" s="10"/>
      <c r="D467" s="10"/>
      <c r="E467" s="10"/>
      <c r="F467" s="10"/>
      <c r="G467" s="69"/>
      <c r="H467" s="69"/>
      <c r="I467" s="69"/>
      <c r="J467" s="70"/>
      <c r="K467" s="69"/>
      <c r="L467" s="69"/>
      <c r="M467" s="69"/>
      <c r="N467" s="69"/>
      <c r="O467" s="2"/>
      <c r="P467" s="2"/>
      <c r="Q467" s="32"/>
      <c r="R467" s="32"/>
      <c r="S467" s="32"/>
      <c r="T467" s="3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2"/>
      <c r="C468" s="10"/>
      <c r="D468" s="10"/>
      <c r="E468" s="10"/>
      <c r="F468" s="10"/>
      <c r="G468" s="69"/>
      <c r="H468" s="69"/>
      <c r="I468" s="69"/>
      <c r="J468" s="70"/>
      <c r="K468" s="69"/>
      <c r="L468" s="69"/>
      <c r="M468" s="69"/>
      <c r="N468" s="69"/>
      <c r="O468" s="2"/>
      <c r="P468" s="2"/>
      <c r="Q468" s="32"/>
      <c r="R468" s="32"/>
      <c r="S468" s="32"/>
      <c r="T468" s="3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2"/>
      <c r="C469" s="10"/>
      <c r="D469" s="10"/>
      <c r="E469" s="10"/>
      <c r="F469" s="10"/>
      <c r="G469" s="69"/>
      <c r="H469" s="69"/>
      <c r="I469" s="69"/>
      <c r="J469" s="70"/>
      <c r="K469" s="69"/>
      <c r="L469" s="69"/>
      <c r="M469" s="69"/>
      <c r="N469" s="69"/>
      <c r="O469" s="2"/>
      <c r="P469" s="2"/>
      <c r="Q469" s="32"/>
      <c r="R469" s="32"/>
      <c r="S469" s="32"/>
      <c r="T469" s="3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2"/>
      <c r="C470" s="10"/>
      <c r="D470" s="10"/>
      <c r="E470" s="10"/>
      <c r="F470" s="10"/>
      <c r="G470" s="69"/>
      <c r="H470" s="69"/>
      <c r="I470" s="69"/>
      <c r="J470" s="70"/>
      <c r="K470" s="69"/>
      <c r="L470" s="69"/>
      <c r="M470" s="69"/>
      <c r="N470" s="69"/>
      <c r="O470" s="2"/>
      <c r="P470" s="2"/>
      <c r="Q470" s="32"/>
      <c r="R470" s="32"/>
      <c r="S470" s="32"/>
      <c r="T470" s="3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2"/>
      <c r="C471" s="10"/>
      <c r="D471" s="10"/>
      <c r="E471" s="10"/>
      <c r="F471" s="10"/>
      <c r="G471" s="69"/>
      <c r="H471" s="69"/>
      <c r="I471" s="69"/>
      <c r="J471" s="70"/>
      <c r="K471" s="69"/>
      <c r="L471" s="69"/>
      <c r="M471" s="69"/>
      <c r="N471" s="69"/>
      <c r="O471" s="2"/>
      <c r="P471" s="2"/>
      <c r="Q471" s="32"/>
      <c r="R471" s="32"/>
      <c r="S471" s="32"/>
      <c r="T471" s="3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2"/>
      <c r="C472" s="10"/>
      <c r="D472" s="10"/>
      <c r="E472" s="10"/>
      <c r="F472" s="10"/>
      <c r="G472" s="69"/>
      <c r="H472" s="69"/>
      <c r="I472" s="69"/>
      <c r="J472" s="70"/>
      <c r="K472" s="69"/>
      <c r="L472" s="69"/>
      <c r="M472" s="69"/>
      <c r="N472" s="69"/>
      <c r="O472" s="2"/>
      <c r="P472" s="2"/>
      <c r="Q472" s="32"/>
      <c r="R472" s="32"/>
      <c r="S472" s="32"/>
      <c r="T472" s="3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2"/>
      <c r="C473" s="10"/>
      <c r="D473" s="10"/>
      <c r="E473" s="10"/>
      <c r="F473" s="10"/>
      <c r="G473" s="69"/>
      <c r="H473" s="69"/>
      <c r="I473" s="69"/>
      <c r="J473" s="70"/>
      <c r="K473" s="69"/>
      <c r="L473" s="69"/>
      <c r="M473" s="69"/>
      <c r="N473" s="69"/>
      <c r="O473" s="2"/>
      <c r="P473" s="2"/>
      <c r="Q473" s="32"/>
      <c r="R473" s="32"/>
      <c r="S473" s="32"/>
      <c r="T473" s="3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2"/>
      <c r="C474" s="10"/>
      <c r="D474" s="10"/>
      <c r="E474" s="10"/>
      <c r="F474" s="10"/>
      <c r="G474" s="69"/>
      <c r="H474" s="69"/>
      <c r="I474" s="69"/>
      <c r="J474" s="70"/>
      <c r="K474" s="69"/>
      <c r="L474" s="69"/>
      <c r="M474" s="69"/>
      <c r="N474" s="69"/>
      <c r="O474" s="2"/>
      <c r="P474" s="2"/>
      <c r="Q474" s="32"/>
      <c r="R474" s="32"/>
      <c r="S474" s="32"/>
      <c r="T474" s="3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2"/>
      <c r="C475" s="10"/>
      <c r="D475" s="10"/>
      <c r="E475" s="10"/>
      <c r="F475" s="10"/>
      <c r="G475" s="69"/>
      <c r="H475" s="69"/>
      <c r="I475" s="69"/>
      <c r="J475" s="70"/>
      <c r="K475" s="69"/>
      <c r="L475" s="69"/>
      <c r="M475" s="69"/>
      <c r="N475" s="69"/>
      <c r="O475" s="2"/>
      <c r="P475" s="2"/>
      <c r="Q475" s="32"/>
      <c r="R475" s="32"/>
      <c r="S475" s="32"/>
      <c r="T475" s="3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2"/>
      <c r="C476" s="10"/>
      <c r="D476" s="10"/>
      <c r="E476" s="10"/>
      <c r="F476" s="10"/>
      <c r="G476" s="69"/>
      <c r="H476" s="69"/>
      <c r="I476" s="69"/>
      <c r="J476" s="70"/>
      <c r="K476" s="69"/>
      <c r="L476" s="69"/>
      <c r="M476" s="69"/>
      <c r="N476" s="69"/>
      <c r="O476" s="2"/>
      <c r="P476" s="2"/>
      <c r="Q476" s="32"/>
      <c r="R476" s="32"/>
      <c r="S476" s="32"/>
      <c r="T476" s="3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2"/>
      <c r="C477" s="10"/>
      <c r="D477" s="10"/>
      <c r="E477" s="10"/>
      <c r="F477" s="10"/>
      <c r="G477" s="69"/>
      <c r="H477" s="69"/>
      <c r="I477" s="69"/>
      <c r="J477" s="70"/>
      <c r="K477" s="69"/>
      <c r="L477" s="69"/>
      <c r="M477" s="69"/>
      <c r="N477" s="69"/>
      <c r="O477" s="2"/>
      <c r="P477" s="2"/>
      <c r="Q477" s="32"/>
      <c r="R477" s="32"/>
      <c r="S477" s="32"/>
      <c r="T477" s="3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2"/>
      <c r="C478" s="10"/>
      <c r="D478" s="10"/>
      <c r="E478" s="10"/>
      <c r="F478" s="10"/>
      <c r="G478" s="69"/>
      <c r="H478" s="69"/>
      <c r="I478" s="69"/>
      <c r="J478" s="70"/>
      <c r="K478" s="69"/>
      <c r="L478" s="69"/>
      <c r="M478" s="69"/>
      <c r="N478" s="69"/>
      <c r="O478" s="2"/>
      <c r="P478" s="2"/>
      <c r="Q478" s="32"/>
      <c r="R478" s="32"/>
      <c r="S478" s="32"/>
      <c r="T478" s="3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2"/>
      <c r="C479" s="10"/>
      <c r="D479" s="10"/>
      <c r="E479" s="10"/>
      <c r="F479" s="10"/>
      <c r="G479" s="69"/>
      <c r="H479" s="69"/>
      <c r="I479" s="69"/>
      <c r="J479" s="70"/>
      <c r="K479" s="69"/>
      <c r="L479" s="69"/>
      <c r="M479" s="69"/>
      <c r="N479" s="69"/>
      <c r="O479" s="2"/>
      <c r="P479" s="2"/>
      <c r="Q479" s="32"/>
      <c r="R479" s="32"/>
      <c r="S479" s="32"/>
      <c r="T479" s="3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2"/>
      <c r="C480" s="10"/>
      <c r="D480" s="10"/>
      <c r="E480" s="10"/>
      <c r="F480" s="10"/>
      <c r="G480" s="69"/>
      <c r="H480" s="69"/>
      <c r="I480" s="69"/>
      <c r="J480" s="70"/>
      <c r="K480" s="69"/>
      <c r="L480" s="69"/>
      <c r="M480" s="69"/>
      <c r="N480" s="69"/>
      <c r="O480" s="2"/>
      <c r="P480" s="2"/>
      <c r="Q480" s="32"/>
      <c r="R480" s="32"/>
      <c r="S480" s="32"/>
      <c r="T480" s="3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2"/>
      <c r="C481" s="10"/>
      <c r="D481" s="10"/>
      <c r="E481" s="10"/>
      <c r="F481" s="10"/>
      <c r="G481" s="69"/>
      <c r="H481" s="69"/>
      <c r="I481" s="69"/>
      <c r="J481" s="70"/>
      <c r="K481" s="69"/>
      <c r="L481" s="69"/>
      <c r="M481" s="69"/>
      <c r="N481" s="69"/>
      <c r="O481" s="2"/>
      <c r="P481" s="2"/>
      <c r="Q481" s="32"/>
      <c r="R481" s="32"/>
      <c r="S481" s="32"/>
      <c r="T481" s="3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2"/>
      <c r="C482" s="10"/>
      <c r="D482" s="10"/>
      <c r="E482" s="10"/>
      <c r="F482" s="10"/>
      <c r="G482" s="69"/>
      <c r="H482" s="69"/>
      <c r="I482" s="69"/>
      <c r="J482" s="70"/>
      <c r="K482" s="69"/>
      <c r="L482" s="69"/>
      <c r="M482" s="69"/>
      <c r="N482" s="69"/>
      <c r="O482" s="2"/>
      <c r="P482" s="2"/>
      <c r="Q482" s="32"/>
      <c r="R482" s="32"/>
      <c r="S482" s="32"/>
      <c r="T482" s="3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2"/>
      <c r="C483" s="10"/>
      <c r="D483" s="10"/>
      <c r="E483" s="10"/>
      <c r="F483" s="10"/>
      <c r="G483" s="69"/>
      <c r="H483" s="69"/>
      <c r="I483" s="69"/>
      <c r="J483" s="70"/>
      <c r="K483" s="69"/>
      <c r="L483" s="69"/>
      <c r="M483" s="69"/>
      <c r="N483" s="69"/>
      <c r="O483" s="2"/>
      <c r="P483" s="2"/>
      <c r="Q483" s="32"/>
      <c r="R483" s="32"/>
      <c r="S483" s="32"/>
      <c r="T483" s="3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2"/>
      <c r="C484" s="10"/>
      <c r="D484" s="10"/>
      <c r="E484" s="10"/>
      <c r="F484" s="10"/>
      <c r="G484" s="69"/>
      <c r="H484" s="69"/>
      <c r="I484" s="69"/>
      <c r="J484" s="70"/>
      <c r="K484" s="69"/>
      <c r="L484" s="69"/>
      <c r="M484" s="69"/>
      <c r="N484" s="69"/>
      <c r="O484" s="2"/>
      <c r="P484" s="2"/>
      <c r="Q484" s="32"/>
      <c r="R484" s="32"/>
      <c r="S484" s="32"/>
      <c r="T484" s="3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2"/>
      <c r="C485" s="10"/>
      <c r="D485" s="10"/>
      <c r="E485" s="10"/>
      <c r="F485" s="10"/>
      <c r="G485" s="69"/>
      <c r="H485" s="69"/>
      <c r="I485" s="69"/>
      <c r="J485" s="70"/>
      <c r="K485" s="69"/>
      <c r="L485" s="69"/>
      <c r="M485" s="69"/>
      <c r="N485" s="69"/>
      <c r="O485" s="2"/>
      <c r="P485" s="2"/>
      <c r="Q485" s="32"/>
      <c r="R485" s="32"/>
      <c r="S485" s="32"/>
      <c r="T485" s="3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2"/>
      <c r="C486" s="10"/>
      <c r="D486" s="10"/>
      <c r="E486" s="10"/>
      <c r="F486" s="10"/>
      <c r="G486" s="69"/>
      <c r="H486" s="69"/>
      <c r="I486" s="69"/>
      <c r="J486" s="70"/>
      <c r="K486" s="69"/>
      <c r="L486" s="69"/>
      <c r="M486" s="69"/>
      <c r="N486" s="69"/>
      <c r="O486" s="2"/>
      <c r="P486" s="2"/>
      <c r="Q486" s="32"/>
      <c r="R486" s="32"/>
      <c r="S486" s="32"/>
      <c r="T486" s="3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2"/>
      <c r="C487" s="10"/>
      <c r="D487" s="10"/>
      <c r="E487" s="10"/>
      <c r="F487" s="10"/>
      <c r="G487" s="69"/>
      <c r="H487" s="69"/>
      <c r="I487" s="69"/>
      <c r="J487" s="70"/>
      <c r="K487" s="69"/>
      <c r="L487" s="69"/>
      <c r="M487" s="69"/>
      <c r="N487" s="69"/>
      <c r="O487" s="2"/>
      <c r="P487" s="2"/>
      <c r="Q487" s="32"/>
      <c r="R487" s="32"/>
      <c r="S487" s="32"/>
      <c r="T487" s="3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2"/>
      <c r="C488" s="10"/>
      <c r="D488" s="10"/>
      <c r="E488" s="10"/>
      <c r="F488" s="10"/>
      <c r="G488" s="69"/>
      <c r="H488" s="69"/>
      <c r="I488" s="69"/>
      <c r="J488" s="70"/>
      <c r="K488" s="69"/>
      <c r="L488" s="69"/>
      <c r="M488" s="69"/>
      <c r="N488" s="69"/>
      <c r="O488" s="2"/>
      <c r="P488" s="2"/>
      <c r="Q488" s="32"/>
      <c r="R488" s="32"/>
      <c r="S488" s="32"/>
      <c r="T488" s="3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2"/>
      <c r="C489" s="10"/>
      <c r="D489" s="10"/>
      <c r="E489" s="10"/>
      <c r="F489" s="10"/>
      <c r="G489" s="69"/>
      <c r="H489" s="69"/>
      <c r="I489" s="69"/>
      <c r="J489" s="70"/>
      <c r="K489" s="69"/>
      <c r="L489" s="69"/>
      <c r="M489" s="69"/>
      <c r="N489" s="69"/>
      <c r="O489" s="2"/>
      <c r="P489" s="2"/>
      <c r="Q489" s="32"/>
      <c r="R489" s="32"/>
      <c r="S489" s="32"/>
      <c r="T489" s="3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2"/>
      <c r="C490" s="10"/>
      <c r="D490" s="10"/>
      <c r="E490" s="10"/>
      <c r="F490" s="10"/>
      <c r="G490" s="69"/>
      <c r="H490" s="69"/>
      <c r="I490" s="69"/>
      <c r="J490" s="70"/>
      <c r="K490" s="69"/>
      <c r="L490" s="69"/>
      <c r="M490" s="69"/>
      <c r="N490" s="69"/>
      <c r="O490" s="2"/>
      <c r="P490" s="2"/>
      <c r="Q490" s="32"/>
      <c r="R490" s="32"/>
      <c r="S490" s="32"/>
      <c r="T490" s="3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2"/>
      <c r="C491" s="10"/>
      <c r="D491" s="10"/>
      <c r="E491" s="10"/>
      <c r="F491" s="10"/>
      <c r="G491" s="69"/>
      <c r="H491" s="69"/>
      <c r="I491" s="69"/>
      <c r="J491" s="70"/>
      <c r="K491" s="69"/>
      <c r="L491" s="69"/>
      <c r="M491" s="69"/>
      <c r="N491" s="69"/>
      <c r="O491" s="2"/>
      <c r="P491" s="2"/>
      <c r="Q491" s="32"/>
      <c r="R491" s="32"/>
      <c r="S491" s="32"/>
      <c r="T491" s="3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2"/>
      <c r="C492" s="10"/>
      <c r="D492" s="10"/>
      <c r="E492" s="10"/>
      <c r="F492" s="10"/>
      <c r="G492" s="69"/>
      <c r="H492" s="69"/>
      <c r="I492" s="69"/>
      <c r="J492" s="70"/>
      <c r="K492" s="69"/>
      <c r="L492" s="69"/>
      <c r="M492" s="69"/>
      <c r="N492" s="69"/>
      <c r="O492" s="2"/>
      <c r="P492" s="2"/>
      <c r="Q492" s="32"/>
      <c r="R492" s="32"/>
      <c r="S492" s="32"/>
      <c r="T492" s="3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2"/>
      <c r="C493" s="10"/>
      <c r="D493" s="10"/>
      <c r="E493" s="10"/>
      <c r="F493" s="10"/>
      <c r="G493" s="69"/>
      <c r="H493" s="69"/>
      <c r="I493" s="69"/>
      <c r="J493" s="70"/>
      <c r="K493" s="69"/>
      <c r="L493" s="69"/>
      <c r="M493" s="69"/>
      <c r="N493" s="69"/>
      <c r="O493" s="2"/>
      <c r="P493" s="2"/>
      <c r="Q493" s="32"/>
      <c r="R493" s="32"/>
      <c r="S493" s="32"/>
      <c r="T493" s="3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2"/>
      <c r="C494" s="10"/>
      <c r="D494" s="10"/>
      <c r="E494" s="10"/>
      <c r="F494" s="10"/>
      <c r="G494" s="69"/>
      <c r="H494" s="69"/>
      <c r="I494" s="69"/>
      <c r="J494" s="70"/>
      <c r="K494" s="69"/>
      <c r="L494" s="69"/>
      <c r="M494" s="69"/>
      <c r="N494" s="69"/>
      <c r="O494" s="2"/>
      <c r="P494" s="2"/>
      <c r="Q494" s="32"/>
      <c r="R494" s="32"/>
      <c r="S494" s="32"/>
      <c r="T494" s="3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2"/>
      <c r="C495" s="10"/>
      <c r="D495" s="10"/>
      <c r="E495" s="10"/>
      <c r="F495" s="10"/>
      <c r="G495" s="69"/>
      <c r="H495" s="69"/>
      <c r="I495" s="69"/>
      <c r="J495" s="70"/>
      <c r="K495" s="69"/>
      <c r="L495" s="69"/>
      <c r="M495" s="69"/>
      <c r="N495" s="69"/>
      <c r="O495" s="2"/>
      <c r="P495" s="2"/>
      <c r="Q495" s="32"/>
      <c r="R495" s="32"/>
      <c r="S495" s="32"/>
      <c r="T495" s="3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2"/>
      <c r="C496" s="10"/>
      <c r="D496" s="10"/>
      <c r="E496" s="10"/>
      <c r="F496" s="10"/>
      <c r="G496" s="69"/>
      <c r="H496" s="69"/>
      <c r="I496" s="69"/>
      <c r="J496" s="70"/>
      <c r="K496" s="69"/>
      <c r="L496" s="69"/>
      <c r="M496" s="69"/>
      <c r="N496" s="69"/>
      <c r="O496" s="2"/>
      <c r="P496" s="2"/>
      <c r="Q496" s="32"/>
      <c r="R496" s="32"/>
      <c r="S496" s="32"/>
      <c r="T496" s="3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2"/>
      <c r="C497" s="10"/>
      <c r="D497" s="10"/>
      <c r="E497" s="10"/>
      <c r="F497" s="10"/>
      <c r="G497" s="69"/>
      <c r="H497" s="69"/>
      <c r="I497" s="69"/>
      <c r="J497" s="70"/>
      <c r="K497" s="69"/>
      <c r="L497" s="69"/>
      <c r="M497" s="69"/>
      <c r="N497" s="69"/>
      <c r="O497" s="2"/>
      <c r="P497" s="2"/>
      <c r="Q497" s="32"/>
      <c r="R497" s="32"/>
      <c r="S497" s="32"/>
      <c r="T497" s="3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2"/>
      <c r="C498" s="10"/>
      <c r="D498" s="10"/>
      <c r="E498" s="10"/>
      <c r="F498" s="10"/>
      <c r="G498" s="69"/>
      <c r="H498" s="69"/>
      <c r="I498" s="69"/>
      <c r="J498" s="70"/>
      <c r="K498" s="69"/>
      <c r="L498" s="69"/>
      <c r="M498" s="69"/>
      <c r="N498" s="69"/>
      <c r="O498" s="2"/>
      <c r="P498" s="2"/>
      <c r="Q498" s="32"/>
      <c r="R498" s="32"/>
      <c r="S498" s="32"/>
      <c r="T498" s="3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2"/>
      <c r="C499" s="10"/>
      <c r="D499" s="10"/>
      <c r="E499" s="10"/>
      <c r="F499" s="10"/>
      <c r="G499" s="69"/>
      <c r="H499" s="69"/>
      <c r="I499" s="69"/>
      <c r="J499" s="70"/>
      <c r="K499" s="69"/>
      <c r="L499" s="69"/>
      <c r="M499" s="69"/>
      <c r="N499" s="69"/>
      <c r="O499" s="2"/>
      <c r="P499" s="2"/>
      <c r="Q499" s="32"/>
      <c r="R499" s="32"/>
      <c r="S499" s="32"/>
      <c r="T499" s="3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2"/>
      <c r="C500" s="10"/>
      <c r="D500" s="10"/>
      <c r="E500" s="10"/>
      <c r="F500" s="10"/>
      <c r="G500" s="69"/>
      <c r="H500" s="69"/>
      <c r="I500" s="69"/>
      <c r="J500" s="70"/>
      <c r="K500" s="69"/>
      <c r="L500" s="69"/>
      <c r="M500" s="69"/>
      <c r="N500" s="69"/>
      <c r="O500" s="2"/>
      <c r="P500" s="2"/>
      <c r="Q500" s="32"/>
      <c r="R500" s="32"/>
      <c r="S500" s="32"/>
      <c r="T500" s="3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2"/>
      <c r="C501" s="10"/>
      <c r="D501" s="10"/>
      <c r="E501" s="10"/>
      <c r="F501" s="10"/>
      <c r="G501" s="69"/>
      <c r="H501" s="69"/>
      <c r="I501" s="69"/>
      <c r="J501" s="70"/>
      <c r="K501" s="69"/>
      <c r="L501" s="69"/>
      <c r="M501" s="69"/>
      <c r="N501" s="69"/>
      <c r="O501" s="2"/>
      <c r="P501" s="2"/>
      <c r="Q501" s="32"/>
      <c r="R501" s="32"/>
      <c r="S501" s="32"/>
      <c r="T501" s="3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2"/>
      <c r="C502" s="10"/>
      <c r="D502" s="10"/>
      <c r="E502" s="10"/>
      <c r="F502" s="10"/>
      <c r="G502" s="69"/>
      <c r="H502" s="69"/>
      <c r="I502" s="69"/>
      <c r="J502" s="70"/>
      <c r="K502" s="69"/>
      <c r="L502" s="69"/>
      <c r="M502" s="69"/>
      <c r="N502" s="69"/>
      <c r="O502" s="2"/>
      <c r="P502" s="2"/>
      <c r="Q502" s="32"/>
      <c r="R502" s="32"/>
      <c r="S502" s="32"/>
      <c r="T502" s="3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2"/>
      <c r="C503" s="10"/>
      <c r="D503" s="10"/>
      <c r="E503" s="10"/>
      <c r="F503" s="10"/>
      <c r="G503" s="69"/>
      <c r="H503" s="69"/>
      <c r="I503" s="69"/>
      <c r="J503" s="70"/>
      <c r="K503" s="69"/>
      <c r="L503" s="69"/>
      <c r="M503" s="69"/>
      <c r="N503" s="69"/>
      <c r="O503" s="2"/>
      <c r="P503" s="2"/>
      <c r="Q503" s="32"/>
      <c r="R503" s="32"/>
      <c r="S503" s="32"/>
      <c r="T503" s="3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2"/>
      <c r="C504" s="10"/>
      <c r="D504" s="10"/>
      <c r="E504" s="10"/>
      <c r="F504" s="10"/>
      <c r="G504" s="69"/>
      <c r="H504" s="69"/>
      <c r="I504" s="69"/>
      <c r="J504" s="70"/>
      <c r="K504" s="69"/>
      <c r="L504" s="69"/>
      <c r="M504" s="69"/>
      <c r="N504" s="69"/>
      <c r="O504" s="2"/>
      <c r="P504" s="2"/>
      <c r="Q504" s="32"/>
      <c r="R504" s="32"/>
      <c r="S504" s="32"/>
      <c r="T504" s="3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2"/>
      <c r="C505" s="10"/>
      <c r="D505" s="10"/>
      <c r="E505" s="10"/>
      <c r="F505" s="10"/>
      <c r="G505" s="69"/>
      <c r="H505" s="69"/>
      <c r="I505" s="69"/>
      <c r="J505" s="70"/>
      <c r="K505" s="69"/>
      <c r="L505" s="69"/>
      <c r="M505" s="69"/>
      <c r="N505" s="69"/>
      <c r="O505" s="2"/>
      <c r="P505" s="2"/>
      <c r="Q505" s="32"/>
      <c r="R505" s="32"/>
      <c r="S505" s="32"/>
      <c r="T505" s="3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2"/>
      <c r="C506" s="10"/>
      <c r="D506" s="10"/>
      <c r="E506" s="10"/>
      <c r="F506" s="10"/>
      <c r="G506" s="69"/>
      <c r="H506" s="69"/>
      <c r="I506" s="69"/>
      <c r="J506" s="70"/>
      <c r="K506" s="69"/>
      <c r="L506" s="69"/>
      <c r="M506" s="69"/>
      <c r="N506" s="69"/>
      <c r="O506" s="2"/>
      <c r="P506" s="2"/>
      <c r="Q506" s="32"/>
      <c r="R506" s="32"/>
      <c r="S506" s="32"/>
      <c r="T506" s="3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2"/>
      <c r="C507" s="10"/>
      <c r="D507" s="10"/>
      <c r="E507" s="10"/>
      <c r="F507" s="10"/>
      <c r="G507" s="69"/>
      <c r="H507" s="69"/>
      <c r="I507" s="69"/>
      <c r="J507" s="70"/>
      <c r="K507" s="69"/>
      <c r="L507" s="69"/>
      <c r="M507" s="69"/>
      <c r="N507" s="69"/>
      <c r="O507" s="2"/>
      <c r="P507" s="2"/>
      <c r="Q507" s="32"/>
      <c r="R507" s="32"/>
      <c r="S507" s="32"/>
      <c r="T507" s="3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2"/>
      <c r="C508" s="10"/>
      <c r="D508" s="10"/>
      <c r="E508" s="10"/>
      <c r="F508" s="10"/>
      <c r="G508" s="69"/>
      <c r="H508" s="69"/>
      <c r="I508" s="69"/>
      <c r="J508" s="70"/>
      <c r="K508" s="69"/>
      <c r="L508" s="69"/>
      <c r="M508" s="69"/>
      <c r="N508" s="69"/>
      <c r="O508" s="2"/>
      <c r="P508" s="2"/>
      <c r="Q508" s="32"/>
      <c r="R508" s="32"/>
      <c r="S508" s="32"/>
      <c r="T508" s="3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2"/>
      <c r="C509" s="10"/>
      <c r="D509" s="10"/>
      <c r="E509" s="10"/>
      <c r="F509" s="10"/>
      <c r="G509" s="69"/>
      <c r="H509" s="69"/>
      <c r="I509" s="69"/>
      <c r="J509" s="70"/>
      <c r="K509" s="69"/>
      <c r="L509" s="69"/>
      <c r="M509" s="69"/>
      <c r="N509" s="69"/>
      <c r="O509" s="2"/>
      <c r="P509" s="2"/>
      <c r="Q509" s="32"/>
      <c r="R509" s="32"/>
      <c r="S509" s="32"/>
      <c r="T509" s="3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2"/>
      <c r="C510" s="10"/>
      <c r="D510" s="10"/>
      <c r="E510" s="10"/>
      <c r="F510" s="10"/>
      <c r="G510" s="69"/>
      <c r="H510" s="69"/>
      <c r="I510" s="69"/>
      <c r="J510" s="70"/>
      <c r="K510" s="69"/>
      <c r="L510" s="69"/>
      <c r="M510" s="69"/>
      <c r="N510" s="69"/>
      <c r="O510" s="2"/>
      <c r="P510" s="2"/>
      <c r="Q510" s="32"/>
      <c r="R510" s="32"/>
      <c r="S510" s="32"/>
      <c r="T510" s="3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2"/>
      <c r="C511" s="10"/>
      <c r="D511" s="10"/>
      <c r="E511" s="10"/>
      <c r="F511" s="10"/>
      <c r="G511" s="69"/>
      <c r="H511" s="69"/>
      <c r="I511" s="69"/>
      <c r="J511" s="70"/>
      <c r="K511" s="69"/>
      <c r="L511" s="69"/>
      <c r="M511" s="69"/>
      <c r="N511" s="69"/>
      <c r="O511" s="2"/>
      <c r="P511" s="2"/>
      <c r="Q511" s="32"/>
      <c r="R511" s="32"/>
      <c r="S511" s="32"/>
      <c r="T511" s="3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2"/>
      <c r="C512" s="10"/>
      <c r="D512" s="10"/>
      <c r="E512" s="10"/>
      <c r="F512" s="10"/>
      <c r="G512" s="69"/>
      <c r="H512" s="69"/>
      <c r="I512" s="69"/>
      <c r="J512" s="70"/>
      <c r="K512" s="69"/>
      <c r="L512" s="69"/>
      <c r="M512" s="69"/>
      <c r="N512" s="69"/>
      <c r="O512" s="2"/>
      <c r="P512" s="2"/>
      <c r="Q512" s="32"/>
      <c r="R512" s="32"/>
      <c r="S512" s="32"/>
      <c r="T512" s="3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2"/>
      <c r="C513" s="10"/>
      <c r="D513" s="10"/>
      <c r="E513" s="10"/>
      <c r="F513" s="10"/>
      <c r="G513" s="69"/>
      <c r="H513" s="69"/>
      <c r="I513" s="69"/>
      <c r="J513" s="70"/>
      <c r="K513" s="69"/>
      <c r="L513" s="69"/>
      <c r="M513" s="69"/>
      <c r="N513" s="69"/>
      <c r="O513" s="2"/>
      <c r="P513" s="2"/>
      <c r="Q513" s="32"/>
      <c r="R513" s="32"/>
      <c r="S513" s="32"/>
      <c r="T513" s="3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2"/>
      <c r="C514" s="10"/>
      <c r="D514" s="10"/>
      <c r="E514" s="10"/>
      <c r="F514" s="10"/>
      <c r="G514" s="69"/>
      <c r="H514" s="69"/>
      <c r="I514" s="69"/>
      <c r="J514" s="70"/>
      <c r="K514" s="69"/>
      <c r="L514" s="69"/>
      <c r="M514" s="69"/>
      <c r="N514" s="69"/>
      <c r="O514" s="2"/>
      <c r="P514" s="2"/>
      <c r="Q514" s="32"/>
      <c r="R514" s="32"/>
      <c r="S514" s="32"/>
      <c r="T514" s="3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2"/>
      <c r="C515" s="10"/>
      <c r="D515" s="10"/>
      <c r="E515" s="10"/>
      <c r="F515" s="10"/>
      <c r="G515" s="69"/>
      <c r="H515" s="69"/>
      <c r="I515" s="69"/>
      <c r="J515" s="70"/>
      <c r="K515" s="69"/>
      <c r="L515" s="69"/>
      <c r="M515" s="69"/>
      <c r="N515" s="69"/>
      <c r="O515" s="2"/>
      <c r="P515" s="2"/>
      <c r="Q515" s="32"/>
      <c r="R515" s="32"/>
      <c r="S515" s="32"/>
      <c r="T515" s="3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2"/>
      <c r="C516" s="10"/>
      <c r="D516" s="10"/>
      <c r="E516" s="10"/>
      <c r="F516" s="10"/>
      <c r="G516" s="69"/>
      <c r="H516" s="69"/>
      <c r="I516" s="69"/>
      <c r="J516" s="70"/>
      <c r="K516" s="69"/>
      <c r="L516" s="69"/>
      <c r="M516" s="69"/>
      <c r="N516" s="69"/>
      <c r="O516" s="2"/>
      <c r="P516" s="2"/>
      <c r="Q516" s="32"/>
      <c r="R516" s="32"/>
      <c r="S516" s="32"/>
      <c r="T516" s="3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2"/>
      <c r="C517" s="10"/>
      <c r="D517" s="10"/>
      <c r="E517" s="10"/>
      <c r="F517" s="10"/>
      <c r="G517" s="69"/>
      <c r="H517" s="69"/>
      <c r="I517" s="69"/>
      <c r="J517" s="70"/>
      <c r="K517" s="69"/>
      <c r="L517" s="69"/>
      <c r="M517" s="69"/>
      <c r="N517" s="69"/>
      <c r="O517" s="2"/>
      <c r="P517" s="2"/>
      <c r="Q517" s="32"/>
      <c r="R517" s="32"/>
      <c r="S517" s="32"/>
      <c r="T517" s="3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2"/>
      <c r="C518" s="10"/>
      <c r="D518" s="10"/>
      <c r="E518" s="10"/>
      <c r="F518" s="10"/>
      <c r="G518" s="69"/>
      <c r="H518" s="69"/>
      <c r="I518" s="69"/>
      <c r="J518" s="70"/>
      <c r="K518" s="69"/>
      <c r="L518" s="69"/>
      <c r="M518" s="69"/>
      <c r="N518" s="69"/>
      <c r="O518" s="2"/>
      <c r="P518" s="2"/>
      <c r="Q518" s="32"/>
      <c r="R518" s="32"/>
      <c r="S518" s="32"/>
      <c r="T518" s="3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2"/>
      <c r="C519" s="10"/>
      <c r="D519" s="10"/>
      <c r="E519" s="10"/>
      <c r="F519" s="10"/>
      <c r="G519" s="69"/>
      <c r="H519" s="69"/>
      <c r="I519" s="69"/>
      <c r="J519" s="70"/>
      <c r="K519" s="69"/>
      <c r="L519" s="69"/>
      <c r="M519" s="69"/>
      <c r="N519" s="69"/>
      <c r="O519" s="2"/>
      <c r="P519" s="2"/>
      <c r="Q519" s="32"/>
      <c r="R519" s="32"/>
      <c r="S519" s="32"/>
      <c r="T519" s="3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2"/>
      <c r="C520" s="10"/>
      <c r="D520" s="10"/>
      <c r="E520" s="10"/>
      <c r="F520" s="10"/>
      <c r="G520" s="69"/>
      <c r="H520" s="69"/>
      <c r="I520" s="69"/>
      <c r="J520" s="70"/>
      <c r="K520" s="69"/>
      <c r="L520" s="69"/>
      <c r="M520" s="69"/>
      <c r="N520" s="69"/>
      <c r="O520" s="2"/>
      <c r="P520" s="2"/>
      <c r="Q520" s="32"/>
      <c r="R520" s="32"/>
      <c r="S520" s="32"/>
      <c r="T520" s="3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2"/>
      <c r="C521" s="10"/>
      <c r="D521" s="10"/>
      <c r="E521" s="10"/>
      <c r="F521" s="10"/>
      <c r="G521" s="69"/>
      <c r="H521" s="69"/>
      <c r="I521" s="69"/>
      <c r="J521" s="70"/>
      <c r="K521" s="69"/>
      <c r="L521" s="69"/>
      <c r="M521" s="69"/>
      <c r="N521" s="69"/>
      <c r="O521" s="2"/>
      <c r="P521" s="2"/>
      <c r="Q521" s="32"/>
      <c r="R521" s="32"/>
      <c r="S521" s="32"/>
      <c r="T521" s="3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2"/>
      <c r="C522" s="10"/>
      <c r="D522" s="10"/>
      <c r="E522" s="10"/>
      <c r="F522" s="10"/>
      <c r="G522" s="69"/>
      <c r="H522" s="69"/>
      <c r="I522" s="69"/>
      <c r="J522" s="70"/>
      <c r="K522" s="69"/>
      <c r="L522" s="69"/>
      <c r="M522" s="69"/>
      <c r="N522" s="69"/>
      <c r="O522" s="2"/>
      <c r="P522" s="2"/>
      <c r="Q522" s="32"/>
      <c r="R522" s="32"/>
      <c r="S522" s="32"/>
      <c r="T522" s="3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2"/>
      <c r="C523" s="10"/>
      <c r="D523" s="10"/>
      <c r="E523" s="10"/>
      <c r="F523" s="10"/>
      <c r="G523" s="69"/>
      <c r="H523" s="69"/>
      <c r="I523" s="69"/>
      <c r="J523" s="70"/>
      <c r="K523" s="69"/>
      <c r="L523" s="69"/>
      <c r="M523" s="69"/>
      <c r="N523" s="69"/>
      <c r="O523" s="2"/>
      <c r="P523" s="2"/>
      <c r="Q523" s="32"/>
      <c r="R523" s="32"/>
      <c r="S523" s="32"/>
      <c r="T523" s="3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2"/>
      <c r="C524" s="10"/>
      <c r="D524" s="10"/>
      <c r="E524" s="10"/>
      <c r="F524" s="10"/>
      <c r="G524" s="69"/>
      <c r="H524" s="69"/>
      <c r="I524" s="69"/>
      <c r="J524" s="70"/>
      <c r="K524" s="69"/>
      <c r="L524" s="69"/>
      <c r="M524" s="69"/>
      <c r="N524" s="69"/>
      <c r="O524" s="2"/>
      <c r="P524" s="2"/>
      <c r="Q524" s="32"/>
      <c r="R524" s="32"/>
      <c r="S524" s="32"/>
      <c r="T524" s="3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2"/>
      <c r="C525" s="10"/>
      <c r="D525" s="10"/>
      <c r="E525" s="10"/>
      <c r="F525" s="10"/>
      <c r="G525" s="69"/>
      <c r="H525" s="69"/>
      <c r="I525" s="69"/>
      <c r="J525" s="70"/>
      <c r="K525" s="69"/>
      <c r="L525" s="69"/>
      <c r="M525" s="69"/>
      <c r="N525" s="69"/>
      <c r="O525" s="2"/>
      <c r="P525" s="2"/>
      <c r="Q525" s="32"/>
      <c r="R525" s="32"/>
      <c r="S525" s="32"/>
      <c r="T525" s="3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2"/>
      <c r="C526" s="10"/>
      <c r="D526" s="10"/>
      <c r="E526" s="10"/>
      <c r="F526" s="10"/>
      <c r="G526" s="69"/>
      <c r="H526" s="69"/>
      <c r="I526" s="69"/>
      <c r="J526" s="70"/>
      <c r="K526" s="69"/>
      <c r="L526" s="69"/>
      <c r="M526" s="69"/>
      <c r="N526" s="69"/>
      <c r="O526" s="2"/>
      <c r="P526" s="2"/>
      <c r="Q526" s="32"/>
      <c r="R526" s="32"/>
      <c r="S526" s="32"/>
      <c r="T526" s="3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2"/>
      <c r="C527" s="10"/>
      <c r="D527" s="10"/>
      <c r="E527" s="10"/>
      <c r="F527" s="10"/>
      <c r="G527" s="69"/>
      <c r="H527" s="69"/>
      <c r="I527" s="69"/>
      <c r="J527" s="70"/>
      <c r="K527" s="69"/>
      <c r="L527" s="69"/>
      <c r="M527" s="69"/>
      <c r="N527" s="69"/>
      <c r="O527" s="2"/>
      <c r="P527" s="2"/>
      <c r="Q527" s="32"/>
      <c r="R527" s="32"/>
      <c r="S527" s="32"/>
      <c r="T527" s="3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2"/>
      <c r="C528" s="10"/>
      <c r="D528" s="10"/>
      <c r="E528" s="10"/>
      <c r="F528" s="10"/>
      <c r="G528" s="69"/>
      <c r="H528" s="69"/>
      <c r="I528" s="69"/>
      <c r="J528" s="70"/>
      <c r="K528" s="69"/>
      <c r="L528" s="69"/>
      <c r="M528" s="69"/>
      <c r="N528" s="69"/>
      <c r="O528" s="2"/>
      <c r="P528" s="2"/>
      <c r="Q528" s="32"/>
      <c r="R528" s="32"/>
      <c r="S528" s="32"/>
      <c r="T528" s="3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2"/>
      <c r="C529" s="10"/>
      <c r="D529" s="10"/>
      <c r="E529" s="10"/>
      <c r="F529" s="10"/>
      <c r="G529" s="69"/>
      <c r="H529" s="69"/>
      <c r="I529" s="69"/>
      <c r="J529" s="70"/>
      <c r="K529" s="69"/>
      <c r="L529" s="69"/>
      <c r="M529" s="69"/>
      <c r="N529" s="69"/>
      <c r="O529" s="2"/>
      <c r="P529" s="2"/>
      <c r="Q529" s="32"/>
      <c r="R529" s="32"/>
      <c r="S529" s="32"/>
      <c r="T529" s="3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2"/>
      <c r="C530" s="10"/>
      <c r="D530" s="10"/>
      <c r="E530" s="10"/>
      <c r="F530" s="10"/>
      <c r="G530" s="69"/>
      <c r="H530" s="69"/>
      <c r="I530" s="69"/>
      <c r="J530" s="70"/>
      <c r="K530" s="69"/>
      <c r="L530" s="69"/>
      <c r="M530" s="69"/>
      <c r="N530" s="69"/>
      <c r="O530" s="2"/>
      <c r="P530" s="2"/>
      <c r="Q530" s="32"/>
      <c r="R530" s="32"/>
      <c r="S530" s="32"/>
      <c r="T530" s="3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2"/>
      <c r="C531" s="10"/>
      <c r="D531" s="10"/>
      <c r="E531" s="10"/>
      <c r="F531" s="10"/>
      <c r="G531" s="69"/>
      <c r="H531" s="69"/>
      <c r="I531" s="69"/>
      <c r="J531" s="70"/>
      <c r="K531" s="69"/>
      <c r="L531" s="69"/>
      <c r="M531" s="69"/>
      <c r="N531" s="69"/>
      <c r="O531" s="2"/>
      <c r="P531" s="2"/>
      <c r="Q531" s="32"/>
      <c r="R531" s="32"/>
      <c r="S531" s="32"/>
      <c r="T531" s="3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2"/>
      <c r="C532" s="10"/>
      <c r="D532" s="10"/>
      <c r="E532" s="10"/>
      <c r="F532" s="10"/>
      <c r="G532" s="69"/>
      <c r="H532" s="69"/>
      <c r="I532" s="69"/>
      <c r="J532" s="70"/>
      <c r="K532" s="69"/>
      <c r="L532" s="69"/>
      <c r="M532" s="69"/>
      <c r="N532" s="69"/>
      <c r="O532" s="2"/>
      <c r="P532" s="2"/>
      <c r="Q532" s="32"/>
      <c r="R532" s="32"/>
      <c r="S532" s="32"/>
      <c r="T532" s="3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2"/>
      <c r="C533" s="10"/>
      <c r="D533" s="10"/>
      <c r="E533" s="10"/>
      <c r="F533" s="10"/>
      <c r="G533" s="69"/>
      <c r="H533" s="69"/>
      <c r="I533" s="69"/>
      <c r="J533" s="70"/>
      <c r="K533" s="69"/>
      <c r="L533" s="69"/>
      <c r="M533" s="69"/>
      <c r="N533" s="69"/>
      <c r="O533" s="2"/>
      <c r="P533" s="2"/>
      <c r="Q533" s="32"/>
      <c r="R533" s="32"/>
      <c r="S533" s="32"/>
      <c r="T533" s="3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2"/>
      <c r="C534" s="10"/>
      <c r="D534" s="10"/>
      <c r="E534" s="10"/>
      <c r="F534" s="10"/>
      <c r="G534" s="69"/>
      <c r="H534" s="69"/>
      <c r="I534" s="69"/>
      <c r="J534" s="70"/>
      <c r="K534" s="69"/>
      <c r="L534" s="69"/>
      <c r="M534" s="69"/>
      <c r="N534" s="69"/>
      <c r="O534" s="2"/>
      <c r="P534" s="2"/>
      <c r="Q534" s="32"/>
      <c r="R534" s="32"/>
      <c r="S534" s="32"/>
      <c r="T534" s="3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2"/>
      <c r="C535" s="10"/>
      <c r="D535" s="10"/>
      <c r="E535" s="10"/>
      <c r="F535" s="10"/>
      <c r="G535" s="69"/>
      <c r="H535" s="69"/>
      <c r="I535" s="69"/>
      <c r="J535" s="70"/>
      <c r="K535" s="69"/>
      <c r="L535" s="69"/>
      <c r="M535" s="69"/>
      <c r="N535" s="69"/>
      <c r="O535" s="2"/>
      <c r="P535" s="2"/>
      <c r="Q535" s="32"/>
      <c r="R535" s="32"/>
      <c r="S535" s="32"/>
      <c r="T535" s="3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2"/>
      <c r="C536" s="10"/>
      <c r="D536" s="10"/>
      <c r="E536" s="10"/>
      <c r="F536" s="10"/>
      <c r="G536" s="69"/>
      <c r="H536" s="69"/>
      <c r="I536" s="69"/>
      <c r="J536" s="70"/>
      <c r="K536" s="69"/>
      <c r="L536" s="69"/>
      <c r="M536" s="69"/>
      <c r="N536" s="69"/>
      <c r="O536" s="2"/>
      <c r="P536" s="2"/>
      <c r="Q536" s="32"/>
      <c r="R536" s="32"/>
      <c r="S536" s="32"/>
      <c r="T536" s="3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2"/>
      <c r="C537" s="10"/>
      <c r="D537" s="10"/>
      <c r="E537" s="10"/>
      <c r="F537" s="10"/>
      <c r="G537" s="69"/>
      <c r="H537" s="69"/>
      <c r="I537" s="69"/>
      <c r="J537" s="70"/>
      <c r="K537" s="69"/>
      <c r="L537" s="69"/>
      <c r="M537" s="69"/>
      <c r="N537" s="69"/>
      <c r="O537" s="2"/>
      <c r="P537" s="2"/>
      <c r="Q537" s="32"/>
      <c r="R537" s="32"/>
      <c r="S537" s="32"/>
      <c r="T537" s="3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2"/>
      <c r="C538" s="10"/>
      <c r="D538" s="10"/>
      <c r="E538" s="10"/>
      <c r="F538" s="10"/>
      <c r="G538" s="69"/>
      <c r="H538" s="69"/>
      <c r="I538" s="69"/>
      <c r="J538" s="70"/>
      <c r="K538" s="69"/>
      <c r="L538" s="69"/>
      <c r="M538" s="69"/>
      <c r="N538" s="69"/>
      <c r="O538" s="2"/>
      <c r="P538" s="2"/>
      <c r="Q538" s="32"/>
      <c r="R538" s="32"/>
      <c r="S538" s="32"/>
      <c r="T538" s="3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2"/>
      <c r="C539" s="10"/>
      <c r="D539" s="10"/>
      <c r="E539" s="10"/>
      <c r="F539" s="10"/>
      <c r="G539" s="69"/>
      <c r="H539" s="69"/>
      <c r="I539" s="69"/>
      <c r="J539" s="70"/>
      <c r="K539" s="69"/>
      <c r="L539" s="69"/>
      <c r="M539" s="69"/>
      <c r="N539" s="69"/>
      <c r="O539" s="2"/>
      <c r="P539" s="2"/>
      <c r="Q539" s="32"/>
      <c r="R539" s="32"/>
      <c r="S539" s="32"/>
      <c r="T539" s="3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2"/>
      <c r="C540" s="10"/>
      <c r="D540" s="10"/>
      <c r="E540" s="10"/>
      <c r="F540" s="10"/>
      <c r="G540" s="69"/>
      <c r="H540" s="69"/>
      <c r="I540" s="69"/>
      <c r="J540" s="70"/>
      <c r="K540" s="69"/>
      <c r="L540" s="69"/>
      <c r="M540" s="69"/>
      <c r="N540" s="69"/>
      <c r="O540" s="2"/>
      <c r="P540" s="2"/>
      <c r="Q540" s="32"/>
      <c r="R540" s="32"/>
      <c r="S540" s="32"/>
      <c r="T540" s="3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2"/>
      <c r="C541" s="10"/>
      <c r="D541" s="10"/>
      <c r="E541" s="10"/>
      <c r="F541" s="10"/>
      <c r="G541" s="69"/>
      <c r="H541" s="69"/>
      <c r="I541" s="69"/>
      <c r="J541" s="70"/>
      <c r="K541" s="69"/>
      <c r="L541" s="69"/>
      <c r="M541" s="69"/>
      <c r="N541" s="69"/>
      <c r="O541" s="2"/>
      <c r="P541" s="2"/>
      <c r="Q541" s="32"/>
      <c r="R541" s="32"/>
      <c r="S541" s="32"/>
      <c r="T541" s="3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2"/>
      <c r="C542" s="10"/>
      <c r="D542" s="10"/>
      <c r="E542" s="10"/>
      <c r="F542" s="10"/>
      <c r="G542" s="69"/>
      <c r="H542" s="69"/>
      <c r="I542" s="69"/>
      <c r="J542" s="70"/>
      <c r="K542" s="69"/>
      <c r="L542" s="69"/>
      <c r="M542" s="69"/>
      <c r="N542" s="69"/>
      <c r="O542" s="2"/>
      <c r="P542" s="2"/>
      <c r="Q542" s="32"/>
      <c r="R542" s="32"/>
      <c r="S542" s="32"/>
      <c r="T542" s="3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2"/>
      <c r="C543" s="10"/>
      <c r="D543" s="10"/>
      <c r="E543" s="10"/>
      <c r="F543" s="10"/>
      <c r="G543" s="69"/>
      <c r="H543" s="69"/>
      <c r="I543" s="69"/>
      <c r="J543" s="70"/>
      <c r="K543" s="69"/>
      <c r="L543" s="69"/>
      <c r="M543" s="69"/>
      <c r="N543" s="69"/>
      <c r="O543" s="2"/>
      <c r="P543" s="2"/>
      <c r="Q543" s="32"/>
      <c r="R543" s="32"/>
      <c r="S543" s="32"/>
      <c r="T543" s="3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2"/>
      <c r="C544" s="10"/>
      <c r="D544" s="10"/>
      <c r="E544" s="10"/>
      <c r="F544" s="10"/>
      <c r="G544" s="69"/>
      <c r="H544" s="69"/>
      <c r="I544" s="69"/>
      <c r="J544" s="70"/>
      <c r="K544" s="69"/>
      <c r="L544" s="69"/>
      <c r="M544" s="69"/>
      <c r="N544" s="69"/>
      <c r="O544" s="2"/>
      <c r="P544" s="2"/>
      <c r="Q544" s="32"/>
      <c r="R544" s="32"/>
      <c r="S544" s="32"/>
      <c r="T544" s="3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2"/>
      <c r="C545" s="10"/>
      <c r="D545" s="10"/>
      <c r="E545" s="10"/>
      <c r="F545" s="10"/>
      <c r="G545" s="69"/>
      <c r="H545" s="69"/>
      <c r="I545" s="69"/>
      <c r="J545" s="70"/>
      <c r="K545" s="69"/>
      <c r="L545" s="69"/>
      <c r="M545" s="69"/>
      <c r="N545" s="69"/>
      <c r="O545" s="2"/>
      <c r="P545" s="2"/>
      <c r="Q545" s="32"/>
      <c r="R545" s="32"/>
      <c r="S545" s="32"/>
      <c r="T545" s="3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2"/>
      <c r="C546" s="10"/>
      <c r="D546" s="10"/>
      <c r="E546" s="10"/>
      <c r="F546" s="10"/>
      <c r="G546" s="69"/>
      <c r="H546" s="69"/>
      <c r="I546" s="69"/>
      <c r="J546" s="70"/>
      <c r="K546" s="69"/>
      <c r="L546" s="69"/>
      <c r="M546" s="69"/>
      <c r="N546" s="69"/>
      <c r="O546" s="2"/>
      <c r="P546" s="2"/>
      <c r="Q546" s="32"/>
      <c r="R546" s="32"/>
      <c r="S546" s="32"/>
      <c r="T546" s="3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2"/>
      <c r="C547" s="10"/>
      <c r="D547" s="10"/>
      <c r="E547" s="10"/>
      <c r="F547" s="10"/>
      <c r="G547" s="69"/>
      <c r="H547" s="69"/>
      <c r="I547" s="69"/>
      <c r="J547" s="70"/>
      <c r="K547" s="69"/>
      <c r="L547" s="69"/>
      <c r="M547" s="69"/>
      <c r="N547" s="69"/>
      <c r="O547" s="2"/>
      <c r="P547" s="2"/>
      <c r="Q547" s="32"/>
      <c r="R547" s="32"/>
      <c r="S547" s="32"/>
      <c r="T547" s="3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2"/>
      <c r="C548" s="10"/>
      <c r="D548" s="10"/>
      <c r="E548" s="10"/>
      <c r="F548" s="10"/>
      <c r="G548" s="69"/>
      <c r="H548" s="69"/>
      <c r="I548" s="69"/>
      <c r="J548" s="70"/>
      <c r="K548" s="69"/>
      <c r="L548" s="69"/>
      <c r="M548" s="69"/>
      <c r="N548" s="69"/>
      <c r="O548" s="2"/>
      <c r="P548" s="2"/>
      <c r="Q548" s="32"/>
      <c r="R548" s="32"/>
      <c r="S548" s="32"/>
      <c r="T548" s="3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2"/>
      <c r="C549" s="10"/>
      <c r="D549" s="10"/>
      <c r="E549" s="10"/>
      <c r="F549" s="10"/>
      <c r="G549" s="69"/>
      <c r="H549" s="69"/>
      <c r="I549" s="69"/>
      <c r="J549" s="70"/>
      <c r="K549" s="69"/>
      <c r="L549" s="69"/>
      <c r="M549" s="69"/>
      <c r="N549" s="69"/>
      <c r="O549" s="2"/>
      <c r="P549" s="2"/>
      <c r="Q549" s="32"/>
      <c r="R549" s="32"/>
      <c r="S549" s="32"/>
      <c r="T549" s="3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2"/>
      <c r="C550" s="10"/>
      <c r="D550" s="10"/>
      <c r="E550" s="10"/>
      <c r="F550" s="10"/>
      <c r="G550" s="69"/>
      <c r="H550" s="69"/>
      <c r="I550" s="69"/>
      <c r="J550" s="70"/>
      <c r="K550" s="69"/>
      <c r="L550" s="69"/>
      <c r="M550" s="69"/>
      <c r="N550" s="69"/>
      <c r="O550" s="2"/>
      <c r="P550" s="2"/>
      <c r="Q550" s="32"/>
      <c r="R550" s="32"/>
      <c r="S550" s="32"/>
      <c r="T550" s="3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2"/>
      <c r="C551" s="10"/>
      <c r="D551" s="10"/>
      <c r="E551" s="10"/>
      <c r="F551" s="10"/>
      <c r="G551" s="69"/>
      <c r="H551" s="69"/>
      <c r="I551" s="69"/>
      <c r="J551" s="70"/>
      <c r="K551" s="69"/>
      <c r="L551" s="69"/>
      <c r="M551" s="69"/>
      <c r="N551" s="69"/>
      <c r="O551" s="2"/>
      <c r="P551" s="2"/>
      <c r="Q551" s="32"/>
      <c r="R551" s="32"/>
      <c r="S551" s="32"/>
      <c r="T551" s="3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2"/>
      <c r="C552" s="10"/>
      <c r="D552" s="10"/>
      <c r="E552" s="10"/>
      <c r="F552" s="10"/>
      <c r="G552" s="69"/>
      <c r="H552" s="69"/>
      <c r="I552" s="69"/>
      <c r="J552" s="70"/>
      <c r="K552" s="69"/>
      <c r="L552" s="69"/>
      <c r="M552" s="69"/>
      <c r="N552" s="69"/>
      <c r="O552" s="2"/>
      <c r="P552" s="2"/>
      <c r="Q552" s="32"/>
      <c r="R552" s="32"/>
      <c r="S552" s="32"/>
      <c r="T552" s="3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2"/>
      <c r="C553" s="10"/>
      <c r="D553" s="10"/>
      <c r="E553" s="10"/>
      <c r="F553" s="10"/>
      <c r="G553" s="69"/>
      <c r="H553" s="69"/>
      <c r="I553" s="69"/>
      <c r="J553" s="70"/>
      <c r="K553" s="69"/>
      <c r="L553" s="69"/>
      <c r="M553" s="69"/>
      <c r="N553" s="69"/>
      <c r="O553" s="2"/>
      <c r="P553" s="2"/>
      <c r="Q553" s="32"/>
      <c r="R553" s="32"/>
      <c r="S553" s="32"/>
      <c r="T553" s="3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2"/>
      <c r="C554" s="10"/>
      <c r="D554" s="10"/>
      <c r="E554" s="10"/>
      <c r="F554" s="10"/>
      <c r="G554" s="69"/>
      <c r="H554" s="69"/>
      <c r="I554" s="69"/>
      <c r="J554" s="70"/>
      <c r="K554" s="69"/>
      <c r="L554" s="69"/>
      <c r="M554" s="69"/>
      <c r="N554" s="69"/>
      <c r="O554" s="2"/>
      <c r="P554" s="2"/>
      <c r="Q554" s="32"/>
      <c r="R554" s="32"/>
      <c r="S554" s="32"/>
      <c r="T554" s="3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2"/>
      <c r="C555" s="10"/>
      <c r="D555" s="10"/>
      <c r="E555" s="10"/>
      <c r="F555" s="10"/>
      <c r="G555" s="69"/>
      <c r="H555" s="69"/>
      <c r="I555" s="69"/>
      <c r="J555" s="70"/>
      <c r="K555" s="69"/>
      <c r="L555" s="69"/>
      <c r="M555" s="69"/>
      <c r="N555" s="69"/>
      <c r="O555" s="2"/>
      <c r="P555" s="2"/>
      <c r="Q555" s="32"/>
      <c r="R555" s="32"/>
      <c r="S555" s="32"/>
      <c r="T555" s="3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2"/>
      <c r="C556" s="10"/>
      <c r="D556" s="10"/>
      <c r="E556" s="10"/>
      <c r="F556" s="10"/>
      <c r="G556" s="69"/>
      <c r="H556" s="69"/>
      <c r="I556" s="69"/>
      <c r="J556" s="70"/>
      <c r="K556" s="69"/>
      <c r="L556" s="69"/>
      <c r="M556" s="69"/>
      <c r="N556" s="69"/>
      <c r="O556" s="2"/>
      <c r="P556" s="2"/>
      <c r="Q556" s="32"/>
      <c r="R556" s="32"/>
      <c r="S556" s="32"/>
      <c r="T556" s="3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2"/>
      <c r="C557" s="10"/>
      <c r="D557" s="10"/>
      <c r="E557" s="10"/>
      <c r="F557" s="10"/>
      <c r="G557" s="69"/>
      <c r="H557" s="69"/>
      <c r="I557" s="69"/>
      <c r="J557" s="70"/>
      <c r="K557" s="69"/>
      <c r="L557" s="69"/>
      <c r="M557" s="69"/>
      <c r="N557" s="69"/>
      <c r="O557" s="2"/>
      <c r="P557" s="2"/>
      <c r="Q557" s="32"/>
      <c r="R557" s="32"/>
      <c r="S557" s="32"/>
      <c r="T557" s="3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2"/>
      <c r="C558" s="10"/>
      <c r="D558" s="10"/>
      <c r="E558" s="10"/>
      <c r="F558" s="10"/>
      <c r="G558" s="69"/>
      <c r="H558" s="69"/>
      <c r="I558" s="69"/>
      <c r="J558" s="70"/>
      <c r="K558" s="69"/>
      <c r="L558" s="69"/>
      <c r="M558" s="69"/>
      <c r="N558" s="69"/>
      <c r="O558" s="2"/>
      <c r="P558" s="2"/>
      <c r="Q558" s="32"/>
      <c r="R558" s="32"/>
      <c r="S558" s="32"/>
      <c r="T558" s="3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2"/>
      <c r="C559" s="10"/>
      <c r="D559" s="10"/>
      <c r="E559" s="10"/>
      <c r="F559" s="10"/>
      <c r="G559" s="69"/>
      <c r="H559" s="69"/>
      <c r="I559" s="69"/>
      <c r="J559" s="70"/>
      <c r="K559" s="69"/>
      <c r="L559" s="69"/>
      <c r="M559" s="69"/>
      <c r="N559" s="69"/>
      <c r="O559" s="2"/>
      <c r="P559" s="2"/>
      <c r="Q559" s="32"/>
      <c r="R559" s="32"/>
      <c r="S559" s="32"/>
      <c r="T559" s="3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2"/>
      <c r="C560" s="10"/>
      <c r="D560" s="10"/>
      <c r="E560" s="10"/>
      <c r="F560" s="10"/>
      <c r="G560" s="69"/>
      <c r="H560" s="69"/>
      <c r="I560" s="69"/>
      <c r="J560" s="70"/>
      <c r="K560" s="69"/>
      <c r="L560" s="69"/>
      <c r="M560" s="69"/>
      <c r="N560" s="69"/>
      <c r="O560" s="2"/>
      <c r="P560" s="2"/>
      <c r="Q560" s="32"/>
      <c r="R560" s="32"/>
      <c r="S560" s="32"/>
      <c r="T560" s="3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2"/>
      <c r="C561" s="10"/>
      <c r="D561" s="10"/>
      <c r="E561" s="10"/>
      <c r="F561" s="10"/>
      <c r="G561" s="69"/>
      <c r="H561" s="69"/>
      <c r="I561" s="69"/>
      <c r="J561" s="70"/>
      <c r="K561" s="69"/>
      <c r="L561" s="69"/>
      <c r="M561" s="69"/>
      <c r="N561" s="69"/>
      <c r="O561" s="2"/>
      <c r="P561" s="2"/>
      <c r="Q561" s="32"/>
      <c r="R561" s="32"/>
      <c r="S561" s="32"/>
      <c r="T561" s="3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2"/>
      <c r="C562" s="10"/>
      <c r="D562" s="10"/>
      <c r="E562" s="10"/>
      <c r="F562" s="10"/>
      <c r="G562" s="69"/>
      <c r="H562" s="69"/>
      <c r="I562" s="69"/>
      <c r="J562" s="70"/>
      <c r="K562" s="69"/>
      <c r="L562" s="69"/>
      <c r="M562" s="69"/>
      <c r="N562" s="69"/>
      <c r="O562" s="2"/>
      <c r="P562" s="2"/>
      <c r="Q562" s="32"/>
      <c r="R562" s="32"/>
      <c r="S562" s="32"/>
      <c r="T562" s="3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2"/>
      <c r="C563" s="10"/>
      <c r="D563" s="10"/>
      <c r="E563" s="10"/>
      <c r="F563" s="10"/>
      <c r="G563" s="69"/>
      <c r="H563" s="69"/>
      <c r="I563" s="69"/>
      <c r="J563" s="70"/>
      <c r="K563" s="69"/>
      <c r="L563" s="69"/>
      <c r="M563" s="69"/>
      <c r="N563" s="69"/>
      <c r="O563" s="2"/>
      <c r="P563" s="2"/>
      <c r="Q563" s="32"/>
      <c r="R563" s="32"/>
      <c r="S563" s="32"/>
      <c r="T563" s="3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2"/>
      <c r="C564" s="10"/>
      <c r="D564" s="10"/>
      <c r="E564" s="10"/>
      <c r="F564" s="10"/>
      <c r="G564" s="69"/>
      <c r="H564" s="69"/>
      <c r="I564" s="69"/>
      <c r="J564" s="70"/>
      <c r="K564" s="69"/>
      <c r="L564" s="69"/>
      <c r="M564" s="69"/>
      <c r="N564" s="69"/>
      <c r="O564" s="2"/>
      <c r="P564" s="2"/>
      <c r="Q564" s="32"/>
      <c r="R564" s="32"/>
      <c r="S564" s="32"/>
      <c r="T564" s="3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2"/>
      <c r="C565" s="10"/>
      <c r="D565" s="10"/>
      <c r="E565" s="10"/>
      <c r="F565" s="10"/>
      <c r="G565" s="69"/>
      <c r="H565" s="69"/>
      <c r="I565" s="69"/>
      <c r="J565" s="70"/>
      <c r="K565" s="69"/>
      <c r="L565" s="69"/>
      <c r="M565" s="69"/>
      <c r="N565" s="69"/>
      <c r="O565" s="2"/>
      <c r="P565" s="2"/>
      <c r="Q565" s="32"/>
      <c r="R565" s="32"/>
      <c r="S565" s="32"/>
      <c r="T565" s="3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2"/>
      <c r="C566" s="10"/>
      <c r="D566" s="10"/>
      <c r="E566" s="10"/>
      <c r="F566" s="10"/>
      <c r="G566" s="69"/>
      <c r="H566" s="69"/>
      <c r="I566" s="69"/>
      <c r="J566" s="70"/>
      <c r="K566" s="69"/>
      <c r="L566" s="69"/>
      <c r="M566" s="69"/>
      <c r="N566" s="69"/>
      <c r="O566" s="2"/>
      <c r="P566" s="2"/>
      <c r="Q566" s="32"/>
      <c r="R566" s="32"/>
      <c r="S566" s="32"/>
      <c r="T566" s="3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2"/>
      <c r="C567" s="10"/>
      <c r="D567" s="10"/>
      <c r="E567" s="10"/>
      <c r="F567" s="10"/>
      <c r="G567" s="69"/>
      <c r="H567" s="69"/>
      <c r="I567" s="69"/>
      <c r="J567" s="70"/>
      <c r="K567" s="69"/>
      <c r="L567" s="69"/>
      <c r="M567" s="69"/>
      <c r="N567" s="69"/>
      <c r="O567" s="2"/>
      <c r="P567" s="2"/>
      <c r="Q567" s="32"/>
      <c r="R567" s="32"/>
      <c r="S567" s="32"/>
      <c r="T567" s="3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2"/>
      <c r="C568" s="10"/>
      <c r="D568" s="10"/>
      <c r="E568" s="10"/>
      <c r="F568" s="10"/>
      <c r="G568" s="69"/>
      <c r="H568" s="69"/>
      <c r="I568" s="69"/>
      <c r="J568" s="70"/>
      <c r="K568" s="69"/>
      <c r="L568" s="69"/>
      <c r="M568" s="69"/>
      <c r="N568" s="69"/>
      <c r="O568" s="2"/>
      <c r="P568" s="2"/>
      <c r="Q568" s="32"/>
      <c r="R568" s="32"/>
      <c r="S568" s="32"/>
      <c r="T568" s="3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2"/>
      <c r="C569" s="10"/>
      <c r="D569" s="10"/>
      <c r="E569" s="10"/>
      <c r="F569" s="10"/>
      <c r="G569" s="69"/>
      <c r="H569" s="69"/>
      <c r="I569" s="69"/>
      <c r="J569" s="70"/>
      <c r="K569" s="69"/>
      <c r="L569" s="69"/>
      <c r="M569" s="69"/>
      <c r="N569" s="69"/>
      <c r="O569" s="2"/>
      <c r="P569" s="2"/>
      <c r="Q569" s="32"/>
      <c r="R569" s="32"/>
      <c r="S569" s="32"/>
      <c r="T569" s="3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2"/>
      <c r="C570" s="10"/>
      <c r="D570" s="10"/>
      <c r="E570" s="10"/>
      <c r="F570" s="10"/>
      <c r="G570" s="69"/>
      <c r="H570" s="69"/>
      <c r="I570" s="69"/>
      <c r="J570" s="70"/>
      <c r="K570" s="69"/>
      <c r="L570" s="69"/>
      <c r="M570" s="69"/>
      <c r="N570" s="69"/>
      <c r="O570" s="2"/>
      <c r="P570" s="2"/>
      <c r="Q570" s="32"/>
      <c r="R570" s="32"/>
      <c r="S570" s="32"/>
      <c r="T570" s="3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2"/>
      <c r="C571" s="10"/>
      <c r="D571" s="10"/>
      <c r="E571" s="10"/>
      <c r="F571" s="10"/>
      <c r="G571" s="69"/>
      <c r="H571" s="69"/>
      <c r="I571" s="69"/>
      <c r="J571" s="70"/>
      <c r="K571" s="69"/>
      <c r="L571" s="69"/>
      <c r="M571" s="69"/>
      <c r="N571" s="69"/>
      <c r="O571" s="2"/>
      <c r="P571" s="2"/>
      <c r="Q571" s="32"/>
      <c r="R571" s="32"/>
      <c r="S571" s="32"/>
      <c r="T571" s="3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2"/>
      <c r="C572" s="10"/>
      <c r="D572" s="10"/>
      <c r="E572" s="10"/>
      <c r="F572" s="10"/>
      <c r="G572" s="69"/>
      <c r="H572" s="69"/>
      <c r="I572" s="69"/>
      <c r="J572" s="70"/>
      <c r="K572" s="69"/>
      <c r="L572" s="69"/>
      <c r="M572" s="69"/>
      <c r="N572" s="69"/>
      <c r="O572" s="2"/>
      <c r="P572" s="2"/>
      <c r="Q572" s="32"/>
      <c r="R572" s="32"/>
      <c r="S572" s="32"/>
      <c r="T572" s="3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2"/>
      <c r="C573" s="10"/>
      <c r="D573" s="10"/>
      <c r="E573" s="10"/>
      <c r="F573" s="10"/>
      <c r="G573" s="69"/>
      <c r="H573" s="69"/>
      <c r="I573" s="69"/>
      <c r="J573" s="70"/>
      <c r="K573" s="69"/>
      <c r="L573" s="69"/>
      <c r="M573" s="69"/>
      <c r="N573" s="69"/>
      <c r="O573" s="2"/>
      <c r="P573" s="2"/>
      <c r="Q573" s="32"/>
      <c r="R573" s="32"/>
      <c r="S573" s="32"/>
      <c r="T573" s="3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2"/>
      <c r="C574" s="10"/>
      <c r="D574" s="10"/>
      <c r="E574" s="10"/>
      <c r="F574" s="10"/>
      <c r="G574" s="69"/>
      <c r="H574" s="69"/>
      <c r="I574" s="69"/>
      <c r="J574" s="70"/>
      <c r="K574" s="69"/>
      <c r="L574" s="69"/>
      <c r="M574" s="69"/>
      <c r="N574" s="69"/>
      <c r="O574" s="2"/>
      <c r="P574" s="2"/>
      <c r="Q574" s="32"/>
      <c r="R574" s="32"/>
      <c r="S574" s="32"/>
      <c r="T574" s="3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2"/>
      <c r="C575" s="10"/>
      <c r="D575" s="10"/>
      <c r="E575" s="10"/>
      <c r="F575" s="10"/>
      <c r="G575" s="69"/>
      <c r="H575" s="69"/>
      <c r="I575" s="69"/>
      <c r="J575" s="70"/>
      <c r="K575" s="69"/>
      <c r="L575" s="69"/>
      <c r="M575" s="69"/>
      <c r="N575" s="69"/>
      <c r="O575" s="2"/>
      <c r="P575" s="2"/>
      <c r="Q575" s="32"/>
      <c r="R575" s="32"/>
      <c r="S575" s="32"/>
      <c r="T575" s="3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2"/>
      <c r="C576" s="10"/>
      <c r="D576" s="10"/>
      <c r="E576" s="10"/>
      <c r="F576" s="10"/>
      <c r="G576" s="69"/>
      <c r="H576" s="69"/>
      <c r="I576" s="69"/>
      <c r="J576" s="70"/>
      <c r="K576" s="69"/>
      <c r="L576" s="69"/>
      <c r="M576" s="69"/>
      <c r="N576" s="69"/>
      <c r="O576" s="2"/>
      <c r="P576" s="2"/>
      <c r="Q576" s="32"/>
      <c r="R576" s="32"/>
      <c r="S576" s="32"/>
      <c r="T576" s="3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2"/>
      <c r="C577" s="10"/>
      <c r="D577" s="10"/>
      <c r="E577" s="10"/>
      <c r="F577" s="10"/>
      <c r="G577" s="69"/>
      <c r="H577" s="69"/>
      <c r="I577" s="69"/>
      <c r="J577" s="70"/>
      <c r="K577" s="69"/>
      <c r="L577" s="69"/>
      <c r="M577" s="69"/>
      <c r="N577" s="69"/>
      <c r="O577" s="2"/>
      <c r="P577" s="2"/>
      <c r="Q577" s="32"/>
      <c r="R577" s="32"/>
      <c r="S577" s="32"/>
      <c r="T577" s="3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2"/>
      <c r="C578" s="10"/>
      <c r="D578" s="10"/>
      <c r="E578" s="10"/>
      <c r="F578" s="10"/>
      <c r="G578" s="69"/>
      <c r="H578" s="69"/>
      <c r="I578" s="69"/>
      <c r="J578" s="70"/>
      <c r="K578" s="69"/>
      <c r="L578" s="69"/>
      <c r="M578" s="69"/>
      <c r="N578" s="69"/>
      <c r="O578" s="2"/>
      <c r="P578" s="2"/>
      <c r="Q578" s="32"/>
      <c r="R578" s="32"/>
      <c r="S578" s="32"/>
      <c r="T578" s="3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2"/>
      <c r="C579" s="10"/>
      <c r="D579" s="10"/>
      <c r="E579" s="10"/>
      <c r="F579" s="10"/>
      <c r="G579" s="69"/>
      <c r="H579" s="69"/>
      <c r="I579" s="69"/>
      <c r="J579" s="70"/>
      <c r="K579" s="69"/>
      <c r="L579" s="69"/>
      <c r="M579" s="69"/>
      <c r="N579" s="69"/>
      <c r="O579" s="2"/>
      <c r="P579" s="2"/>
      <c r="Q579" s="32"/>
      <c r="R579" s="32"/>
      <c r="S579" s="32"/>
      <c r="T579" s="3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2"/>
      <c r="C580" s="10"/>
      <c r="D580" s="10"/>
      <c r="E580" s="10"/>
      <c r="F580" s="10"/>
      <c r="G580" s="69"/>
      <c r="H580" s="69"/>
      <c r="I580" s="69"/>
      <c r="J580" s="70"/>
      <c r="K580" s="69"/>
      <c r="L580" s="69"/>
      <c r="M580" s="69"/>
      <c r="N580" s="69"/>
      <c r="O580" s="2"/>
      <c r="P580" s="2"/>
      <c r="Q580" s="32"/>
      <c r="R580" s="32"/>
      <c r="S580" s="32"/>
      <c r="T580" s="3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2"/>
      <c r="C581" s="10"/>
      <c r="D581" s="10"/>
      <c r="E581" s="10"/>
      <c r="F581" s="10"/>
      <c r="G581" s="69"/>
      <c r="H581" s="69"/>
      <c r="I581" s="69"/>
      <c r="J581" s="70"/>
      <c r="K581" s="69"/>
      <c r="L581" s="69"/>
      <c r="M581" s="69"/>
      <c r="N581" s="69"/>
      <c r="O581" s="2"/>
      <c r="P581" s="2"/>
      <c r="Q581" s="32"/>
      <c r="R581" s="32"/>
      <c r="S581" s="32"/>
      <c r="T581" s="3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2"/>
      <c r="C582" s="10"/>
      <c r="D582" s="10"/>
      <c r="E582" s="10"/>
      <c r="F582" s="10"/>
      <c r="G582" s="69"/>
      <c r="H582" s="69"/>
      <c r="I582" s="69"/>
      <c r="J582" s="70"/>
      <c r="K582" s="69"/>
      <c r="L582" s="69"/>
      <c r="M582" s="69"/>
      <c r="N582" s="69"/>
      <c r="O582" s="2"/>
      <c r="P582" s="2"/>
      <c r="Q582" s="32"/>
      <c r="R582" s="32"/>
      <c r="S582" s="32"/>
      <c r="T582" s="3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2"/>
      <c r="C583" s="10"/>
      <c r="D583" s="10"/>
      <c r="E583" s="10"/>
      <c r="F583" s="10"/>
      <c r="G583" s="69"/>
      <c r="H583" s="69"/>
      <c r="I583" s="69"/>
      <c r="J583" s="70"/>
      <c r="K583" s="69"/>
      <c r="L583" s="69"/>
      <c r="M583" s="69"/>
      <c r="N583" s="69"/>
      <c r="O583" s="2"/>
      <c r="P583" s="2"/>
      <c r="Q583" s="32"/>
      <c r="R583" s="32"/>
      <c r="S583" s="32"/>
      <c r="T583" s="3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2"/>
      <c r="C584" s="10"/>
      <c r="D584" s="10"/>
      <c r="E584" s="10"/>
      <c r="F584" s="10"/>
      <c r="G584" s="69"/>
      <c r="H584" s="69"/>
      <c r="I584" s="69"/>
      <c r="J584" s="70"/>
      <c r="K584" s="69"/>
      <c r="L584" s="69"/>
      <c r="M584" s="69"/>
      <c r="N584" s="69"/>
      <c r="O584" s="2"/>
      <c r="P584" s="2"/>
      <c r="Q584" s="32"/>
      <c r="R584" s="32"/>
      <c r="S584" s="32"/>
      <c r="T584" s="3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2"/>
      <c r="C585" s="10"/>
      <c r="D585" s="10"/>
      <c r="E585" s="10"/>
      <c r="F585" s="10"/>
      <c r="G585" s="69"/>
      <c r="H585" s="69"/>
      <c r="I585" s="69"/>
      <c r="J585" s="70"/>
      <c r="K585" s="69"/>
      <c r="L585" s="69"/>
      <c r="M585" s="69"/>
      <c r="N585" s="69"/>
      <c r="O585" s="2"/>
      <c r="P585" s="2"/>
      <c r="Q585" s="32"/>
      <c r="R585" s="32"/>
      <c r="S585" s="32"/>
      <c r="T585" s="3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2"/>
      <c r="C586" s="10"/>
      <c r="D586" s="10"/>
      <c r="E586" s="10"/>
      <c r="F586" s="10"/>
      <c r="G586" s="69"/>
      <c r="H586" s="69"/>
      <c r="I586" s="69"/>
      <c r="J586" s="70"/>
      <c r="K586" s="69"/>
      <c r="L586" s="69"/>
      <c r="M586" s="69"/>
      <c r="N586" s="69"/>
      <c r="O586" s="2"/>
      <c r="P586" s="2"/>
      <c r="Q586" s="32"/>
      <c r="R586" s="32"/>
      <c r="S586" s="32"/>
      <c r="T586" s="3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2"/>
      <c r="C587" s="10"/>
      <c r="D587" s="10"/>
      <c r="E587" s="10"/>
      <c r="F587" s="10"/>
      <c r="G587" s="69"/>
      <c r="H587" s="69"/>
      <c r="I587" s="69"/>
      <c r="J587" s="70"/>
      <c r="K587" s="69"/>
      <c r="L587" s="69"/>
      <c r="M587" s="69"/>
      <c r="N587" s="69"/>
      <c r="O587" s="2"/>
      <c r="P587" s="2"/>
      <c r="Q587" s="32"/>
      <c r="R587" s="32"/>
      <c r="S587" s="32"/>
      <c r="T587" s="3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2"/>
      <c r="C588" s="10"/>
      <c r="D588" s="10"/>
      <c r="E588" s="10"/>
      <c r="F588" s="10"/>
      <c r="G588" s="69"/>
      <c r="H588" s="69"/>
      <c r="I588" s="69"/>
      <c r="J588" s="70"/>
      <c r="K588" s="69"/>
      <c r="L588" s="69"/>
      <c r="M588" s="69"/>
      <c r="N588" s="69"/>
      <c r="O588" s="2"/>
      <c r="P588" s="2"/>
      <c r="Q588" s="32"/>
      <c r="R588" s="32"/>
      <c r="S588" s="32"/>
      <c r="T588" s="3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2"/>
      <c r="C589" s="10"/>
      <c r="D589" s="10"/>
      <c r="E589" s="10"/>
      <c r="F589" s="10"/>
      <c r="G589" s="69"/>
      <c r="H589" s="69"/>
      <c r="I589" s="69"/>
      <c r="J589" s="70"/>
      <c r="K589" s="69"/>
      <c r="L589" s="69"/>
      <c r="M589" s="69"/>
      <c r="N589" s="69"/>
      <c r="O589" s="2"/>
      <c r="P589" s="2"/>
      <c r="Q589" s="32"/>
      <c r="R589" s="32"/>
      <c r="S589" s="32"/>
      <c r="T589" s="3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2"/>
      <c r="C590" s="10"/>
      <c r="D590" s="10"/>
      <c r="E590" s="10"/>
      <c r="F590" s="10"/>
      <c r="G590" s="69"/>
      <c r="H590" s="69"/>
      <c r="I590" s="69"/>
      <c r="J590" s="70"/>
      <c r="K590" s="69"/>
      <c r="L590" s="69"/>
      <c r="M590" s="69"/>
      <c r="N590" s="69"/>
      <c r="O590" s="2"/>
      <c r="P590" s="2"/>
      <c r="Q590" s="32"/>
      <c r="R590" s="32"/>
      <c r="S590" s="32"/>
      <c r="T590" s="3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2"/>
      <c r="C591" s="10"/>
      <c r="D591" s="10"/>
      <c r="E591" s="10"/>
      <c r="F591" s="10"/>
      <c r="G591" s="69"/>
      <c r="H591" s="69"/>
      <c r="I591" s="69"/>
      <c r="J591" s="70"/>
      <c r="K591" s="69"/>
      <c r="L591" s="69"/>
      <c r="M591" s="69"/>
      <c r="N591" s="69"/>
      <c r="O591" s="2"/>
      <c r="P591" s="2"/>
      <c r="Q591" s="32"/>
      <c r="R591" s="32"/>
      <c r="S591" s="32"/>
      <c r="T591" s="3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2"/>
      <c r="C592" s="10"/>
      <c r="D592" s="10"/>
      <c r="E592" s="10"/>
      <c r="F592" s="10"/>
      <c r="G592" s="69"/>
      <c r="H592" s="69"/>
      <c r="I592" s="69"/>
      <c r="J592" s="70"/>
      <c r="K592" s="69"/>
      <c r="L592" s="69"/>
      <c r="M592" s="69"/>
      <c r="N592" s="69"/>
      <c r="O592" s="2"/>
      <c r="P592" s="2"/>
      <c r="Q592" s="32"/>
      <c r="R592" s="32"/>
      <c r="S592" s="32"/>
      <c r="T592" s="3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2"/>
      <c r="C593" s="10"/>
      <c r="D593" s="10"/>
      <c r="E593" s="10"/>
      <c r="F593" s="10"/>
      <c r="G593" s="69"/>
      <c r="H593" s="69"/>
      <c r="I593" s="69"/>
      <c r="J593" s="70"/>
      <c r="K593" s="69"/>
      <c r="L593" s="69"/>
      <c r="M593" s="69"/>
      <c r="N593" s="69"/>
      <c r="O593" s="2"/>
      <c r="P593" s="2"/>
      <c r="Q593" s="32"/>
      <c r="R593" s="32"/>
      <c r="S593" s="32"/>
      <c r="T593" s="3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2"/>
      <c r="C594" s="10"/>
      <c r="D594" s="10"/>
      <c r="E594" s="10"/>
      <c r="F594" s="10"/>
      <c r="G594" s="69"/>
      <c r="H594" s="69"/>
      <c r="I594" s="69"/>
      <c r="J594" s="70"/>
      <c r="K594" s="69"/>
      <c r="L594" s="69"/>
      <c r="M594" s="69"/>
      <c r="N594" s="69"/>
      <c r="O594" s="2"/>
      <c r="P594" s="2"/>
      <c r="Q594" s="32"/>
      <c r="R594" s="32"/>
      <c r="S594" s="32"/>
      <c r="T594" s="3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2"/>
      <c r="C595" s="10"/>
      <c r="D595" s="10"/>
      <c r="E595" s="10"/>
      <c r="F595" s="10"/>
      <c r="G595" s="69"/>
      <c r="H595" s="69"/>
      <c r="I595" s="69"/>
      <c r="J595" s="70"/>
      <c r="K595" s="69"/>
      <c r="L595" s="69"/>
      <c r="M595" s="69"/>
      <c r="N595" s="69"/>
      <c r="O595" s="2"/>
      <c r="P595" s="2"/>
      <c r="Q595" s="32"/>
      <c r="R595" s="32"/>
      <c r="S595" s="32"/>
      <c r="T595" s="3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2"/>
      <c r="C596" s="10"/>
      <c r="D596" s="10"/>
      <c r="E596" s="10"/>
      <c r="F596" s="10"/>
      <c r="G596" s="69"/>
      <c r="H596" s="69"/>
      <c r="I596" s="69"/>
      <c r="J596" s="70"/>
      <c r="K596" s="69"/>
      <c r="L596" s="69"/>
      <c r="M596" s="69"/>
      <c r="N596" s="69"/>
      <c r="O596" s="2"/>
      <c r="P596" s="2"/>
      <c r="Q596" s="32"/>
      <c r="R596" s="32"/>
      <c r="S596" s="32"/>
      <c r="T596" s="3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2"/>
      <c r="C597" s="10"/>
      <c r="D597" s="10"/>
      <c r="E597" s="10"/>
      <c r="F597" s="10"/>
      <c r="G597" s="69"/>
      <c r="H597" s="69"/>
      <c r="I597" s="69"/>
      <c r="J597" s="70"/>
      <c r="K597" s="69"/>
      <c r="L597" s="69"/>
      <c r="M597" s="69"/>
      <c r="N597" s="69"/>
      <c r="O597" s="2"/>
      <c r="P597" s="2"/>
      <c r="Q597" s="32"/>
      <c r="R597" s="32"/>
      <c r="S597" s="32"/>
      <c r="T597" s="3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2"/>
      <c r="C598" s="10"/>
      <c r="D598" s="10"/>
      <c r="E598" s="10"/>
      <c r="F598" s="10"/>
      <c r="G598" s="69"/>
      <c r="H598" s="69"/>
      <c r="I598" s="69"/>
      <c r="J598" s="70"/>
      <c r="K598" s="69"/>
      <c r="L598" s="69"/>
      <c r="M598" s="69"/>
      <c r="N598" s="69"/>
      <c r="O598" s="2"/>
      <c r="P598" s="2"/>
      <c r="Q598" s="32"/>
      <c r="R598" s="32"/>
      <c r="S598" s="32"/>
      <c r="T598" s="3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2"/>
      <c r="C599" s="10"/>
      <c r="D599" s="10"/>
      <c r="E599" s="10"/>
      <c r="F599" s="10"/>
      <c r="G599" s="69"/>
      <c r="H599" s="69"/>
      <c r="I599" s="69"/>
      <c r="J599" s="70"/>
      <c r="K599" s="69"/>
      <c r="L599" s="69"/>
      <c r="M599" s="69"/>
      <c r="N599" s="69"/>
      <c r="O599" s="2"/>
      <c r="P599" s="2"/>
      <c r="Q599" s="32"/>
      <c r="R599" s="32"/>
      <c r="S599" s="32"/>
      <c r="T599" s="3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2"/>
      <c r="C600" s="10"/>
      <c r="D600" s="10"/>
      <c r="E600" s="10"/>
      <c r="F600" s="10"/>
      <c r="G600" s="69"/>
      <c r="H600" s="69"/>
      <c r="I600" s="69"/>
      <c r="J600" s="70"/>
      <c r="K600" s="69"/>
      <c r="L600" s="69"/>
      <c r="M600" s="69"/>
      <c r="N600" s="69"/>
      <c r="O600" s="2"/>
      <c r="P600" s="2"/>
      <c r="Q600" s="32"/>
      <c r="R600" s="32"/>
      <c r="S600" s="32"/>
      <c r="T600" s="3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2"/>
      <c r="C601" s="10"/>
      <c r="D601" s="10"/>
      <c r="E601" s="10"/>
      <c r="F601" s="10"/>
      <c r="G601" s="69"/>
      <c r="H601" s="69"/>
      <c r="I601" s="69"/>
      <c r="J601" s="70"/>
      <c r="K601" s="69"/>
      <c r="L601" s="69"/>
      <c r="M601" s="69"/>
      <c r="N601" s="69"/>
      <c r="O601" s="2"/>
      <c r="P601" s="2"/>
      <c r="Q601" s="32"/>
      <c r="R601" s="32"/>
      <c r="S601" s="32"/>
      <c r="T601" s="3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2"/>
      <c r="C602" s="10"/>
      <c r="D602" s="10"/>
      <c r="E602" s="10"/>
      <c r="F602" s="10"/>
      <c r="G602" s="69"/>
      <c r="H602" s="69"/>
      <c r="I602" s="69"/>
      <c r="J602" s="70"/>
      <c r="K602" s="69"/>
      <c r="L602" s="69"/>
      <c r="M602" s="69"/>
      <c r="N602" s="69"/>
      <c r="O602" s="2"/>
      <c r="P602" s="2"/>
      <c r="Q602" s="32"/>
      <c r="R602" s="32"/>
      <c r="S602" s="32"/>
      <c r="T602" s="3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2"/>
      <c r="C603" s="10"/>
      <c r="D603" s="10"/>
      <c r="E603" s="10"/>
      <c r="F603" s="10"/>
      <c r="G603" s="69"/>
      <c r="H603" s="69"/>
      <c r="I603" s="69"/>
      <c r="J603" s="70"/>
      <c r="K603" s="69"/>
      <c r="L603" s="69"/>
      <c r="M603" s="69"/>
      <c r="N603" s="69"/>
      <c r="O603" s="2"/>
      <c r="P603" s="2"/>
      <c r="Q603" s="32"/>
      <c r="R603" s="32"/>
      <c r="S603" s="32"/>
      <c r="T603" s="3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2"/>
      <c r="C604" s="10"/>
      <c r="D604" s="10"/>
      <c r="E604" s="10"/>
      <c r="F604" s="10"/>
      <c r="G604" s="69"/>
      <c r="H604" s="69"/>
      <c r="I604" s="69"/>
      <c r="J604" s="70"/>
      <c r="K604" s="69"/>
      <c r="L604" s="69"/>
      <c r="M604" s="69"/>
      <c r="N604" s="69"/>
      <c r="O604" s="2"/>
      <c r="P604" s="2"/>
      <c r="Q604" s="32"/>
      <c r="R604" s="32"/>
      <c r="S604" s="32"/>
      <c r="T604" s="3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2"/>
      <c r="C605" s="10"/>
      <c r="D605" s="10"/>
      <c r="E605" s="10"/>
      <c r="F605" s="10"/>
      <c r="G605" s="69"/>
      <c r="H605" s="69"/>
      <c r="I605" s="69"/>
      <c r="J605" s="70"/>
      <c r="K605" s="69"/>
      <c r="L605" s="69"/>
      <c r="M605" s="69"/>
      <c r="N605" s="69"/>
      <c r="O605" s="2"/>
      <c r="P605" s="2"/>
      <c r="Q605" s="32"/>
      <c r="R605" s="32"/>
      <c r="S605" s="32"/>
      <c r="T605" s="3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2"/>
      <c r="C606" s="10"/>
      <c r="D606" s="10"/>
      <c r="E606" s="10"/>
      <c r="F606" s="10"/>
      <c r="G606" s="69"/>
      <c r="H606" s="69"/>
      <c r="I606" s="69"/>
      <c r="J606" s="70"/>
      <c r="K606" s="69"/>
      <c r="L606" s="69"/>
      <c r="M606" s="69"/>
      <c r="N606" s="69"/>
      <c r="O606" s="2"/>
      <c r="P606" s="2"/>
      <c r="Q606" s="32"/>
      <c r="R606" s="32"/>
      <c r="S606" s="32"/>
      <c r="T606" s="3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2"/>
      <c r="C607" s="10"/>
      <c r="D607" s="10"/>
      <c r="E607" s="10"/>
      <c r="F607" s="10"/>
      <c r="G607" s="69"/>
      <c r="H607" s="69"/>
      <c r="I607" s="69"/>
      <c r="J607" s="70"/>
      <c r="K607" s="69"/>
      <c r="L607" s="69"/>
      <c r="M607" s="69"/>
      <c r="N607" s="69"/>
      <c r="O607" s="2"/>
      <c r="P607" s="2"/>
      <c r="Q607" s="32"/>
      <c r="R607" s="32"/>
      <c r="S607" s="32"/>
      <c r="T607" s="3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2"/>
      <c r="C608" s="10"/>
      <c r="D608" s="10"/>
      <c r="E608" s="10"/>
      <c r="F608" s="10"/>
      <c r="G608" s="69"/>
      <c r="H608" s="69"/>
      <c r="I608" s="69"/>
      <c r="J608" s="70"/>
      <c r="K608" s="69"/>
      <c r="L608" s="69"/>
      <c r="M608" s="69"/>
      <c r="N608" s="69"/>
      <c r="O608" s="2"/>
      <c r="P608" s="2"/>
      <c r="Q608" s="32"/>
      <c r="R608" s="32"/>
      <c r="S608" s="32"/>
      <c r="T608" s="3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2"/>
      <c r="C609" s="10"/>
      <c r="D609" s="10"/>
      <c r="E609" s="10"/>
      <c r="F609" s="10"/>
      <c r="G609" s="69"/>
      <c r="H609" s="69"/>
      <c r="I609" s="69"/>
      <c r="J609" s="70"/>
      <c r="K609" s="69"/>
      <c r="L609" s="69"/>
      <c r="M609" s="69"/>
      <c r="N609" s="69"/>
      <c r="O609" s="2"/>
      <c r="P609" s="2"/>
      <c r="Q609" s="32"/>
      <c r="R609" s="32"/>
      <c r="S609" s="32"/>
      <c r="T609" s="3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2"/>
      <c r="C610" s="10"/>
      <c r="D610" s="10"/>
      <c r="E610" s="10"/>
      <c r="F610" s="10"/>
      <c r="G610" s="69"/>
      <c r="H610" s="69"/>
      <c r="I610" s="69"/>
      <c r="J610" s="70"/>
      <c r="K610" s="69"/>
      <c r="L610" s="69"/>
      <c r="M610" s="69"/>
      <c r="N610" s="69"/>
      <c r="O610" s="2"/>
      <c r="P610" s="2"/>
      <c r="Q610" s="32"/>
      <c r="R610" s="32"/>
      <c r="S610" s="32"/>
      <c r="T610" s="3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2"/>
      <c r="C611" s="10"/>
      <c r="D611" s="10"/>
      <c r="E611" s="10"/>
      <c r="F611" s="10"/>
      <c r="G611" s="69"/>
      <c r="H611" s="69"/>
      <c r="I611" s="69"/>
      <c r="J611" s="70"/>
      <c r="K611" s="69"/>
      <c r="L611" s="69"/>
      <c r="M611" s="69"/>
      <c r="N611" s="69"/>
      <c r="O611" s="2"/>
      <c r="P611" s="2"/>
      <c r="Q611" s="32"/>
      <c r="R611" s="32"/>
      <c r="S611" s="32"/>
      <c r="T611" s="3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2"/>
      <c r="C612" s="10"/>
      <c r="D612" s="10"/>
      <c r="E612" s="10"/>
      <c r="F612" s="10"/>
      <c r="G612" s="69"/>
      <c r="H612" s="69"/>
      <c r="I612" s="69"/>
      <c r="J612" s="70"/>
      <c r="K612" s="69"/>
      <c r="L612" s="69"/>
      <c r="M612" s="69"/>
      <c r="N612" s="69"/>
      <c r="O612" s="2"/>
      <c r="P612" s="2"/>
      <c r="Q612" s="32"/>
      <c r="R612" s="32"/>
      <c r="S612" s="32"/>
      <c r="T612" s="3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2"/>
      <c r="C613" s="10"/>
      <c r="D613" s="10"/>
      <c r="E613" s="10"/>
      <c r="F613" s="10"/>
      <c r="G613" s="69"/>
      <c r="H613" s="69"/>
      <c r="I613" s="69"/>
      <c r="J613" s="70"/>
      <c r="K613" s="69"/>
      <c r="L613" s="69"/>
      <c r="M613" s="69"/>
      <c r="N613" s="69"/>
      <c r="O613" s="2"/>
      <c r="P613" s="2"/>
      <c r="Q613" s="32"/>
      <c r="R613" s="32"/>
      <c r="S613" s="32"/>
      <c r="T613" s="3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2"/>
      <c r="C614" s="10"/>
      <c r="D614" s="10"/>
      <c r="E614" s="10"/>
      <c r="F614" s="10"/>
      <c r="G614" s="69"/>
      <c r="H614" s="69"/>
      <c r="I614" s="69"/>
      <c r="J614" s="70"/>
      <c r="K614" s="69"/>
      <c r="L614" s="69"/>
      <c r="M614" s="69"/>
      <c r="N614" s="69"/>
      <c r="O614" s="2"/>
      <c r="P614" s="2"/>
      <c r="Q614" s="32"/>
      <c r="R614" s="32"/>
      <c r="S614" s="32"/>
      <c r="T614" s="3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2"/>
      <c r="C615" s="10"/>
      <c r="D615" s="10"/>
      <c r="E615" s="10"/>
      <c r="F615" s="10"/>
      <c r="G615" s="69"/>
      <c r="H615" s="69"/>
      <c r="I615" s="69"/>
      <c r="J615" s="70"/>
      <c r="K615" s="69"/>
      <c r="L615" s="69"/>
      <c r="M615" s="69"/>
      <c r="N615" s="69"/>
      <c r="O615" s="2"/>
      <c r="P615" s="2"/>
      <c r="Q615" s="32"/>
      <c r="R615" s="32"/>
      <c r="S615" s="32"/>
      <c r="T615" s="3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2"/>
      <c r="C616" s="10"/>
      <c r="D616" s="10"/>
      <c r="E616" s="10"/>
      <c r="F616" s="10"/>
      <c r="G616" s="69"/>
      <c r="H616" s="69"/>
      <c r="I616" s="69"/>
      <c r="J616" s="70"/>
      <c r="K616" s="69"/>
      <c r="L616" s="69"/>
      <c r="M616" s="69"/>
      <c r="N616" s="69"/>
      <c r="O616" s="2"/>
      <c r="P616" s="2"/>
      <c r="Q616" s="32"/>
      <c r="R616" s="32"/>
      <c r="S616" s="32"/>
      <c r="T616" s="3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2"/>
      <c r="C617" s="10"/>
      <c r="D617" s="10"/>
      <c r="E617" s="10"/>
      <c r="F617" s="10"/>
      <c r="G617" s="69"/>
      <c r="H617" s="69"/>
      <c r="I617" s="69"/>
      <c r="J617" s="70"/>
      <c r="K617" s="69"/>
      <c r="L617" s="69"/>
      <c r="M617" s="69"/>
      <c r="N617" s="69"/>
      <c r="O617" s="2"/>
      <c r="P617" s="2"/>
      <c r="Q617" s="32"/>
      <c r="R617" s="32"/>
      <c r="S617" s="32"/>
      <c r="T617" s="3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2"/>
      <c r="C618" s="10"/>
      <c r="D618" s="10"/>
      <c r="E618" s="10"/>
      <c r="F618" s="10"/>
      <c r="G618" s="69"/>
      <c r="H618" s="69"/>
      <c r="I618" s="69"/>
      <c r="J618" s="70"/>
      <c r="K618" s="69"/>
      <c r="L618" s="69"/>
      <c r="M618" s="69"/>
      <c r="N618" s="69"/>
      <c r="O618" s="2"/>
      <c r="P618" s="2"/>
      <c r="Q618" s="32"/>
      <c r="R618" s="32"/>
      <c r="S618" s="32"/>
      <c r="T618" s="3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2"/>
      <c r="C619" s="10"/>
      <c r="D619" s="10"/>
      <c r="E619" s="10"/>
      <c r="F619" s="10"/>
      <c r="G619" s="69"/>
      <c r="H619" s="69"/>
      <c r="I619" s="69"/>
      <c r="J619" s="70"/>
      <c r="K619" s="69"/>
      <c r="L619" s="69"/>
      <c r="M619" s="69"/>
      <c r="N619" s="69"/>
      <c r="O619" s="2"/>
      <c r="P619" s="2"/>
      <c r="Q619" s="32"/>
      <c r="R619" s="32"/>
      <c r="S619" s="32"/>
      <c r="T619" s="3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2"/>
      <c r="C620" s="10"/>
      <c r="D620" s="10"/>
      <c r="E620" s="10"/>
      <c r="F620" s="10"/>
      <c r="G620" s="69"/>
      <c r="H620" s="69"/>
      <c r="I620" s="69"/>
      <c r="J620" s="70"/>
      <c r="K620" s="69"/>
      <c r="L620" s="69"/>
      <c r="M620" s="69"/>
      <c r="N620" s="69"/>
      <c r="O620" s="2"/>
      <c r="P620" s="2"/>
      <c r="Q620" s="32"/>
      <c r="R620" s="32"/>
      <c r="S620" s="32"/>
      <c r="T620" s="3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2"/>
      <c r="C621" s="10"/>
      <c r="D621" s="10"/>
      <c r="E621" s="10"/>
      <c r="F621" s="10"/>
      <c r="G621" s="69"/>
      <c r="H621" s="69"/>
      <c r="I621" s="69"/>
      <c r="J621" s="70"/>
      <c r="K621" s="69"/>
      <c r="L621" s="69"/>
      <c r="M621" s="69"/>
      <c r="N621" s="69"/>
      <c r="O621" s="2"/>
      <c r="P621" s="2"/>
      <c r="Q621" s="32"/>
      <c r="R621" s="32"/>
      <c r="S621" s="32"/>
      <c r="T621" s="3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2"/>
      <c r="C622" s="10"/>
      <c r="D622" s="10"/>
      <c r="E622" s="10"/>
      <c r="F622" s="10"/>
      <c r="G622" s="69"/>
      <c r="H622" s="69"/>
      <c r="I622" s="69"/>
      <c r="J622" s="70"/>
      <c r="K622" s="69"/>
      <c r="L622" s="69"/>
      <c r="M622" s="69"/>
      <c r="N622" s="69"/>
      <c r="O622" s="2"/>
      <c r="P622" s="2"/>
      <c r="Q622" s="32"/>
      <c r="R622" s="32"/>
      <c r="S622" s="32"/>
      <c r="T622" s="3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2"/>
      <c r="C623" s="10"/>
      <c r="D623" s="10"/>
      <c r="E623" s="10"/>
      <c r="F623" s="10"/>
      <c r="G623" s="69"/>
      <c r="H623" s="69"/>
      <c r="I623" s="69"/>
      <c r="J623" s="70"/>
      <c r="K623" s="69"/>
      <c r="L623" s="69"/>
      <c r="M623" s="69"/>
      <c r="N623" s="69"/>
      <c r="O623" s="2"/>
      <c r="P623" s="2"/>
      <c r="Q623" s="32"/>
      <c r="R623" s="32"/>
      <c r="S623" s="32"/>
      <c r="T623" s="3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2"/>
      <c r="C624" s="10"/>
      <c r="D624" s="10"/>
      <c r="E624" s="10"/>
      <c r="F624" s="10"/>
      <c r="G624" s="69"/>
      <c r="H624" s="69"/>
      <c r="I624" s="69"/>
      <c r="J624" s="70"/>
      <c r="K624" s="69"/>
      <c r="L624" s="69"/>
      <c r="M624" s="69"/>
      <c r="N624" s="69"/>
      <c r="O624" s="2"/>
      <c r="P624" s="2"/>
      <c r="Q624" s="32"/>
      <c r="R624" s="32"/>
      <c r="S624" s="32"/>
      <c r="T624" s="3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2"/>
      <c r="C625" s="10"/>
      <c r="D625" s="10"/>
      <c r="E625" s="10"/>
      <c r="F625" s="10"/>
      <c r="G625" s="69"/>
      <c r="H625" s="69"/>
      <c r="I625" s="69"/>
      <c r="J625" s="70"/>
      <c r="K625" s="69"/>
      <c r="L625" s="69"/>
      <c r="M625" s="69"/>
      <c r="N625" s="69"/>
      <c r="O625" s="2"/>
      <c r="P625" s="2"/>
      <c r="Q625" s="32"/>
      <c r="R625" s="32"/>
      <c r="S625" s="32"/>
      <c r="T625" s="3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2"/>
      <c r="C626" s="10"/>
      <c r="D626" s="10"/>
      <c r="E626" s="10"/>
      <c r="F626" s="10"/>
      <c r="G626" s="69"/>
      <c r="H626" s="69"/>
      <c r="I626" s="69"/>
      <c r="J626" s="70"/>
      <c r="K626" s="69"/>
      <c r="L626" s="69"/>
      <c r="M626" s="69"/>
      <c r="N626" s="69"/>
      <c r="O626" s="2"/>
      <c r="P626" s="2"/>
      <c r="Q626" s="32"/>
      <c r="R626" s="32"/>
      <c r="S626" s="32"/>
      <c r="T626" s="3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2"/>
      <c r="C627" s="10"/>
      <c r="D627" s="10"/>
      <c r="E627" s="10"/>
      <c r="F627" s="10"/>
      <c r="G627" s="69"/>
      <c r="H627" s="69"/>
      <c r="I627" s="69"/>
      <c r="J627" s="70"/>
      <c r="K627" s="69"/>
      <c r="L627" s="69"/>
      <c r="M627" s="69"/>
      <c r="N627" s="69"/>
      <c r="O627" s="2"/>
      <c r="P627" s="2"/>
      <c r="Q627" s="32"/>
      <c r="R627" s="32"/>
      <c r="S627" s="32"/>
      <c r="T627" s="3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2"/>
      <c r="C628" s="10"/>
      <c r="D628" s="10"/>
      <c r="E628" s="10"/>
      <c r="F628" s="10"/>
      <c r="G628" s="69"/>
      <c r="H628" s="69"/>
      <c r="I628" s="69"/>
      <c r="J628" s="70"/>
      <c r="K628" s="69"/>
      <c r="L628" s="69"/>
      <c r="M628" s="69"/>
      <c r="N628" s="69"/>
      <c r="O628" s="2"/>
      <c r="P628" s="2"/>
      <c r="Q628" s="32"/>
      <c r="R628" s="32"/>
      <c r="S628" s="32"/>
      <c r="T628" s="3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2"/>
      <c r="C629" s="10"/>
      <c r="D629" s="10"/>
      <c r="E629" s="10"/>
      <c r="F629" s="10"/>
      <c r="G629" s="69"/>
      <c r="H629" s="69"/>
      <c r="I629" s="69"/>
      <c r="J629" s="70"/>
      <c r="K629" s="69"/>
      <c r="L629" s="69"/>
      <c r="M629" s="69"/>
      <c r="N629" s="69"/>
      <c r="O629" s="2"/>
      <c r="P629" s="2"/>
      <c r="Q629" s="32"/>
      <c r="R629" s="32"/>
      <c r="S629" s="32"/>
      <c r="T629" s="3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2"/>
      <c r="C630" s="10"/>
      <c r="D630" s="10"/>
      <c r="E630" s="10"/>
      <c r="F630" s="10"/>
      <c r="G630" s="69"/>
      <c r="H630" s="69"/>
      <c r="I630" s="69"/>
      <c r="J630" s="70"/>
      <c r="K630" s="69"/>
      <c r="L630" s="69"/>
      <c r="M630" s="69"/>
      <c r="N630" s="69"/>
      <c r="O630" s="2"/>
      <c r="P630" s="2"/>
      <c r="Q630" s="32"/>
      <c r="R630" s="32"/>
      <c r="S630" s="32"/>
      <c r="T630" s="3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2"/>
      <c r="C631" s="10"/>
      <c r="D631" s="10"/>
      <c r="E631" s="10"/>
      <c r="F631" s="10"/>
      <c r="G631" s="69"/>
      <c r="H631" s="69"/>
      <c r="I631" s="69"/>
      <c r="J631" s="70"/>
      <c r="K631" s="69"/>
      <c r="L631" s="69"/>
      <c r="M631" s="69"/>
      <c r="N631" s="69"/>
      <c r="O631" s="2"/>
      <c r="P631" s="2"/>
      <c r="Q631" s="32"/>
      <c r="R631" s="32"/>
      <c r="S631" s="32"/>
      <c r="T631" s="3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2"/>
      <c r="C632" s="10"/>
      <c r="D632" s="10"/>
      <c r="E632" s="10"/>
      <c r="F632" s="10"/>
      <c r="G632" s="69"/>
      <c r="H632" s="69"/>
      <c r="I632" s="69"/>
      <c r="J632" s="70"/>
      <c r="K632" s="69"/>
      <c r="L632" s="69"/>
      <c r="M632" s="69"/>
      <c r="N632" s="69"/>
      <c r="O632" s="2"/>
      <c r="P632" s="2"/>
      <c r="Q632" s="32"/>
      <c r="R632" s="32"/>
      <c r="S632" s="32"/>
      <c r="T632" s="3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2"/>
      <c r="C633" s="10"/>
      <c r="D633" s="10"/>
      <c r="E633" s="10"/>
      <c r="F633" s="10"/>
      <c r="G633" s="69"/>
      <c r="H633" s="69"/>
      <c r="I633" s="69"/>
      <c r="J633" s="70"/>
      <c r="K633" s="69"/>
      <c r="L633" s="69"/>
      <c r="M633" s="69"/>
      <c r="N633" s="69"/>
      <c r="O633" s="2"/>
      <c r="P633" s="2"/>
      <c r="Q633" s="32"/>
      <c r="R633" s="32"/>
      <c r="S633" s="32"/>
      <c r="T633" s="3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2"/>
      <c r="C634" s="10"/>
      <c r="D634" s="10"/>
      <c r="E634" s="10"/>
      <c r="F634" s="10"/>
      <c r="G634" s="69"/>
      <c r="H634" s="69"/>
      <c r="I634" s="69"/>
      <c r="J634" s="70"/>
      <c r="K634" s="69"/>
      <c r="L634" s="69"/>
      <c r="M634" s="69"/>
      <c r="N634" s="69"/>
      <c r="O634" s="2"/>
      <c r="P634" s="2"/>
      <c r="Q634" s="32"/>
      <c r="R634" s="32"/>
      <c r="S634" s="32"/>
      <c r="T634" s="3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2"/>
      <c r="C635" s="10"/>
      <c r="D635" s="10"/>
      <c r="E635" s="10"/>
      <c r="F635" s="10"/>
      <c r="G635" s="69"/>
      <c r="H635" s="69"/>
      <c r="I635" s="69"/>
      <c r="J635" s="70"/>
      <c r="K635" s="69"/>
      <c r="L635" s="69"/>
      <c r="M635" s="69"/>
      <c r="N635" s="69"/>
      <c r="O635" s="2"/>
      <c r="P635" s="2"/>
      <c r="Q635" s="32"/>
      <c r="R635" s="32"/>
      <c r="S635" s="32"/>
      <c r="T635" s="3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2"/>
      <c r="C636" s="10"/>
      <c r="D636" s="10"/>
      <c r="E636" s="10"/>
      <c r="F636" s="10"/>
      <c r="G636" s="69"/>
      <c r="H636" s="69"/>
      <c r="I636" s="69"/>
      <c r="J636" s="70"/>
      <c r="K636" s="69"/>
      <c r="L636" s="69"/>
      <c r="M636" s="69"/>
      <c r="N636" s="69"/>
      <c r="O636" s="2"/>
      <c r="P636" s="2"/>
      <c r="Q636" s="32"/>
      <c r="R636" s="32"/>
      <c r="S636" s="32"/>
      <c r="T636" s="3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2"/>
      <c r="C637" s="10"/>
      <c r="D637" s="10"/>
      <c r="E637" s="10"/>
      <c r="F637" s="10"/>
      <c r="G637" s="69"/>
      <c r="H637" s="69"/>
      <c r="I637" s="69"/>
      <c r="J637" s="70"/>
      <c r="K637" s="69"/>
      <c r="L637" s="69"/>
      <c r="M637" s="69"/>
      <c r="N637" s="69"/>
      <c r="O637" s="2"/>
      <c r="P637" s="2"/>
      <c r="Q637" s="32"/>
      <c r="R637" s="32"/>
      <c r="S637" s="32"/>
      <c r="T637" s="3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2"/>
      <c r="C638" s="10"/>
      <c r="D638" s="10"/>
      <c r="E638" s="10"/>
      <c r="F638" s="10"/>
      <c r="G638" s="69"/>
      <c r="H638" s="69"/>
      <c r="I638" s="69"/>
      <c r="J638" s="70"/>
      <c r="K638" s="69"/>
      <c r="L638" s="69"/>
      <c r="M638" s="69"/>
      <c r="N638" s="69"/>
      <c r="O638" s="2"/>
      <c r="P638" s="2"/>
      <c r="Q638" s="32"/>
      <c r="R638" s="32"/>
      <c r="S638" s="32"/>
      <c r="T638" s="3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2"/>
      <c r="C639" s="10"/>
      <c r="D639" s="10"/>
      <c r="E639" s="10"/>
      <c r="F639" s="10"/>
      <c r="G639" s="69"/>
      <c r="H639" s="69"/>
      <c r="I639" s="69"/>
      <c r="J639" s="70"/>
      <c r="K639" s="69"/>
      <c r="L639" s="69"/>
      <c r="M639" s="69"/>
      <c r="N639" s="69"/>
      <c r="O639" s="2"/>
      <c r="P639" s="2"/>
      <c r="Q639" s="32"/>
      <c r="R639" s="32"/>
      <c r="S639" s="32"/>
      <c r="T639" s="3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2"/>
      <c r="C640" s="10"/>
      <c r="D640" s="10"/>
      <c r="E640" s="10"/>
      <c r="F640" s="10"/>
      <c r="G640" s="69"/>
      <c r="H640" s="69"/>
      <c r="I640" s="69"/>
      <c r="J640" s="70"/>
      <c r="K640" s="69"/>
      <c r="L640" s="69"/>
      <c r="M640" s="69"/>
      <c r="N640" s="69"/>
      <c r="O640" s="2"/>
      <c r="P640" s="2"/>
      <c r="Q640" s="32"/>
      <c r="R640" s="32"/>
      <c r="S640" s="32"/>
      <c r="T640" s="3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2"/>
      <c r="C641" s="10"/>
      <c r="D641" s="10"/>
      <c r="E641" s="10"/>
      <c r="F641" s="10"/>
      <c r="G641" s="69"/>
      <c r="H641" s="69"/>
      <c r="I641" s="69"/>
      <c r="J641" s="70"/>
      <c r="K641" s="69"/>
      <c r="L641" s="69"/>
      <c r="M641" s="69"/>
      <c r="N641" s="69"/>
      <c r="O641" s="2"/>
      <c r="P641" s="2"/>
      <c r="Q641" s="32"/>
      <c r="R641" s="32"/>
      <c r="S641" s="32"/>
      <c r="T641" s="3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2"/>
      <c r="C642" s="10"/>
      <c r="D642" s="10"/>
      <c r="E642" s="10"/>
      <c r="F642" s="10"/>
      <c r="G642" s="69"/>
      <c r="H642" s="69"/>
      <c r="I642" s="69"/>
      <c r="J642" s="70"/>
      <c r="K642" s="69"/>
      <c r="L642" s="69"/>
      <c r="M642" s="69"/>
      <c r="N642" s="69"/>
      <c r="O642" s="2"/>
      <c r="P642" s="2"/>
      <c r="Q642" s="32"/>
      <c r="R642" s="32"/>
      <c r="S642" s="32"/>
      <c r="T642" s="3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2"/>
      <c r="C643" s="10"/>
      <c r="D643" s="10"/>
      <c r="E643" s="10"/>
      <c r="F643" s="10"/>
      <c r="G643" s="69"/>
      <c r="H643" s="69"/>
      <c r="I643" s="69"/>
      <c r="J643" s="70"/>
      <c r="K643" s="69"/>
      <c r="L643" s="69"/>
      <c r="M643" s="69"/>
      <c r="N643" s="69"/>
      <c r="O643" s="2"/>
      <c r="P643" s="2"/>
      <c r="Q643" s="32"/>
      <c r="R643" s="32"/>
      <c r="S643" s="32"/>
      <c r="T643" s="3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2"/>
      <c r="C644" s="10"/>
      <c r="D644" s="10"/>
      <c r="E644" s="10"/>
      <c r="F644" s="10"/>
      <c r="G644" s="69"/>
      <c r="H644" s="69"/>
      <c r="I644" s="69"/>
      <c r="J644" s="70"/>
      <c r="K644" s="69"/>
      <c r="L644" s="69"/>
      <c r="M644" s="69"/>
      <c r="N644" s="69"/>
      <c r="O644" s="2"/>
      <c r="P644" s="2"/>
      <c r="Q644" s="32"/>
      <c r="R644" s="32"/>
      <c r="S644" s="32"/>
      <c r="T644" s="3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2"/>
      <c r="C645" s="10"/>
      <c r="D645" s="10"/>
      <c r="E645" s="10"/>
      <c r="F645" s="10"/>
      <c r="G645" s="69"/>
      <c r="H645" s="69"/>
      <c r="I645" s="69"/>
      <c r="J645" s="70"/>
      <c r="K645" s="69"/>
      <c r="L645" s="69"/>
      <c r="M645" s="69"/>
      <c r="N645" s="69"/>
      <c r="O645" s="2"/>
      <c r="P645" s="2"/>
      <c r="Q645" s="32"/>
      <c r="R645" s="32"/>
      <c r="S645" s="32"/>
      <c r="T645" s="3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2"/>
      <c r="C646" s="10"/>
      <c r="D646" s="10"/>
      <c r="E646" s="10"/>
      <c r="F646" s="10"/>
      <c r="G646" s="69"/>
      <c r="H646" s="69"/>
      <c r="I646" s="69"/>
      <c r="J646" s="70"/>
      <c r="K646" s="69"/>
      <c r="L646" s="69"/>
      <c r="M646" s="69"/>
      <c r="N646" s="69"/>
      <c r="O646" s="2"/>
      <c r="P646" s="2"/>
      <c r="Q646" s="32"/>
      <c r="R646" s="32"/>
      <c r="S646" s="32"/>
      <c r="T646" s="3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2"/>
      <c r="C647" s="10"/>
      <c r="D647" s="10"/>
      <c r="E647" s="10"/>
      <c r="F647" s="10"/>
      <c r="G647" s="69"/>
      <c r="H647" s="69"/>
      <c r="I647" s="69"/>
      <c r="J647" s="70"/>
      <c r="K647" s="69"/>
      <c r="L647" s="69"/>
      <c r="M647" s="69"/>
      <c r="N647" s="69"/>
      <c r="O647" s="2"/>
      <c r="P647" s="2"/>
      <c r="Q647" s="32"/>
      <c r="R647" s="32"/>
      <c r="S647" s="32"/>
      <c r="T647" s="3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2"/>
      <c r="C648" s="10"/>
      <c r="D648" s="10"/>
      <c r="E648" s="10"/>
      <c r="F648" s="10"/>
      <c r="G648" s="69"/>
      <c r="H648" s="69"/>
      <c r="I648" s="69"/>
      <c r="J648" s="70"/>
      <c r="K648" s="69"/>
      <c r="L648" s="69"/>
      <c r="M648" s="69"/>
      <c r="N648" s="69"/>
      <c r="O648" s="2"/>
      <c r="P648" s="2"/>
      <c r="Q648" s="32"/>
      <c r="R648" s="32"/>
      <c r="S648" s="32"/>
      <c r="T648" s="3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2"/>
      <c r="C649" s="10"/>
      <c r="D649" s="10"/>
      <c r="E649" s="10"/>
      <c r="F649" s="10"/>
      <c r="G649" s="69"/>
      <c r="H649" s="69"/>
      <c r="I649" s="69"/>
      <c r="J649" s="70"/>
      <c r="K649" s="69"/>
      <c r="L649" s="69"/>
      <c r="M649" s="69"/>
      <c r="N649" s="69"/>
      <c r="O649" s="2"/>
      <c r="P649" s="2"/>
      <c r="Q649" s="32"/>
      <c r="R649" s="32"/>
      <c r="S649" s="32"/>
      <c r="T649" s="3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2"/>
      <c r="C650" s="10"/>
      <c r="D650" s="10"/>
      <c r="E650" s="10"/>
      <c r="F650" s="10"/>
      <c r="G650" s="69"/>
      <c r="H650" s="69"/>
      <c r="I650" s="69"/>
      <c r="J650" s="70"/>
      <c r="K650" s="69"/>
      <c r="L650" s="69"/>
      <c r="M650" s="69"/>
      <c r="N650" s="69"/>
      <c r="O650" s="2"/>
      <c r="P650" s="2"/>
      <c r="Q650" s="32"/>
      <c r="R650" s="32"/>
      <c r="S650" s="32"/>
      <c r="T650" s="3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2"/>
      <c r="C651" s="10"/>
      <c r="D651" s="10"/>
      <c r="E651" s="10"/>
      <c r="F651" s="10"/>
      <c r="G651" s="69"/>
      <c r="H651" s="69"/>
      <c r="I651" s="69"/>
      <c r="J651" s="70"/>
      <c r="K651" s="69"/>
      <c r="L651" s="69"/>
      <c r="M651" s="69"/>
      <c r="N651" s="69"/>
      <c r="O651" s="2"/>
      <c r="P651" s="2"/>
      <c r="Q651" s="32"/>
      <c r="R651" s="32"/>
      <c r="S651" s="32"/>
      <c r="T651" s="3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2"/>
      <c r="C652" s="10"/>
      <c r="D652" s="10"/>
      <c r="E652" s="10"/>
      <c r="F652" s="10"/>
      <c r="G652" s="69"/>
      <c r="H652" s="69"/>
      <c r="I652" s="69"/>
      <c r="J652" s="70"/>
      <c r="K652" s="69"/>
      <c r="L652" s="69"/>
      <c r="M652" s="69"/>
      <c r="N652" s="69"/>
      <c r="O652" s="2"/>
      <c r="P652" s="2"/>
      <c r="Q652" s="32"/>
      <c r="R652" s="32"/>
      <c r="S652" s="32"/>
      <c r="T652" s="3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2"/>
      <c r="C653" s="10"/>
      <c r="D653" s="10"/>
      <c r="E653" s="10"/>
      <c r="F653" s="10"/>
      <c r="G653" s="69"/>
      <c r="H653" s="69"/>
      <c r="I653" s="69"/>
      <c r="J653" s="70"/>
      <c r="K653" s="69"/>
      <c r="L653" s="69"/>
      <c r="M653" s="69"/>
      <c r="N653" s="69"/>
      <c r="O653" s="2"/>
      <c r="P653" s="2"/>
      <c r="Q653" s="32"/>
      <c r="R653" s="32"/>
      <c r="S653" s="32"/>
      <c r="T653" s="3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2"/>
      <c r="C654" s="10"/>
      <c r="D654" s="10"/>
      <c r="E654" s="10"/>
      <c r="F654" s="10"/>
      <c r="G654" s="69"/>
      <c r="H654" s="69"/>
      <c r="I654" s="69"/>
      <c r="J654" s="70"/>
      <c r="K654" s="69"/>
      <c r="L654" s="69"/>
      <c r="M654" s="69"/>
      <c r="N654" s="69"/>
      <c r="O654" s="2"/>
      <c r="P654" s="2"/>
      <c r="Q654" s="32"/>
      <c r="R654" s="32"/>
      <c r="S654" s="32"/>
      <c r="T654" s="3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2"/>
      <c r="C655" s="10"/>
      <c r="D655" s="10"/>
      <c r="E655" s="10"/>
      <c r="F655" s="10"/>
      <c r="G655" s="69"/>
      <c r="H655" s="69"/>
      <c r="I655" s="69"/>
      <c r="J655" s="70"/>
      <c r="K655" s="69"/>
      <c r="L655" s="69"/>
      <c r="M655" s="69"/>
      <c r="N655" s="69"/>
      <c r="O655" s="2"/>
      <c r="P655" s="2"/>
      <c r="Q655" s="32"/>
      <c r="R655" s="32"/>
      <c r="S655" s="32"/>
      <c r="T655" s="3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2"/>
      <c r="C656" s="10"/>
      <c r="D656" s="10"/>
      <c r="E656" s="10"/>
      <c r="F656" s="10"/>
      <c r="G656" s="69"/>
      <c r="H656" s="69"/>
      <c r="I656" s="69"/>
      <c r="J656" s="70"/>
      <c r="K656" s="69"/>
      <c r="L656" s="69"/>
      <c r="M656" s="69"/>
      <c r="N656" s="69"/>
      <c r="O656" s="2"/>
      <c r="P656" s="2"/>
      <c r="Q656" s="32"/>
      <c r="R656" s="32"/>
      <c r="S656" s="32"/>
      <c r="T656" s="3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2"/>
      <c r="C657" s="10"/>
      <c r="D657" s="10"/>
      <c r="E657" s="10"/>
      <c r="F657" s="10"/>
      <c r="G657" s="69"/>
      <c r="H657" s="69"/>
      <c r="I657" s="69"/>
      <c r="J657" s="70"/>
      <c r="K657" s="69"/>
      <c r="L657" s="69"/>
      <c r="M657" s="69"/>
      <c r="N657" s="69"/>
      <c r="O657" s="2"/>
      <c r="P657" s="2"/>
      <c r="Q657" s="32"/>
      <c r="R657" s="32"/>
      <c r="S657" s="32"/>
      <c r="T657" s="3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2"/>
      <c r="C658" s="10"/>
      <c r="D658" s="10"/>
      <c r="E658" s="10"/>
      <c r="F658" s="10"/>
      <c r="G658" s="69"/>
      <c r="H658" s="69"/>
      <c r="I658" s="69"/>
      <c r="J658" s="70"/>
      <c r="K658" s="69"/>
      <c r="L658" s="69"/>
      <c r="M658" s="69"/>
      <c r="N658" s="69"/>
      <c r="O658" s="2"/>
      <c r="P658" s="2"/>
      <c r="Q658" s="32"/>
      <c r="R658" s="32"/>
      <c r="S658" s="32"/>
      <c r="T658" s="3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2"/>
      <c r="C659" s="10"/>
      <c r="D659" s="10"/>
      <c r="E659" s="10"/>
      <c r="F659" s="10"/>
      <c r="G659" s="69"/>
      <c r="H659" s="69"/>
      <c r="I659" s="69"/>
      <c r="J659" s="70"/>
      <c r="K659" s="69"/>
      <c r="L659" s="69"/>
      <c r="M659" s="69"/>
      <c r="N659" s="69"/>
      <c r="O659" s="2"/>
      <c r="P659" s="2"/>
      <c r="Q659" s="32"/>
      <c r="R659" s="32"/>
      <c r="S659" s="32"/>
      <c r="T659" s="3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2"/>
      <c r="C660" s="10"/>
      <c r="D660" s="10"/>
      <c r="E660" s="10"/>
      <c r="F660" s="10"/>
      <c r="G660" s="69"/>
      <c r="H660" s="69"/>
      <c r="I660" s="69"/>
      <c r="J660" s="70"/>
      <c r="K660" s="69"/>
      <c r="L660" s="69"/>
      <c r="M660" s="69"/>
      <c r="N660" s="69"/>
      <c r="O660" s="2"/>
      <c r="P660" s="2"/>
      <c r="Q660" s="32"/>
      <c r="R660" s="32"/>
      <c r="S660" s="32"/>
      <c r="T660" s="3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2"/>
      <c r="C661" s="10"/>
      <c r="D661" s="10"/>
      <c r="E661" s="10"/>
      <c r="F661" s="10"/>
      <c r="G661" s="69"/>
      <c r="H661" s="69"/>
      <c r="I661" s="69"/>
      <c r="J661" s="70"/>
      <c r="K661" s="69"/>
      <c r="L661" s="69"/>
      <c r="M661" s="69"/>
      <c r="N661" s="69"/>
      <c r="O661" s="2"/>
      <c r="P661" s="2"/>
      <c r="Q661" s="32"/>
      <c r="R661" s="32"/>
      <c r="S661" s="32"/>
      <c r="T661" s="3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2"/>
      <c r="C662" s="10"/>
      <c r="D662" s="10"/>
      <c r="E662" s="10"/>
      <c r="F662" s="10"/>
      <c r="G662" s="69"/>
      <c r="H662" s="69"/>
      <c r="I662" s="69"/>
      <c r="J662" s="70"/>
      <c r="K662" s="69"/>
      <c r="L662" s="69"/>
      <c r="M662" s="69"/>
      <c r="N662" s="69"/>
      <c r="O662" s="2"/>
      <c r="P662" s="2"/>
      <c r="Q662" s="32"/>
      <c r="R662" s="32"/>
      <c r="S662" s="32"/>
      <c r="T662" s="3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2"/>
      <c r="C663" s="10"/>
      <c r="D663" s="10"/>
      <c r="E663" s="10"/>
      <c r="F663" s="10"/>
      <c r="G663" s="69"/>
      <c r="H663" s="69"/>
      <c r="I663" s="69"/>
      <c r="J663" s="70"/>
      <c r="K663" s="69"/>
      <c r="L663" s="69"/>
      <c r="M663" s="69"/>
      <c r="N663" s="69"/>
      <c r="O663" s="2"/>
      <c r="P663" s="2"/>
      <c r="Q663" s="32"/>
      <c r="R663" s="32"/>
      <c r="S663" s="32"/>
      <c r="T663" s="3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2"/>
      <c r="C664" s="10"/>
      <c r="D664" s="10"/>
      <c r="E664" s="10"/>
      <c r="F664" s="10"/>
      <c r="G664" s="69"/>
      <c r="H664" s="69"/>
      <c r="I664" s="69"/>
      <c r="J664" s="70"/>
      <c r="K664" s="69"/>
      <c r="L664" s="69"/>
      <c r="M664" s="69"/>
      <c r="N664" s="69"/>
      <c r="O664" s="2"/>
      <c r="P664" s="2"/>
      <c r="Q664" s="32"/>
      <c r="R664" s="32"/>
      <c r="S664" s="32"/>
      <c r="T664" s="3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2"/>
      <c r="C665" s="10"/>
      <c r="D665" s="10"/>
      <c r="E665" s="10"/>
      <c r="F665" s="10"/>
      <c r="G665" s="69"/>
      <c r="H665" s="69"/>
      <c r="I665" s="69"/>
      <c r="J665" s="70"/>
      <c r="K665" s="69"/>
      <c r="L665" s="69"/>
      <c r="M665" s="69"/>
      <c r="N665" s="69"/>
      <c r="O665" s="2"/>
      <c r="P665" s="2"/>
      <c r="Q665" s="32"/>
      <c r="R665" s="32"/>
      <c r="S665" s="32"/>
      <c r="T665" s="3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2"/>
      <c r="C666" s="10"/>
      <c r="D666" s="10"/>
      <c r="E666" s="10"/>
      <c r="F666" s="10"/>
      <c r="G666" s="69"/>
      <c r="H666" s="69"/>
      <c r="I666" s="69"/>
      <c r="J666" s="70"/>
      <c r="K666" s="69"/>
      <c r="L666" s="69"/>
      <c r="M666" s="69"/>
      <c r="N666" s="69"/>
      <c r="O666" s="2"/>
      <c r="P666" s="2"/>
      <c r="Q666" s="32"/>
      <c r="R666" s="32"/>
      <c r="S666" s="32"/>
      <c r="T666" s="3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2"/>
      <c r="C667" s="10"/>
      <c r="D667" s="10"/>
      <c r="E667" s="10"/>
      <c r="F667" s="10"/>
      <c r="G667" s="69"/>
      <c r="H667" s="69"/>
      <c r="I667" s="69"/>
      <c r="J667" s="70"/>
      <c r="K667" s="69"/>
      <c r="L667" s="69"/>
      <c r="M667" s="69"/>
      <c r="N667" s="69"/>
      <c r="O667" s="2"/>
      <c r="P667" s="2"/>
      <c r="Q667" s="32"/>
      <c r="R667" s="32"/>
      <c r="S667" s="32"/>
      <c r="T667" s="3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2"/>
      <c r="C668" s="10"/>
      <c r="D668" s="10"/>
      <c r="E668" s="10"/>
      <c r="F668" s="10"/>
      <c r="G668" s="69"/>
      <c r="H668" s="69"/>
      <c r="I668" s="69"/>
      <c r="J668" s="70"/>
      <c r="K668" s="69"/>
      <c r="L668" s="69"/>
      <c r="M668" s="69"/>
      <c r="N668" s="69"/>
      <c r="O668" s="2"/>
      <c r="P668" s="2"/>
      <c r="Q668" s="32"/>
      <c r="R668" s="32"/>
      <c r="S668" s="32"/>
      <c r="T668" s="3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2"/>
      <c r="C669" s="10"/>
      <c r="D669" s="10"/>
      <c r="E669" s="10"/>
      <c r="F669" s="10"/>
      <c r="G669" s="69"/>
      <c r="H669" s="69"/>
      <c r="I669" s="69"/>
      <c r="J669" s="70"/>
      <c r="K669" s="69"/>
      <c r="L669" s="69"/>
      <c r="M669" s="69"/>
      <c r="N669" s="69"/>
      <c r="O669" s="2"/>
      <c r="P669" s="2"/>
      <c r="Q669" s="32"/>
      <c r="R669" s="32"/>
      <c r="S669" s="32"/>
      <c r="T669" s="3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2"/>
      <c r="C670" s="10"/>
      <c r="D670" s="10"/>
      <c r="E670" s="10"/>
      <c r="F670" s="10"/>
      <c r="G670" s="69"/>
      <c r="H670" s="69"/>
      <c r="I670" s="69"/>
      <c r="J670" s="70"/>
      <c r="K670" s="69"/>
      <c r="L670" s="69"/>
      <c r="M670" s="69"/>
      <c r="N670" s="69"/>
      <c r="O670" s="2"/>
      <c r="P670" s="2"/>
      <c r="Q670" s="32"/>
      <c r="R670" s="32"/>
      <c r="S670" s="32"/>
      <c r="T670" s="3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2"/>
      <c r="C671" s="10"/>
      <c r="D671" s="10"/>
      <c r="E671" s="10"/>
      <c r="F671" s="10"/>
      <c r="G671" s="69"/>
      <c r="H671" s="69"/>
      <c r="I671" s="69"/>
      <c r="J671" s="70"/>
      <c r="K671" s="69"/>
      <c r="L671" s="69"/>
      <c r="M671" s="69"/>
      <c r="N671" s="69"/>
      <c r="O671" s="2"/>
      <c r="P671" s="2"/>
      <c r="Q671" s="32"/>
      <c r="R671" s="32"/>
      <c r="S671" s="32"/>
      <c r="T671" s="3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2"/>
      <c r="C672" s="10"/>
      <c r="D672" s="10"/>
      <c r="E672" s="10"/>
      <c r="F672" s="10"/>
      <c r="G672" s="69"/>
      <c r="H672" s="69"/>
      <c r="I672" s="69"/>
      <c r="J672" s="70"/>
      <c r="K672" s="69"/>
      <c r="L672" s="69"/>
      <c r="M672" s="69"/>
      <c r="N672" s="69"/>
      <c r="O672" s="2"/>
      <c r="P672" s="2"/>
      <c r="Q672" s="32"/>
      <c r="R672" s="32"/>
      <c r="S672" s="32"/>
      <c r="T672" s="3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2"/>
      <c r="C673" s="10"/>
      <c r="D673" s="10"/>
      <c r="E673" s="10"/>
      <c r="F673" s="10"/>
      <c r="G673" s="69"/>
      <c r="H673" s="69"/>
      <c r="I673" s="69"/>
      <c r="J673" s="70"/>
      <c r="K673" s="69"/>
      <c r="L673" s="69"/>
      <c r="M673" s="69"/>
      <c r="N673" s="69"/>
      <c r="O673" s="2"/>
      <c r="P673" s="2"/>
      <c r="Q673" s="32"/>
      <c r="R673" s="32"/>
      <c r="S673" s="32"/>
      <c r="T673" s="3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2"/>
      <c r="C674" s="10"/>
      <c r="D674" s="10"/>
      <c r="E674" s="10"/>
      <c r="F674" s="10"/>
      <c r="G674" s="69"/>
      <c r="H674" s="69"/>
      <c r="I674" s="69"/>
      <c r="J674" s="70"/>
      <c r="K674" s="69"/>
      <c r="L674" s="69"/>
      <c r="M674" s="69"/>
      <c r="N674" s="69"/>
      <c r="O674" s="2"/>
      <c r="P674" s="2"/>
      <c r="Q674" s="32"/>
      <c r="R674" s="32"/>
      <c r="S674" s="32"/>
      <c r="T674" s="3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2"/>
      <c r="C675" s="10"/>
      <c r="D675" s="10"/>
      <c r="E675" s="10"/>
      <c r="F675" s="10"/>
      <c r="G675" s="69"/>
      <c r="H675" s="69"/>
      <c r="I675" s="69"/>
      <c r="J675" s="70"/>
      <c r="K675" s="69"/>
      <c r="L675" s="69"/>
      <c r="M675" s="69"/>
      <c r="N675" s="69"/>
      <c r="O675" s="2"/>
      <c r="P675" s="2"/>
      <c r="Q675" s="32"/>
      <c r="R675" s="32"/>
      <c r="S675" s="32"/>
      <c r="T675" s="3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2"/>
      <c r="C676" s="10"/>
      <c r="D676" s="10"/>
      <c r="E676" s="10"/>
      <c r="F676" s="10"/>
      <c r="G676" s="69"/>
      <c r="H676" s="69"/>
      <c r="I676" s="69"/>
      <c r="J676" s="70"/>
      <c r="K676" s="69"/>
      <c r="L676" s="69"/>
      <c r="M676" s="69"/>
      <c r="N676" s="69"/>
      <c r="O676" s="2"/>
      <c r="P676" s="2"/>
      <c r="Q676" s="32"/>
      <c r="R676" s="32"/>
      <c r="S676" s="32"/>
      <c r="T676" s="3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2"/>
      <c r="C677" s="10"/>
      <c r="D677" s="10"/>
      <c r="E677" s="10"/>
      <c r="F677" s="10"/>
      <c r="G677" s="69"/>
      <c r="H677" s="69"/>
      <c r="I677" s="69"/>
      <c r="J677" s="70"/>
      <c r="K677" s="69"/>
      <c r="L677" s="69"/>
      <c r="M677" s="69"/>
      <c r="N677" s="69"/>
      <c r="O677" s="2"/>
      <c r="P677" s="2"/>
      <c r="Q677" s="32"/>
      <c r="R677" s="32"/>
      <c r="S677" s="32"/>
      <c r="T677" s="3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2"/>
      <c r="C678" s="10"/>
      <c r="D678" s="10"/>
      <c r="E678" s="10"/>
      <c r="F678" s="10"/>
      <c r="G678" s="69"/>
      <c r="H678" s="69"/>
      <c r="I678" s="69"/>
      <c r="J678" s="70"/>
      <c r="K678" s="69"/>
      <c r="L678" s="69"/>
      <c r="M678" s="69"/>
      <c r="N678" s="69"/>
      <c r="O678" s="2"/>
      <c r="P678" s="2"/>
      <c r="Q678" s="32"/>
      <c r="R678" s="32"/>
      <c r="S678" s="32"/>
      <c r="T678" s="3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2"/>
      <c r="C679" s="10"/>
      <c r="D679" s="10"/>
      <c r="E679" s="10"/>
      <c r="F679" s="10"/>
      <c r="G679" s="69"/>
      <c r="H679" s="69"/>
      <c r="I679" s="69"/>
      <c r="J679" s="70"/>
      <c r="K679" s="69"/>
      <c r="L679" s="69"/>
      <c r="M679" s="69"/>
      <c r="N679" s="69"/>
      <c r="O679" s="2"/>
      <c r="P679" s="2"/>
      <c r="Q679" s="32"/>
      <c r="R679" s="32"/>
      <c r="S679" s="32"/>
      <c r="T679" s="3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2"/>
      <c r="C680" s="10"/>
      <c r="D680" s="10"/>
      <c r="E680" s="10"/>
      <c r="F680" s="10"/>
      <c r="G680" s="69"/>
      <c r="H680" s="69"/>
      <c r="I680" s="69"/>
      <c r="J680" s="70"/>
      <c r="K680" s="69"/>
      <c r="L680" s="69"/>
      <c r="M680" s="69"/>
      <c r="N680" s="69"/>
      <c r="O680" s="2"/>
      <c r="P680" s="2"/>
      <c r="Q680" s="32"/>
      <c r="R680" s="32"/>
      <c r="S680" s="32"/>
      <c r="T680" s="3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2"/>
      <c r="C681" s="10"/>
      <c r="D681" s="10"/>
      <c r="E681" s="10"/>
      <c r="F681" s="10"/>
      <c r="G681" s="69"/>
      <c r="H681" s="69"/>
      <c r="I681" s="69"/>
      <c r="J681" s="70"/>
      <c r="K681" s="69"/>
      <c r="L681" s="69"/>
      <c r="M681" s="69"/>
      <c r="N681" s="69"/>
      <c r="O681" s="2"/>
      <c r="P681" s="2"/>
      <c r="Q681" s="32"/>
      <c r="R681" s="32"/>
      <c r="S681" s="32"/>
      <c r="T681" s="3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2"/>
      <c r="C682" s="10"/>
      <c r="D682" s="10"/>
      <c r="E682" s="10"/>
      <c r="F682" s="10"/>
      <c r="G682" s="69"/>
      <c r="H682" s="69"/>
      <c r="I682" s="69"/>
      <c r="J682" s="70"/>
      <c r="K682" s="69"/>
      <c r="L682" s="69"/>
      <c r="M682" s="69"/>
      <c r="N682" s="69"/>
      <c r="O682" s="2"/>
      <c r="P682" s="2"/>
      <c r="Q682" s="32"/>
      <c r="R682" s="32"/>
      <c r="S682" s="32"/>
      <c r="T682" s="3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2"/>
      <c r="C683" s="10"/>
      <c r="D683" s="10"/>
      <c r="E683" s="10"/>
      <c r="F683" s="10"/>
      <c r="G683" s="69"/>
      <c r="H683" s="69"/>
      <c r="I683" s="69"/>
      <c r="J683" s="70"/>
      <c r="K683" s="69"/>
      <c r="L683" s="69"/>
      <c r="M683" s="69"/>
      <c r="N683" s="69"/>
      <c r="O683" s="2"/>
      <c r="P683" s="2"/>
      <c r="Q683" s="32"/>
      <c r="R683" s="32"/>
      <c r="S683" s="32"/>
      <c r="T683" s="3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2"/>
      <c r="C684" s="10"/>
      <c r="D684" s="10"/>
      <c r="E684" s="10"/>
      <c r="F684" s="10"/>
      <c r="G684" s="69"/>
      <c r="H684" s="69"/>
      <c r="I684" s="69"/>
      <c r="J684" s="70"/>
      <c r="K684" s="69"/>
      <c r="L684" s="69"/>
      <c r="M684" s="69"/>
      <c r="N684" s="69"/>
      <c r="O684" s="2"/>
      <c r="P684" s="2"/>
      <c r="Q684" s="32"/>
      <c r="R684" s="32"/>
      <c r="S684" s="32"/>
      <c r="T684" s="3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2"/>
      <c r="C685" s="10"/>
      <c r="D685" s="10"/>
      <c r="E685" s="10"/>
      <c r="F685" s="10"/>
      <c r="G685" s="69"/>
      <c r="H685" s="69"/>
      <c r="I685" s="69"/>
      <c r="J685" s="70"/>
      <c r="K685" s="69"/>
      <c r="L685" s="69"/>
      <c r="M685" s="69"/>
      <c r="N685" s="69"/>
      <c r="O685" s="2"/>
      <c r="P685" s="2"/>
      <c r="Q685" s="32"/>
      <c r="R685" s="32"/>
      <c r="S685" s="32"/>
      <c r="T685" s="3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2"/>
      <c r="C686" s="10"/>
      <c r="D686" s="10"/>
      <c r="E686" s="10"/>
      <c r="F686" s="10"/>
      <c r="G686" s="69"/>
      <c r="H686" s="69"/>
      <c r="I686" s="69"/>
      <c r="J686" s="70"/>
      <c r="K686" s="69"/>
      <c r="L686" s="69"/>
      <c r="M686" s="69"/>
      <c r="N686" s="69"/>
      <c r="O686" s="2"/>
      <c r="P686" s="2"/>
      <c r="Q686" s="32"/>
      <c r="R686" s="32"/>
      <c r="S686" s="32"/>
      <c r="T686" s="3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2"/>
      <c r="C687" s="10"/>
      <c r="D687" s="10"/>
      <c r="E687" s="10"/>
      <c r="F687" s="10"/>
      <c r="G687" s="69"/>
      <c r="H687" s="69"/>
      <c r="I687" s="69"/>
      <c r="J687" s="70"/>
      <c r="K687" s="69"/>
      <c r="L687" s="69"/>
      <c r="M687" s="69"/>
      <c r="N687" s="69"/>
      <c r="O687" s="2"/>
      <c r="P687" s="2"/>
      <c r="Q687" s="32"/>
      <c r="R687" s="32"/>
      <c r="S687" s="32"/>
      <c r="T687" s="3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2"/>
      <c r="C688" s="10"/>
      <c r="D688" s="10"/>
      <c r="E688" s="10"/>
      <c r="F688" s="10"/>
      <c r="G688" s="69"/>
      <c r="H688" s="69"/>
      <c r="I688" s="69"/>
      <c r="J688" s="70"/>
      <c r="K688" s="69"/>
      <c r="L688" s="69"/>
      <c r="M688" s="69"/>
      <c r="N688" s="69"/>
      <c r="O688" s="2"/>
      <c r="P688" s="2"/>
      <c r="Q688" s="32"/>
      <c r="R688" s="32"/>
      <c r="S688" s="32"/>
      <c r="T688" s="3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2"/>
      <c r="C689" s="10"/>
      <c r="D689" s="10"/>
      <c r="E689" s="10"/>
      <c r="F689" s="10"/>
      <c r="G689" s="69"/>
      <c r="H689" s="69"/>
      <c r="I689" s="69"/>
      <c r="J689" s="70"/>
      <c r="K689" s="69"/>
      <c r="L689" s="69"/>
      <c r="M689" s="69"/>
      <c r="N689" s="69"/>
      <c r="O689" s="2"/>
      <c r="P689" s="2"/>
      <c r="Q689" s="32"/>
      <c r="R689" s="32"/>
      <c r="S689" s="32"/>
      <c r="T689" s="3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2"/>
      <c r="C690" s="10"/>
      <c r="D690" s="10"/>
      <c r="E690" s="10"/>
      <c r="F690" s="10"/>
      <c r="G690" s="69"/>
      <c r="H690" s="69"/>
      <c r="I690" s="69"/>
      <c r="J690" s="70"/>
      <c r="K690" s="69"/>
      <c r="L690" s="69"/>
      <c r="M690" s="69"/>
      <c r="N690" s="69"/>
      <c r="O690" s="2"/>
      <c r="P690" s="2"/>
      <c r="Q690" s="32"/>
      <c r="R690" s="32"/>
      <c r="S690" s="32"/>
      <c r="T690" s="3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2"/>
      <c r="C691" s="10"/>
      <c r="D691" s="10"/>
      <c r="E691" s="10"/>
      <c r="F691" s="10"/>
      <c r="G691" s="69"/>
      <c r="H691" s="69"/>
      <c r="I691" s="69"/>
      <c r="J691" s="70"/>
      <c r="K691" s="69"/>
      <c r="L691" s="69"/>
      <c r="M691" s="69"/>
      <c r="N691" s="69"/>
      <c r="O691" s="2"/>
      <c r="P691" s="2"/>
      <c r="Q691" s="32"/>
      <c r="R691" s="32"/>
      <c r="S691" s="32"/>
      <c r="T691" s="3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2"/>
      <c r="C692" s="10"/>
      <c r="D692" s="10"/>
      <c r="E692" s="10"/>
      <c r="F692" s="10"/>
      <c r="G692" s="69"/>
      <c r="H692" s="69"/>
      <c r="I692" s="69"/>
      <c r="J692" s="70"/>
      <c r="K692" s="69"/>
      <c r="L692" s="69"/>
      <c r="M692" s="69"/>
      <c r="N692" s="69"/>
      <c r="O692" s="2"/>
      <c r="P692" s="2"/>
      <c r="Q692" s="32"/>
      <c r="R692" s="32"/>
      <c r="S692" s="32"/>
      <c r="T692" s="3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2"/>
      <c r="C693" s="10"/>
      <c r="D693" s="10"/>
      <c r="E693" s="10"/>
      <c r="F693" s="10"/>
      <c r="G693" s="69"/>
      <c r="H693" s="69"/>
      <c r="I693" s="69"/>
      <c r="J693" s="70"/>
      <c r="K693" s="69"/>
      <c r="L693" s="69"/>
      <c r="M693" s="69"/>
      <c r="N693" s="69"/>
      <c r="O693" s="2"/>
      <c r="P693" s="2"/>
      <c r="Q693" s="32"/>
      <c r="R693" s="32"/>
      <c r="S693" s="32"/>
      <c r="T693" s="3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2"/>
      <c r="C694" s="10"/>
      <c r="D694" s="10"/>
      <c r="E694" s="10"/>
      <c r="F694" s="10"/>
      <c r="G694" s="69"/>
      <c r="H694" s="69"/>
      <c r="I694" s="69"/>
      <c r="J694" s="70"/>
      <c r="K694" s="69"/>
      <c r="L694" s="69"/>
      <c r="M694" s="69"/>
      <c r="N694" s="69"/>
      <c r="O694" s="2"/>
      <c r="P694" s="2"/>
      <c r="Q694" s="32"/>
      <c r="R694" s="32"/>
      <c r="S694" s="32"/>
      <c r="T694" s="3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2"/>
      <c r="C695" s="10"/>
      <c r="D695" s="10"/>
      <c r="E695" s="10"/>
      <c r="F695" s="10"/>
      <c r="G695" s="69"/>
      <c r="H695" s="69"/>
      <c r="I695" s="69"/>
      <c r="J695" s="70"/>
      <c r="K695" s="69"/>
      <c r="L695" s="69"/>
      <c r="M695" s="69"/>
      <c r="N695" s="69"/>
      <c r="O695" s="2"/>
      <c r="P695" s="2"/>
      <c r="Q695" s="32"/>
      <c r="R695" s="32"/>
      <c r="S695" s="32"/>
      <c r="T695" s="3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2"/>
      <c r="C696" s="10"/>
      <c r="D696" s="10"/>
      <c r="E696" s="10"/>
      <c r="F696" s="10"/>
      <c r="G696" s="69"/>
      <c r="H696" s="69"/>
      <c r="I696" s="69"/>
      <c r="J696" s="70"/>
      <c r="K696" s="69"/>
      <c r="L696" s="69"/>
      <c r="M696" s="69"/>
      <c r="N696" s="69"/>
      <c r="O696" s="2"/>
      <c r="P696" s="2"/>
      <c r="Q696" s="32"/>
      <c r="R696" s="32"/>
      <c r="S696" s="32"/>
      <c r="T696" s="3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2"/>
      <c r="C697" s="10"/>
      <c r="D697" s="10"/>
      <c r="E697" s="10"/>
      <c r="F697" s="10"/>
      <c r="G697" s="69"/>
      <c r="H697" s="69"/>
      <c r="I697" s="69"/>
      <c r="J697" s="70"/>
      <c r="K697" s="69"/>
      <c r="L697" s="69"/>
      <c r="M697" s="69"/>
      <c r="N697" s="69"/>
      <c r="O697" s="2"/>
      <c r="P697" s="2"/>
      <c r="Q697" s="32"/>
      <c r="R697" s="32"/>
      <c r="S697" s="32"/>
      <c r="T697" s="3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2"/>
      <c r="C698" s="10"/>
      <c r="D698" s="10"/>
      <c r="E698" s="10"/>
      <c r="F698" s="10"/>
      <c r="G698" s="69"/>
      <c r="H698" s="69"/>
      <c r="I698" s="69"/>
      <c r="J698" s="70"/>
      <c r="K698" s="69"/>
      <c r="L698" s="69"/>
      <c r="M698" s="69"/>
      <c r="N698" s="69"/>
      <c r="O698" s="2"/>
      <c r="P698" s="2"/>
      <c r="Q698" s="32"/>
      <c r="R698" s="32"/>
      <c r="S698" s="32"/>
      <c r="T698" s="3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2"/>
      <c r="C699" s="10"/>
      <c r="D699" s="10"/>
      <c r="E699" s="10"/>
      <c r="F699" s="10"/>
      <c r="G699" s="69"/>
      <c r="H699" s="69"/>
      <c r="I699" s="69"/>
      <c r="J699" s="70"/>
      <c r="K699" s="69"/>
      <c r="L699" s="69"/>
      <c r="M699" s="69"/>
      <c r="N699" s="69"/>
      <c r="O699" s="2"/>
      <c r="P699" s="2"/>
      <c r="Q699" s="32"/>
      <c r="R699" s="32"/>
      <c r="S699" s="32"/>
      <c r="T699" s="3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2"/>
      <c r="C700" s="10"/>
      <c r="D700" s="10"/>
      <c r="E700" s="10"/>
      <c r="F700" s="10"/>
      <c r="G700" s="69"/>
      <c r="H700" s="69"/>
      <c r="I700" s="69"/>
      <c r="J700" s="70"/>
      <c r="K700" s="69"/>
      <c r="L700" s="69"/>
      <c r="M700" s="69"/>
      <c r="N700" s="69"/>
      <c r="O700" s="2"/>
      <c r="P700" s="2"/>
      <c r="Q700" s="32"/>
      <c r="R700" s="32"/>
      <c r="S700" s="32"/>
      <c r="T700" s="3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2"/>
      <c r="C701" s="10"/>
      <c r="D701" s="10"/>
      <c r="E701" s="10"/>
      <c r="F701" s="10"/>
      <c r="G701" s="69"/>
      <c r="H701" s="69"/>
      <c r="I701" s="69"/>
      <c r="J701" s="70"/>
      <c r="K701" s="69"/>
      <c r="L701" s="69"/>
      <c r="M701" s="69"/>
      <c r="N701" s="69"/>
      <c r="O701" s="2"/>
      <c r="P701" s="2"/>
      <c r="Q701" s="32"/>
      <c r="R701" s="32"/>
      <c r="S701" s="32"/>
      <c r="T701" s="3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2"/>
      <c r="C702" s="10"/>
      <c r="D702" s="10"/>
      <c r="E702" s="10"/>
      <c r="F702" s="10"/>
      <c r="G702" s="69"/>
      <c r="H702" s="69"/>
      <c r="I702" s="69"/>
      <c r="J702" s="70"/>
      <c r="K702" s="69"/>
      <c r="L702" s="69"/>
      <c r="M702" s="69"/>
      <c r="N702" s="69"/>
      <c r="O702" s="2"/>
      <c r="P702" s="2"/>
      <c r="Q702" s="32"/>
      <c r="R702" s="32"/>
      <c r="S702" s="32"/>
      <c r="T702" s="3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2"/>
      <c r="C703" s="10"/>
      <c r="D703" s="10"/>
      <c r="E703" s="10"/>
      <c r="F703" s="10"/>
      <c r="G703" s="69"/>
      <c r="H703" s="69"/>
      <c r="I703" s="69"/>
      <c r="J703" s="70"/>
      <c r="K703" s="69"/>
      <c r="L703" s="69"/>
      <c r="M703" s="69"/>
      <c r="N703" s="69"/>
      <c r="O703" s="2"/>
      <c r="P703" s="2"/>
      <c r="Q703" s="32"/>
      <c r="R703" s="32"/>
      <c r="S703" s="32"/>
      <c r="T703" s="3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2"/>
      <c r="C704" s="10"/>
      <c r="D704" s="10"/>
      <c r="E704" s="10"/>
      <c r="F704" s="10"/>
      <c r="G704" s="69"/>
      <c r="H704" s="69"/>
      <c r="I704" s="69"/>
      <c r="J704" s="70"/>
      <c r="K704" s="69"/>
      <c r="L704" s="69"/>
      <c r="M704" s="69"/>
      <c r="N704" s="69"/>
      <c r="O704" s="2"/>
      <c r="P704" s="2"/>
      <c r="Q704" s="32"/>
      <c r="R704" s="32"/>
      <c r="S704" s="32"/>
      <c r="T704" s="3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2"/>
      <c r="C705" s="10"/>
      <c r="D705" s="10"/>
      <c r="E705" s="10"/>
      <c r="F705" s="10"/>
      <c r="G705" s="69"/>
      <c r="H705" s="69"/>
      <c r="I705" s="69"/>
      <c r="J705" s="70"/>
      <c r="K705" s="69"/>
      <c r="L705" s="69"/>
      <c r="M705" s="69"/>
      <c r="N705" s="69"/>
      <c r="O705" s="2"/>
      <c r="P705" s="2"/>
      <c r="Q705" s="32"/>
      <c r="R705" s="32"/>
      <c r="S705" s="32"/>
      <c r="T705" s="3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2"/>
      <c r="C706" s="10"/>
      <c r="D706" s="10"/>
      <c r="E706" s="10"/>
      <c r="F706" s="10"/>
      <c r="G706" s="69"/>
      <c r="H706" s="69"/>
      <c r="I706" s="69"/>
      <c r="J706" s="70"/>
      <c r="K706" s="69"/>
      <c r="L706" s="69"/>
      <c r="M706" s="69"/>
      <c r="N706" s="69"/>
      <c r="O706" s="2"/>
      <c r="P706" s="2"/>
      <c r="Q706" s="32"/>
      <c r="R706" s="32"/>
      <c r="S706" s="32"/>
      <c r="T706" s="3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2"/>
      <c r="C707" s="10"/>
      <c r="D707" s="10"/>
      <c r="E707" s="10"/>
      <c r="F707" s="10"/>
      <c r="G707" s="69"/>
      <c r="H707" s="69"/>
      <c r="I707" s="69"/>
      <c r="J707" s="70"/>
      <c r="K707" s="69"/>
      <c r="L707" s="69"/>
      <c r="M707" s="69"/>
      <c r="N707" s="69"/>
      <c r="O707" s="2"/>
      <c r="P707" s="2"/>
      <c r="Q707" s="32"/>
      <c r="R707" s="32"/>
      <c r="S707" s="32"/>
      <c r="T707" s="3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2"/>
      <c r="C708" s="10"/>
      <c r="D708" s="10"/>
      <c r="E708" s="10"/>
      <c r="F708" s="10"/>
      <c r="G708" s="69"/>
      <c r="H708" s="69"/>
      <c r="I708" s="69"/>
      <c r="J708" s="70"/>
      <c r="K708" s="69"/>
      <c r="L708" s="69"/>
      <c r="M708" s="69"/>
      <c r="N708" s="69"/>
      <c r="O708" s="2"/>
      <c r="P708" s="2"/>
      <c r="Q708" s="32"/>
      <c r="R708" s="32"/>
      <c r="S708" s="32"/>
      <c r="T708" s="3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2"/>
      <c r="C709" s="10"/>
      <c r="D709" s="10"/>
      <c r="E709" s="10"/>
      <c r="F709" s="10"/>
      <c r="G709" s="69"/>
      <c r="H709" s="69"/>
      <c r="I709" s="69"/>
      <c r="J709" s="70"/>
      <c r="K709" s="69"/>
      <c r="L709" s="69"/>
      <c r="M709" s="69"/>
      <c r="N709" s="69"/>
      <c r="O709" s="2"/>
      <c r="P709" s="2"/>
      <c r="Q709" s="32"/>
      <c r="R709" s="32"/>
      <c r="S709" s="32"/>
      <c r="T709" s="3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2"/>
      <c r="C710" s="10"/>
      <c r="D710" s="10"/>
      <c r="E710" s="10"/>
      <c r="F710" s="10"/>
      <c r="G710" s="69"/>
      <c r="H710" s="69"/>
      <c r="I710" s="69"/>
      <c r="J710" s="70"/>
      <c r="K710" s="69"/>
      <c r="L710" s="69"/>
      <c r="M710" s="69"/>
      <c r="N710" s="69"/>
      <c r="O710" s="2"/>
      <c r="P710" s="2"/>
      <c r="Q710" s="32"/>
      <c r="R710" s="32"/>
      <c r="S710" s="32"/>
      <c r="T710" s="3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2"/>
      <c r="C711" s="10"/>
      <c r="D711" s="10"/>
      <c r="E711" s="10"/>
      <c r="F711" s="10"/>
      <c r="G711" s="69"/>
      <c r="H711" s="69"/>
      <c r="I711" s="69"/>
      <c r="J711" s="70"/>
      <c r="K711" s="69"/>
      <c r="L711" s="69"/>
      <c r="M711" s="69"/>
      <c r="N711" s="69"/>
      <c r="O711" s="2"/>
      <c r="P711" s="2"/>
      <c r="Q711" s="32"/>
      <c r="R711" s="32"/>
      <c r="S711" s="32"/>
      <c r="T711" s="3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2"/>
      <c r="C712" s="10"/>
      <c r="D712" s="10"/>
      <c r="E712" s="10"/>
      <c r="F712" s="10"/>
      <c r="G712" s="69"/>
      <c r="H712" s="69"/>
      <c r="I712" s="69"/>
      <c r="J712" s="70"/>
      <c r="K712" s="69"/>
      <c r="L712" s="69"/>
      <c r="M712" s="69"/>
      <c r="N712" s="69"/>
      <c r="O712" s="2"/>
      <c r="P712" s="2"/>
      <c r="Q712" s="32"/>
      <c r="R712" s="32"/>
      <c r="S712" s="32"/>
      <c r="T712" s="3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2"/>
      <c r="C713" s="10"/>
      <c r="D713" s="10"/>
      <c r="E713" s="10"/>
      <c r="F713" s="10"/>
      <c r="G713" s="69"/>
      <c r="H713" s="69"/>
      <c r="I713" s="69"/>
      <c r="J713" s="70"/>
      <c r="K713" s="69"/>
      <c r="L713" s="69"/>
      <c r="M713" s="69"/>
      <c r="N713" s="69"/>
      <c r="O713" s="2"/>
      <c r="P713" s="2"/>
      <c r="Q713" s="32"/>
      <c r="R713" s="32"/>
      <c r="S713" s="32"/>
      <c r="T713" s="3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2"/>
      <c r="C714" s="10"/>
      <c r="D714" s="10"/>
      <c r="E714" s="10"/>
      <c r="F714" s="10"/>
      <c r="G714" s="69"/>
      <c r="H714" s="69"/>
      <c r="I714" s="69"/>
      <c r="J714" s="70"/>
      <c r="K714" s="69"/>
      <c r="L714" s="69"/>
      <c r="M714" s="69"/>
      <c r="N714" s="69"/>
      <c r="O714" s="2"/>
      <c r="P714" s="2"/>
      <c r="Q714" s="32"/>
      <c r="R714" s="32"/>
      <c r="S714" s="32"/>
      <c r="T714" s="3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2"/>
      <c r="C715" s="10"/>
      <c r="D715" s="10"/>
      <c r="E715" s="10"/>
      <c r="F715" s="10"/>
      <c r="G715" s="69"/>
      <c r="H715" s="69"/>
      <c r="I715" s="69"/>
      <c r="J715" s="70"/>
      <c r="K715" s="69"/>
      <c r="L715" s="69"/>
      <c r="M715" s="69"/>
      <c r="N715" s="69"/>
      <c r="O715" s="2"/>
      <c r="P715" s="2"/>
      <c r="Q715" s="32"/>
      <c r="R715" s="32"/>
      <c r="S715" s="32"/>
      <c r="T715" s="3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2"/>
      <c r="C716" s="10"/>
      <c r="D716" s="10"/>
      <c r="E716" s="10"/>
      <c r="F716" s="10"/>
      <c r="G716" s="69"/>
      <c r="H716" s="69"/>
      <c r="I716" s="69"/>
      <c r="J716" s="70"/>
      <c r="K716" s="69"/>
      <c r="L716" s="69"/>
      <c r="M716" s="69"/>
      <c r="N716" s="69"/>
      <c r="O716" s="2"/>
      <c r="P716" s="2"/>
      <c r="Q716" s="32"/>
      <c r="R716" s="32"/>
      <c r="S716" s="32"/>
      <c r="T716" s="3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2"/>
      <c r="C717" s="10"/>
      <c r="D717" s="10"/>
      <c r="E717" s="10"/>
      <c r="F717" s="10"/>
      <c r="G717" s="69"/>
      <c r="H717" s="69"/>
      <c r="I717" s="69"/>
      <c r="J717" s="70"/>
      <c r="K717" s="69"/>
      <c r="L717" s="69"/>
      <c r="M717" s="69"/>
      <c r="N717" s="69"/>
      <c r="O717" s="2"/>
      <c r="P717" s="2"/>
      <c r="Q717" s="32"/>
      <c r="R717" s="32"/>
      <c r="S717" s="32"/>
      <c r="T717" s="3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2"/>
      <c r="C718" s="10"/>
      <c r="D718" s="10"/>
      <c r="E718" s="10"/>
      <c r="F718" s="10"/>
      <c r="G718" s="69"/>
      <c r="H718" s="69"/>
      <c r="I718" s="69"/>
      <c r="J718" s="70"/>
      <c r="K718" s="69"/>
      <c r="L718" s="69"/>
      <c r="M718" s="69"/>
      <c r="N718" s="69"/>
      <c r="O718" s="2"/>
      <c r="P718" s="2"/>
      <c r="Q718" s="32"/>
      <c r="R718" s="32"/>
      <c r="S718" s="32"/>
      <c r="T718" s="3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2"/>
      <c r="C719" s="10"/>
      <c r="D719" s="10"/>
      <c r="E719" s="10"/>
      <c r="F719" s="10"/>
      <c r="G719" s="69"/>
      <c r="H719" s="69"/>
      <c r="I719" s="69"/>
      <c r="J719" s="70"/>
      <c r="K719" s="69"/>
      <c r="L719" s="69"/>
      <c r="M719" s="69"/>
      <c r="N719" s="69"/>
      <c r="O719" s="2"/>
      <c r="P719" s="2"/>
      <c r="Q719" s="32"/>
      <c r="R719" s="32"/>
      <c r="S719" s="32"/>
      <c r="T719" s="3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2"/>
      <c r="C720" s="10"/>
      <c r="D720" s="10"/>
      <c r="E720" s="10"/>
      <c r="F720" s="10"/>
      <c r="G720" s="69"/>
      <c r="H720" s="69"/>
      <c r="I720" s="69"/>
      <c r="J720" s="70"/>
      <c r="K720" s="69"/>
      <c r="L720" s="69"/>
      <c r="M720" s="69"/>
      <c r="N720" s="69"/>
      <c r="O720" s="2"/>
      <c r="P720" s="2"/>
      <c r="Q720" s="32"/>
      <c r="R720" s="32"/>
      <c r="S720" s="32"/>
      <c r="T720" s="3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2"/>
      <c r="C721" s="10"/>
      <c r="D721" s="10"/>
      <c r="E721" s="10"/>
      <c r="F721" s="10"/>
      <c r="G721" s="69"/>
      <c r="H721" s="69"/>
      <c r="I721" s="69"/>
      <c r="J721" s="70"/>
      <c r="K721" s="69"/>
      <c r="L721" s="69"/>
      <c r="M721" s="69"/>
      <c r="N721" s="69"/>
      <c r="O721" s="2"/>
      <c r="P721" s="2"/>
      <c r="Q721" s="32"/>
      <c r="R721" s="32"/>
      <c r="S721" s="32"/>
      <c r="T721" s="3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2"/>
      <c r="C722" s="10"/>
      <c r="D722" s="10"/>
      <c r="E722" s="10"/>
      <c r="F722" s="10"/>
      <c r="G722" s="69"/>
      <c r="H722" s="69"/>
      <c r="I722" s="69"/>
      <c r="J722" s="70"/>
      <c r="K722" s="69"/>
      <c r="L722" s="69"/>
      <c r="M722" s="69"/>
      <c r="N722" s="69"/>
      <c r="O722" s="2"/>
      <c r="P722" s="2"/>
      <c r="Q722" s="32"/>
      <c r="R722" s="32"/>
      <c r="S722" s="32"/>
      <c r="T722" s="3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2"/>
      <c r="C723" s="10"/>
      <c r="D723" s="10"/>
      <c r="E723" s="10"/>
      <c r="F723" s="10"/>
      <c r="G723" s="69"/>
      <c r="H723" s="69"/>
      <c r="I723" s="69"/>
      <c r="J723" s="70"/>
      <c r="K723" s="69"/>
      <c r="L723" s="69"/>
      <c r="M723" s="69"/>
      <c r="N723" s="69"/>
      <c r="O723" s="2"/>
      <c r="P723" s="2"/>
      <c r="Q723" s="32"/>
      <c r="R723" s="32"/>
      <c r="S723" s="32"/>
      <c r="T723" s="3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2"/>
      <c r="C724" s="10"/>
      <c r="D724" s="10"/>
      <c r="E724" s="10"/>
      <c r="F724" s="10"/>
      <c r="G724" s="69"/>
      <c r="H724" s="69"/>
      <c r="I724" s="69"/>
      <c r="J724" s="70"/>
      <c r="K724" s="69"/>
      <c r="L724" s="69"/>
      <c r="M724" s="69"/>
      <c r="N724" s="69"/>
      <c r="O724" s="2"/>
      <c r="P724" s="2"/>
      <c r="Q724" s="32"/>
      <c r="R724" s="32"/>
      <c r="S724" s="32"/>
      <c r="T724" s="3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2"/>
      <c r="C725" s="10"/>
      <c r="D725" s="10"/>
      <c r="E725" s="10"/>
      <c r="F725" s="10"/>
      <c r="G725" s="69"/>
      <c r="H725" s="69"/>
      <c r="I725" s="69"/>
      <c r="J725" s="70"/>
      <c r="K725" s="69"/>
      <c r="L725" s="69"/>
      <c r="M725" s="69"/>
      <c r="N725" s="69"/>
      <c r="O725" s="2"/>
      <c r="P725" s="2"/>
      <c r="Q725" s="32"/>
      <c r="R725" s="32"/>
      <c r="S725" s="32"/>
      <c r="T725" s="3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2"/>
      <c r="C726" s="10"/>
      <c r="D726" s="10"/>
      <c r="E726" s="10"/>
      <c r="F726" s="10"/>
      <c r="G726" s="69"/>
      <c r="H726" s="69"/>
      <c r="I726" s="69"/>
      <c r="J726" s="70"/>
      <c r="K726" s="69"/>
      <c r="L726" s="69"/>
      <c r="M726" s="69"/>
      <c r="N726" s="69"/>
      <c r="O726" s="2"/>
      <c r="P726" s="2"/>
      <c r="Q726" s="32"/>
      <c r="R726" s="32"/>
      <c r="S726" s="32"/>
      <c r="T726" s="3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2"/>
      <c r="C727" s="10"/>
      <c r="D727" s="10"/>
      <c r="E727" s="10"/>
      <c r="F727" s="10"/>
      <c r="G727" s="69"/>
      <c r="H727" s="69"/>
      <c r="I727" s="69"/>
      <c r="J727" s="70"/>
      <c r="K727" s="69"/>
      <c r="L727" s="69"/>
      <c r="M727" s="69"/>
      <c r="N727" s="69"/>
      <c r="O727" s="2"/>
      <c r="P727" s="2"/>
      <c r="Q727" s="32"/>
      <c r="R727" s="32"/>
      <c r="S727" s="32"/>
      <c r="T727" s="3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2"/>
      <c r="C728" s="10"/>
      <c r="D728" s="10"/>
      <c r="E728" s="10"/>
      <c r="F728" s="10"/>
      <c r="G728" s="69"/>
      <c r="H728" s="69"/>
      <c r="I728" s="69"/>
      <c r="J728" s="70"/>
      <c r="K728" s="69"/>
      <c r="L728" s="69"/>
      <c r="M728" s="69"/>
      <c r="N728" s="69"/>
      <c r="O728" s="2"/>
      <c r="P728" s="2"/>
      <c r="Q728" s="32"/>
      <c r="R728" s="32"/>
      <c r="S728" s="32"/>
      <c r="T728" s="3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2"/>
      <c r="C729" s="10"/>
      <c r="D729" s="10"/>
      <c r="E729" s="10"/>
      <c r="F729" s="10"/>
      <c r="G729" s="69"/>
      <c r="H729" s="69"/>
      <c r="I729" s="69"/>
      <c r="J729" s="70"/>
      <c r="K729" s="69"/>
      <c r="L729" s="69"/>
      <c r="M729" s="69"/>
      <c r="N729" s="69"/>
      <c r="O729" s="2"/>
      <c r="P729" s="2"/>
      <c r="Q729" s="32"/>
      <c r="R729" s="32"/>
      <c r="S729" s="32"/>
      <c r="T729" s="3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2"/>
      <c r="C730" s="10"/>
      <c r="D730" s="10"/>
      <c r="E730" s="10"/>
      <c r="F730" s="10"/>
      <c r="G730" s="69"/>
      <c r="H730" s="69"/>
      <c r="I730" s="69"/>
      <c r="J730" s="70"/>
      <c r="K730" s="69"/>
      <c r="L730" s="69"/>
      <c r="M730" s="69"/>
      <c r="N730" s="69"/>
      <c r="O730" s="2"/>
      <c r="P730" s="2"/>
      <c r="Q730" s="32"/>
      <c r="R730" s="32"/>
      <c r="S730" s="32"/>
      <c r="T730" s="3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2"/>
      <c r="C731" s="10"/>
      <c r="D731" s="10"/>
      <c r="E731" s="10"/>
      <c r="F731" s="10"/>
      <c r="G731" s="69"/>
      <c r="H731" s="69"/>
      <c r="I731" s="69"/>
      <c r="J731" s="70"/>
      <c r="K731" s="69"/>
      <c r="L731" s="69"/>
      <c r="M731" s="69"/>
      <c r="N731" s="69"/>
      <c r="O731" s="2"/>
      <c r="P731" s="2"/>
      <c r="Q731" s="32"/>
      <c r="R731" s="32"/>
      <c r="S731" s="32"/>
      <c r="T731" s="3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2"/>
      <c r="C732" s="10"/>
      <c r="D732" s="10"/>
      <c r="E732" s="10"/>
      <c r="F732" s="10"/>
      <c r="G732" s="69"/>
      <c r="H732" s="69"/>
      <c r="I732" s="69"/>
      <c r="J732" s="70"/>
      <c r="K732" s="69"/>
      <c r="L732" s="69"/>
      <c r="M732" s="69"/>
      <c r="N732" s="69"/>
      <c r="O732" s="2"/>
      <c r="P732" s="2"/>
      <c r="Q732" s="32"/>
      <c r="R732" s="32"/>
      <c r="S732" s="32"/>
      <c r="T732" s="3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2"/>
      <c r="C733" s="10"/>
      <c r="D733" s="10"/>
      <c r="E733" s="10"/>
      <c r="F733" s="10"/>
      <c r="G733" s="69"/>
      <c r="H733" s="69"/>
      <c r="I733" s="69"/>
      <c r="J733" s="70"/>
      <c r="K733" s="69"/>
      <c r="L733" s="69"/>
      <c r="M733" s="69"/>
      <c r="N733" s="69"/>
      <c r="O733" s="2"/>
      <c r="P733" s="2"/>
      <c r="Q733" s="32"/>
      <c r="R733" s="32"/>
      <c r="S733" s="32"/>
      <c r="T733" s="3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2"/>
      <c r="C734" s="10"/>
      <c r="D734" s="10"/>
      <c r="E734" s="10"/>
      <c r="F734" s="10"/>
      <c r="G734" s="69"/>
      <c r="H734" s="69"/>
      <c r="I734" s="69"/>
      <c r="J734" s="70"/>
      <c r="K734" s="69"/>
      <c r="L734" s="69"/>
      <c r="M734" s="69"/>
      <c r="N734" s="69"/>
      <c r="O734" s="2"/>
      <c r="P734" s="2"/>
      <c r="Q734" s="32"/>
      <c r="R734" s="32"/>
      <c r="S734" s="32"/>
      <c r="T734" s="3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2"/>
      <c r="C735" s="10"/>
      <c r="D735" s="10"/>
      <c r="E735" s="10"/>
      <c r="F735" s="10"/>
      <c r="G735" s="69"/>
      <c r="H735" s="69"/>
      <c r="I735" s="69"/>
      <c r="J735" s="70"/>
      <c r="K735" s="69"/>
      <c r="L735" s="69"/>
      <c r="M735" s="69"/>
      <c r="N735" s="69"/>
      <c r="O735" s="2"/>
      <c r="P735" s="2"/>
      <c r="Q735" s="32"/>
      <c r="R735" s="32"/>
      <c r="S735" s="32"/>
      <c r="T735" s="3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2"/>
      <c r="C736" s="10"/>
      <c r="D736" s="10"/>
      <c r="E736" s="10"/>
      <c r="F736" s="10"/>
      <c r="G736" s="69"/>
      <c r="H736" s="69"/>
      <c r="I736" s="69"/>
      <c r="J736" s="70"/>
      <c r="K736" s="69"/>
      <c r="L736" s="69"/>
      <c r="M736" s="69"/>
      <c r="N736" s="69"/>
      <c r="O736" s="2"/>
      <c r="P736" s="2"/>
      <c r="Q736" s="32"/>
      <c r="R736" s="32"/>
      <c r="S736" s="32"/>
      <c r="T736" s="3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2"/>
      <c r="C737" s="10"/>
      <c r="D737" s="10"/>
      <c r="E737" s="10"/>
      <c r="F737" s="10"/>
      <c r="G737" s="69"/>
      <c r="H737" s="69"/>
      <c r="I737" s="69"/>
      <c r="J737" s="70"/>
      <c r="K737" s="69"/>
      <c r="L737" s="69"/>
      <c r="M737" s="69"/>
      <c r="N737" s="69"/>
      <c r="O737" s="2"/>
      <c r="P737" s="2"/>
      <c r="Q737" s="32"/>
      <c r="R737" s="32"/>
      <c r="S737" s="32"/>
      <c r="T737" s="3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2"/>
      <c r="C738" s="10"/>
      <c r="D738" s="10"/>
      <c r="E738" s="10"/>
      <c r="F738" s="10"/>
      <c r="G738" s="69"/>
      <c r="H738" s="69"/>
      <c r="I738" s="69"/>
      <c r="J738" s="70"/>
      <c r="K738" s="69"/>
      <c r="L738" s="69"/>
      <c r="M738" s="69"/>
      <c r="N738" s="69"/>
      <c r="O738" s="2"/>
      <c r="P738" s="2"/>
      <c r="Q738" s="32"/>
      <c r="R738" s="32"/>
      <c r="S738" s="32"/>
      <c r="T738" s="3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2"/>
      <c r="C739" s="10"/>
      <c r="D739" s="10"/>
      <c r="E739" s="10"/>
      <c r="F739" s="10"/>
      <c r="G739" s="69"/>
      <c r="H739" s="69"/>
      <c r="I739" s="69"/>
      <c r="J739" s="70"/>
      <c r="K739" s="69"/>
      <c r="L739" s="69"/>
      <c r="M739" s="69"/>
      <c r="N739" s="69"/>
      <c r="O739" s="2"/>
      <c r="P739" s="2"/>
      <c r="Q739" s="32"/>
      <c r="R739" s="32"/>
      <c r="S739" s="32"/>
      <c r="T739" s="3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2"/>
      <c r="C740" s="10"/>
      <c r="D740" s="10"/>
      <c r="E740" s="10"/>
      <c r="F740" s="10"/>
      <c r="G740" s="69"/>
      <c r="H740" s="69"/>
      <c r="I740" s="69"/>
      <c r="J740" s="70"/>
      <c r="K740" s="69"/>
      <c r="L740" s="69"/>
      <c r="M740" s="69"/>
      <c r="N740" s="69"/>
      <c r="O740" s="2"/>
      <c r="P740" s="2"/>
      <c r="Q740" s="32"/>
      <c r="R740" s="32"/>
      <c r="S740" s="32"/>
      <c r="T740" s="3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2"/>
      <c r="C741" s="10"/>
      <c r="D741" s="10"/>
      <c r="E741" s="10"/>
      <c r="F741" s="10"/>
      <c r="G741" s="69"/>
      <c r="H741" s="69"/>
      <c r="I741" s="69"/>
      <c r="J741" s="70"/>
      <c r="K741" s="69"/>
      <c r="L741" s="69"/>
      <c r="M741" s="69"/>
      <c r="N741" s="69"/>
      <c r="O741" s="2"/>
      <c r="P741" s="2"/>
      <c r="Q741" s="32"/>
      <c r="R741" s="32"/>
      <c r="S741" s="32"/>
      <c r="T741" s="3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2"/>
      <c r="C742" s="10"/>
      <c r="D742" s="10"/>
      <c r="E742" s="10"/>
      <c r="F742" s="10"/>
      <c r="G742" s="69"/>
      <c r="H742" s="69"/>
      <c r="I742" s="69"/>
      <c r="J742" s="70"/>
      <c r="K742" s="69"/>
      <c r="L742" s="69"/>
      <c r="M742" s="69"/>
      <c r="N742" s="69"/>
      <c r="O742" s="2"/>
      <c r="P742" s="2"/>
      <c r="Q742" s="32"/>
      <c r="R742" s="32"/>
      <c r="S742" s="32"/>
      <c r="T742" s="3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2"/>
      <c r="C743" s="10"/>
      <c r="D743" s="10"/>
      <c r="E743" s="10"/>
      <c r="F743" s="10"/>
      <c r="G743" s="69"/>
      <c r="H743" s="69"/>
      <c r="I743" s="69"/>
      <c r="J743" s="70"/>
      <c r="K743" s="69"/>
      <c r="L743" s="69"/>
      <c r="M743" s="69"/>
      <c r="N743" s="69"/>
      <c r="O743" s="2"/>
      <c r="P743" s="2"/>
      <c r="Q743" s="32"/>
      <c r="R743" s="32"/>
      <c r="S743" s="32"/>
      <c r="T743" s="3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2"/>
      <c r="C744" s="10"/>
      <c r="D744" s="10"/>
      <c r="E744" s="10"/>
      <c r="F744" s="10"/>
      <c r="G744" s="69"/>
      <c r="H744" s="69"/>
      <c r="I744" s="69"/>
      <c r="J744" s="70"/>
      <c r="K744" s="69"/>
      <c r="L744" s="69"/>
      <c r="M744" s="69"/>
      <c r="N744" s="69"/>
      <c r="O744" s="2"/>
      <c r="P744" s="2"/>
      <c r="Q744" s="32"/>
      <c r="R744" s="32"/>
      <c r="S744" s="32"/>
      <c r="T744" s="3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2"/>
      <c r="C745" s="10"/>
      <c r="D745" s="10"/>
      <c r="E745" s="10"/>
      <c r="F745" s="10"/>
      <c r="G745" s="69"/>
      <c r="H745" s="69"/>
      <c r="I745" s="69"/>
      <c r="J745" s="70"/>
      <c r="K745" s="69"/>
      <c r="L745" s="69"/>
      <c r="M745" s="69"/>
      <c r="N745" s="69"/>
      <c r="O745" s="2"/>
      <c r="P745" s="2"/>
      <c r="Q745" s="32"/>
      <c r="R745" s="32"/>
      <c r="S745" s="32"/>
      <c r="T745" s="3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2"/>
      <c r="C746" s="10"/>
      <c r="D746" s="10"/>
      <c r="E746" s="10"/>
      <c r="F746" s="10"/>
      <c r="G746" s="69"/>
      <c r="H746" s="69"/>
      <c r="I746" s="69"/>
      <c r="J746" s="70"/>
      <c r="K746" s="69"/>
      <c r="L746" s="69"/>
      <c r="M746" s="69"/>
      <c r="N746" s="69"/>
      <c r="O746" s="2"/>
      <c r="P746" s="2"/>
      <c r="Q746" s="32"/>
      <c r="R746" s="32"/>
      <c r="S746" s="32"/>
      <c r="T746" s="3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2"/>
      <c r="C747" s="10"/>
      <c r="D747" s="10"/>
      <c r="E747" s="10"/>
      <c r="F747" s="10"/>
      <c r="G747" s="69"/>
      <c r="H747" s="69"/>
      <c r="I747" s="69"/>
      <c r="J747" s="70"/>
      <c r="K747" s="69"/>
      <c r="L747" s="69"/>
      <c r="M747" s="69"/>
      <c r="N747" s="69"/>
      <c r="O747" s="2"/>
      <c r="P747" s="2"/>
      <c r="Q747" s="32"/>
      <c r="R747" s="32"/>
      <c r="S747" s="32"/>
      <c r="T747" s="3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2"/>
      <c r="C748" s="10"/>
      <c r="D748" s="10"/>
      <c r="E748" s="10"/>
      <c r="F748" s="10"/>
      <c r="G748" s="69"/>
      <c r="H748" s="69"/>
      <c r="I748" s="69"/>
      <c r="J748" s="70"/>
      <c r="K748" s="69"/>
      <c r="L748" s="69"/>
      <c r="M748" s="69"/>
      <c r="N748" s="69"/>
      <c r="O748" s="2"/>
      <c r="P748" s="2"/>
      <c r="Q748" s="32"/>
      <c r="R748" s="32"/>
      <c r="S748" s="32"/>
      <c r="T748" s="3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2"/>
      <c r="C749" s="10"/>
      <c r="D749" s="10"/>
      <c r="E749" s="10"/>
      <c r="F749" s="10"/>
      <c r="G749" s="69"/>
      <c r="H749" s="69"/>
      <c r="I749" s="69"/>
      <c r="J749" s="70"/>
      <c r="K749" s="69"/>
      <c r="L749" s="69"/>
      <c r="M749" s="69"/>
      <c r="N749" s="69"/>
      <c r="O749" s="2"/>
      <c r="P749" s="2"/>
      <c r="Q749" s="32"/>
      <c r="R749" s="32"/>
      <c r="S749" s="32"/>
      <c r="T749" s="3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2"/>
      <c r="C750" s="10"/>
      <c r="D750" s="10"/>
      <c r="E750" s="10"/>
      <c r="F750" s="10"/>
      <c r="G750" s="69"/>
      <c r="H750" s="69"/>
      <c r="I750" s="69"/>
      <c r="J750" s="70"/>
      <c r="K750" s="69"/>
      <c r="L750" s="69"/>
      <c r="M750" s="69"/>
      <c r="N750" s="69"/>
      <c r="O750" s="2"/>
      <c r="P750" s="2"/>
      <c r="Q750" s="32"/>
      <c r="R750" s="32"/>
      <c r="S750" s="32"/>
      <c r="T750" s="3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2"/>
      <c r="C751" s="10"/>
      <c r="D751" s="10"/>
      <c r="E751" s="10"/>
      <c r="F751" s="10"/>
      <c r="G751" s="69"/>
      <c r="H751" s="69"/>
      <c r="I751" s="69"/>
      <c r="J751" s="70"/>
      <c r="K751" s="69"/>
      <c r="L751" s="69"/>
      <c r="M751" s="69"/>
      <c r="N751" s="69"/>
      <c r="O751" s="2"/>
      <c r="P751" s="2"/>
      <c r="Q751" s="32"/>
      <c r="R751" s="32"/>
      <c r="S751" s="32"/>
      <c r="T751" s="3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2"/>
      <c r="C752" s="10"/>
      <c r="D752" s="10"/>
      <c r="E752" s="10"/>
      <c r="F752" s="10"/>
      <c r="G752" s="69"/>
      <c r="H752" s="69"/>
      <c r="I752" s="69"/>
      <c r="J752" s="70"/>
      <c r="K752" s="69"/>
      <c r="L752" s="69"/>
      <c r="M752" s="69"/>
      <c r="N752" s="69"/>
      <c r="O752" s="2"/>
      <c r="P752" s="2"/>
      <c r="Q752" s="32"/>
      <c r="R752" s="32"/>
      <c r="S752" s="32"/>
      <c r="T752" s="3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2"/>
      <c r="C753" s="10"/>
      <c r="D753" s="10"/>
      <c r="E753" s="10"/>
      <c r="F753" s="10"/>
      <c r="G753" s="69"/>
      <c r="H753" s="69"/>
      <c r="I753" s="69"/>
      <c r="J753" s="70"/>
      <c r="K753" s="69"/>
      <c r="L753" s="69"/>
      <c r="M753" s="69"/>
      <c r="N753" s="69"/>
      <c r="O753" s="2"/>
      <c r="P753" s="2"/>
      <c r="Q753" s="32"/>
      <c r="R753" s="32"/>
      <c r="S753" s="32"/>
      <c r="T753" s="3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2"/>
      <c r="C754" s="10"/>
      <c r="D754" s="10"/>
      <c r="E754" s="10"/>
      <c r="F754" s="10"/>
      <c r="G754" s="69"/>
      <c r="H754" s="69"/>
      <c r="I754" s="69"/>
      <c r="J754" s="70"/>
      <c r="K754" s="69"/>
      <c r="L754" s="69"/>
      <c r="M754" s="69"/>
      <c r="N754" s="69"/>
      <c r="O754" s="2"/>
      <c r="P754" s="2"/>
      <c r="Q754" s="32"/>
      <c r="R754" s="32"/>
      <c r="S754" s="32"/>
      <c r="T754" s="3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2"/>
      <c r="C755" s="10"/>
      <c r="D755" s="10"/>
      <c r="E755" s="10"/>
      <c r="F755" s="10"/>
      <c r="G755" s="69"/>
      <c r="H755" s="69"/>
      <c r="I755" s="69"/>
      <c r="J755" s="70"/>
      <c r="K755" s="69"/>
      <c r="L755" s="69"/>
      <c r="M755" s="69"/>
      <c r="N755" s="69"/>
      <c r="O755" s="2"/>
      <c r="P755" s="2"/>
      <c r="Q755" s="32"/>
      <c r="R755" s="32"/>
      <c r="S755" s="32"/>
      <c r="T755" s="3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2"/>
      <c r="C756" s="10"/>
      <c r="D756" s="10"/>
      <c r="E756" s="10"/>
      <c r="F756" s="10"/>
      <c r="G756" s="69"/>
      <c r="H756" s="69"/>
      <c r="I756" s="69"/>
      <c r="J756" s="70"/>
      <c r="K756" s="69"/>
      <c r="L756" s="69"/>
      <c r="M756" s="69"/>
      <c r="N756" s="69"/>
      <c r="O756" s="2"/>
      <c r="P756" s="2"/>
      <c r="Q756" s="32"/>
      <c r="R756" s="32"/>
      <c r="S756" s="32"/>
      <c r="T756" s="3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2"/>
      <c r="C757" s="10"/>
      <c r="D757" s="10"/>
      <c r="E757" s="10"/>
      <c r="F757" s="10"/>
      <c r="G757" s="69"/>
      <c r="H757" s="69"/>
      <c r="I757" s="69"/>
      <c r="J757" s="70"/>
      <c r="K757" s="69"/>
      <c r="L757" s="69"/>
      <c r="M757" s="69"/>
      <c r="N757" s="69"/>
      <c r="O757" s="2"/>
      <c r="P757" s="2"/>
      <c r="Q757" s="32"/>
      <c r="R757" s="32"/>
      <c r="S757" s="32"/>
      <c r="T757" s="3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2"/>
      <c r="C758" s="10"/>
      <c r="D758" s="10"/>
      <c r="E758" s="10"/>
      <c r="F758" s="10"/>
      <c r="G758" s="69"/>
      <c r="H758" s="69"/>
      <c r="I758" s="69"/>
      <c r="J758" s="70"/>
      <c r="K758" s="69"/>
      <c r="L758" s="69"/>
      <c r="M758" s="69"/>
      <c r="N758" s="69"/>
      <c r="O758" s="2"/>
      <c r="P758" s="2"/>
      <c r="Q758" s="32"/>
      <c r="R758" s="32"/>
      <c r="S758" s="32"/>
      <c r="T758" s="3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2"/>
      <c r="C759" s="10"/>
      <c r="D759" s="10"/>
      <c r="E759" s="10"/>
      <c r="F759" s="10"/>
      <c r="G759" s="69"/>
      <c r="H759" s="69"/>
      <c r="I759" s="69"/>
      <c r="J759" s="70"/>
      <c r="K759" s="69"/>
      <c r="L759" s="69"/>
      <c r="M759" s="69"/>
      <c r="N759" s="69"/>
      <c r="O759" s="2"/>
      <c r="P759" s="2"/>
      <c r="Q759" s="32"/>
      <c r="R759" s="32"/>
      <c r="S759" s="32"/>
      <c r="T759" s="3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2"/>
      <c r="C760" s="10"/>
      <c r="D760" s="10"/>
      <c r="E760" s="10"/>
      <c r="F760" s="10"/>
      <c r="G760" s="69"/>
      <c r="H760" s="69"/>
      <c r="I760" s="69"/>
      <c r="J760" s="70"/>
      <c r="K760" s="69"/>
      <c r="L760" s="69"/>
      <c r="M760" s="69"/>
      <c r="N760" s="69"/>
      <c r="O760" s="2"/>
      <c r="P760" s="2"/>
      <c r="Q760" s="32"/>
      <c r="R760" s="32"/>
      <c r="S760" s="32"/>
      <c r="T760" s="3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2"/>
      <c r="C761" s="10"/>
      <c r="D761" s="10"/>
      <c r="E761" s="10"/>
      <c r="F761" s="10"/>
      <c r="G761" s="69"/>
      <c r="H761" s="69"/>
      <c r="I761" s="69"/>
      <c r="J761" s="70"/>
      <c r="K761" s="69"/>
      <c r="L761" s="69"/>
      <c r="M761" s="69"/>
      <c r="N761" s="69"/>
      <c r="O761" s="2"/>
      <c r="P761" s="2"/>
      <c r="Q761" s="32"/>
      <c r="R761" s="32"/>
      <c r="S761" s="32"/>
      <c r="T761" s="3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2"/>
      <c r="C762" s="10"/>
      <c r="D762" s="10"/>
      <c r="E762" s="10"/>
      <c r="F762" s="10"/>
      <c r="G762" s="69"/>
      <c r="H762" s="69"/>
      <c r="I762" s="69"/>
      <c r="J762" s="70"/>
      <c r="K762" s="69"/>
      <c r="L762" s="69"/>
      <c r="M762" s="69"/>
      <c r="N762" s="69"/>
      <c r="O762" s="2"/>
      <c r="P762" s="2"/>
      <c r="Q762" s="32"/>
      <c r="R762" s="32"/>
      <c r="S762" s="32"/>
      <c r="T762" s="3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2"/>
      <c r="C763" s="10"/>
      <c r="D763" s="10"/>
      <c r="E763" s="10"/>
      <c r="F763" s="10"/>
      <c r="G763" s="69"/>
      <c r="H763" s="69"/>
      <c r="I763" s="69"/>
      <c r="J763" s="70"/>
      <c r="K763" s="69"/>
      <c r="L763" s="69"/>
      <c r="M763" s="69"/>
      <c r="N763" s="69"/>
      <c r="O763" s="2"/>
      <c r="P763" s="2"/>
      <c r="Q763" s="32"/>
      <c r="R763" s="32"/>
      <c r="S763" s="32"/>
      <c r="T763" s="3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2"/>
      <c r="C764" s="10"/>
      <c r="D764" s="10"/>
      <c r="E764" s="10"/>
      <c r="F764" s="10"/>
      <c r="G764" s="69"/>
      <c r="H764" s="69"/>
      <c r="I764" s="69"/>
      <c r="J764" s="70"/>
      <c r="K764" s="69"/>
      <c r="L764" s="69"/>
      <c r="M764" s="69"/>
      <c r="N764" s="69"/>
      <c r="O764" s="2"/>
      <c r="P764" s="2"/>
      <c r="Q764" s="32"/>
      <c r="R764" s="32"/>
      <c r="S764" s="32"/>
      <c r="T764" s="3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2"/>
      <c r="C765" s="10"/>
      <c r="D765" s="10"/>
      <c r="E765" s="10"/>
      <c r="F765" s="10"/>
      <c r="G765" s="69"/>
      <c r="H765" s="69"/>
      <c r="I765" s="69"/>
      <c r="J765" s="70"/>
      <c r="K765" s="69"/>
      <c r="L765" s="69"/>
      <c r="M765" s="69"/>
      <c r="N765" s="69"/>
      <c r="O765" s="2"/>
      <c r="P765" s="2"/>
      <c r="Q765" s="32"/>
      <c r="R765" s="32"/>
      <c r="S765" s="32"/>
      <c r="T765" s="3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2"/>
      <c r="C766" s="10"/>
      <c r="D766" s="10"/>
      <c r="E766" s="10"/>
      <c r="F766" s="10"/>
      <c r="G766" s="69"/>
      <c r="H766" s="69"/>
      <c r="I766" s="69"/>
      <c r="J766" s="70"/>
      <c r="K766" s="69"/>
      <c r="L766" s="69"/>
      <c r="M766" s="69"/>
      <c r="N766" s="69"/>
      <c r="O766" s="2"/>
      <c r="P766" s="2"/>
      <c r="Q766" s="32"/>
      <c r="R766" s="32"/>
      <c r="S766" s="32"/>
      <c r="T766" s="3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2"/>
      <c r="C767" s="10"/>
      <c r="D767" s="10"/>
      <c r="E767" s="10"/>
      <c r="F767" s="10"/>
      <c r="G767" s="69"/>
      <c r="H767" s="69"/>
      <c r="I767" s="69"/>
      <c r="J767" s="70"/>
      <c r="K767" s="69"/>
      <c r="L767" s="69"/>
      <c r="M767" s="69"/>
      <c r="N767" s="69"/>
      <c r="O767" s="2"/>
      <c r="P767" s="2"/>
      <c r="Q767" s="32"/>
      <c r="R767" s="32"/>
      <c r="S767" s="32"/>
      <c r="T767" s="3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2"/>
      <c r="C768" s="10"/>
      <c r="D768" s="10"/>
      <c r="E768" s="10"/>
      <c r="F768" s="10"/>
      <c r="G768" s="69"/>
      <c r="H768" s="69"/>
      <c r="I768" s="69"/>
      <c r="J768" s="70"/>
      <c r="K768" s="69"/>
      <c r="L768" s="69"/>
      <c r="M768" s="69"/>
      <c r="N768" s="69"/>
      <c r="O768" s="2"/>
      <c r="P768" s="2"/>
      <c r="Q768" s="32"/>
      <c r="R768" s="32"/>
      <c r="S768" s="32"/>
      <c r="T768" s="3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2"/>
      <c r="C769" s="10"/>
      <c r="D769" s="10"/>
      <c r="E769" s="10"/>
      <c r="F769" s="10"/>
      <c r="G769" s="69"/>
      <c r="H769" s="69"/>
      <c r="I769" s="69"/>
      <c r="J769" s="70"/>
      <c r="K769" s="69"/>
      <c r="L769" s="69"/>
      <c r="M769" s="69"/>
      <c r="N769" s="69"/>
      <c r="O769" s="2"/>
      <c r="P769" s="2"/>
      <c r="Q769" s="32"/>
      <c r="R769" s="32"/>
      <c r="S769" s="32"/>
      <c r="T769" s="3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2"/>
      <c r="C770" s="10"/>
      <c r="D770" s="10"/>
      <c r="E770" s="10"/>
      <c r="F770" s="10"/>
      <c r="G770" s="69"/>
      <c r="H770" s="69"/>
      <c r="I770" s="69"/>
      <c r="J770" s="70"/>
      <c r="K770" s="69"/>
      <c r="L770" s="69"/>
      <c r="M770" s="69"/>
      <c r="N770" s="69"/>
      <c r="O770" s="2"/>
      <c r="P770" s="2"/>
      <c r="Q770" s="32"/>
      <c r="R770" s="32"/>
      <c r="S770" s="32"/>
      <c r="T770" s="3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2"/>
      <c r="C771" s="10"/>
      <c r="D771" s="10"/>
      <c r="E771" s="10"/>
      <c r="F771" s="10"/>
      <c r="G771" s="69"/>
      <c r="H771" s="69"/>
      <c r="I771" s="69"/>
      <c r="J771" s="70"/>
      <c r="K771" s="69"/>
      <c r="L771" s="69"/>
      <c r="M771" s="69"/>
      <c r="N771" s="69"/>
      <c r="O771" s="2"/>
      <c r="P771" s="2"/>
      <c r="Q771" s="32"/>
      <c r="R771" s="32"/>
      <c r="S771" s="32"/>
      <c r="T771" s="3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2"/>
      <c r="C772" s="10"/>
      <c r="D772" s="10"/>
      <c r="E772" s="10"/>
      <c r="F772" s="10"/>
      <c r="G772" s="69"/>
      <c r="H772" s="69"/>
      <c r="I772" s="69"/>
      <c r="J772" s="70"/>
      <c r="K772" s="69"/>
      <c r="L772" s="69"/>
      <c r="M772" s="69"/>
      <c r="N772" s="69"/>
      <c r="O772" s="2"/>
      <c r="P772" s="2"/>
      <c r="Q772" s="32"/>
      <c r="R772" s="32"/>
      <c r="S772" s="32"/>
      <c r="T772" s="3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2"/>
      <c r="C773" s="10"/>
      <c r="D773" s="10"/>
      <c r="E773" s="10"/>
      <c r="F773" s="10"/>
      <c r="G773" s="69"/>
      <c r="H773" s="69"/>
      <c r="I773" s="69"/>
      <c r="J773" s="70"/>
      <c r="K773" s="69"/>
      <c r="L773" s="69"/>
      <c r="M773" s="69"/>
      <c r="N773" s="69"/>
      <c r="O773" s="2"/>
      <c r="P773" s="2"/>
      <c r="Q773" s="32"/>
      <c r="R773" s="32"/>
      <c r="S773" s="32"/>
      <c r="T773" s="3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2"/>
      <c r="C774" s="10"/>
      <c r="D774" s="10"/>
      <c r="E774" s="10"/>
      <c r="F774" s="10"/>
      <c r="G774" s="69"/>
      <c r="H774" s="69"/>
      <c r="I774" s="69"/>
      <c r="J774" s="70"/>
      <c r="K774" s="69"/>
      <c r="L774" s="69"/>
      <c r="M774" s="69"/>
      <c r="N774" s="69"/>
      <c r="O774" s="2"/>
      <c r="P774" s="2"/>
      <c r="Q774" s="32"/>
      <c r="R774" s="32"/>
      <c r="S774" s="32"/>
      <c r="T774" s="3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2"/>
      <c r="C775" s="10"/>
      <c r="D775" s="10"/>
      <c r="E775" s="10"/>
      <c r="F775" s="10"/>
      <c r="G775" s="69"/>
      <c r="H775" s="69"/>
      <c r="I775" s="69"/>
      <c r="J775" s="70"/>
      <c r="K775" s="69"/>
      <c r="L775" s="69"/>
      <c r="M775" s="69"/>
      <c r="N775" s="69"/>
      <c r="O775" s="2"/>
      <c r="P775" s="2"/>
      <c r="Q775" s="32"/>
      <c r="R775" s="32"/>
      <c r="S775" s="32"/>
      <c r="T775" s="3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2"/>
      <c r="C776" s="10"/>
      <c r="D776" s="10"/>
      <c r="E776" s="10"/>
      <c r="F776" s="10"/>
      <c r="G776" s="69"/>
      <c r="H776" s="69"/>
      <c r="I776" s="69"/>
      <c r="J776" s="70"/>
      <c r="K776" s="69"/>
      <c r="L776" s="69"/>
      <c r="M776" s="69"/>
      <c r="N776" s="69"/>
      <c r="O776" s="2"/>
      <c r="P776" s="2"/>
      <c r="Q776" s="32"/>
      <c r="R776" s="32"/>
      <c r="S776" s="32"/>
      <c r="T776" s="3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2"/>
      <c r="C777" s="10"/>
      <c r="D777" s="10"/>
      <c r="E777" s="10"/>
      <c r="F777" s="10"/>
      <c r="G777" s="69"/>
      <c r="H777" s="69"/>
      <c r="I777" s="69"/>
      <c r="J777" s="70"/>
      <c r="K777" s="69"/>
      <c r="L777" s="69"/>
      <c r="M777" s="69"/>
      <c r="N777" s="69"/>
      <c r="O777" s="2"/>
      <c r="P777" s="2"/>
      <c r="Q777" s="32"/>
      <c r="R777" s="32"/>
      <c r="S777" s="32"/>
      <c r="T777" s="3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2"/>
      <c r="C778" s="10"/>
      <c r="D778" s="10"/>
      <c r="E778" s="10"/>
      <c r="F778" s="10"/>
      <c r="G778" s="69"/>
      <c r="H778" s="69"/>
      <c r="I778" s="69"/>
      <c r="J778" s="70"/>
      <c r="K778" s="69"/>
      <c r="L778" s="69"/>
      <c r="M778" s="69"/>
      <c r="N778" s="69"/>
      <c r="O778" s="2"/>
      <c r="P778" s="2"/>
      <c r="Q778" s="32"/>
      <c r="R778" s="32"/>
      <c r="S778" s="32"/>
      <c r="T778" s="3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2"/>
      <c r="C779" s="10"/>
      <c r="D779" s="10"/>
      <c r="E779" s="10"/>
      <c r="F779" s="10"/>
      <c r="G779" s="69"/>
      <c r="H779" s="69"/>
      <c r="I779" s="69"/>
      <c r="J779" s="70"/>
      <c r="K779" s="69"/>
      <c r="L779" s="69"/>
      <c r="M779" s="69"/>
      <c r="N779" s="69"/>
      <c r="O779" s="2"/>
      <c r="P779" s="2"/>
      <c r="Q779" s="32"/>
      <c r="R779" s="32"/>
      <c r="S779" s="32"/>
      <c r="T779" s="3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2"/>
      <c r="C780" s="10"/>
      <c r="D780" s="10"/>
      <c r="E780" s="10"/>
      <c r="F780" s="10"/>
      <c r="G780" s="69"/>
      <c r="H780" s="69"/>
      <c r="I780" s="69"/>
      <c r="J780" s="70"/>
      <c r="K780" s="69"/>
      <c r="L780" s="69"/>
      <c r="M780" s="69"/>
      <c r="N780" s="69"/>
      <c r="O780" s="2"/>
      <c r="P780" s="2"/>
      <c r="Q780" s="32"/>
      <c r="R780" s="32"/>
      <c r="S780" s="32"/>
      <c r="T780" s="3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2"/>
      <c r="C781" s="10"/>
      <c r="D781" s="10"/>
      <c r="E781" s="10"/>
      <c r="F781" s="10"/>
      <c r="G781" s="69"/>
      <c r="H781" s="69"/>
      <c r="I781" s="69"/>
      <c r="J781" s="70"/>
      <c r="K781" s="69"/>
      <c r="L781" s="69"/>
      <c r="M781" s="69"/>
      <c r="N781" s="69"/>
      <c r="O781" s="2"/>
      <c r="P781" s="2"/>
      <c r="Q781" s="32"/>
      <c r="R781" s="32"/>
      <c r="S781" s="32"/>
      <c r="T781" s="3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2"/>
      <c r="C782" s="10"/>
      <c r="D782" s="10"/>
      <c r="E782" s="10"/>
      <c r="F782" s="10"/>
      <c r="G782" s="69"/>
      <c r="H782" s="69"/>
      <c r="I782" s="69"/>
      <c r="J782" s="70"/>
      <c r="K782" s="69"/>
      <c r="L782" s="69"/>
      <c r="M782" s="69"/>
      <c r="N782" s="69"/>
      <c r="O782" s="2"/>
      <c r="P782" s="2"/>
      <c r="Q782" s="32"/>
      <c r="R782" s="32"/>
      <c r="S782" s="32"/>
      <c r="T782" s="3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2"/>
      <c r="C783" s="10"/>
      <c r="D783" s="10"/>
      <c r="E783" s="10"/>
      <c r="F783" s="10"/>
      <c r="G783" s="69"/>
      <c r="H783" s="69"/>
      <c r="I783" s="69"/>
      <c r="J783" s="70"/>
      <c r="K783" s="69"/>
      <c r="L783" s="69"/>
      <c r="M783" s="69"/>
      <c r="N783" s="69"/>
      <c r="O783" s="2"/>
      <c r="P783" s="2"/>
      <c r="Q783" s="32"/>
      <c r="R783" s="32"/>
      <c r="S783" s="32"/>
      <c r="T783" s="3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2"/>
      <c r="C784" s="10"/>
      <c r="D784" s="10"/>
      <c r="E784" s="10"/>
      <c r="F784" s="10"/>
      <c r="G784" s="69"/>
      <c r="H784" s="69"/>
      <c r="I784" s="69"/>
      <c r="J784" s="70"/>
      <c r="K784" s="69"/>
      <c r="L784" s="69"/>
      <c r="M784" s="69"/>
      <c r="N784" s="69"/>
      <c r="O784" s="2"/>
      <c r="P784" s="2"/>
      <c r="Q784" s="32"/>
      <c r="R784" s="32"/>
      <c r="S784" s="32"/>
      <c r="T784" s="3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2"/>
      <c r="C785" s="10"/>
      <c r="D785" s="10"/>
      <c r="E785" s="10"/>
      <c r="F785" s="10"/>
      <c r="G785" s="69"/>
      <c r="H785" s="69"/>
      <c r="I785" s="69"/>
      <c r="J785" s="70"/>
      <c r="K785" s="69"/>
      <c r="L785" s="69"/>
      <c r="M785" s="69"/>
      <c r="N785" s="69"/>
      <c r="O785" s="2"/>
      <c r="P785" s="2"/>
      <c r="Q785" s="32"/>
      <c r="R785" s="32"/>
      <c r="S785" s="32"/>
      <c r="T785" s="3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2"/>
      <c r="C786" s="10"/>
      <c r="D786" s="10"/>
      <c r="E786" s="10"/>
      <c r="F786" s="10"/>
      <c r="G786" s="69"/>
      <c r="H786" s="69"/>
      <c r="I786" s="69"/>
      <c r="J786" s="70"/>
      <c r="K786" s="69"/>
      <c r="L786" s="69"/>
      <c r="M786" s="69"/>
      <c r="N786" s="69"/>
      <c r="O786" s="2"/>
      <c r="P786" s="2"/>
      <c r="Q786" s="32"/>
      <c r="R786" s="32"/>
      <c r="S786" s="32"/>
      <c r="T786" s="3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2"/>
      <c r="C787" s="10"/>
      <c r="D787" s="10"/>
      <c r="E787" s="10"/>
      <c r="F787" s="10"/>
      <c r="G787" s="69"/>
      <c r="H787" s="69"/>
      <c r="I787" s="69"/>
      <c r="J787" s="70"/>
      <c r="K787" s="69"/>
      <c r="L787" s="69"/>
      <c r="M787" s="69"/>
      <c r="N787" s="69"/>
      <c r="O787" s="2"/>
      <c r="P787" s="2"/>
      <c r="Q787" s="32"/>
      <c r="R787" s="32"/>
      <c r="S787" s="32"/>
      <c r="T787" s="3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2"/>
      <c r="C788" s="10"/>
      <c r="D788" s="10"/>
      <c r="E788" s="10"/>
      <c r="F788" s="10"/>
      <c r="G788" s="69"/>
      <c r="H788" s="69"/>
      <c r="I788" s="69"/>
      <c r="J788" s="70"/>
      <c r="K788" s="69"/>
      <c r="L788" s="69"/>
      <c r="M788" s="69"/>
      <c r="N788" s="69"/>
      <c r="O788" s="2"/>
      <c r="P788" s="2"/>
      <c r="Q788" s="32"/>
      <c r="R788" s="32"/>
      <c r="S788" s="32"/>
      <c r="T788" s="3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2"/>
      <c r="C789" s="10"/>
      <c r="D789" s="10"/>
      <c r="E789" s="10"/>
      <c r="F789" s="10"/>
      <c r="G789" s="69"/>
      <c r="H789" s="69"/>
      <c r="I789" s="69"/>
      <c r="J789" s="70"/>
      <c r="K789" s="69"/>
      <c r="L789" s="69"/>
      <c r="M789" s="69"/>
      <c r="N789" s="69"/>
      <c r="O789" s="2"/>
      <c r="P789" s="2"/>
      <c r="Q789" s="32"/>
      <c r="R789" s="32"/>
      <c r="S789" s="32"/>
      <c r="T789" s="3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2"/>
      <c r="C790" s="10"/>
      <c r="D790" s="10"/>
      <c r="E790" s="10"/>
      <c r="F790" s="10"/>
      <c r="G790" s="69"/>
      <c r="H790" s="69"/>
      <c r="I790" s="69"/>
      <c r="J790" s="70"/>
      <c r="K790" s="69"/>
      <c r="L790" s="69"/>
      <c r="M790" s="69"/>
      <c r="N790" s="69"/>
      <c r="O790" s="2"/>
      <c r="P790" s="2"/>
      <c r="Q790" s="32"/>
      <c r="R790" s="32"/>
      <c r="S790" s="32"/>
      <c r="T790" s="3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2"/>
      <c r="C791" s="10"/>
      <c r="D791" s="10"/>
      <c r="E791" s="10"/>
      <c r="F791" s="10"/>
      <c r="G791" s="69"/>
      <c r="H791" s="69"/>
      <c r="I791" s="69"/>
      <c r="J791" s="70"/>
      <c r="K791" s="69"/>
      <c r="L791" s="69"/>
      <c r="M791" s="69"/>
      <c r="N791" s="69"/>
      <c r="O791" s="2"/>
      <c r="P791" s="2"/>
      <c r="Q791" s="32"/>
      <c r="R791" s="32"/>
      <c r="S791" s="32"/>
      <c r="T791" s="3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2"/>
      <c r="C792" s="10"/>
      <c r="D792" s="10"/>
      <c r="E792" s="10"/>
      <c r="F792" s="10"/>
      <c r="G792" s="69"/>
      <c r="H792" s="69"/>
      <c r="I792" s="69"/>
      <c r="J792" s="70"/>
      <c r="K792" s="69"/>
      <c r="L792" s="69"/>
      <c r="M792" s="69"/>
      <c r="N792" s="69"/>
      <c r="O792" s="2"/>
      <c r="P792" s="2"/>
      <c r="Q792" s="32"/>
      <c r="R792" s="32"/>
      <c r="S792" s="32"/>
      <c r="T792" s="3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2"/>
      <c r="C793" s="10"/>
      <c r="D793" s="10"/>
      <c r="E793" s="10"/>
      <c r="F793" s="10"/>
      <c r="G793" s="69"/>
      <c r="H793" s="69"/>
      <c r="I793" s="69"/>
      <c r="J793" s="70"/>
      <c r="K793" s="69"/>
      <c r="L793" s="69"/>
      <c r="M793" s="69"/>
      <c r="N793" s="69"/>
      <c r="O793" s="2"/>
      <c r="P793" s="2"/>
      <c r="Q793" s="32"/>
      <c r="R793" s="32"/>
      <c r="S793" s="32"/>
      <c r="T793" s="3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2"/>
      <c r="C794" s="10"/>
      <c r="D794" s="10"/>
      <c r="E794" s="10"/>
      <c r="F794" s="10"/>
      <c r="G794" s="69"/>
      <c r="H794" s="69"/>
      <c r="I794" s="69"/>
      <c r="J794" s="70"/>
      <c r="K794" s="69"/>
      <c r="L794" s="69"/>
      <c r="M794" s="69"/>
      <c r="N794" s="69"/>
      <c r="O794" s="2"/>
      <c r="P794" s="2"/>
      <c r="Q794" s="32"/>
      <c r="R794" s="32"/>
      <c r="S794" s="32"/>
      <c r="T794" s="3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2"/>
      <c r="C795" s="10"/>
      <c r="D795" s="10"/>
      <c r="E795" s="10"/>
      <c r="F795" s="10"/>
      <c r="G795" s="69"/>
      <c r="H795" s="69"/>
      <c r="I795" s="69"/>
      <c r="J795" s="70"/>
      <c r="K795" s="69"/>
      <c r="L795" s="69"/>
      <c r="M795" s="69"/>
      <c r="N795" s="69"/>
      <c r="O795" s="2"/>
      <c r="P795" s="2"/>
      <c r="Q795" s="32"/>
      <c r="R795" s="32"/>
      <c r="S795" s="32"/>
      <c r="T795" s="3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2"/>
      <c r="C796" s="10"/>
      <c r="D796" s="10"/>
      <c r="E796" s="10"/>
      <c r="F796" s="10"/>
      <c r="G796" s="69"/>
      <c r="H796" s="69"/>
      <c r="I796" s="69"/>
      <c r="J796" s="70"/>
      <c r="K796" s="69"/>
      <c r="L796" s="69"/>
      <c r="M796" s="69"/>
      <c r="N796" s="69"/>
      <c r="O796" s="2"/>
      <c r="P796" s="2"/>
      <c r="Q796" s="32"/>
      <c r="R796" s="32"/>
      <c r="S796" s="32"/>
      <c r="T796" s="3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2"/>
      <c r="C797" s="10"/>
      <c r="D797" s="10"/>
      <c r="E797" s="10"/>
      <c r="F797" s="10"/>
      <c r="G797" s="69"/>
      <c r="H797" s="69"/>
      <c r="I797" s="69"/>
      <c r="J797" s="70"/>
      <c r="K797" s="69"/>
      <c r="L797" s="69"/>
      <c r="M797" s="69"/>
      <c r="N797" s="69"/>
      <c r="O797" s="2"/>
      <c r="P797" s="2"/>
      <c r="Q797" s="32"/>
      <c r="R797" s="32"/>
      <c r="S797" s="32"/>
      <c r="T797" s="3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2"/>
      <c r="C798" s="10"/>
      <c r="D798" s="10"/>
      <c r="E798" s="10"/>
      <c r="F798" s="10"/>
      <c r="G798" s="69"/>
      <c r="H798" s="69"/>
      <c r="I798" s="69"/>
      <c r="J798" s="70"/>
      <c r="K798" s="69"/>
      <c r="L798" s="69"/>
      <c r="M798" s="69"/>
      <c r="N798" s="69"/>
      <c r="O798" s="2"/>
      <c r="P798" s="2"/>
      <c r="Q798" s="32"/>
      <c r="R798" s="32"/>
      <c r="S798" s="32"/>
      <c r="T798" s="3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2"/>
      <c r="C799" s="10"/>
      <c r="D799" s="10"/>
      <c r="E799" s="10"/>
      <c r="F799" s="10"/>
      <c r="G799" s="69"/>
      <c r="H799" s="69"/>
      <c r="I799" s="69"/>
      <c r="J799" s="70"/>
      <c r="K799" s="69"/>
      <c r="L799" s="69"/>
      <c r="M799" s="69"/>
      <c r="N799" s="69"/>
      <c r="O799" s="2"/>
      <c r="P799" s="2"/>
      <c r="Q799" s="32"/>
      <c r="R799" s="32"/>
      <c r="S799" s="32"/>
      <c r="T799" s="3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2"/>
      <c r="C800" s="10"/>
      <c r="D800" s="10"/>
      <c r="E800" s="10"/>
      <c r="F800" s="10"/>
      <c r="G800" s="69"/>
      <c r="H800" s="69"/>
      <c r="I800" s="69"/>
      <c r="J800" s="70"/>
      <c r="K800" s="69"/>
      <c r="L800" s="69"/>
      <c r="M800" s="69"/>
      <c r="N800" s="69"/>
      <c r="O800" s="2"/>
      <c r="P800" s="2"/>
      <c r="Q800" s="32"/>
      <c r="R800" s="32"/>
      <c r="S800" s="32"/>
      <c r="T800" s="3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2"/>
      <c r="C801" s="10"/>
      <c r="D801" s="10"/>
      <c r="E801" s="10"/>
      <c r="F801" s="10"/>
      <c r="G801" s="69"/>
      <c r="H801" s="69"/>
      <c r="I801" s="69"/>
      <c r="J801" s="70"/>
      <c r="K801" s="69"/>
      <c r="L801" s="69"/>
      <c r="M801" s="69"/>
      <c r="N801" s="69"/>
      <c r="O801" s="2"/>
      <c r="P801" s="2"/>
      <c r="Q801" s="32"/>
      <c r="R801" s="32"/>
      <c r="S801" s="32"/>
      <c r="T801" s="3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2"/>
      <c r="C802" s="10"/>
      <c r="D802" s="10"/>
      <c r="E802" s="10"/>
      <c r="F802" s="10"/>
      <c r="G802" s="69"/>
      <c r="H802" s="69"/>
      <c r="I802" s="69"/>
      <c r="J802" s="70"/>
      <c r="K802" s="69"/>
      <c r="L802" s="69"/>
      <c r="M802" s="69"/>
      <c r="N802" s="69"/>
      <c r="O802" s="2"/>
      <c r="P802" s="2"/>
      <c r="Q802" s="32"/>
      <c r="R802" s="32"/>
      <c r="S802" s="32"/>
      <c r="T802" s="3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2"/>
      <c r="C803" s="10"/>
      <c r="D803" s="10"/>
      <c r="E803" s="10"/>
      <c r="F803" s="10"/>
      <c r="G803" s="69"/>
      <c r="H803" s="69"/>
      <c r="I803" s="69"/>
      <c r="J803" s="70"/>
      <c r="K803" s="69"/>
      <c r="L803" s="69"/>
      <c r="M803" s="69"/>
      <c r="N803" s="69"/>
      <c r="O803" s="2"/>
      <c r="P803" s="2"/>
      <c r="Q803" s="32"/>
      <c r="R803" s="32"/>
      <c r="S803" s="32"/>
      <c r="T803" s="3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2"/>
      <c r="C804" s="10"/>
      <c r="D804" s="10"/>
      <c r="E804" s="10"/>
      <c r="F804" s="10"/>
      <c r="G804" s="69"/>
      <c r="H804" s="69"/>
      <c r="I804" s="69"/>
      <c r="J804" s="70"/>
      <c r="K804" s="69"/>
      <c r="L804" s="69"/>
      <c r="M804" s="69"/>
      <c r="N804" s="69"/>
      <c r="O804" s="2"/>
      <c r="P804" s="2"/>
      <c r="Q804" s="32"/>
      <c r="R804" s="32"/>
      <c r="S804" s="32"/>
      <c r="T804" s="3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2"/>
      <c r="C805" s="10"/>
      <c r="D805" s="10"/>
      <c r="E805" s="10"/>
      <c r="F805" s="10"/>
      <c r="G805" s="69"/>
      <c r="H805" s="69"/>
      <c r="I805" s="69"/>
      <c r="J805" s="70"/>
      <c r="K805" s="69"/>
      <c r="L805" s="69"/>
      <c r="M805" s="69"/>
      <c r="N805" s="69"/>
      <c r="O805" s="2"/>
      <c r="P805" s="2"/>
      <c r="Q805" s="32"/>
      <c r="R805" s="32"/>
      <c r="S805" s="32"/>
      <c r="T805" s="3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2"/>
      <c r="C806" s="10"/>
      <c r="D806" s="10"/>
      <c r="E806" s="10"/>
      <c r="F806" s="10"/>
      <c r="G806" s="69"/>
      <c r="H806" s="69"/>
      <c r="I806" s="69"/>
      <c r="J806" s="70"/>
      <c r="K806" s="69"/>
      <c r="L806" s="69"/>
      <c r="M806" s="69"/>
      <c r="N806" s="69"/>
      <c r="O806" s="2"/>
      <c r="P806" s="2"/>
      <c r="Q806" s="32"/>
      <c r="R806" s="32"/>
      <c r="S806" s="32"/>
      <c r="T806" s="3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2"/>
      <c r="C807" s="10"/>
      <c r="D807" s="10"/>
      <c r="E807" s="10"/>
      <c r="F807" s="10"/>
      <c r="G807" s="69"/>
      <c r="H807" s="69"/>
      <c r="I807" s="69"/>
      <c r="J807" s="70"/>
      <c r="K807" s="69"/>
      <c r="L807" s="69"/>
      <c r="M807" s="69"/>
      <c r="N807" s="69"/>
      <c r="O807" s="2"/>
      <c r="P807" s="2"/>
      <c r="Q807" s="32"/>
      <c r="R807" s="32"/>
      <c r="S807" s="32"/>
      <c r="T807" s="3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2"/>
      <c r="C808" s="10"/>
      <c r="D808" s="10"/>
      <c r="E808" s="10"/>
      <c r="F808" s="10"/>
      <c r="G808" s="69"/>
      <c r="H808" s="69"/>
      <c r="I808" s="69"/>
      <c r="J808" s="70"/>
      <c r="K808" s="69"/>
      <c r="L808" s="69"/>
      <c r="M808" s="69"/>
      <c r="N808" s="69"/>
      <c r="O808" s="2"/>
      <c r="P808" s="2"/>
      <c r="Q808" s="32"/>
      <c r="R808" s="32"/>
      <c r="S808" s="32"/>
      <c r="T808" s="3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2"/>
      <c r="C809" s="10"/>
      <c r="D809" s="10"/>
      <c r="E809" s="10"/>
      <c r="F809" s="10"/>
      <c r="G809" s="69"/>
      <c r="H809" s="69"/>
      <c r="I809" s="69"/>
      <c r="J809" s="70"/>
      <c r="K809" s="69"/>
      <c r="L809" s="69"/>
      <c r="M809" s="69"/>
      <c r="N809" s="69"/>
      <c r="O809" s="2"/>
      <c r="P809" s="2"/>
      <c r="Q809" s="32"/>
      <c r="R809" s="32"/>
      <c r="S809" s="32"/>
      <c r="T809" s="3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2"/>
      <c r="C810" s="10"/>
      <c r="D810" s="10"/>
      <c r="E810" s="10"/>
      <c r="F810" s="10"/>
      <c r="G810" s="69"/>
      <c r="H810" s="69"/>
      <c r="I810" s="69"/>
      <c r="J810" s="70"/>
      <c r="K810" s="69"/>
      <c r="L810" s="69"/>
      <c r="M810" s="69"/>
      <c r="N810" s="69"/>
      <c r="O810" s="2"/>
      <c r="P810" s="2"/>
      <c r="Q810" s="32"/>
      <c r="R810" s="32"/>
      <c r="S810" s="32"/>
      <c r="T810" s="3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2"/>
      <c r="C811" s="10"/>
      <c r="D811" s="10"/>
      <c r="E811" s="10"/>
      <c r="F811" s="10"/>
      <c r="G811" s="69"/>
      <c r="H811" s="69"/>
      <c r="I811" s="69"/>
      <c r="J811" s="70"/>
      <c r="K811" s="69"/>
      <c r="L811" s="69"/>
      <c r="M811" s="69"/>
      <c r="N811" s="69"/>
      <c r="O811" s="2"/>
      <c r="P811" s="2"/>
      <c r="Q811" s="32"/>
      <c r="R811" s="32"/>
      <c r="S811" s="32"/>
      <c r="T811" s="3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2"/>
      <c r="C812" s="10"/>
      <c r="D812" s="10"/>
      <c r="E812" s="10"/>
      <c r="F812" s="10"/>
      <c r="G812" s="69"/>
      <c r="H812" s="69"/>
      <c r="I812" s="69"/>
      <c r="J812" s="70"/>
      <c r="K812" s="69"/>
      <c r="L812" s="69"/>
      <c r="M812" s="69"/>
      <c r="N812" s="69"/>
      <c r="O812" s="2"/>
      <c r="P812" s="2"/>
      <c r="Q812" s="32"/>
      <c r="R812" s="32"/>
      <c r="S812" s="32"/>
      <c r="T812" s="3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2"/>
      <c r="C813" s="10"/>
      <c r="D813" s="10"/>
      <c r="E813" s="10"/>
      <c r="F813" s="10"/>
      <c r="G813" s="69"/>
      <c r="H813" s="69"/>
      <c r="I813" s="69"/>
      <c r="J813" s="70"/>
      <c r="K813" s="69"/>
      <c r="L813" s="69"/>
      <c r="M813" s="69"/>
      <c r="N813" s="69"/>
      <c r="O813" s="2"/>
      <c r="P813" s="2"/>
      <c r="Q813" s="32"/>
      <c r="R813" s="32"/>
      <c r="S813" s="32"/>
      <c r="T813" s="3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2"/>
      <c r="C814" s="10"/>
      <c r="D814" s="10"/>
      <c r="E814" s="10"/>
      <c r="F814" s="10"/>
      <c r="G814" s="69"/>
      <c r="H814" s="69"/>
      <c r="I814" s="69"/>
      <c r="J814" s="70"/>
      <c r="K814" s="69"/>
      <c r="L814" s="69"/>
      <c r="M814" s="69"/>
      <c r="N814" s="69"/>
      <c r="O814" s="2"/>
      <c r="P814" s="2"/>
      <c r="Q814" s="32"/>
      <c r="R814" s="32"/>
      <c r="S814" s="32"/>
      <c r="T814" s="3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2"/>
      <c r="C815" s="10"/>
      <c r="D815" s="10"/>
      <c r="E815" s="10"/>
      <c r="F815" s="10"/>
      <c r="G815" s="69"/>
      <c r="H815" s="69"/>
      <c r="I815" s="69"/>
      <c r="J815" s="70"/>
      <c r="K815" s="69"/>
      <c r="L815" s="69"/>
      <c r="M815" s="69"/>
      <c r="N815" s="69"/>
      <c r="O815" s="2"/>
      <c r="P815" s="2"/>
      <c r="Q815" s="32"/>
      <c r="R815" s="32"/>
      <c r="S815" s="32"/>
      <c r="T815" s="3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2"/>
      <c r="C816" s="10"/>
      <c r="D816" s="10"/>
      <c r="E816" s="10"/>
      <c r="F816" s="10"/>
      <c r="G816" s="69"/>
      <c r="H816" s="69"/>
      <c r="I816" s="69"/>
      <c r="J816" s="70"/>
      <c r="K816" s="69"/>
      <c r="L816" s="69"/>
      <c r="M816" s="69"/>
      <c r="N816" s="69"/>
      <c r="O816" s="2"/>
      <c r="P816" s="2"/>
      <c r="Q816" s="32"/>
      <c r="R816" s="32"/>
      <c r="S816" s="32"/>
      <c r="T816" s="3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2"/>
      <c r="C817" s="10"/>
      <c r="D817" s="10"/>
      <c r="E817" s="10"/>
      <c r="F817" s="10"/>
      <c r="G817" s="69"/>
      <c r="H817" s="69"/>
      <c r="I817" s="69"/>
      <c r="J817" s="70"/>
      <c r="K817" s="69"/>
      <c r="L817" s="69"/>
      <c r="M817" s="69"/>
      <c r="N817" s="69"/>
      <c r="O817" s="2"/>
      <c r="P817" s="2"/>
      <c r="Q817" s="32"/>
      <c r="R817" s="32"/>
      <c r="S817" s="32"/>
      <c r="T817" s="3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2"/>
      <c r="C818" s="10"/>
      <c r="D818" s="10"/>
      <c r="E818" s="10"/>
      <c r="F818" s="10"/>
      <c r="G818" s="69"/>
      <c r="H818" s="69"/>
      <c r="I818" s="69"/>
      <c r="J818" s="70"/>
      <c r="K818" s="69"/>
      <c r="L818" s="69"/>
      <c r="M818" s="69"/>
      <c r="N818" s="69"/>
      <c r="O818" s="2"/>
      <c r="P818" s="2"/>
      <c r="Q818" s="32"/>
      <c r="R818" s="32"/>
      <c r="S818" s="32"/>
      <c r="T818" s="3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2"/>
      <c r="C819" s="10"/>
      <c r="D819" s="10"/>
      <c r="E819" s="10"/>
      <c r="F819" s="10"/>
      <c r="G819" s="69"/>
      <c r="H819" s="69"/>
      <c r="I819" s="69"/>
      <c r="J819" s="70"/>
      <c r="K819" s="69"/>
      <c r="L819" s="69"/>
      <c r="M819" s="69"/>
      <c r="N819" s="69"/>
      <c r="O819" s="2"/>
      <c r="P819" s="2"/>
      <c r="Q819" s="32"/>
      <c r="R819" s="32"/>
      <c r="S819" s="32"/>
      <c r="T819" s="3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2"/>
      <c r="C820" s="10"/>
      <c r="D820" s="10"/>
      <c r="E820" s="10"/>
      <c r="F820" s="10"/>
      <c r="G820" s="69"/>
      <c r="H820" s="69"/>
      <c r="I820" s="69"/>
      <c r="J820" s="70"/>
      <c r="K820" s="69"/>
      <c r="L820" s="69"/>
      <c r="M820" s="69"/>
      <c r="N820" s="69"/>
      <c r="O820" s="2"/>
      <c r="P820" s="2"/>
      <c r="Q820" s="32"/>
      <c r="R820" s="32"/>
      <c r="S820" s="32"/>
      <c r="T820" s="3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2"/>
      <c r="C821" s="10"/>
      <c r="D821" s="10"/>
      <c r="E821" s="10"/>
      <c r="F821" s="10"/>
      <c r="G821" s="69"/>
      <c r="H821" s="69"/>
      <c r="I821" s="69"/>
      <c r="J821" s="70"/>
      <c r="K821" s="69"/>
      <c r="L821" s="69"/>
      <c r="M821" s="69"/>
      <c r="N821" s="69"/>
      <c r="O821" s="2"/>
      <c r="P821" s="2"/>
      <c r="Q821" s="32"/>
      <c r="R821" s="32"/>
      <c r="S821" s="32"/>
      <c r="T821" s="3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2"/>
      <c r="C822" s="10"/>
      <c r="D822" s="10"/>
      <c r="E822" s="10"/>
      <c r="F822" s="10"/>
      <c r="G822" s="69"/>
      <c r="H822" s="69"/>
      <c r="I822" s="69"/>
      <c r="J822" s="70"/>
      <c r="K822" s="69"/>
      <c r="L822" s="69"/>
      <c r="M822" s="69"/>
      <c r="N822" s="69"/>
      <c r="O822" s="2"/>
      <c r="P822" s="2"/>
      <c r="Q822" s="32"/>
      <c r="R822" s="32"/>
      <c r="S822" s="32"/>
      <c r="T822" s="3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2"/>
      <c r="C823" s="10"/>
      <c r="D823" s="10"/>
      <c r="E823" s="10"/>
      <c r="F823" s="10"/>
      <c r="G823" s="69"/>
      <c r="H823" s="69"/>
      <c r="I823" s="69"/>
      <c r="J823" s="70"/>
      <c r="K823" s="69"/>
      <c r="L823" s="69"/>
      <c r="M823" s="69"/>
      <c r="N823" s="69"/>
      <c r="O823" s="2"/>
      <c r="P823" s="2"/>
      <c r="Q823" s="32"/>
      <c r="R823" s="32"/>
      <c r="S823" s="32"/>
      <c r="T823" s="3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2"/>
      <c r="C824" s="10"/>
      <c r="D824" s="10"/>
      <c r="E824" s="10"/>
      <c r="F824" s="10"/>
      <c r="G824" s="69"/>
      <c r="H824" s="69"/>
      <c r="I824" s="69"/>
      <c r="J824" s="70"/>
      <c r="K824" s="69"/>
      <c r="L824" s="69"/>
      <c r="M824" s="69"/>
      <c r="N824" s="69"/>
      <c r="O824" s="2"/>
      <c r="P824" s="2"/>
      <c r="Q824" s="32"/>
      <c r="R824" s="32"/>
      <c r="S824" s="32"/>
      <c r="T824" s="3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2"/>
      <c r="C825" s="10"/>
      <c r="D825" s="10"/>
      <c r="E825" s="10"/>
      <c r="F825" s="10"/>
      <c r="G825" s="69"/>
      <c r="H825" s="69"/>
      <c r="I825" s="69"/>
      <c r="J825" s="70"/>
      <c r="K825" s="69"/>
      <c r="L825" s="69"/>
      <c r="M825" s="69"/>
      <c r="N825" s="69"/>
      <c r="O825" s="2"/>
      <c r="P825" s="2"/>
      <c r="Q825" s="32"/>
      <c r="R825" s="32"/>
      <c r="S825" s="32"/>
      <c r="T825" s="3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2"/>
      <c r="C826" s="10"/>
      <c r="D826" s="10"/>
      <c r="E826" s="10"/>
      <c r="F826" s="10"/>
      <c r="G826" s="69"/>
      <c r="H826" s="69"/>
      <c r="I826" s="69"/>
      <c r="J826" s="70"/>
      <c r="K826" s="69"/>
      <c r="L826" s="69"/>
      <c r="M826" s="69"/>
      <c r="N826" s="69"/>
      <c r="O826" s="2"/>
      <c r="P826" s="2"/>
      <c r="Q826" s="32"/>
      <c r="R826" s="32"/>
      <c r="S826" s="32"/>
      <c r="T826" s="3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2"/>
      <c r="C827" s="10"/>
      <c r="D827" s="10"/>
      <c r="E827" s="10"/>
      <c r="F827" s="10"/>
      <c r="G827" s="69"/>
      <c r="H827" s="69"/>
      <c r="I827" s="69"/>
      <c r="J827" s="70"/>
      <c r="K827" s="69"/>
      <c r="L827" s="69"/>
      <c r="M827" s="69"/>
      <c r="N827" s="69"/>
      <c r="O827" s="2"/>
      <c r="P827" s="2"/>
      <c r="Q827" s="32"/>
      <c r="R827" s="32"/>
      <c r="S827" s="32"/>
      <c r="T827" s="3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2"/>
      <c r="C828" s="10"/>
      <c r="D828" s="10"/>
      <c r="E828" s="10"/>
      <c r="F828" s="10"/>
      <c r="G828" s="69"/>
      <c r="H828" s="69"/>
      <c r="I828" s="69"/>
      <c r="J828" s="70"/>
      <c r="K828" s="69"/>
      <c r="L828" s="69"/>
      <c r="M828" s="69"/>
      <c r="N828" s="69"/>
      <c r="O828" s="2"/>
      <c r="P828" s="2"/>
      <c r="Q828" s="32"/>
      <c r="R828" s="32"/>
      <c r="S828" s="32"/>
      <c r="T828" s="3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2"/>
      <c r="C829" s="10"/>
      <c r="D829" s="10"/>
      <c r="E829" s="10"/>
      <c r="F829" s="10"/>
      <c r="G829" s="69"/>
      <c r="H829" s="69"/>
      <c r="I829" s="69"/>
      <c r="J829" s="70"/>
      <c r="K829" s="69"/>
      <c r="L829" s="69"/>
      <c r="M829" s="69"/>
      <c r="N829" s="69"/>
      <c r="O829" s="2"/>
      <c r="P829" s="2"/>
      <c r="Q829" s="32"/>
      <c r="R829" s="32"/>
      <c r="S829" s="32"/>
      <c r="T829" s="3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2"/>
      <c r="C830" s="10"/>
      <c r="D830" s="10"/>
      <c r="E830" s="10"/>
      <c r="F830" s="10"/>
      <c r="G830" s="69"/>
      <c r="H830" s="69"/>
      <c r="I830" s="69"/>
      <c r="J830" s="70"/>
      <c r="K830" s="69"/>
      <c r="L830" s="69"/>
      <c r="M830" s="69"/>
      <c r="N830" s="69"/>
      <c r="O830" s="2"/>
      <c r="P830" s="2"/>
      <c r="Q830" s="32"/>
      <c r="R830" s="32"/>
      <c r="S830" s="32"/>
      <c r="T830" s="3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2"/>
      <c r="C831" s="10"/>
      <c r="D831" s="10"/>
      <c r="E831" s="10"/>
      <c r="F831" s="10"/>
      <c r="G831" s="69"/>
      <c r="H831" s="69"/>
      <c r="I831" s="69"/>
      <c r="J831" s="70"/>
      <c r="K831" s="69"/>
      <c r="L831" s="69"/>
      <c r="M831" s="69"/>
      <c r="N831" s="69"/>
      <c r="O831" s="2"/>
      <c r="P831" s="2"/>
      <c r="Q831" s="32"/>
      <c r="R831" s="32"/>
      <c r="S831" s="32"/>
      <c r="T831" s="3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2"/>
      <c r="C832" s="10"/>
      <c r="D832" s="10"/>
      <c r="E832" s="10"/>
      <c r="F832" s="10"/>
      <c r="G832" s="69"/>
      <c r="H832" s="69"/>
      <c r="I832" s="69"/>
      <c r="J832" s="70"/>
      <c r="K832" s="69"/>
      <c r="L832" s="69"/>
      <c r="M832" s="69"/>
      <c r="N832" s="69"/>
      <c r="O832" s="2"/>
      <c r="P832" s="2"/>
      <c r="Q832" s="32"/>
      <c r="R832" s="32"/>
      <c r="S832" s="32"/>
      <c r="T832" s="3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2"/>
      <c r="C833" s="10"/>
      <c r="D833" s="10"/>
      <c r="E833" s="10"/>
      <c r="F833" s="10"/>
      <c r="G833" s="69"/>
      <c r="H833" s="69"/>
      <c r="I833" s="69"/>
      <c r="J833" s="70"/>
      <c r="K833" s="69"/>
      <c r="L833" s="69"/>
      <c r="M833" s="69"/>
      <c r="N833" s="69"/>
      <c r="O833" s="2"/>
      <c r="P833" s="2"/>
      <c r="Q833" s="32"/>
      <c r="R833" s="32"/>
      <c r="S833" s="32"/>
      <c r="T833" s="3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2"/>
      <c r="C834" s="10"/>
      <c r="D834" s="10"/>
      <c r="E834" s="10"/>
      <c r="F834" s="10"/>
      <c r="G834" s="69"/>
      <c r="H834" s="69"/>
      <c r="I834" s="69"/>
      <c r="J834" s="70"/>
      <c r="K834" s="69"/>
      <c r="L834" s="69"/>
      <c r="M834" s="69"/>
      <c r="N834" s="69"/>
      <c r="O834" s="2"/>
      <c r="P834" s="2"/>
      <c r="Q834" s="32"/>
      <c r="R834" s="32"/>
      <c r="S834" s="32"/>
      <c r="T834" s="3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2"/>
      <c r="C835" s="10"/>
      <c r="D835" s="10"/>
      <c r="E835" s="10"/>
      <c r="F835" s="10"/>
      <c r="G835" s="69"/>
      <c r="H835" s="69"/>
      <c r="I835" s="69"/>
      <c r="J835" s="70"/>
      <c r="K835" s="69"/>
      <c r="L835" s="69"/>
      <c r="M835" s="69"/>
      <c r="N835" s="69"/>
      <c r="O835" s="2"/>
      <c r="P835" s="2"/>
      <c r="Q835" s="32"/>
      <c r="R835" s="32"/>
      <c r="S835" s="32"/>
      <c r="T835" s="3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2"/>
      <c r="C836" s="10"/>
      <c r="D836" s="10"/>
      <c r="E836" s="10"/>
      <c r="F836" s="10"/>
      <c r="G836" s="69"/>
      <c r="H836" s="69"/>
      <c r="I836" s="69"/>
      <c r="J836" s="70"/>
      <c r="K836" s="69"/>
      <c r="L836" s="69"/>
      <c r="M836" s="69"/>
      <c r="N836" s="69"/>
      <c r="O836" s="2"/>
      <c r="P836" s="2"/>
      <c r="Q836" s="32"/>
      <c r="R836" s="32"/>
      <c r="S836" s="32"/>
      <c r="T836" s="3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2"/>
      <c r="C837" s="10"/>
      <c r="D837" s="10"/>
      <c r="E837" s="10"/>
      <c r="F837" s="10"/>
      <c r="G837" s="69"/>
      <c r="H837" s="69"/>
      <c r="I837" s="69"/>
      <c r="J837" s="70"/>
      <c r="K837" s="69"/>
      <c r="L837" s="69"/>
      <c r="M837" s="69"/>
      <c r="N837" s="69"/>
      <c r="O837" s="2"/>
      <c r="P837" s="2"/>
      <c r="Q837" s="32"/>
      <c r="R837" s="32"/>
      <c r="S837" s="32"/>
      <c r="T837" s="3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2"/>
      <c r="C838" s="10"/>
      <c r="D838" s="10"/>
      <c r="E838" s="10"/>
      <c r="F838" s="10"/>
      <c r="G838" s="69"/>
      <c r="H838" s="69"/>
      <c r="I838" s="69"/>
      <c r="J838" s="70"/>
      <c r="K838" s="69"/>
      <c r="L838" s="69"/>
      <c r="M838" s="69"/>
      <c r="N838" s="69"/>
      <c r="O838" s="2"/>
      <c r="P838" s="2"/>
      <c r="Q838" s="32"/>
      <c r="R838" s="32"/>
      <c r="S838" s="32"/>
      <c r="T838" s="3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2"/>
      <c r="C839" s="10"/>
      <c r="D839" s="10"/>
      <c r="E839" s="10"/>
      <c r="F839" s="10"/>
      <c r="G839" s="69"/>
      <c r="H839" s="69"/>
      <c r="I839" s="69"/>
      <c r="J839" s="70"/>
      <c r="K839" s="69"/>
      <c r="L839" s="69"/>
      <c r="M839" s="69"/>
      <c r="N839" s="69"/>
      <c r="O839" s="2"/>
      <c r="P839" s="2"/>
      <c r="Q839" s="32"/>
      <c r="R839" s="32"/>
      <c r="S839" s="32"/>
      <c r="T839" s="3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2"/>
      <c r="C840" s="10"/>
      <c r="D840" s="10"/>
      <c r="E840" s="10"/>
      <c r="F840" s="10"/>
      <c r="G840" s="69"/>
      <c r="H840" s="69"/>
      <c r="I840" s="69"/>
      <c r="J840" s="70"/>
      <c r="K840" s="69"/>
      <c r="L840" s="69"/>
      <c r="M840" s="69"/>
      <c r="N840" s="69"/>
      <c r="O840" s="2"/>
      <c r="P840" s="2"/>
      <c r="Q840" s="32"/>
      <c r="R840" s="32"/>
      <c r="S840" s="32"/>
      <c r="T840" s="3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2"/>
      <c r="C841" s="10"/>
      <c r="D841" s="10"/>
      <c r="E841" s="10"/>
      <c r="F841" s="10"/>
      <c r="G841" s="69"/>
      <c r="H841" s="69"/>
      <c r="I841" s="69"/>
      <c r="J841" s="70"/>
      <c r="K841" s="69"/>
      <c r="L841" s="69"/>
      <c r="M841" s="69"/>
      <c r="N841" s="69"/>
      <c r="O841" s="2"/>
      <c r="P841" s="2"/>
      <c r="Q841" s="32"/>
      <c r="R841" s="32"/>
      <c r="S841" s="32"/>
      <c r="T841" s="3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2"/>
      <c r="C842" s="10"/>
      <c r="D842" s="10"/>
      <c r="E842" s="10"/>
      <c r="F842" s="10"/>
      <c r="G842" s="69"/>
      <c r="H842" s="69"/>
      <c r="I842" s="69"/>
      <c r="J842" s="70"/>
      <c r="K842" s="69"/>
      <c r="L842" s="69"/>
      <c r="M842" s="69"/>
      <c r="N842" s="69"/>
      <c r="O842" s="2"/>
      <c r="P842" s="2"/>
      <c r="Q842" s="32"/>
      <c r="R842" s="32"/>
      <c r="S842" s="32"/>
      <c r="T842" s="3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2"/>
      <c r="C843" s="10"/>
      <c r="D843" s="10"/>
      <c r="E843" s="10"/>
      <c r="F843" s="10"/>
      <c r="G843" s="69"/>
      <c r="H843" s="69"/>
      <c r="I843" s="69"/>
      <c r="J843" s="70"/>
      <c r="K843" s="69"/>
      <c r="L843" s="69"/>
      <c r="M843" s="69"/>
      <c r="N843" s="69"/>
      <c r="O843" s="2"/>
      <c r="P843" s="2"/>
      <c r="Q843" s="32"/>
      <c r="R843" s="32"/>
      <c r="S843" s="32"/>
      <c r="T843" s="3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2"/>
      <c r="C844" s="10"/>
      <c r="D844" s="10"/>
      <c r="E844" s="10"/>
      <c r="F844" s="10"/>
      <c r="G844" s="69"/>
      <c r="H844" s="69"/>
      <c r="I844" s="69"/>
      <c r="J844" s="70"/>
      <c r="K844" s="69"/>
      <c r="L844" s="69"/>
      <c r="M844" s="69"/>
      <c r="N844" s="69"/>
      <c r="O844" s="2"/>
      <c r="P844" s="2"/>
      <c r="Q844" s="32"/>
      <c r="R844" s="32"/>
      <c r="S844" s="32"/>
      <c r="T844" s="3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2"/>
      <c r="C845" s="10"/>
      <c r="D845" s="10"/>
      <c r="E845" s="10"/>
      <c r="F845" s="10"/>
      <c r="G845" s="69"/>
      <c r="H845" s="69"/>
      <c r="I845" s="69"/>
      <c r="J845" s="70"/>
      <c r="K845" s="69"/>
      <c r="L845" s="69"/>
      <c r="M845" s="69"/>
      <c r="N845" s="69"/>
      <c r="O845" s="2"/>
      <c r="P845" s="2"/>
      <c r="Q845" s="32"/>
      <c r="R845" s="32"/>
      <c r="S845" s="32"/>
      <c r="T845" s="3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2"/>
      <c r="C846" s="10"/>
      <c r="D846" s="10"/>
      <c r="E846" s="10"/>
      <c r="F846" s="10"/>
      <c r="G846" s="69"/>
      <c r="H846" s="69"/>
      <c r="I846" s="69"/>
      <c r="J846" s="70"/>
      <c r="K846" s="69"/>
      <c r="L846" s="69"/>
      <c r="M846" s="69"/>
      <c r="N846" s="69"/>
      <c r="O846" s="2"/>
      <c r="P846" s="2"/>
      <c r="Q846" s="32"/>
      <c r="R846" s="32"/>
      <c r="S846" s="32"/>
      <c r="T846" s="3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2"/>
      <c r="C847" s="10"/>
      <c r="D847" s="10"/>
      <c r="E847" s="10"/>
      <c r="F847" s="10"/>
      <c r="G847" s="69"/>
      <c r="H847" s="69"/>
      <c r="I847" s="69"/>
      <c r="J847" s="70"/>
      <c r="K847" s="69"/>
      <c r="L847" s="69"/>
      <c r="M847" s="69"/>
      <c r="N847" s="69"/>
      <c r="O847" s="2"/>
      <c r="P847" s="2"/>
      <c r="Q847" s="32"/>
      <c r="R847" s="32"/>
      <c r="S847" s="32"/>
      <c r="T847" s="3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2"/>
      <c r="C848" s="10"/>
      <c r="D848" s="10"/>
      <c r="E848" s="10"/>
      <c r="F848" s="10"/>
      <c r="G848" s="69"/>
      <c r="H848" s="69"/>
      <c r="I848" s="69"/>
      <c r="J848" s="70"/>
      <c r="K848" s="69"/>
      <c r="L848" s="69"/>
      <c r="M848" s="69"/>
      <c r="N848" s="69"/>
      <c r="O848" s="2"/>
      <c r="P848" s="2"/>
      <c r="Q848" s="32"/>
      <c r="R848" s="32"/>
      <c r="S848" s="32"/>
      <c r="T848" s="3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2"/>
      <c r="C849" s="10"/>
      <c r="D849" s="10"/>
      <c r="E849" s="10"/>
      <c r="F849" s="10"/>
      <c r="G849" s="69"/>
      <c r="H849" s="69"/>
      <c r="I849" s="69"/>
      <c r="J849" s="70"/>
      <c r="K849" s="69"/>
      <c r="L849" s="69"/>
      <c r="M849" s="69"/>
      <c r="N849" s="69"/>
      <c r="O849" s="2"/>
      <c r="P849" s="2"/>
      <c r="Q849" s="32"/>
      <c r="R849" s="32"/>
      <c r="S849" s="32"/>
      <c r="T849" s="3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2"/>
      <c r="C850" s="10"/>
      <c r="D850" s="10"/>
      <c r="E850" s="10"/>
      <c r="F850" s="10"/>
      <c r="G850" s="69"/>
      <c r="H850" s="69"/>
      <c r="I850" s="69"/>
      <c r="J850" s="70"/>
      <c r="K850" s="69"/>
      <c r="L850" s="69"/>
      <c r="M850" s="69"/>
      <c r="N850" s="69"/>
      <c r="O850" s="2"/>
      <c r="P850" s="2"/>
      <c r="Q850" s="32"/>
      <c r="R850" s="32"/>
      <c r="S850" s="32"/>
      <c r="T850" s="3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2"/>
      <c r="C851" s="10"/>
      <c r="D851" s="10"/>
      <c r="E851" s="10"/>
      <c r="F851" s="10"/>
      <c r="G851" s="69"/>
      <c r="H851" s="69"/>
      <c r="I851" s="69"/>
      <c r="J851" s="70"/>
      <c r="K851" s="69"/>
      <c r="L851" s="69"/>
      <c r="M851" s="69"/>
      <c r="N851" s="69"/>
      <c r="O851" s="2"/>
      <c r="P851" s="2"/>
      <c r="Q851" s="32"/>
      <c r="R851" s="32"/>
      <c r="S851" s="32"/>
      <c r="T851" s="3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2"/>
      <c r="C852" s="10"/>
      <c r="D852" s="10"/>
      <c r="E852" s="10"/>
      <c r="F852" s="10"/>
      <c r="G852" s="69"/>
      <c r="H852" s="69"/>
      <c r="I852" s="69"/>
      <c r="J852" s="70"/>
      <c r="K852" s="69"/>
      <c r="L852" s="69"/>
      <c r="M852" s="69"/>
      <c r="N852" s="69"/>
      <c r="O852" s="2"/>
      <c r="P852" s="2"/>
      <c r="Q852" s="32"/>
      <c r="R852" s="32"/>
      <c r="S852" s="32"/>
      <c r="T852" s="3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2"/>
      <c r="C853" s="10"/>
      <c r="D853" s="10"/>
      <c r="E853" s="10"/>
      <c r="F853" s="10"/>
      <c r="G853" s="69"/>
      <c r="H853" s="69"/>
      <c r="I853" s="69"/>
      <c r="J853" s="70"/>
      <c r="K853" s="69"/>
      <c r="L853" s="69"/>
      <c r="M853" s="69"/>
      <c r="N853" s="69"/>
      <c r="O853" s="2"/>
      <c r="P853" s="2"/>
      <c r="Q853" s="32"/>
      <c r="R853" s="32"/>
      <c r="S853" s="32"/>
      <c r="T853" s="3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2"/>
      <c r="C854" s="10"/>
      <c r="D854" s="10"/>
      <c r="E854" s="10"/>
      <c r="F854" s="10"/>
      <c r="G854" s="69"/>
      <c r="H854" s="69"/>
      <c r="I854" s="69"/>
      <c r="J854" s="70"/>
      <c r="K854" s="69"/>
      <c r="L854" s="69"/>
      <c r="M854" s="69"/>
      <c r="N854" s="69"/>
      <c r="O854" s="2"/>
      <c r="P854" s="2"/>
      <c r="Q854" s="32"/>
      <c r="R854" s="32"/>
      <c r="S854" s="32"/>
      <c r="T854" s="3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2"/>
      <c r="C855" s="10"/>
      <c r="D855" s="10"/>
      <c r="E855" s="10"/>
      <c r="F855" s="10"/>
      <c r="G855" s="69"/>
      <c r="H855" s="69"/>
      <c r="I855" s="69"/>
      <c r="J855" s="70"/>
      <c r="K855" s="69"/>
      <c r="L855" s="69"/>
      <c r="M855" s="69"/>
      <c r="N855" s="69"/>
      <c r="O855" s="2"/>
      <c r="P855" s="2"/>
      <c r="Q855" s="32"/>
      <c r="R855" s="32"/>
      <c r="S855" s="32"/>
      <c r="T855" s="3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2"/>
      <c r="C856" s="10"/>
      <c r="D856" s="10"/>
      <c r="E856" s="10"/>
      <c r="F856" s="10"/>
      <c r="G856" s="69"/>
      <c r="H856" s="69"/>
      <c r="I856" s="69"/>
      <c r="J856" s="70"/>
      <c r="K856" s="69"/>
      <c r="L856" s="69"/>
      <c r="M856" s="69"/>
      <c r="N856" s="69"/>
      <c r="O856" s="2"/>
      <c r="P856" s="2"/>
      <c r="Q856" s="32"/>
      <c r="R856" s="32"/>
      <c r="S856" s="32"/>
      <c r="T856" s="3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2"/>
      <c r="C857" s="10"/>
      <c r="D857" s="10"/>
      <c r="E857" s="10"/>
      <c r="F857" s="10"/>
      <c r="G857" s="69"/>
      <c r="H857" s="69"/>
      <c r="I857" s="69"/>
      <c r="J857" s="70"/>
      <c r="K857" s="69"/>
      <c r="L857" s="69"/>
      <c r="M857" s="69"/>
      <c r="N857" s="69"/>
      <c r="O857" s="2"/>
      <c r="P857" s="2"/>
      <c r="Q857" s="32"/>
      <c r="R857" s="32"/>
      <c r="S857" s="32"/>
      <c r="T857" s="3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2"/>
      <c r="C858" s="10"/>
      <c r="D858" s="10"/>
      <c r="E858" s="10"/>
      <c r="F858" s="10"/>
      <c r="G858" s="69"/>
      <c r="H858" s="69"/>
      <c r="I858" s="69"/>
      <c r="J858" s="70"/>
      <c r="K858" s="69"/>
      <c r="L858" s="69"/>
      <c r="M858" s="69"/>
      <c r="N858" s="69"/>
      <c r="O858" s="2"/>
      <c r="P858" s="2"/>
      <c r="Q858" s="32"/>
      <c r="R858" s="32"/>
      <c r="S858" s="32"/>
      <c r="T858" s="3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2"/>
      <c r="C859" s="10"/>
      <c r="D859" s="10"/>
      <c r="E859" s="10"/>
      <c r="F859" s="10"/>
      <c r="G859" s="69"/>
      <c r="H859" s="69"/>
      <c r="I859" s="69"/>
      <c r="J859" s="70"/>
      <c r="K859" s="69"/>
      <c r="L859" s="69"/>
      <c r="M859" s="69"/>
      <c r="N859" s="69"/>
      <c r="O859" s="2"/>
      <c r="P859" s="2"/>
      <c r="Q859" s="32"/>
      <c r="R859" s="32"/>
      <c r="S859" s="32"/>
      <c r="T859" s="3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2"/>
      <c r="C860" s="10"/>
      <c r="D860" s="10"/>
      <c r="E860" s="10"/>
      <c r="F860" s="10"/>
      <c r="G860" s="69"/>
      <c r="H860" s="69"/>
      <c r="I860" s="69"/>
      <c r="J860" s="70"/>
      <c r="K860" s="69"/>
      <c r="L860" s="69"/>
      <c r="M860" s="69"/>
      <c r="N860" s="69"/>
      <c r="O860" s="2"/>
      <c r="P860" s="2"/>
      <c r="Q860" s="32"/>
      <c r="R860" s="32"/>
      <c r="S860" s="32"/>
      <c r="T860" s="3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2"/>
      <c r="C861" s="10"/>
      <c r="D861" s="10"/>
      <c r="E861" s="10"/>
      <c r="F861" s="10"/>
      <c r="G861" s="69"/>
      <c r="H861" s="69"/>
      <c r="I861" s="69"/>
      <c r="J861" s="70"/>
      <c r="K861" s="69"/>
      <c r="L861" s="69"/>
      <c r="M861" s="69"/>
      <c r="N861" s="69"/>
      <c r="O861" s="2"/>
      <c r="P861" s="2"/>
      <c r="Q861" s="32"/>
      <c r="R861" s="32"/>
      <c r="S861" s="32"/>
      <c r="T861" s="3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2"/>
      <c r="C862" s="10"/>
      <c r="D862" s="10"/>
      <c r="E862" s="10"/>
      <c r="F862" s="10"/>
      <c r="G862" s="69"/>
      <c r="H862" s="69"/>
      <c r="I862" s="69"/>
      <c r="J862" s="70"/>
      <c r="K862" s="69"/>
      <c r="L862" s="69"/>
      <c r="M862" s="69"/>
      <c r="N862" s="69"/>
      <c r="O862" s="2"/>
      <c r="P862" s="2"/>
      <c r="Q862" s="32"/>
      <c r="R862" s="32"/>
      <c r="S862" s="32"/>
      <c r="T862" s="3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2"/>
      <c r="C863" s="10"/>
      <c r="D863" s="10"/>
      <c r="E863" s="10"/>
      <c r="F863" s="10"/>
      <c r="G863" s="69"/>
      <c r="H863" s="69"/>
      <c r="I863" s="69"/>
      <c r="J863" s="70"/>
      <c r="K863" s="69"/>
      <c r="L863" s="69"/>
      <c r="M863" s="69"/>
      <c r="N863" s="69"/>
      <c r="O863" s="2"/>
      <c r="P863" s="2"/>
      <c r="Q863" s="32"/>
      <c r="R863" s="32"/>
      <c r="S863" s="32"/>
      <c r="T863" s="3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2"/>
      <c r="C864" s="10"/>
      <c r="D864" s="10"/>
      <c r="E864" s="10"/>
      <c r="F864" s="10"/>
      <c r="G864" s="69"/>
      <c r="H864" s="69"/>
      <c r="I864" s="69"/>
      <c r="J864" s="70"/>
      <c r="K864" s="69"/>
      <c r="L864" s="69"/>
      <c r="M864" s="69"/>
      <c r="N864" s="69"/>
      <c r="O864" s="2"/>
      <c r="P864" s="2"/>
      <c r="Q864" s="32"/>
      <c r="R864" s="32"/>
      <c r="S864" s="32"/>
      <c r="T864" s="3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2"/>
      <c r="C865" s="10"/>
      <c r="D865" s="10"/>
      <c r="E865" s="10"/>
      <c r="F865" s="10"/>
      <c r="G865" s="69"/>
      <c r="H865" s="69"/>
      <c r="I865" s="69"/>
      <c r="J865" s="70"/>
      <c r="K865" s="69"/>
      <c r="L865" s="69"/>
      <c r="M865" s="69"/>
      <c r="N865" s="69"/>
      <c r="O865" s="2"/>
      <c r="P865" s="2"/>
      <c r="Q865" s="32"/>
      <c r="R865" s="32"/>
      <c r="S865" s="32"/>
      <c r="T865" s="3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2"/>
      <c r="C866" s="10"/>
      <c r="D866" s="10"/>
      <c r="E866" s="10"/>
      <c r="F866" s="10"/>
      <c r="G866" s="69"/>
      <c r="H866" s="69"/>
      <c r="I866" s="69"/>
      <c r="J866" s="70"/>
      <c r="K866" s="69"/>
      <c r="L866" s="69"/>
      <c r="M866" s="69"/>
      <c r="N866" s="69"/>
      <c r="O866" s="2"/>
      <c r="P866" s="2"/>
      <c r="Q866" s="32"/>
      <c r="R866" s="32"/>
      <c r="S866" s="32"/>
      <c r="T866" s="3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2"/>
      <c r="C867" s="10"/>
      <c r="D867" s="10"/>
      <c r="E867" s="10"/>
      <c r="F867" s="10"/>
      <c r="G867" s="69"/>
      <c r="H867" s="69"/>
      <c r="I867" s="69"/>
      <c r="J867" s="70"/>
      <c r="K867" s="69"/>
      <c r="L867" s="69"/>
      <c r="M867" s="69"/>
      <c r="N867" s="69"/>
      <c r="O867" s="2"/>
      <c r="P867" s="2"/>
      <c r="Q867" s="32"/>
      <c r="R867" s="32"/>
      <c r="S867" s="32"/>
      <c r="T867" s="3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2"/>
      <c r="C868" s="10"/>
      <c r="D868" s="10"/>
      <c r="E868" s="10"/>
      <c r="F868" s="10"/>
      <c r="G868" s="69"/>
      <c r="H868" s="69"/>
      <c r="I868" s="69"/>
      <c r="J868" s="70"/>
      <c r="K868" s="69"/>
      <c r="L868" s="69"/>
      <c r="M868" s="69"/>
      <c r="N868" s="69"/>
      <c r="O868" s="2"/>
      <c r="P868" s="2"/>
      <c r="Q868" s="32"/>
      <c r="R868" s="32"/>
      <c r="S868" s="32"/>
      <c r="T868" s="3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2"/>
      <c r="C869" s="10"/>
      <c r="D869" s="10"/>
      <c r="E869" s="10"/>
      <c r="F869" s="10"/>
      <c r="G869" s="69"/>
      <c r="H869" s="69"/>
      <c r="I869" s="69"/>
      <c r="J869" s="70"/>
      <c r="K869" s="69"/>
      <c r="L869" s="69"/>
      <c r="M869" s="69"/>
      <c r="N869" s="69"/>
      <c r="O869" s="2"/>
      <c r="P869" s="2"/>
      <c r="Q869" s="32"/>
      <c r="R869" s="32"/>
      <c r="S869" s="32"/>
      <c r="T869" s="3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2"/>
      <c r="C870" s="10"/>
      <c r="D870" s="10"/>
      <c r="E870" s="10"/>
      <c r="F870" s="10"/>
      <c r="G870" s="69"/>
      <c r="H870" s="69"/>
      <c r="I870" s="69"/>
      <c r="J870" s="70"/>
      <c r="K870" s="69"/>
      <c r="L870" s="69"/>
      <c r="M870" s="69"/>
      <c r="N870" s="69"/>
      <c r="O870" s="2"/>
      <c r="P870" s="2"/>
      <c r="Q870" s="32"/>
      <c r="R870" s="32"/>
      <c r="S870" s="32"/>
      <c r="T870" s="3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2"/>
      <c r="C871" s="10"/>
      <c r="D871" s="10"/>
      <c r="E871" s="10"/>
      <c r="F871" s="10"/>
      <c r="G871" s="69"/>
      <c r="H871" s="69"/>
      <c r="I871" s="69"/>
      <c r="J871" s="70"/>
      <c r="K871" s="69"/>
      <c r="L871" s="69"/>
      <c r="M871" s="69"/>
      <c r="N871" s="69"/>
      <c r="O871" s="2"/>
      <c r="P871" s="2"/>
      <c r="Q871" s="32"/>
      <c r="R871" s="32"/>
      <c r="S871" s="32"/>
      <c r="T871" s="3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2"/>
      <c r="C872" s="10"/>
      <c r="D872" s="10"/>
      <c r="E872" s="10"/>
      <c r="F872" s="10"/>
      <c r="G872" s="69"/>
      <c r="H872" s="69"/>
      <c r="I872" s="69"/>
      <c r="J872" s="70"/>
      <c r="K872" s="69"/>
      <c r="L872" s="69"/>
      <c r="M872" s="69"/>
      <c r="N872" s="69"/>
      <c r="O872" s="2"/>
      <c r="P872" s="2"/>
      <c r="Q872" s="32"/>
      <c r="R872" s="32"/>
      <c r="S872" s="32"/>
      <c r="T872" s="3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2"/>
      <c r="C873" s="10"/>
      <c r="D873" s="10"/>
      <c r="E873" s="10"/>
      <c r="F873" s="10"/>
      <c r="G873" s="69"/>
      <c r="H873" s="69"/>
      <c r="I873" s="69"/>
      <c r="J873" s="70"/>
      <c r="K873" s="69"/>
      <c r="L873" s="69"/>
      <c r="M873" s="69"/>
      <c r="N873" s="69"/>
      <c r="O873" s="2"/>
      <c r="P873" s="2"/>
      <c r="Q873" s="32"/>
      <c r="R873" s="32"/>
      <c r="S873" s="32"/>
      <c r="T873" s="3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2"/>
      <c r="C874" s="10"/>
      <c r="D874" s="10"/>
      <c r="E874" s="10"/>
      <c r="F874" s="10"/>
      <c r="G874" s="69"/>
      <c r="H874" s="69"/>
      <c r="I874" s="69"/>
      <c r="J874" s="70"/>
      <c r="K874" s="69"/>
      <c r="L874" s="69"/>
      <c r="M874" s="69"/>
      <c r="N874" s="69"/>
      <c r="O874" s="2"/>
      <c r="P874" s="2"/>
      <c r="Q874" s="32"/>
      <c r="R874" s="32"/>
      <c r="S874" s="32"/>
      <c r="T874" s="3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2"/>
      <c r="C875" s="10"/>
      <c r="D875" s="10"/>
      <c r="E875" s="10"/>
      <c r="F875" s="10"/>
      <c r="G875" s="69"/>
      <c r="H875" s="69"/>
      <c r="I875" s="69"/>
      <c r="J875" s="70"/>
      <c r="K875" s="69"/>
      <c r="L875" s="69"/>
      <c r="M875" s="69"/>
      <c r="N875" s="69"/>
      <c r="O875" s="2"/>
      <c r="P875" s="2"/>
      <c r="Q875" s="32"/>
      <c r="R875" s="32"/>
      <c r="S875" s="32"/>
      <c r="T875" s="3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2"/>
      <c r="C876" s="10"/>
      <c r="D876" s="10"/>
      <c r="E876" s="10"/>
      <c r="F876" s="10"/>
      <c r="G876" s="69"/>
      <c r="H876" s="69"/>
      <c r="I876" s="69"/>
      <c r="J876" s="70"/>
      <c r="K876" s="69"/>
      <c r="L876" s="69"/>
      <c r="M876" s="69"/>
      <c r="N876" s="69"/>
      <c r="O876" s="2"/>
      <c r="P876" s="2"/>
      <c r="Q876" s="32"/>
      <c r="R876" s="32"/>
      <c r="S876" s="32"/>
      <c r="T876" s="3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2"/>
      <c r="C877" s="10"/>
      <c r="D877" s="10"/>
      <c r="E877" s="10"/>
      <c r="F877" s="10"/>
      <c r="G877" s="69"/>
      <c r="H877" s="69"/>
      <c r="I877" s="69"/>
      <c r="J877" s="70"/>
      <c r="K877" s="69"/>
      <c r="L877" s="69"/>
      <c r="M877" s="69"/>
      <c r="N877" s="69"/>
      <c r="O877" s="2"/>
      <c r="P877" s="2"/>
      <c r="Q877" s="32"/>
      <c r="R877" s="32"/>
      <c r="S877" s="32"/>
      <c r="T877" s="3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2"/>
      <c r="C878" s="10"/>
      <c r="D878" s="10"/>
      <c r="E878" s="10"/>
      <c r="F878" s="10"/>
      <c r="G878" s="69"/>
      <c r="H878" s="69"/>
      <c r="I878" s="69"/>
      <c r="J878" s="70"/>
      <c r="K878" s="69"/>
      <c r="L878" s="69"/>
      <c r="M878" s="69"/>
      <c r="N878" s="69"/>
      <c r="O878" s="2"/>
      <c r="P878" s="2"/>
      <c r="Q878" s="32"/>
      <c r="R878" s="32"/>
      <c r="S878" s="32"/>
      <c r="T878" s="3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2"/>
      <c r="C879" s="10"/>
      <c r="D879" s="10"/>
      <c r="E879" s="10"/>
      <c r="F879" s="10"/>
      <c r="G879" s="69"/>
      <c r="H879" s="69"/>
      <c r="I879" s="69"/>
      <c r="J879" s="70"/>
      <c r="K879" s="69"/>
      <c r="L879" s="69"/>
      <c r="M879" s="69"/>
      <c r="N879" s="69"/>
      <c r="O879" s="2"/>
      <c r="P879" s="2"/>
      <c r="Q879" s="32"/>
      <c r="R879" s="32"/>
      <c r="S879" s="32"/>
      <c r="T879" s="3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2"/>
      <c r="C880" s="10"/>
      <c r="D880" s="10"/>
      <c r="E880" s="10"/>
      <c r="F880" s="10"/>
      <c r="G880" s="69"/>
      <c r="H880" s="69"/>
      <c r="I880" s="69"/>
      <c r="J880" s="70"/>
      <c r="K880" s="69"/>
      <c r="L880" s="69"/>
      <c r="M880" s="69"/>
      <c r="N880" s="69"/>
      <c r="O880" s="2"/>
      <c r="P880" s="2"/>
      <c r="Q880" s="32"/>
      <c r="R880" s="32"/>
      <c r="S880" s="32"/>
      <c r="T880" s="3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2"/>
      <c r="C881" s="10"/>
      <c r="D881" s="10"/>
      <c r="E881" s="10"/>
      <c r="F881" s="10"/>
      <c r="G881" s="69"/>
      <c r="H881" s="69"/>
      <c r="I881" s="69"/>
      <c r="J881" s="70"/>
      <c r="K881" s="69"/>
      <c r="L881" s="69"/>
      <c r="M881" s="69"/>
      <c r="N881" s="69"/>
      <c r="O881" s="2"/>
      <c r="P881" s="2"/>
      <c r="Q881" s="32"/>
      <c r="R881" s="32"/>
      <c r="S881" s="32"/>
      <c r="T881" s="3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2"/>
      <c r="C882" s="10"/>
      <c r="D882" s="10"/>
      <c r="E882" s="10"/>
      <c r="F882" s="10"/>
      <c r="G882" s="69"/>
      <c r="H882" s="69"/>
      <c r="I882" s="69"/>
      <c r="J882" s="70"/>
      <c r="K882" s="69"/>
      <c r="L882" s="69"/>
      <c r="M882" s="69"/>
      <c r="N882" s="69"/>
      <c r="O882" s="2"/>
      <c r="P882" s="2"/>
      <c r="Q882" s="32"/>
      <c r="R882" s="32"/>
      <c r="S882" s="32"/>
      <c r="T882" s="3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2"/>
      <c r="C883" s="10"/>
      <c r="D883" s="10"/>
      <c r="E883" s="10"/>
      <c r="F883" s="10"/>
      <c r="G883" s="69"/>
      <c r="H883" s="69"/>
      <c r="I883" s="69"/>
      <c r="J883" s="70"/>
      <c r="K883" s="69"/>
      <c r="L883" s="69"/>
      <c r="M883" s="69"/>
      <c r="N883" s="69"/>
      <c r="O883" s="2"/>
      <c r="P883" s="2"/>
      <c r="Q883" s="32"/>
      <c r="R883" s="32"/>
      <c r="S883" s="32"/>
      <c r="T883" s="3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2"/>
      <c r="C884" s="10"/>
      <c r="D884" s="10"/>
      <c r="E884" s="10"/>
      <c r="F884" s="10"/>
      <c r="G884" s="69"/>
      <c r="H884" s="69"/>
      <c r="I884" s="69"/>
      <c r="J884" s="70"/>
      <c r="K884" s="69"/>
      <c r="L884" s="69"/>
      <c r="M884" s="69"/>
      <c r="N884" s="69"/>
      <c r="O884" s="2"/>
      <c r="P884" s="2"/>
      <c r="Q884" s="32"/>
      <c r="R884" s="32"/>
      <c r="S884" s="32"/>
      <c r="T884" s="3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2"/>
      <c r="C885" s="10"/>
      <c r="D885" s="10"/>
      <c r="E885" s="10"/>
      <c r="F885" s="10"/>
      <c r="G885" s="69"/>
      <c r="H885" s="69"/>
      <c r="I885" s="69"/>
      <c r="J885" s="70"/>
      <c r="K885" s="69"/>
      <c r="L885" s="69"/>
      <c r="M885" s="69"/>
      <c r="N885" s="69"/>
      <c r="O885" s="2"/>
      <c r="P885" s="2"/>
      <c r="Q885" s="32"/>
      <c r="R885" s="32"/>
      <c r="S885" s="32"/>
      <c r="T885" s="3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2"/>
      <c r="C886" s="10"/>
      <c r="D886" s="10"/>
      <c r="E886" s="10"/>
      <c r="F886" s="10"/>
      <c r="G886" s="69"/>
      <c r="H886" s="69"/>
      <c r="I886" s="69"/>
      <c r="J886" s="70"/>
      <c r="K886" s="69"/>
      <c r="L886" s="69"/>
      <c r="M886" s="69"/>
      <c r="N886" s="69"/>
      <c r="O886" s="2"/>
      <c r="P886" s="2"/>
      <c r="Q886" s="32"/>
      <c r="R886" s="32"/>
      <c r="S886" s="32"/>
      <c r="T886" s="3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2"/>
      <c r="C887" s="10"/>
      <c r="D887" s="10"/>
      <c r="E887" s="10"/>
      <c r="F887" s="10"/>
      <c r="G887" s="69"/>
      <c r="H887" s="69"/>
      <c r="I887" s="69"/>
      <c r="J887" s="70"/>
      <c r="K887" s="69"/>
      <c r="L887" s="69"/>
      <c r="M887" s="69"/>
      <c r="N887" s="69"/>
      <c r="O887" s="2"/>
      <c r="P887" s="2"/>
      <c r="Q887" s="32"/>
      <c r="R887" s="32"/>
      <c r="S887" s="32"/>
      <c r="T887" s="3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2"/>
      <c r="C888" s="10"/>
      <c r="D888" s="10"/>
      <c r="E888" s="10"/>
      <c r="F888" s="10"/>
      <c r="G888" s="69"/>
      <c r="H888" s="69"/>
      <c r="I888" s="69"/>
      <c r="J888" s="70"/>
      <c r="K888" s="69"/>
      <c r="L888" s="69"/>
      <c r="M888" s="69"/>
      <c r="N888" s="69"/>
      <c r="O888" s="2"/>
      <c r="P888" s="2"/>
      <c r="Q888" s="32"/>
      <c r="R888" s="32"/>
      <c r="S888" s="32"/>
      <c r="T888" s="3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2"/>
      <c r="C889" s="10"/>
      <c r="D889" s="10"/>
      <c r="E889" s="10"/>
      <c r="F889" s="10"/>
      <c r="G889" s="69"/>
      <c r="H889" s="69"/>
      <c r="I889" s="69"/>
      <c r="J889" s="70"/>
      <c r="K889" s="69"/>
      <c r="L889" s="69"/>
      <c r="M889" s="69"/>
      <c r="N889" s="69"/>
      <c r="O889" s="2"/>
      <c r="P889" s="2"/>
      <c r="Q889" s="32"/>
      <c r="R889" s="32"/>
      <c r="S889" s="32"/>
      <c r="T889" s="3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2"/>
      <c r="C890" s="10"/>
      <c r="D890" s="10"/>
      <c r="E890" s="10"/>
      <c r="F890" s="10"/>
      <c r="G890" s="69"/>
      <c r="H890" s="69"/>
      <c r="I890" s="69"/>
      <c r="J890" s="70"/>
      <c r="K890" s="69"/>
      <c r="L890" s="69"/>
      <c r="M890" s="69"/>
      <c r="N890" s="69"/>
      <c r="O890" s="2"/>
      <c r="P890" s="2"/>
      <c r="Q890" s="32"/>
      <c r="R890" s="32"/>
      <c r="S890" s="32"/>
      <c r="T890" s="3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2"/>
      <c r="C891" s="10"/>
      <c r="D891" s="10"/>
      <c r="E891" s="10"/>
      <c r="F891" s="10"/>
      <c r="G891" s="69"/>
      <c r="H891" s="69"/>
      <c r="I891" s="69"/>
      <c r="J891" s="70"/>
      <c r="K891" s="69"/>
      <c r="L891" s="69"/>
      <c r="M891" s="69"/>
      <c r="N891" s="69"/>
      <c r="O891" s="2"/>
      <c r="P891" s="2"/>
      <c r="Q891" s="32"/>
      <c r="R891" s="32"/>
      <c r="S891" s="32"/>
      <c r="T891" s="3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2"/>
      <c r="C892" s="10"/>
      <c r="D892" s="10"/>
      <c r="E892" s="10"/>
      <c r="F892" s="10"/>
      <c r="G892" s="69"/>
      <c r="H892" s="69"/>
      <c r="I892" s="69"/>
      <c r="J892" s="70"/>
      <c r="K892" s="69"/>
      <c r="L892" s="69"/>
      <c r="M892" s="69"/>
      <c r="N892" s="69"/>
      <c r="O892" s="2"/>
      <c r="P892" s="2"/>
      <c r="Q892" s="32"/>
      <c r="R892" s="32"/>
      <c r="S892" s="32"/>
      <c r="T892" s="3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2"/>
      <c r="C893" s="10"/>
      <c r="D893" s="10"/>
      <c r="E893" s="10"/>
      <c r="F893" s="10"/>
      <c r="G893" s="69"/>
      <c r="H893" s="69"/>
      <c r="I893" s="69"/>
      <c r="J893" s="70"/>
      <c r="K893" s="69"/>
      <c r="L893" s="69"/>
      <c r="M893" s="69"/>
      <c r="N893" s="69"/>
      <c r="O893" s="2"/>
      <c r="P893" s="2"/>
      <c r="Q893" s="32"/>
      <c r="R893" s="32"/>
      <c r="S893" s="32"/>
      <c r="T893" s="3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2"/>
      <c r="C894" s="10"/>
      <c r="D894" s="10"/>
      <c r="E894" s="10"/>
      <c r="F894" s="10"/>
      <c r="G894" s="69"/>
      <c r="H894" s="69"/>
      <c r="I894" s="69"/>
      <c r="J894" s="70"/>
      <c r="K894" s="69"/>
      <c r="L894" s="69"/>
      <c r="M894" s="69"/>
      <c r="N894" s="69"/>
      <c r="O894" s="2"/>
      <c r="P894" s="2"/>
      <c r="Q894" s="32"/>
      <c r="R894" s="32"/>
      <c r="S894" s="32"/>
      <c r="T894" s="3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2"/>
      <c r="C895" s="10"/>
      <c r="D895" s="10"/>
      <c r="E895" s="10"/>
      <c r="F895" s="10"/>
      <c r="G895" s="69"/>
      <c r="H895" s="69"/>
      <c r="I895" s="69"/>
      <c r="J895" s="70"/>
      <c r="K895" s="69"/>
      <c r="L895" s="69"/>
      <c r="M895" s="69"/>
      <c r="N895" s="69"/>
      <c r="O895" s="2"/>
      <c r="P895" s="2"/>
      <c r="Q895" s="32"/>
      <c r="R895" s="32"/>
      <c r="S895" s="32"/>
      <c r="T895" s="3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2"/>
      <c r="C896" s="10"/>
      <c r="D896" s="10"/>
      <c r="E896" s="10"/>
      <c r="F896" s="10"/>
      <c r="G896" s="69"/>
      <c r="H896" s="69"/>
      <c r="I896" s="69"/>
      <c r="J896" s="70"/>
      <c r="K896" s="69"/>
      <c r="L896" s="69"/>
      <c r="M896" s="69"/>
      <c r="N896" s="69"/>
      <c r="O896" s="2"/>
      <c r="P896" s="2"/>
      <c r="Q896" s="32"/>
      <c r="R896" s="32"/>
      <c r="S896" s="32"/>
      <c r="T896" s="3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2"/>
      <c r="C897" s="10"/>
      <c r="D897" s="10"/>
      <c r="E897" s="10"/>
      <c r="F897" s="10"/>
      <c r="G897" s="69"/>
      <c r="H897" s="69"/>
      <c r="I897" s="69"/>
      <c r="J897" s="70"/>
      <c r="K897" s="69"/>
      <c r="L897" s="69"/>
      <c r="M897" s="69"/>
      <c r="N897" s="69"/>
      <c r="O897" s="2"/>
      <c r="P897" s="2"/>
      <c r="Q897" s="32"/>
      <c r="R897" s="32"/>
      <c r="S897" s="32"/>
      <c r="T897" s="3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2"/>
      <c r="C898" s="10"/>
      <c r="D898" s="10"/>
      <c r="E898" s="10"/>
      <c r="F898" s="10"/>
      <c r="G898" s="69"/>
      <c r="H898" s="69"/>
      <c r="I898" s="69"/>
      <c r="J898" s="70"/>
      <c r="K898" s="69"/>
      <c r="L898" s="69"/>
      <c r="M898" s="69"/>
      <c r="N898" s="69"/>
      <c r="O898" s="2"/>
      <c r="P898" s="2"/>
      <c r="Q898" s="32"/>
      <c r="R898" s="32"/>
      <c r="S898" s="32"/>
      <c r="T898" s="3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2"/>
      <c r="C899" s="10"/>
      <c r="D899" s="10"/>
      <c r="E899" s="10"/>
      <c r="F899" s="10"/>
      <c r="G899" s="69"/>
      <c r="H899" s="69"/>
      <c r="I899" s="69"/>
      <c r="J899" s="70"/>
      <c r="K899" s="69"/>
      <c r="L899" s="69"/>
      <c r="M899" s="69"/>
      <c r="N899" s="69"/>
      <c r="O899" s="2"/>
      <c r="P899" s="2"/>
      <c r="Q899" s="32"/>
      <c r="R899" s="32"/>
      <c r="S899" s="32"/>
      <c r="T899" s="3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2"/>
      <c r="C900" s="10"/>
      <c r="D900" s="10"/>
      <c r="E900" s="10"/>
      <c r="F900" s="10"/>
      <c r="G900" s="69"/>
      <c r="H900" s="69"/>
      <c r="I900" s="69"/>
      <c r="J900" s="70"/>
      <c r="K900" s="69"/>
      <c r="L900" s="69"/>
      <c r="M900" s="69"/>
      <c r="N900" s="69"/>
      <c r="O900" s="2"/>
      <c r="P900" s="2"/>
      <c r="Q900" s="32"/>
      <c r="R900" s="32"/>
      <c r="S900" s="32"/>
      <c r="T900" s="3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2"/>
      <c r="C901" s="10"/>
      <c r="D901" s="10"/>
      <c r="E901" s="10"/>
      <c r="F901" s="10"/>
      <c r="G901" s="69"/>
      <c r="H901" s="69"/>
      <c r="I901" s="69"/>
      <c r="J901" s="70"/>
      <c r="K901" s="69"/>
      <c r="L901" s="69"/>
      <c r="M901" s="69"/>
      <c r="N901" s="69"/>
      <c r="O901" s="2"/>
      <c r="P901" s="2"/>
      <c r="Q901" s="32"/>
      <c r="R901" s="32"/>
      <c r="S901" s="32"/>
      <c r="T901" s="3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2"/>
      <c r="C902" s="10"/>
      <c r="D902" s="10"/>
      <c r="E902" s="10"/>
      <c r="F902" s="10"/>
      <c r="G902" s="69"/>
      <c r="H902" s="69"/>
      <c r="I902" s="69"/>
      <c r="J902" s="70"/>
      <c r="K902" s="69"/>
      <c r="L902" s="69"/>
      <c r="M902" s="69"/>
      <c r="N902" s="69"/>
      <c r="O902" s="2"/>
      <c r="P902" s="2"/>
      <c r="Q902" s="32"/>
      <c r="R902" s="32"/>
      <c r="S902" s="32"/>
      <c r="T902" s="3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2"/>
      <c r="C903" s="10"/>
      <c r="D903" s="10"/>
      <c r="E903" s="10"/>
      <c r="F903" s="10"/>
      <c r="G903" s="69"/>
      <c r="H903" s="69"/>
      <c r="I903" s="69"/>
      <c r="J903" s="70"/>
      <c r="K903" s="69"/>
      <c r="L903" s="69"/>
      <c r="M903" s="69"/>
      <c r="N903" s="69"/>
      <c r="O903" s="2"/>
      <c r="P903" s="2"/>
      <c r="Q903" s="32"/>
      <c r="R903" s="32"/>
      <c r="S903" s="32"/>
      <c r="T903" s="3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2"/>
      <c r="C904" s="10"/>
      <c r="D904" s="10"/>
      <c r="E904" s="10"/>
      <c r="F904" s="10"/>
      <c r="G904" s="69"/>
      <c r="H904" s="69"/>
      <c r="I904" s="69"/>
      <c r="J904" s="70"/>
      <c r="K904" s="69"/>
      <c r="L904" s="69"/>
      <c r="M904" s="69"/>
      <c r="N904" s="69"/>
      <c r="O904" s="2"/>
      <c r="P904" s="2"/>
      <c r="Q904" s="32"/>
      <c r="R904" s="32"/>
      <c r="S904" s="32"/>
      <c r="T904" s="3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2"/>
      <c r="C905" s="10"/>
      <c r="D905" s="10"/>
      <c r="E905" s="10"/>
      <c r="F905" s="10"/>
      <c r="G905" s="69"/>
      <c r="H905" s="69"/>
      <c r="I905" s="69"/>
      <c r="J905" s="70"/>
      <c r="K905" s="69"/>
      <c r="L905" s="69"/>
      <c r="M905" s="69"/>
      <c r="N905" s="69"/>
      <c r="O905" s="2"/>
      <c r="P905" s="2"/>
      <c r="Q905" s="32"/>
      <c r="R905" s="32"/>
      <c r="S905" s="32"/>
      <c r="T905" s="3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2"/>
      <c r="C906" s="10"/>
      <c r="D906" s="10"/>
      <c r="E906" s="10"/>
      <c r="F906" s="10"/>
      <c r="G906" s="69"/>
      <c r="H906" s="69"/>
      <c r="I906" s="69"/>
      <c r="J906" s="70"/>
      <c r="K906" s="69"/>
      <c r="L906" s="69"/>
      <c r="M906" s="69"/>
      <c r="N906" s="69"/>
      <c r="O906" s="2"/>
      <c r="P906" s="2"/>
      <c r="Q906" s="32"/>
      <c r="R906" s="32"/>
      <c r="S906" s="32"/>
      <c r="T906" s="3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2"/>
      <c r="C907" s="10"/>
      <c r="D907" s="10"/>
      <c r="E907" s="10"/>
      <c r="F907" s="10"/>
      <c r="G907" s="69"/>
      <c r="H907" s="69"/>
      <c r="I907" s="69"/>
      <c r="J907" s="70"/>
      <c r="K907" s="69"/>
      <c r="L907" s="69"/>
      <c r="M907" s="69"/>
      <c r="N907" s="69"/>
      <c r="O907" s="2"/>
      <c r="P907" s="2"/>
      <c r="Q907" s="32"/>
      <c r="R907" s="32"/>
      <c r="S907" s="32"/>
      <c r="T907" s="3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2"/>
      <c r="C908" s="10"/>
      <c r="D908" s="10"/>
      <c r="E908" s="10"/>
      <c r="F908" s="10"/>
      <c r="G908" s="69"/>
      <c r="H908" s="69"/>
      <c r="I908" s="69"/>
      <c r="J908" s="70"/>
      <c r="K908" s="69"/>
      <c r="L908" s="69"/>
      <c r="M908" s="69"/>
      <c r="N908" s="69"/>
      <c r="O908" s="2"/>
      <c r="P908" s="2"/>
      <c r="Q908" s="32"/>
      <c r="R908" s="32"/>
      <c r="S908" s="32"/>
      <c r="T908" s="3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2"/>
      <c r="C909" s="10"/>
      <c r="D909" s="10"/>
      <c r="E909" s="10"/>
      <c r="F909" s="10"/>
      <c r="G909" s="69"/>
      <c r="H909" s="69"/>
      <c r="I909" s="69"/>
      <c r="J909" s="70"/>
      <c r="K909" s="69"/>
      <c r="L909" s="69"/>
      <c r="M909" s="69"/>
      <c r="N909" s="69"/>
      <c r="O909" s="2"/>
      <c r="P909" s="2"/>
      <c r="Q909" s="32"/>
      <c r="R909" s="32"/>
      <c r="S909" s="32"/>
      <c r="T909" s="3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2"/>
      <c r="C910" s="10"/>
      <c r="D910" s="10"/>
      <c r="E910" s="10"/>
      <c r="F910" s="10"/>
      <c r="G910" s="69"/>
      <c r="H910" s="69"/>
      <c r="I910" s="69"/>
      <c r="J910" s="70"/>
      <c r="K910" s="69"/>
      <c r="L910" s="69"/>
      <c r="M910" s="69"/>
      <c r="N910" s="69"/>
      <c r="O910" s="2"/>
      <c r="P910" s="2"/>
      <c r="Q910" s="32"/>
      <c r="R910" s="32"/>
      <c r="S910" s="32"/>
      <c r="T910" s="3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2"/>
      <c r="C911" s="10"/>
      <c r="D911" s="10"/>
      <c r="E911" s="10"/>
      <c r="F911" s="10"/>
      <c r="G911" s="69"/>
      <c r="H911" s="69"/>
      <c r="I911" s="69"/>
      <c r="J911" s="70"/>
      <c r="K911" s="69"/>
      <c r="L911" s="69"/>
      <c r="M911" s="69"/>
      <c r="N911" s="69"/>
      <c r="O911" s="2"/>
      <c r="P911" s="2"/>
      <c r="Q911" s="32"/>
      <c r="R911" s="32"/>
      <c r="S911" s="32"/>
      <c r="T911" s="3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2"/>
      <c r="C912" s="10"/>
      <c r="D912" s="10"/>
      <c r="E912" s="10"/>
      <c r="F912" s="10"/>
      <c r="G912" s="69"/>
      <c r="H912" s="69"/>
      <c r="I912" s="69"/>
      <c r="J912" s="70"/>
      <c r="K912" s="69"/>
      <c r="L912" s="69"/>
      <c r="M912" s="69"/>
      <c r="N912" s="69"/>
      <c r="O912" s="2"/>
      <c r="P912" s="2"/>
      <c r="Q912" s="32"/>
      <c r="R912" s="32"/>
      <c r="S912" s="32"/>
      <c r="T912" s="3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2"/>
      <c r="C913" s="10"/>
      <c r="D913" s="10"/>
      <c r="E913" s="10"/>
      <c r="F913" s="10"/>
      <c r="G913" s="69"/>
      <c r="H913" s="69"/>
      <c r="I913" s="69"/>
      <c r="J913" s="70"/>
      <c r="K913" s="69"/>
      <c r="L913" s="69"/>
      <c r="M913" s="69"/>
      <c r="N913" s="69"/>
      <c r="O913" s="2"/>
      <c r="P913" s="2"/>
      <c r="Q913" s="32"/>
      <c r="R913" s="32"/>
      <c r="S913" s="32"/>
      <c r="T913" s="3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2"/>
      <c r="C914" s="10"/>
      <c r="D914" s="10"/>
      <c r="E914" s="10"/>
      <c r="F914" s="10"/>
      <c r="G914" s="69"/>
      <c r="H914" s="69"/>
      <c r="I914" s="69"/>
      <c r="J914" s="70"/>
      <c r="K914" s="69"/>
      <c r="L914" s="69"/>
      <c r="M914" s="69"/>
      <c r="N914" s="69"/>
      <c r="O914" s="2"/>
      <c r="P914" s="2"/>
      <c r="Q914" s="32"/>
      <c r="R914" s="32"/>
      <c r="S914" s="32"/>
      <c r="T914" s="3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2"/>
      <c r="C915" s="10"/>
      <c r="D915" s="10"/>
      <c r="E915" s="10"/>
      <c r="F915" s="10"/>
      <c r="G915" s="69"/>
      <c r="H915" s="69"/>
      <c r="I915" s="69"/>
      <c r="J915" s="70"/>
      <c r="K915" s="69"/>
      <c r="L915" s="69"/>
      <c r="M915" s="69"/>
      <c r="N915" s="69"/>
      <c r="O915" s="2"/>
      <c r="P915" s="2"/>
      <c r="Q915" s="32"/>
      <c r="R915" s="32"/>
      <c r="S915" s="32"/>
      <c r="T915" s="3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2"/>
      <c r="C916" s="10"/>
      <c r="D916" s="10"/>
      <c r="E916" s="10"/>
      <c r="F916" s="10"/>
      <c r="G916" s="69"/>
      <c r="H916" s="69"/>
      <c r="I916" s="69"/>
      <c r="J916" s="70"/>
      <c r="K916" s="69"/>
      <c r="L916" s="69"/>
      <c r="M916" s="69"/>
      <c r="N916" s="69"/>
      <c r="O916" s="2"/>
      <c r="P916" s="2"/>
      <c r="Q916" s="32"/>
      <c r="R916" s="32"/>
      <c r="S916" s="32"/>
      <c r="T916" s="3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2"/>
      <c r="C917" s="10"/>
      <c r="D917" s="10"/>
      <c r="E917" s="10"/>
      <c r="F917" s="10"/>
      <c r="G917" s="69"/>
      <c r="H917" s="69"/>
      <c r="I917" s="69"/>
      <c r="J917" s="70"/>
      <c r="K917" s="69"/>
      <c r="L917" s="69"/>
      <c r="M917" s="69"/>
      <c r="N917" s="69"/>
      <c r="O917" s="2"/>
      <c r="P917" s="2"/>
      <c r="Q917" s="32"/>
      <c r="R917" s="32"/>
      <c r="S917" s="32"/>
      <c r="T917" s="3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2"/>
      <c r="C918" s="10"/>
      <c r="D918" s="10"/>
      <c r="E918" s="10"/>
      <c r="F918" s="10"/>
      <c r="G918" s="69"/>
      <c r="H918" s="69"/>
      <c r="I918" s="69"/>
      <c r="J918" s="70"/>
      <c r="K918" s="69"/>
      <c r="L918" s="69"/>
      <c r="M918" s="69"/>
      <c r="N918" s="69"/>
      <c r="O918" s="2"/>
      <c r="P918" s="2"/>
      <c r="Q918" s="32"/>
      <c r="R918" s="32"/>
      <c r="S918" s="32"/>
      <c r="T918" s="3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2"/>
      <c r="C919" s="10"/>
      <c r="D919" s="10"/>
      <c r="E919" s="10"/>
      <c r="F919" s="10"/>
      <c r="G919" s="69"/>
      <c r="H919" s="69"/>
      <c r="I919" s="69"/>
      <c r="J919" s="70"/>
      <c r="K919" s="69"/>
      <c r="L919" s="69"/>
      <c r="M919" s="69"/>
      <c r="N919" s="69"/>
      <c r="O919" s="2"/>
      <c r="P919" s="2"/>
      <c r="Q919" s="32"/>
      <c r="R919" s="32"/>
      <c r="S919" s="32"/>
      <c r="T919" s="3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2"/>
      <c r="C920" s="10"/>
      <c r="D920" s="10"/>
      <c r="E920" s="10"/>
      <c r="F920" s="10"/>
      <c r="G920" s="69"/>
      <c r="H920" s="69"/>
      <c r="I920" s="69"/>
      <c r="J920" s="70"/>
      <c r="K920" s="69"/>
      <c r="L920" s="69"/>
      <c r="M920" s="69"/>
      <c r="N920" s="69"/>
      <c r="O920" s="2"/>
      <c r="P920" s="2"/>
      <c r="Q920" s="32"/>
      <c r="R920" s="32"/>
      <c r="S920" s="32"/>
      <c r="T920" s="3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2"/>
      <c r="C921" s="10"/>
      <c r="D921" s="10"/>
      <c r="E921" s="10"/>
      <c r="F921" s="10"/>
      <c r="G921" s="69"/>
      <c r="H921" s="69"/>
      <c r="I921" s="69"/>
      <c r="J921" s="70"/>
      <c r="K921" s="69"/>
      <c r="L921" s="69"/>
      <c r="M921" s="69"/>
      <c r="N921" s="69"/>
      <c r="O921" s="2"/>
      <c r="P921" s="2"/>
      <c r="Q921" s="32"/>
      <c r="R921" s="32"/>
      <c r="S921" s="32"/>
      <c r="T921" s="3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2"/>
      <c r="C922" s="10"/>
      <c r="D922" s="10"/>
      <c r="E922" s="10"/>
      <c r="F922" s="10"/>
      <c r="G922" s="69"/>
      <c r="H922" s="69"/>
      <c r="I922" s="69"/>
      <c r="J922" s="70"/>
      <c r="K922" s="69"/>
      <c r="L922" s="69"/>
      <c r="M922" s="69"/>
      <c r="N922" s="69"/>
      <c r="O922" s="2"/>
      <c r="P922" s="2"/>
      <c r="Q922" s="32"/>
      <c r="R922" s="32"/>
      <c r="S922" s="32"/>
      <c r="T922" s="3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2"/>
      <c r="C923" s="10"/>
      <c r="D923" s="10"/>
      <c r="E923" s="10"/>
      <c r="F923" s="10"/>
      <c r="G923" s="69"/>
      <c r="H923" s="69"/>
      <c r="I923" s="69"/>
      <c r="J923" s="70"/>
      <c r="K923" s="69"/>
      <c r="L923" s="69"/>
      <c r="M923" s="69"/>
      <c r="N923" s="69"/>
      <c r="O923" s="2"/>
      <c r="P923" s="2"/>
      <c r="Q923" s="32"/>
      <c r="R923" s="32"/>
      <c r="S923" s="32"/>
      <c r="T923" s="3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2"/>
      <c r="C924" s="10"/>
      <c r="D924" s="10"/>
      <c r="E924" s="10"/>
      <c r="F924" s="10"/>
      <c r="G924" s="69"/>
      <c r="H924" s="69"/>
      <c r="I924" s="69"/>
      <c r="J924" s="70"/>
      <c r="K924" s="69"/>
      <c r="L924" s="69"/>
      <c r="M924" s="69"/>
      <c r="N924" s="69"/>
      <c r="O924" s="2"/>
      <c r="P924" s="2"/>
      <c r="Q924" s="32"/>
      <c r="R924" s="32"/>
      <c r="S924" s="32"/>
      <c r="T924" s="3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2"/>
      <c r="C925" s="10"/>
      <c r="D925" s="10"/>
      <c r="E925" s="10"/>
      <c r="F925" s="10"/>
      <c r="G925" s="69"/>
      <c r="H925" s="69"/>
      <c r="I925" s="69"/>
      <c r="J925" s="70"/>
      <c r="K925" s="69"/>
      <c r="L925" s="69"/>
      <c r="M925" s="69"/>
      <c r="N925" s="69"/>
      <c r="O925" s="2"/>
      <c r="P925" s="2"/>
      <c r="Q925" s="32"/>
      <c r="R925" s="32"/>
      <c r="S925" s="32"/>
      <c r="T925" s="3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2"/>
      <c r="C926" s="10"/>
      <c r="D926" s="10"/>
      <c r="E926" s="10"/>
      <c r="F926" s="10"/>
      <c r="G926" s="69"/>
      <c r="H926" s="69"/>
      <c r="I926" s="69"/>
      <c r="J926" s="70"/>
      <c r="K926" s="69"/>
      <c r="L926" s="69"/>
      <c r="M926" s="69"/>
      <c r="N926" s="69"/>
      <c r="O926" s="2"/>
      <c r="P926" s="2"/>
      <c r="Q926" s="32"/>
      <c r="R926" s="32"/>
      <c r="S926" s="32"/>
      <c r="T926" s="3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2"/>
      <c r="C927" s="10"/>
      <c r="D927" s="10"/>
      <c r="E927" s="10"/>
      <c r="F927" s="10"/>
      <c r="G927" s="69"/>
      <c r="H927" s="69"/>
      <c r="I927" s="69"/>
      <c r="J927" s="70"/>
      <c r="K927" s="69"/>
      <c r="L927" s="69"/>
      <c r="M927" s="69"/>
      <c r="N927" s="69"/>
      <c r="O927" s="2"/>
      <c r="P927" s="2"/>
      <c r="Q927" s="32"/>
      <c r="R927" s="32"/>
      <c r="S927" s="32"/>
      <c r="T927" s="3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2"/>
      <c r="C928" s="10"/>
      <c r="D928" s="10"/>
      <c r="E928" s="10"/>
      <c r="F928" s="10"/>
      <c r="G928" s="69"/>
      <c r="H928" s="69"/>
      <c r="I928" s="69"/>
      <c r="J928" s="70"/>
      <c r="K928" s="69"/>
      <c r="L928" s="69"/>
      <c r="M928" s="69"/>
      <c r="N928" s="69"/>
      <c r="O928" s="2"/>
      <c r="P928" s="2"/>
      <c r="Q928" s="32"/>
      <c r="R928" s="32"/>
      <c r="S928" s="32"/>
      <c r="T928" s="3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2"/>
      <c r="C929" s="10"/>
      <c r="D929" s="10"/>
      <c r="E929" s="10"/>
      <c r="F929" s="10"/>
      <c r="G929" s="69"/>
      <c r="H929" s="69"/>
      <c r="I929" s="69"/>
      <c r="J929" s="70"/>
      <c r="K929" s="69"/>
      <c r="L929" s="69"/>
      <c r="M929" s="69"/>
      <c r="N929" s="69"/>
      <c r="O929" s="2"/>
      <c r="P929" s="2"/>
      <c r="Q929" s="32"/>
      <c r="R929" s="32"/>
      <c r="S929" s="32"/>
      <c r="T929" s="3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2"/>
      <c r="C930" s="10"/>
      <c r="D930" s="10"/>
      <c r="E930" s="10"/>
      <c r="F930" s="10"/>
      <c r="G930" s="69"/>
      <c r="H930" s="69"/>
      <c r="I930" s="69"/>
      <c r="J930" s="70"/>
      <c r="K930" s="69"/>
      <c r="L930" s="69"/>
      <c r="M930" s="69"/>
      <c r="N930" s="69"/>
      <c r="O930" s="2"/>
      <c r="P930" s="2"/>
      <c r="Q930" s="32"/>
      <c r="R930" s="32"/>
      <c r="S930" s="32"/>
      <c r="T930" s="3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2"/>
      <c r="C931" s="10"/>
      <c r="D931" s="10"/>
      <c r="E931" s="10"/>
      <c r="F931" s="10"/>
      <c r="G931" s="69"/>
      <c r="H931" s="69"/>
      <c r="I931" s="69"/>
      <c r="J931" s="70"/>
      <c r="K931" s="69"/>
      <c r="L931" s="69"/>
      <c r="M931" s="69"/>
      <c r="N931" s="69"/>
      <c r="O931" s="2"/>
      <c r="P931" s="2"/>
      <c r="Q931" s="32"/>
      <c r="R931" s="32"/>
      <c r="S931" s="32"/>
      <c r="T931" s="3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2"/>
      <c r="C932" s="10"/>
      <c r="D932" s="10"/>
      <c r="E932" s="10"/>
      <c r="F932" s="10"/>
      <c r="G932" s="69"/>
      <c r="H932" s="69"/>
      <c r="I932" s="69"/>
      <c r="J932" s="70"/>
      <c r="K932" s="69"/>
      <c r="L932" s="69"/>
      <c r="M932" s="69"/>
      <c r="N932" s="69"/>
      <c r="O932" s="2"/>
      <c r="P932" s="2"/>
      <c r="Q932" s="32"/>
      <c r="R932" s="32"/>
      <c r="S932" s="32"/>
      <c r="T932" s="3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2"/>
      <c r="C933" s="10"/>
      <c r="D933" s="10"/>
      <c r="E933" s="10"/>
      <c r="F933" s="10"/>
      <c r="G933" s="69"/>
      <c r="H933" s="69"/>
      <c r="I933" s="69"/>
      <c r="J933" s="70"/>
      <c r="K933" s="69"/>
      <c r="L933" s="69"/>
      <c r="M933" s="69"/>
      <c r="N933" s="69"/>
      <c r="O933" s="2"/>
      <c r="P933" s="2"/>
      <c r="Q933" s="32"/>
      <c r="R933" s="32"/>
      <c r="S933" s="32"/>
      <c r="T933" s="3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2"/>
      <c r="C934" s="10"/>
      <c r="D934" s="10"/>
      <c r="E934" s="10"/>
      <c r="F934" s="10"/>
      <c r="G934" s="69"/>
      <c r="H934" s="69"/>
      <c r="I934" s="69"/>
      <c r="J934" s="70"/>
      <c r="K934" s="69"/>
      <c r="L934" s="69"/>
      <c r="M934" s="69"/>
      <c r="N934" s="69"/>
      <c r="O934" s="2"/>
      <c r="P934" s="2"/>
      <c r="Q934" s="32"/>
      <c r="R934" s="32"/>
      <c r="S934" s="32"/>
      <c r="T934" s="3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2"/>
      <c r="C935" s="10"/>
      <c r="D935" s="10"/>
      <c r="E935" s="10"/>
      <c r="F935" s="10"/>
      <c r="G935" s="69"/>
      <c r="H935" s="69"/>
      <c r="I935" s="69"/>
      <c r="J935" s="70"/>
      <c r="K935" s="69"/>
      <c r="L935" s="69"/>
      <c r="M935" s="69"/>
      <c r="N935" s="69"/>
      <c r="O935" s="2"/>
      <c r="P935" s="2"/>
      <c r="Q935" s="32"/>
      <c r="R935" s="32"/>
      <c r="S935" s="32"/>
      <c r="T935" s="3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2"/>
      <c r="C936" s="10"/>
      <c r="D936" s="10"/>
      <c r="E936" s="10"/>
      <c r="F936" s="10"/>
      <c r="G936" s="69"/>
      <c r="H936" s="69"/>
      <c r="I936" s="69"/>
      <c r="J936" s="70"/>
      <c r="K936" s="69"/>
      <c r="L936" s="69"/>
      <c r="M936" s="69"/>
      <c r="N936" s="69"/>
      <c r="O936" s="2"/>
      <c r="P936" s="2"/>
      <c r="Q936" s="32"/>
      <c r="R936" s="32"/>
      <c r="S936" s="32"/>
      <c r="T936" s="3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2"/>
      <c r="C937" s="10"/>
      <c r="D937" s="10"/>
      <c r="E937" s="10"/>
      <c r="F937" s="10"/>
      <c r="G937" s="69"/>
      <c r="H937" s="69"/>
      <c r="I937" s="69"/>
      <c r="J937" s="70"/>
      <c r="K937" s="69"/>
      <c r="L937" s="69"/>
      <c r="M937" s="69"/>
      <c r="N937" s="69"/>
      <c r="O937" s="2"/>
      <c r="P937" s="2"/>
      <c r="Q937" s="32"/>
      <c r="R937" s="32"/>
      <c r="S937" s="32"/>
      <c r="T937" s="3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2"/>
      <c r="C938" s="10"/>
      <c r="D938" s="10"/>
      <c r="E938" s="10"/>
      <c r="F938" s="10"/>
      <c r="G938" s="69"/>
      <c r="H938" s="69"/>
      <c r="I938" s="69"/>
      <c r="J938" s="70"/>
      <c r="K938" s="69"/>
      <c r="L938" s="69"/>
      <c r="M938" s="69"/>
      <c r="N938" s="69"/>
      <c r="O938" s="2"/>
      <c r="P938" s="2"/>
      <c r="Q938" s="32"/>
      <c r="R938" s="32"/>
      <c r="S938" s="32"/>
      <c r="T938" s="3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2"/>
      <c r="C939" s="10"/>
      <c r="D939" s="10"/>
      <c r="E939" s="10"/>
      <c r="F939" s="10"/>
      <c r="G939" s="69"/>
      <c r="H939" s="69"/>
      <c r="I939" s="69"/>
      <c r="J939" s="70"/>
      <c r="K939" s="69"/>
      <c r="L939" s="69"/>
      <c r="M939" s="69"/>
      <c r="N939" s="69"/>
      <c r="O939" s="2"/>
      <c r="P939" s="2"/>
      <c r="Q939" s="32"/>
      <c r="R939" s="32"/>
      <c r="S939" s="32"/>
      <c r="T939" s="3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2"/>
      <c r="C940" s="10"/>
      <c r="D940" s="10"/>
      <c r="E940" s="10"/>
      <c r="F940" s="10"/>
      <c r="G940" s="69"/>
      <c r="H940" s="69"/>
      <c r="I940" s="69"/>
      <c r="J940" s="70"/>
      <c r="K940" s="69"/>
      <c r="L940" s="69"/>
      <c r="M940" s="69"/>
      <c r="N940" s="69"/>
      <c r="O940" s="2"/>
      <c r="P940" s="2"/>
      <c r="Q940" s="32"/>
      <c r="R940" s="32"/>
      <c r="S940" s="32"/>
      <c r="T940" s="3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2"/>
      <c r="C941" s="10"/>
      <c r="D941" s="10"/>
      <c r="E941" s="10"/>
      <c r="F941" s="10"/>
      <c r="G941" s="69"/>
      <c r="H941" s="69"/>
      <c r="I941" s="69"/>
      <c r="J941" s="70"/>
      <c r="K941" s="69"/>
      <c r="L941" s="69"/>
      <c r="M941" s="69"/>
      <c r="N941" s="69"/>
      <c r="O941" s="2"/>
      <c r="P941" s="2"/>
      <c r="Q941" s="32"/>
      <c r="R941" s="32"/>
      <c r="S941" s="32"/>
      <c r="T941" s="3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2"/>
      <c r="C942" s="10"/>
      <c r="D942" s="10"/>
      <c r="E942" s="10"/>
      <c r="F942" s="10"/>
      <c r="G942" s="69"/>
      <c r="H942" s="69"/>
      <c r="I942" s="69"/>
      <c r="J942" s="70"/>
      <c r="K942" s="69"/>
      <c r="L942" s="69"/>
      <c r="M942" s="69"/>
      <c r="N942" s="69"/>
      <c r="O942" s="2"/>
      <c r="P942" s="2"/>
      <c r="Q942" s="32"/>
      <c r="R942" s="32"/>
      <c r="S942" s="32"/>
      <c r="T942" s="3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2"/>
      <c r="C943" s="10"/>
      <c r="D943" s="10"/>
      <c r="E943" s="10"/>
      <c r="F943" s="10"/>
      <c r="G943" s="69"/>
      <c r="H943" s="69"/>
      <c r="I943" s="69"/>
      <c r="J943" s="70"/>
      <c r="K943" s="69"/>
      <c r="L943" s="69"/>
      <c r="M943" s="69"/>
      <c r="N943" s="69"/>
      <c r="O943" s="2"/>
      <c r="P943" s="2"/>
      <c r="Q943" s="32"/>
      <c r="R943" s="32"/>
      <c r="S943" s="32"/>
      <c r="T943" s="3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2"/>
      <c r="C944" s="10"/>
      <c r="D944" s="10"/>
      <c r="E944" s="10"/>
      <c r="F944" s="10"/>
      <c r="G944" s="69"/>
      <c r="H944" s="69"/>
      <c r="I944" s="69"/>
      <c r="J944" s="70"/>
      <c r="K944" s="69"/>
      <c r="L944" s="69"/>
      <c r="M944" s="69"/>
      <c r="N944" s="69"/>
      <c r="O944" s="2"/>
      <c r="P944" s="2"/>
      <c r="Q944" s="32"/>
      <c r="R944" s="32"/>
      <c r="S944" s="32"/>
      <c r="T944" s="3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2"/>
      <c r="C945" s="10"/>
      <c r="D945" s="10"/>
      <c r="E945" s="10"/>
      <c r="F945" s="10"/>
      <c r="G945" s="69"/>
      <c r="H945" s="69"/>
      <c r="I945" s="69"/>
      <c r="J945" s="70"/>
      <c r="K945" s="69"/>
      <c r="L945" s="69"/>
      <c r="M945" s="69"/>
      <c r="N945" s="69"/>
      <c r="O945" s="2"/>
      <c r="P945" s="2"/>
      <c r="Q945" s="32"/>
      <c r="R945" s="32"/>
      <c r="S945" s="32"/>
      <c r="T945" s="3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2"/>
      <c r="C946" s="10"/>
      <c r="D946" s="10"/>
      <c r="E946" s="10"/>
      <c r="F946" s="10"/>
      <c r="G946" s="69"/>
      <c r="H946" s="69"/>
      <c r="I946" s="69"/>
      <c r="J946" s="70"/>
      <c r="K946" s="69"/>
      <c r="L946" s="69"/>
      <c r="M946" s="69"/>
      <c r="N946" s="69"/>
      <c r="O946" s="2"/>
      <c r="P946" s="2"/>
      <c r="Q946" s="32"/>
      <c r="R946" s="32"/>
      <c r="S946" s="32"/>
      <c r="T946" s="3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2"/>
      <c r="C947" s="10"/>
      <c r="D947" s="10"/>
      <c r="E947" s="10"/>
      <c r="F947" s="10"/>
      <c r="G947" s="69"/>
      <c r="H947" s="69"/>
      <c r="I947" s="69"/>
      <c r="J947" s="70"/>
      <c r="K947" s="69"/>
      <c r="L947" s="69"/>
      <c r="M947" s="69"/>
      <c r="N947" s="69"/>
      <c r="O947" s="2"/>
      <c r="P947" s="2"/>
      <c r="Q947" s="32"/>
      <c r="R947" s="32"/>
      <c r="S947" s="32"/>
      <c r="T947" s="3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2"/>
      <c r="C948" s="10"/>
      <c r="D948" s="10"/>
      <c r="E948" s="10"/>
      <c r="F948" s="10"/>
      <c r="G948" s="69"/>
      <c r="H948" s="69"/>
      <c r="I948" s="69"/>
      <c r="J948" s="70"/>
      <c r="K948" s="69"/>
      <c r="L948" s="69"/>
      <c r="M948" s="69"/>
      <c r="N948" s="69"/>
      <c r="O948" s="2"/>
      <c r="P948" s="2"/>
      <c r="Q948" s="32"/>
      <c r="R948" s="32"/>
      <c r="S948" s="32"/>
      <c r="T948" s="3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2"/>
      <c r="C949" s="10"/>
      <c r="D949" s="10"/>
      <c r="E949" s="10"/>
      <c r="F949" s="10"/>
      <c r="G949" s="69"/>
      <c r="H949" s="69"/>
      <c r="I949" s="69"/>
      <c r="J949" s="70"/>
      <c r="K949" s="69"/>
      <c r="L949" s="69"/>
      <c r="M949" s="69"/>
      <c r="N949" s="69"/>
      <c r="O949" s="2"/>
      <c r="P949" s="2"/>
      <c r="Q949" s="32"/>
      <c r="R949" s="32"/>
      <c r="S949" s="32"/>
      <c r="T949" s="3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2"/>
      <c r="C950" s="10"/>
      <c r="D950" s="10"/>
      <c r="E950" s="10"/>
      <c r="F950" s="10"/>
      <c r="G950" s="69"/>
      <c r="H950" s="69"/>
      <c r="I950" s="69"/>
      <c r="J950" s="70"/>
      <c r="K950" s="69"/>
      <c r="L950" s="69"/>
      <c r="M950" s="69"/>
      <c r="N950" s="69"/>
      <c r="O950" s="2"/>
      <c r="P950" s="2"/>
      <c r="Q950" s="32"/>
      <c r="R950" s="32"/>
      <c r="S950" s="32"/>
      <c r="T950" s="3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2"/>
      <c r="C951" s="10"/>
      <c r="D951" s="10"/>
      <c r="E951" s="10"/>
      <c r="F951" s="10"/>
      <c r="G951" s="69"/>
      <c r="H951" s="69"/>
      <c r="I951" s="69"/>
      <c r="J951" s="70"/>
      <c r="K951" s="69"/>
      <c r="L951" s="69"/>
      <c r="M951" s="69"/>
      <c r="N951" s="69"/>
      <c r="O951" s="2"/>
      <c r="P951" s="2"/>
      <c r="Q951" s="32"/>
      <c r="R951" s="32"/>
      <c r="S951" s="32"/>
      <c r="T951" s="3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2"/>
      <c r="C952" s="10"/>
      <c r="D952" s="10"/>
      <c r="E952" s="10"/>
      <c r="F952" s="10"/>
      <c r="G952" s="69"/>
      <c r="H952" s="69"/>
      <c r="I952" s="69"/>
      <c r="J952" s="70"/>
      <c r="K952" s="69"/>
      <c r="L952" s="69"/>
      <c r="M952" s="69"/>
      <c r="N952" s="69"/>
      <c r="O952" s="2"/>
      <c r="P952" s="2"/>
      <c r="Q952" s="32"/>
      <c r="R952" s="32"/>
      <c r="S952" s="32"/>
      <c r="T952" s="3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2"/>
      <c r="C953" s="10"/>
      <c r="D953" s="10"/>
      <c r="E953" s="10"/>
      <c r="F953" s="10"/>
      <c r="G953" s="69"/>
      <c r="H953" s="69"/>
      <c r="I953" s="69"/>
      <c r="J953" s="70"/>
      <c r="K953" s="69"/>
      <c r="L953" s="69"/>
      <c r="M953" s="69"/>
      <c r="N953" s="69"/>
      <c r="O953" s="2"/>
      <c r="P953" s="2"/>
      <c r="Q953" s="32"/>
      <c r="R953" s="32"/>
      <c r="S953" s="32"/>
      <c r="T953" s="3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2"/>
      <c r="C954" s="10"/>
      <c r="D954" s="10"/>
      <c r="E954" s="10"/>
      <c r="F954" s="10"/>
      <c r="G954" s="69"/>
      <c r="H954" s="69"/>
      <c r="I954" s="69"/>
      <c r="J954" s="70"/>
      <c r="K954" s="69"/>
      <c r="L954" s="69"/>
      <c r="M954" s="69"/>
      <c r="N954" s="69"/>
      <c r="O954" s="2"/>
      <c r="P954" s="2"/>
      <c r="Q954" s="32"/>
      <c r="R954" s="32"/>
      <c r="S954" s="32"/>
      <c r="T954" s="3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2"/>
      <c r="C955" s="10"/>
      <c r="D955" s="10"/>
      <c r="E955" s="10"/>
      <c r="F955" s="10"/>
      <c r="G955" s="69"/>
      <c r="H955" s="69"/>
      <c r="I955" s="69"/>
      <c r="J955" s="70"/>
      <c r="K955" s="69"/>
      <c r="L955" s="69"/>
      <c r="M955" s="69"/>
      <c r="N955" s="69"/>
      <c r="O955" s="2"/>
      <c r="P955" s="2"/>
      <c r="Q955" s="32"/>
      <c r="R955" s="32"/>
      <c r="S955" s="32"/>
      <c r="T955" s="3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2"/>
      <c r="C956" s="10"/>
      <c r="D956" s="10"/>
      <c r="E956" s="10"/>
      <c r="F956" s="10"/>
      <c r="G956" s="69"/>
      <c r="H956" s="69"/>
      <c r="I956" s="69"/>
      <c r="J956" s="70"/>
      <c r="K956" s="69"/>
      <c r="L956" s="69"/>
      <c r="M956" s="69"/>
      <c r="N956" s="69"/>
      <c r="O956" s="2"/>
      <c r="P956" s="2"/>
      <c r="Q956" s="32"/>
      <c r="R956" s="32"/>
      <c r="S956" s="32"/>
      <c r="T956" s="3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2"/>
      <c r="C957" s="10"/>
      <c r="D957" s="10"/>
      <c r="E957" s="10"/>
      <c r="F957" s="10"/>
      <c r="G957" s="69"/>
      <c r="H957" s="69"/>
      <c r="I957" s="69"/>
      <c r="J957" s="70"/>
      <c r="K957" s="69"/>
      <c r="L957" s="69"/>
      <c r="M957" s="69"/>
      <c r="N957" s="69"/>
      <c r="O957" s="2"/>
      <c r="P957" s="2"/>
      <c r="Q957" s="32"/>
      <c r="R957" s="32"/>
      <c r="S957" s="32"/>
      <c r="T957" s="3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2"/>
      <c r="C958" s="10"/>
      <c r="D958" s="10"/>
      <c r="E958" s="10"/>
      <c r="F958" s="10"/>
      <c r="G958" s="69"/>
      <c r="H958" s="69"/>
      <c r="I958" s="69"/>
      <c r="J958" s="70"/>
      <c r="K958" s="69"/>
      <c r="L958" s="69"/>
      <c r="M958" s="69"/>
      <c r="N958" s="69"/>
      <c r="O958" s="2"/>
      <c r="P958" s="2"/>
      <c r="Q958" s="32"/>
      <c r="R958" s="32"/>
      <c r="S958" s="32"/>
      <c r="T958" s="3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2"/>
      <c r="C959" s="10"/>
      <c r="D959" s="10"/>
      <c r="E959" s="10"/>
      <c r="F959" s="10"/>
      <c r="G959" s="69"/>
      <c r="H959" s="69"/>
      <c r="I959" s="69"/>
      <c r="J959" s="70"/>
      <c r="K959" s="69"/>
      <c r="L959" s="69"/>
      <c r="M959" s="69"/>
      <c r="N959" s="69"/>
      <c r="O959" s="2"/>
      <c r="P959" s="2"/>
      <c r="Q959" s="32"/>
      <c r="R959" s="32"/>
      <c r="S959" s="32"/>
      <c r="T959" s="3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2"/>
      <c r="C960" s="10"/>
      <c r="D960" s="10"/>
      <c r="E960" s="10"/>
      <c r="F960" s="10"/>
      <c r="G960" s="69"/>
      <c r="H960" s="69"/>
      <c r="I960" s="69"/>
      <c r="J960" s="70"/>
      <c r="K960" s="69"/>
      <c r="L960" s="69"/>
      <c r="M960" s="69"/>
      <c r="N960" s="69"/>
      <c r="O960" s="2"/>
      <c r="P960" s="2"/>
      <c r="Q960" s="32"/>
      <c r="R960" s="32"/>
      <c r="S960" s="32"/>
      <c r="T960" s="3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2"/>
      <c r="C961" s="10"/>
      <c r="D961" s="10"/>
      <c r="E961" s="10"/>
      <c r="F961" s="10"/>
      <c r="G961" s="69"/>
      <c r="H961" s="69"/>
      <c r="I961" s="69"/>
      <c r="J961" s="70"/>
      <c r="K961" s="69"/>
      <c r="L961" s="69"/>
      <c r="M961" s="69"/>
      <c r="N961" s="69"/>
      <c r="O961" s="2"/>
      <c r="P961" s="2"/>
      <c r="Q961" s="32"/>
      <c r="R961" s="32"/>
      <c r="S961" s="32"/>
      <c r="T961" s="3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2"/>
      <c r="C962" s="10"/>
      <c r="D962" s="10"/>
      <c r="E962" s="10"/>
      <c r="F962" s="10"/>
      <c r="G962" s="69"/>
      <c r="H962" s="69"/>
      <c r="I962" s="69"/>
      <c r="J962" s="70"/>
      <c r="K962" s="69"/>
      <c r="L962" s="69"/>
      <c r="M962" s="69"/>
      <c r="N962" s="69"/>
      <c r="O962" s="2"/>
      <c r="P962" s="2"/>
      <c r="Q962" s="32"/>
      <c r="R962" s="32"/>
      <c r="S962" s="32"/>
      <c r="T962" s="3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2"/>
      <c r="C963" s="10"/>
      <c r="D963" s="10"/>
      <c r="E963" s="10"/>
      <c r="F963" s="10"/>
      <c r="G963" s="69"/>
      <c r="H963" s="69"/>
      <c r="I963" s="69"/>
      <c r="J963" s="70"/>
      <c r="K963" s="69"/>
      <c r="L963" s="69"/>
      <c r="M963" s="69"/>
      <c r="N963" s="69"/>
      <c r="O963" s="2"/>
      <c r="P963" s="2"/>
      <c r="Q963" s="32"/>
      <c r="R963" s="32"/>
      <c r="S963" s="32"/>
      <c r="T963" s="3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2"/>
      <c r="C964" s="10"/>
      <c r="D964" s="10"/>
      <c r="E964" s="10"/>
      <c r="F964" s="10"/>
      <c r="G964" s="69"/>
      <c r="H964" s="69"/>
      <c r="I964" s="69"/>
      <c r="J964" s="70"/>
      <c r="K964" s="69"/>
      <c r="L964" s="69"/>
      <c r="M964" s="69"/>
      <c r="N964" s="69"/>
      <c r="O964" s="2"/>
      <c r="P964" s="2"/>
      <c r="Q964" s="32"/>
      <c r="R964" s="32"/>
      <c r="S964" s="32"/>
      <c r="T964" s="3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2"/>
      <c r="C965" s="10"/>
      <c r="D965" s="10"/>
      <c r="E965" s="10"/>
      <c r="F965" s="10"/>
      <c r="G965" s="69"/>
      <c r="H965" s="69"/>
      <c r="I965" s="69"/>
      <c r="J965" s="70"/>
      <c r="K965" s="69"/>
      <c r="L965" s="69"/>
      <c r="M965" s="69"/>
      <c r="N965" s="69"/>
      <c r="O965" s="2"/>
      <c r="P965" s="2"/>
      <c r="Q965" s="32"/>
      <c r="R965" s="32"/>
      <c r="S965" s="32"/>
      <c r="T965" s="3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2"/>
      <c r="C966" s="10"/>
      <c r="D966" s="10"/>
      <c r="E966" s="10"/>
      <c r="F966" s="10"/>
      <c r="G966" s="69"/>
      <c r="H966" s="69"/>
      <c r="I966" s="69"/>
      <c r="J966" s="70"/>
      <c r="K966" s="69"/>
      <c r="L966" s="69"/>
      <c r="M966" s="69"/>
      <c r="N966" s="69"/>
      <c r="O966" s="2"/>
      <c r="P966" s="2"/>
      <c r="Q966" s="32"/>
      <c r="R966" s="32"/>
      <c r="S966" s="32"/>
      <c r="T966" s="3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2"/>
      <c r="C967" s="10"/>
      <c r="D967" s="10"/>
      <c r="E967" s="10"/>
      <c r="F967" s="10"/>
      <c r="G967" s="69"/>
      <c r="H967" s="69"/>
      <c r="I967" s="69"/>
      <c r="J967" s="70"/>
      <c r="K967" s="69"/>
      <c r="L967" s="69"/>
      <c r="M967" s="69"/>
      <c r="N967" s="69"/>
      <c r="O967" s="2"/>
      <c r="P967" s="2"/>
      <c r="Q967" s="32"/>
      <c r="R967" s="32"/>
      <c r="S967" s="32"/>
      <c r="T967" s="3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2"/>
      <c r="C968" s="10"/>
      <c r="D968" s="10"/>
      <c r="E968" s="10"/>
      <c r="F968" s="10"/>
      <c r="G968" s="69"/>
      <c r="H968" s="69"/>
      <c r="I968" s="69"/>
      <c r="J968" s="70"/>
      <c r="K968" s="69"/>
      <c r="L968" s="69"/>
      <c r="M968" s="69"/>
      <c r="N968" s="69"/>
      <c r="O968" s="2"/>
      <c r="P968" s="2"/>
      <c r="Q968" s="32"/>
      <c r="R968" s="32"/>
      <c r="S968" s="32"/>
      <c r="T968" s="3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2"/>
      <c r="C969" s="10"/>
      <c r="D969" s="10"/>
      <c r="E969" s="10"/>
      <c r="F969" s="10"/>
      <c r="G969" s="69"/>
      <c r="H969" s="69"/>
      <c r="I969" s="69"/>
      <c r="J969" s="70"/>
      <c r="K969" s="69"/>
      <c r="L969" s="69"/>
      <c r="M969" s="69"/>
      <c r="N969" s="69"/>
      <c r="O969" s="2"/>
      <c r="P969" s="2"/>
      <c r="Q969" s="32"/>
      <c r="R969" s="32"/>
      <c r="S969" s="32"/>
      <c r="T969" s="3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2"/>
      <c r="C970" s="10"/>
      <c r="D970" s="10"/>
      <c r="E970" s="10"/>
      <c r="F970" s="10"/>
      <c r="G970" s="69"/>
      <c r="H970" s="69"/>
      <c r="I970" s="69"/>
      <c r="J970" s="70"/>
      <c r="K970" s="69"/>
      <c r="L970" s="69"/>
      <c r="M970" s="69"/>
      <c r="N970" s="69"/>
      <c r="O970" s="2"/>
      <c r="P970" s="2"/>
      <c r="Q970" s="32"/>
      <c r="R970" s="32"/>
      <c r="S970" s="32"/>
      <c r="T970" s="3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2"/>
      <c r="C971" s="10"/>
      <c r="D971" s="10"/>
      <c r="E971" s="10"/>
      <c r="F971" s="10"/>
      <c r="G971" s="69"/>
      <c r="H971" s="69"/>
      <c r="I971" s="69"/>
      <c r="J971" s="70"/>
      <c r="K971" s="69"/>
      <c r="L971" s="69"/>
      <c r="M971" s="69"/>
      <c r="N971" s="69"/>
      <c r="O971" s="2"/>
      <c r="P971" s="2"/>
      <c r="Q971" s="32"/>
      <c r="R971" s="32"/>
      <c r="S971" s="32"/>
      <c r="T971" s="3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2"/>
      <c r="C972" s="10"/>
      <c r="D972" s="10"/>
      <c r="E972" s="10"/>
      <c r="F972" s="10"/>
      <c r="G972" s="69"/>
      <c r="H972" s="69"/>
      <c r="I972" s="69"/>
      <c r="J972" s="70"/>
      <c r="K972" s="69"/>
      <c r="L972" s="69"/>
      <c r="M972" s="69"/>
      <c r="N972" s="69"/>
      <c r="O972" s="2"/>
      <c r="P972" s="2"/>
      <c r="Q972" s="32"/>
      <c r="R972" s="32"/>
      <c r="S972" s="32"/>
      <c r="T972" s="3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2"/>
      <c r="C973" s="10"/>
      <c r="D973" s="10"/>
      <c r="E973" s="10"/>
      <c r="F973" s="10"/>
      <c r="G973" s="69"/>
      <c r="H973" s="69"/>
      <c r="I973" s="69"/>
      <c r="J973" s="70"/>
      <c r="K973" s="69"/>
      <c r="L973" s="69"/>
      <c r="M973" s="69"/>
      <c r="N973" s="69"/>
      <c r="O973" s="2"/>
      <c r="P973" s="2"/>
      <c r="Q973" s="32"/>
      <c r="R973" s="32"/>
      <c r="S973" s="32"/>
      <c r="T973" s="3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2"/>
      <c r="C974" s="10"/>
      <c r="D974" s="10"/>
      <c r="E974" s="10"/>
      <c r="F974" s="10"/>
      <c r="G974" s="69"/>
      <c r="H974" s="69"/>
      <c r="I974" s="69"/>
      <c r="J974" s="70"/>
      <c r="K974" s="69"/>
      <c r="L974" s="69"/>
      <c r="M974" s="69"/>
      <c r="N974" s="69"/>
      <c r="O974" s="2"/>
      <c r="P974" s="2"/>
      <c r="Q974" s="32"/>
      <c r="R974" s="32"/>
      <c r="S974" s="32"/>
      <c r="T974" s="3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2"/>
      <c r="C975" s="10"/>
      <c r="D975" s="10"/>
      <c r="E975" s="10"/>
      <c r="F975" s="10"/>
      <c r="G975" s="69"/>
      <c r="H975" s="69"/>
      <c r="I975" s="69"/>
      <c r="J975" s="70"/>
      <c r="K975" s="69"/>
      <c r="L975" s="69"/>
      <c r="M975" s="69"/>
      <c r="N975" s="69"/>
      <c r="O975" s="2"/>
      <c r="P975" s="2"/>
      <c r="Q975" s="32"/>
      <c r="R975" s="32"/>
      <c r="S975" s="32"/>
      <c r="T975" s="3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2"/>
      <c r="C976" s="10"/>
      <c r="D976" s="10"/>
      <c r="E976" s="10"/>
      <c r="F976" s="10"/>
      <c r="G976" s="69"/>
      <c r="H976" s="69"/>
      <c r="I976" s="69"/>
      <c r="J976" s="70"/>
      <c r="K976" s="69"/>
      <c r="L976" s="69"/>
      <c r="M976" s="69"/>
      <c r="N976" s="69"/>
      <c r="O976" s="2"/>
      <c r="P976" s="2"/>
      <c r="Q976" s="32"/>
      <c r="R976" s="32"/>
      <c r="S976" s="32"/>
      <c r="T976" s="3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2"/>
      <c r="C977" s="10"/>
      <c r="D977" s="10"/>
      <c r="E977" s="10"/>
      <c r="F977" s="10"/>
      <c r="G977" s="69"/>
      <c r="H977" s="69"/>
      <c r="I977" s="69"/>
      <c r="J977" s="70"/>
      <c r="K977" s="69"/>
      <c r="L977" s="69"/>
      <c r="M977" s="69"/>
      <c r="N977" s="69"/>
      <c r="O977" s="2"/>
      <c r="P977" s="2"/>
      <c r="Q977" s="32"/>
      <c r="R977" s="32"/>
      <c r="S977" s="32"/>
      <c r="T977" s="3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2"/>
      <c r="C978" s="10"/>
      <c r="D978" s="10"/>
      <c r="E978" s="10"/>
      <c r="F978" s="10"/>
      <c r="G978" s="69"/>
      <c r="H978" s="69"/>
      <c r="I978" s="69"/>
      <c r="J978" s="70"/>
      <c r="K978" s="69"/>
      <c r="L978" s="69"/>
      <c r="M978" s="69"/>
      <c r="N978" s="69"/>
      <c r="O978" s="2"/>
      <c r="P978" s="2"/>
      <c r="Q978" s="32"/>
      <c r="R978" s="32"/>
      <c r="S978" s="32"/>
      <c r="T978" s="3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2"/>
      <c r="C979" s="10"/>
      <c r="D979" s="10"/>
      <c r="E979" s="10"/>
      <c r="F979" s="10"/>
      <c r="G979" s="69"/>
      <c r="H979" s="69"/>
      <c r="I979" s="69"/>
      <c r="J979" s="70"/>
      <c r="K979" s="69"/>
      <c r="L979" s="69"/>
      <c r="M979" s="69"/>
      <c r="N979" s="69"/>
      <c r="O979" s="2"/>
      <c r="P979" s="2"/>
      <c r="Q979" s="32"/>
      <c r="R979" s="32"/>
      <c r="S979" s="32"/>
      <c r="T979" s="3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2"/>
      <c r="C980" s="10"/>
      <c r="D980" s="10"/>
      <c r="E980" s="10"/>
      <c r="F980" s="10"/>
      <c r="G980" s="69"/>
      <c r="H980" s="69"/>
      <c r="I980" s="69"/>
      <c r="J980" s="70"/>
      <c r="K980" s="69"/>
      <c r="L980" s="69"/>
      <c r="M980" s="69"/>
      <c r="N980" s="69"/>
      <c r="O980" s="2"/>
      <c r="P980" s="2"/>
      <c r="Q980" s="32"/>
      <c r="R980" s="32"/>
      <c r="S980" s="32"/>
      <c r="T980" s="3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2"/>
      <c r="C981" s="10"/>
      <c r="D981" s="10"/>
      <c r="E981" s="10"/>
      <c r="F981" s="10"/>
      <c r="G981" s="69"/>
      <c r="H981" s="69"/>
      <c r="I981" s="69"/>
      <c r="J981" s="70"/>
      <c r="K981" s="69"/>
      <c r="L981" s="69"/>
      <c r="M981" s="69"/>
      <c r="N981" s="69"/>
      <c r="O981" s="2"/>
      <c r="P981" s="2"/>
      <c r="Q981" s="32"/>
      <c r="R981" s="32"/>
      <c r="S981" s="32"/>
      <c r="T981" s="3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2"/>
      <c r="C982" s="10"/>
      <c r="D982" s="10"/>
      <c r="E982" s="10"/>
      <c r="F982" s="10"/>
      <c r="G982" s="69"/>
      <c r="H982" s="69"/>
      <c r="I982" s="69"/>
      <c r="J982" s="70"/>
      <c r="K982" s="69"/>
      <c r="L982" s="69"/>
      <c r="M982" s="69"/>
      <c r="N982" s="69"/>
      <c r="O982" s="2"/>
      <c r="P982" s="2"/>
      <c r="Q982" s="32"/>
      <c r="R982" s="32"/>
      <c r="S982" s="32"/>
      <c r="T982" s="3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2"/>
      <c r="C983" s="10"/>
      <c r="D983" s="10"/>
      <c r="E983" s="10"/>
      <c r="F983" s="10"/>
      <c r="G983" s="69"/>
      <c r="H983" s="69"/>
      <c r="I983" s="69"/>
      <c r="J983" s="70"/>
      <c r="K983" s="69"/>
      <c r="L983" s="69"/>
      <c r="M983" s="69"/>
      <c r="N983" s="69"/>
      <c r="O983" s="2"/>
      <c r="P983" s="2"/>
      <c r="Q983" s="32"/>
      <c r="R983" s="32"/>
      <c r="S983" s="32"/>
      <c r="T983" s="3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2"/>
      <c r="C984" s="10"/>
      <c r="D984" s="10"/>
      <c r="E984" s="10"/>
      <c r="F984" s="10"/>
      <c r="G984" s="69"/>
      <c r="H984" s="69"/>
      <c r="I984" s="69"/>
      <c r="J984" s="70"/>
      <c r="K984" s="69"/>
      <c r="L984" s="69"/>
      <c r="M984" s="69"/>
      <c r="N984" s="69"/>
      <c r="O984" s="2"/>
      <c r="P984" s="2"/>
      <c r="Q984" s="32"/>
      <c r="R984" s="32"/>
      <c r="S984" s="32"/>
      <c r="T984" s="3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2"/>
      <c r="C985" s="10"/>
      <c r="D985" s="10"/>
      <c r="E985" s="10"/>
      <c r="F985" s="10"/>
      <c r="G985" s="69"/>
      <c r="H985" s="69"/>
      <c r="I985" s="69"/>
      <c r="J985" s="70"/>
      <c r="K985" s="69"/>
      <c r="L985" s="69"/>
      <c r="M985" s="69"/>
      <c r="N985" s="69"/>
      <c r="O985" s="2"/>
      <c r="P985" s="2"/>
      <c r="Q985" s="32"/>
      <c r="R985" s="32"/>
      <c r="S985" s="32"/>
      <c r="T985" s="3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2"/>
      <c r="C986" s="10"/>
      <c r="D986" s="10"/>
      <c r="E986" s="10"/>
      <c r="F986" s="10"/>
      <c r="G986" s="69"/>
      <c r="H986" s="69"/>
      <c r="I986" s="69"/>
      <c r="J986" s="70"/>
      <c r="K986" s="69"/>
      <c r="L986" s="69"/>
      <c r="M986" s="69"/>
      <c r="N986" s="69"/>
      <c r="O986" s="2"/>
      <c r="P986" s="2"/>
      <c r="Q986" s="32"/>
      <c r="R986" s="32"/>
      <c r="S986" s="32"/>
      <c r="T986" s="3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2"/>
      <c r="C987" s="10"/>
      <c r="D987" s="10"/>
      <c r="E987" s="10"/>
      <c r="F987" s="10"/>
      <c r="G987" s="69"/>
      <c r="H987" s="69"/>
      <c r="I987" s="69"/>
      <c r="J987" s="70"/>
      <c r="K987" s="69"/>
      <c r="L987" s="69"/>
      <c r="M987" s="69"/>
      <c r="N987" s="69"/>
      <c r="O987" s="2"/>
      <c r="P987" s="2"/>
      <c r="Q987" s="32"/>
      <c r="R987" s="32"/>
      <c r="S987" s="32"/>
      <c r="T987" s="3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2"/>
      <c r="C988" s="10"/>
      <c r="D988" s="10"/>
      <c r="E988" s="10"/>
      <c r="F988" s="10"/>
      <c r="G988" s="69"/>
      <c r="H988" s="69"/>
      <c r="I988" s="69"/>
      <c r="J988" s="70"/>
      <c r="K988" s="69"/>
      <c r="L988" s="69"/>
      <c r="M988" s="69"/>
      <c r="N988" s="69"/>
      <c r="O988" s="2"/>
      <c r="P988" s="2"/>
      <c r="Q988" s="32"/>
      <c r="R988" s="32"/>
      <c r="S988" s="32"/>
      <c r="T988" s="3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2"/>
      <c r="C989" s="10"/>
      <c r="D989" s="10"/>
      <c r="E989" s="10"/>
      <c r="F989" s="10"/>
      <c r="G989" s="69"/>
      <c r="H989" s="69"/>
      <c r="I989" s="69"/>
      <c r="J989" s="70"/>
      <c r="K989" s="69"/>
      <c r="L989" s="69"/>
      <c r="M989" s="69"/>
      <c r="N989" s="69"/>
      <c r="O989" s="2"/>
      <c r="P989" s="2"/>
      <c r="Q989" s="32"/>
      <c r="R989" s="32"/>
      <c r="S989" s="32"/>
      <c r="T989" s="3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2"/>
      <c r="C990" s="10"/>
      <c r="D990" s="10"/>
      <c r="E990" s="10"/>
      <c r="F990" s="10"/>
      <c r="G990" s="69"/>
      <c r="H990" s="69"/>
      <c r="I990" s="69"/>
      <c r="J990" s="70"/>
      <c r="K990" s="69"/>
      <c r="L990" s="69"/>
      <c r="M990" s="69"/>
      <c r="N990" s="69"/>
      <c r="O990" s="2"/>
      <c r="P990" s="2"/>
      <c r="Q990" s="32"/>
      <c r="R990" s="32"/>
      <c r="S990" s="32"/>
      <c r="T990" s="3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2"/>
      <c r="C991" s="10"/>
      <c r="D991" s="10"/>
      <c r="E991" s="10"/>
      <c r="F991" s="10"/>
      <c r="G991" s="69"/>
      <c r="H991" s="69"/>
      <c r="I991" s="69"/>
      <c r="J991" s="70"/>
      <c r="K991" s="69"/>
      <c r="L991" s="69"/>
      <c r="M991" s="69"/>
      <c r="N991" s="69"/>
      <c r="O991" s="2"/>
      <c r="P991" s="2"/>
      <c r="Q991" s="32"/>
      <c r="R991" s="32"/>
      <c r="S991" s="32"/>
      <c r="T991" s="3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2"/>
      <c r="C992" s="10"/>
      <c r="D992" s="10"/>
      <c r="E992" s="10"/>
      <c r="F992" s="10"/>
      <c r="G992" s="69"/>
      <c r="H992" s="69"/>
      <c r="I992" s="69"/>
      <c r="J992" s="70"/>
      <c r="K992" s="69"/>
      <c r="L992" s="69"/>
      <c r="M992" s="69"/>
      <c r="N992" s="69"/>
      <c r="O992" s="2"/>
      <c r="P992" s="2"/>
      <c r="Q992" s="32"/>
      <c r="R992" s="32"/>
      <c r="S992" s="32"/>
      <c r="T992" s="3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2"/>
      <c r="C993" s="10"/>
      <c r="D993" s="10"/>
      <c r="E993" s="10"/>
      <c r="F993" s="10"/>
      <c r="G993" s="69"/>
      <c r="H993" s="69"/>
      <c r="I993" s="69"/>
      <c r="J993" s="70"/>
      <c r="K993" s="69"/>
      <c r="L993" s="69"/>
      <c r="M993" s="69"/>
      <c r="N993" s="69"/>
      <c r="O993" s="2"/>
      <c r="P993" s="2"/>
      <c r="Q993" s="32"/>
      <c r="R993" s="32"/>
      <c r="S993" s="32"/>
      <c r="T993" s="3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2"/>
      <c r="C994" s="10"/>
      <c r="D994" s="10"/>
      <c r="E994" s="10"/>
      <c r="F994" s="10"/>
      <c r="G994" s="69"/>
      <c r="H994" s="69"/>
      <c r="I994" s="69"/>
      <c r="J994" s="70"/>
      <c r="K994" s="69"/>
      <c r="L994" s="69"/>
      <c r="M994" s="69"/>
      <c r="N994" s="69"/>
      <c r="O994" s="2"/>
      <c r="P994" s="2"/>
      <c r="Q994" s="32"/>
      <c r="R994" s="32"/>
      <c r="S994" s="32"/>
      <c r="T994" s="3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2"/>
      <c r="C995" s="10"/>
      <c r="D995" s="10"/>
      <c r="E995" s="10"/>
      <c r="F995" s="10"/>
      <c r="G995" s="69"/>
      <c r="H995" s="69"/>
      <c r="I995" s="69"/>
      <c r="J995" s="70"/>
      <c r="K995" s="69"/>
      <c r="L995" s="69"/>
      <c r="M995" s="69"/>
      <c r="N995" s="69"/>
      <c r="O995" s="2"/>
      <c r="P995" s="2"/>
      <c r="Q995" s="32"/>
      <c r="R995" s="32"/>
      <c r="S995" s="32"/>
      <c r="T995" s="3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2"/>
      <c r="C996" s="10"/>
      <c r="D996" s="10"/>
      <c r="E996" s="10"/>
      <c r="F996" s="10"/>
      <c r="G996" s="69"/>
      <c r="H996" s="69"/>
      <c r="I996" s="69"/>
      <c r="J996" s="70"/>
      <c r="K996" s="69"/>
      <c r="L996" s="69"/>
      <c r="M996" s="69"/>
      <c r="N996" s="69"/>
      <c r="O996" s="2"/>
      <c r="P996" s="2"/>
      <c r="Q996" s="32"/>
      <c r="R996" s="32"/>
      <c r="S996" s="32"/>
      <c r="T996" s="3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2"/>
      <c r="C997" s="10"/>
      <c r="D997" s="10"/>
      <c r="E997" s="10"/>
      <c r="F997" s="10"/>
      <c r="G997" s="69"/>
      <c r="H997" s="69"/>
      <c r="I997" s="69"/>
      <c r="J997" s="70"/>
      <c r="K997" s="69"/>
      <c r="L997" s="69"/>
      <c r="M997" s="69"/>
      <c r="N997" s="69"/>
      <c r="O997" s="2"/>
      <c r="P997" s="2"/>
      <c r="Q997" s="32"/>
      <c r="R997" s="32"/>
      <c r="S997" s="32"/>
      <c r="T997" s="3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2"/>
      <c r="C998" s="10"/>
      <c r="D998" s="10"/>
      <c r="E998" s="10"/>
      <c r="F998" s="10"/>
      <c r="G998" s="69"/>
      <c r="H998" s="69"/>
      <c r="I998" s="69"/>
      <c r="J998" s="70"/>
      <c r="K998" s="69"/>
      <c r="L998" s="69"/>
      <c r="M998" s="69"/>
      <c r="N998" s="69"/>
      <c r="O998" s="2"/>
      <c r="P998" s="2"/>
      <c r="Q998" s="32"/>
      <c r="R998" s="32"/>
      <c r="S998" s="32"/>
      <c r="T998" s="3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2"/>
      <c r="C999" s="10"/>
      <c r="D999" s="10"/>
      <c r="E999" s="10"/>
      <c r="F999" s="10"/>
      <c r="G999" s="69"/>
      <c r="H999" s="69"/>
      <c r="I999" s="69"/>
      <c r="J999" s="70"/>
      <c r="K999" s="69"/>
      <c r="L999" s="69"/>
      <c r="M999" s="69"/>
      <c r="N999" s="69"/>
      <c r="O999" s="2"/>
      <c r="P999" s="2"/>
      <c r="Q999" s="32"/>
      <c r="R999" s="32"/>
      <c r="S999" s="32"/>
      <c r="T999" s="3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2"/>
      <c r="C1000" s="10"/>
      <c r="D1000" s="10"/>
      <c r="E1000" s="10"/>
      <c r="F1000" s="10"/>
      <c r="G1000" s="69"/>
      <c r="H1000" s="69"/>
      <c r="I1000" s="69"/>
      <c r="J1000" s="70"/>
      <c r="K1000" s="69"/>
      <c r="L1000" s="69"/>
      <c r="M1000" s="69"/>
      <c r="N1000" s="69"/>
      <c r="O1000" s="2"/>
      <c r="P1000" s="2"/>
      <c r="Q1000" s="32"/>
      <c r="R1000" s="32"/>
      <c r="S1000" s="32"/>
      <c r="T1000" s="3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M2" sqref="M2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9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77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54</v>
      </c>
      <c r="C2" s="10" t="s">
        <v>623</v>
      </c>
      <c r="D2" s="10">
        <v>727727</v>
      </c>
      <c r="E2" s="69">
        <v>2215.63</v>
      </c>
      <c r="F2" s="69">
        <v>179.68</v>
      </c>
      <c r="G2" s="69">
        <f t="shared" ref="G2:G12" si="0">F2*0.75</f>
        <v>134.76</v>
      </c>
      <c r="H2" s="75">
        <v>0.26985999999999999</v>
      </c>
      <c r="I2" s="69">
        <f t="shared" ref="I2:I12" si="1">(E2+G2)*H2</f>
        <v>634.27624540000011</v>
      </c>
      <c r="J2" s="78">
        <f t="shared" ref="J2:J12" si="2">F2*0.05*H2</f>
        <v>2.4244222399999997</v>
      </c>
      <c r="K2" s="61">
        <v>0</v>
      </c>
      <c r="L2" s="61">
        <f t="shared" ref="L2:L12" si="3">F2*0.08*H2</f>
        <v>3.8790755840000002</v>
      </c>
      <c r="M2" s="58">
        <f>SUM(K:L)</f>
        <v>4117.569303227202</v>
      </c>
      <c r="N2" s="2" t="s">
        <v>412</v>
      </c>
      <c r="O2" s="2" t="s">
        <v>413</v>
      </c>
      <c r="P2" s="32">
        <v>0</v>
      </c>
      <c r="Q2" s="32">
        <f>SUM(I:I)</f>
        <v>10849.276128460377</v>
      </c>
      <c r="R2" s="32">
        <f>SUM(P:P)</f>
        <v>-19674.810000000005</v>
      </c>
      <c r="S2" s="32">
        <f>Q2+R2</f>
        <v>-8825.5338715396283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32" t="s">
        <v>54</v>
      </c>
      <c r="C3" s="10" t="s">
        <v>624</v>
      </c>
      <c r="D3" s="10" t="s">
        <v>625</v>
      </c>
      <c r="E3" s="32">
        <v>1260.46</v>
      </c>
      <c r="F3" s="32">
        <v>520.64</v>
      </c>
      <c r="G3" s="69">
        <f t="shared" si="0"/>
        <v>390.48</v>
      </c>
      <c r="H3" s="75">
        <v>0.26985999999999999</v>
      </c>
      <c r="I3" s="69">
        <f t="shared" si="1"/>
        <v>445.52266839999999</v>
      </c>
      <c r="J3" s="78">
        <f t="shared" si="2"/>
        <v>7.02499552</v>
      </c>
      <c r="K3" s="61">
        <v>0</v>
      </c>
      <c r="L3" s="61">
        <f t="shared" si="3"/>
        <v>11.239992832</v>
      </c>
      <c r="M3" s="58"/>
      <c r="N3" s="2" t="s">
        <v>290</v>
      </c>
      <c r="O3" s="29" t="s">
        <v>626</v>
      </c>
      <c r="P3" s="32">
        <v>-32.090000000000003</v>
      </c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32" t="s">
        <v>54</v>
      </c>
      <c r="C4" s="10" t="s">
        <v>627</v>
      </c>
      <c r="D4" s="10" t="s">
        <v>628</v>
      </c>
      <c r="E4" s="32">
        <v>-4526.6400000000003</v>
      </c>
      <c r="F4" s="32">
        <v>904.14</v>
      </c>
      <c r="G4" s="69">
        <f t="shared" si="0"/>
        <v>678.10500000000002</v>
      </c>
      <c r="H4" s="75">
        <v>0.26985999999999999</v>
      </c>
      <c r="I4" s="69">
        <f t="shared" si="1"/>
        <v>-1038.5656551</v>
      </c>
      <c r="J4" s="78">
        <f t="shared" si="2"/>
        <v>12.199561019999999</v>
      </c>
      <c r="K4" s="61">
        <v>0</v>
      </c>
      <c r="L4" s="61">
        <f t="shared" si="3"/>
        <v>19.519297631999997</v>
      </c>
      <c r="M4" s="58"/>
      <c r="N4" s="2" t="s">
        <v>629</v>
      </c>
      <c r="O4" s="2" t="s">
        <v>529</v>
      </c>
      <c r="P4" s="32">
        <v>13499.03</v>
      </c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32" t="s">
        <v>54</v>
      </c>
      <c r="C5" s="10" t="s">
        <v>630</v>
      </c>
      <c r="D5" s="10" t="s">
        <v>631</v>
      </c>
      <c r="E5" s="32">
        <v>-5639.96</v>
      </c>
      <c r="F5" s="32">
        <v>946.38</v>
      </c>
      <c r="G5" s="69">
        <f t="shared" si="0"/>
        <v>709.78499999999997</v>
      </c>
      <c r="H5" s="75">
        <v>0.26985999999999999</v>
      </c>
      <c r="I5" s="69">
        <f t="shared" si="1"/>
        <v>-1330.4570255000001</v>
      </c>
      <c r="J5" s="78">
        <f t="shared" si="2"/>
        <v>12.76950534</v>
      </c>
      <c r="K5" s="61">
        <v>0</v>
      </c>
      <c r="L5" s="61">
        <f t="shared" si="3"/>
        <v>20.431208544</v>
      </c>
      <c r="M5" s="58"/>
      <c r="N5" s="2" t="s">
        <v>299</v>
      </c>
      <c r="O5" s="29" t="s">
        <v>632</v>
      </c>
      <c r="P5" s="32">
        <v>-22.97</v>
      </c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296</v>
      </c>
      <c r="B6" s="32" t="s">
        <v>54</v>
      </c>
      <c r="C6" s="10" t="s">
        <v>633</v>
      </c>
      <c r="D6" s="10" t="s">
        <v>634</v>
      </c>
      <c r="E6" s="32">
        <v>-60</v>
      </c>
      <c r="F6" s="32">
        <v>0</v>
      </c>
      <c r="G6" s="69">
        <f t="shared" si="0"/>
        <v>0</v>
      </c>
      <c r="H6" s="75">
        <v>0.26985999999999999</v>
      </c>
      <c r="I6" s="69">
        <f t="shared" si="1"/>
        <v>-16.191600000000001</v>
      </c>
      <c r="J6" s="78">
        <f t="shared" si="2"/>
        <v>0</v>
      </c>
      <c r="K6" s="61">
        <v>0</v>
      </c>
      <c r="L6" s="61">
        <f t="shared" si="3"/>
        <v>0</v>
      </c>
      <c r="M6" s="58"/>
      <c r="N6" s="2" t="s">
        <v>329</v>
      </c>
      <c r="O6" s="29" t="s">
        <v>635</v>
      </c>
      <c r="P6" s="32">
        <v>-2.2200000000000002</v>
      </c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296</v>
      </c>
      <c r="B7" s="32" t="s">
        <v>54</v>
      </c>
      <c r="C7" s="10" t="s">
        <v>636</v>
      </c>
      <c r="D7" s="32" t="s">
        <v>637</v>
      </c>
      <c r="E7" s="69">
        <v>18619.439999999999</v>
      </c>
      <c r="F7" s="69">
        <v>3846.34</v>
      </c>
      <c r="G7" s="69">
        <f t="shared" si="0"/>
        <v>2884.7550000000001</v>
      </c>
      <c r="H7" s="75">
        <v>0.26985999999999999</v>
      </c>
      <c r="I7" s="69">
        <f t="shared" si="1"/>
        <v>5803.1220626999993</v>
      </c>
      <c r="J7" s="78">
        <f t="shared" si="2"/>
        <v>51.898665620000003</v>
      </c>
      <c r="K7" s="61">
        <v>0</v>
      </c>
      <c r="L7" s="61">
        <f t="shared" si="3"/>
        <v>83.037864991999996</v>
      </c>
      <c r="M7" s="58"/>
      <c r="N7" s="2" t="s">
        <v>599</v>
      </c>
      <c r="O7" s="2" t="s">
        <v>529</v>
      </c>
      <c r="P7" s="32">
        <v>5502.67</v>
      </c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2" t="s">
        <v>296</v>
      </c>
      <c r="B8" s="32" t="s">
        <v>54</v>
      </c>
      <c r="C8" s="10" t="s">
        <v>638</v>
      </c>
      <c r="D8" s="32" t="s">
        <v>639</v>
      </c>
      <c r="E8" s="69">
        <v>11229.42</v>
      </c>
      <c r="F8" s="69">
        <v>1917.24</v>
      </c>
      <c r="G8" s="69">
        <f t="shared" si="0"/>
        <v>1437.93</v>
      </c>
      <c r="H8" s="75">
        <v>0.26985999999999999</v>
      </c>
      <c r="I8" s="69">
        <f t="shared" si="1"/>
        <v>3418.411071</v>
      </c>
      <c r="J8" s="78">
        <f t="shared" si="2"/>
        <v>25.869319320000002</v>
      </c>
      <c r="K8" s="61">
        <v>0</v>
      </c>
      <c r="L8" s="61">
        <f t="shared" si="3"/>
        <v>41.390910911999995</v>
      </c>
      <c r="M8" s="58"/>
      <c r="N8" s="2" t="s">
        <v>301</v>
      </c>
      <c r="O8" s="29" t="s">
        <v>640</v>
      </c>
      <c r="P8" s="32">
        <v>-20.36</v>
      </c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 t="s">
        <v>296</v>
      </c>
      <c r="B9" s="32" t="s">
        <v>54</v>
      </c>
      <c r="C9" s="10" t="s">
        <v>641</v>
      </c>
      <c r="D9" s="10" t="s">
        <v>642</v>
      </c>
      <c r="E9" s="32">
        <v>6039</v>
      </c>
      <c r="F9" s="32">
        <v>351.28</v>
      </c>
      <c r="G9" s="69">
        <f t="shared" si="0"/>
        <v>263.45999999999998</v>
      </c>
      <c r="H9" s="75">
        <v>0.26985999999999999</v>
      </c>
      <c r="I9" s="69">
        <f t="shared" si="1"/>
        <v>1700.7818556</v>
      </c>
      <c r="J9" s="78">
        <f t="shared" si="2"/>
        <v>4.7398210399999998</v>
      </c>
      <c r="K9" s="61">
        <v>0</v>
      </c>
      <c r="L9" s="61">
        <f t="shared" si="3"/>
        <v>7.5837136639999994</v>
      </c>
      <c r="M9" s="58"/>
      <c r="N9" s="2" t="s">
        <v>334</v>
      </c>
      <c r="O9" s="29" t="s">
        <v>643</v>
      </c>
      <c r="P9" s="32">
        <v>11.86</v>
      </c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296</v>
      </c>
      <c r="B10" s="32" t="s">
        <v>54</v>
      </c>
      <c r="C10" s="10" t="s">
        <v>644</v>
      </c>
      <c r="D10" s="10" t="s">
        <v>645</v>
      </c>
      <c r="E10" s="32">
        <v>-742.55</v>
      </c>
      <c r="F10" s="32">
        <v>38.01</v>
      </c>
      <c r="G10" s="69">
        <f t="shared" si="0"/>
        <v>28.5075</v>
      </c>
      <c r="H10" s="75">
        <v>0.26985999999999999</v>
      </c>
      <c r="I10" s="69">
        <f t="shared" si="1"/>
        <v>-192.69150904999998</v>
      </c>
      <c r="J10" s="78">
        <f t="shared" si="2"/>
        <v>0.51286893</v>
      </c>
      <c r="K10" s="61">
        <v>0</v>
      </c>
      <c r="L10" s="61">
        <f t="shared" si="3"/>
        <v>0.820590288</v>
      </c>
      <c r="M10" s="58"/>
      <c r="N10" s="2" t="s">
        <v>303</v>
      </c>
      <c r="O10" s="29" t="s">
        <v>646</v>
      </c>
      <c r="P10" s="32">
        <v>-0.33</v>
      </c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296</v>
      </c>
      <c r="B11" s="29" t="s">
        <v>35</v>
      </c>
      <c r="C11" s="10" t="s">
        <v>647</v>
      </c>
      <c r="D11" s="10" t="s">
        <v>648</v>
      </c>
      <c r="E11" s="32">
        <v>2041.73</v>
      </c>
      <c r="F11" s="32">
        <v>501.06</v>
      </c>
      <c r="G11" s="69">
        <f t="shared" si="0"/>
        <v>375.79500000000002</v>
      </c>
      <c r="H11" s="75">
        <v>0.26985999999999999</v>
      </c>
      <c r="I11" s="69">
        <f t="shared" si="1"/>
        <v>652.39329650000002</v>
      </c>
      <c r="J11" s="78">
        <f t="shared" si="2"/>
        <v>6.76080258</v>
      </c>
      <c r="K11" s="61">
        <v>0</v>
      </c>
      <c r="L11" s="61">
        <f t="shared" si="3"/>
        <v>10.817284128000001</v>
      </c>
      <c r="M11" s="58"/>
      <c r="N11" s="2" t="s">
        <v>350</v>
      </c>
      <c r="O11" s="29" t="s">
        <v>649</v>
      </c>
      <c r="P11" s="32">
        <v>10.97</v>
      </c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296</v>
      </c>
      <c r="B12" s="29" t="s">
        <v>35</v>
      </c>
      <c r="C12" s="10" t="s">
        <v>650</v>
      </c>
      <c r="D12" s="10" t="s">
        <v>651</v>
      </c>
      <c r="E12" s="32">
        <v>3904.25</v>
      </c>
      <c r="F12" s="32">
        <v>342.88</v>
      </c>
      <c r="G12" s="69">
        <f t="shared" si="0"/>
        <v>257.15999999999997</v>
      </c>
      <c r="H12" s="75">
        <v>0.26985999999999999</v>
      </c>
      <c r="I12" s="69">
        <f t="shared" si="1"/>
        <v>1122.9981025999998</v>
      </c>
      <c r="J12" s="78">
        <f t="shared" si="2"/>
        <v>4.62647984</v>
      </c>
      <c r="K12" s="61">
        <v>0</v>
      </c>
      <c r="L12" s="61">
        <f t="shared" si="3"/>
        <v>7.4023677439999993</v>
      </c>
      <c r="M12" s="58"/>
      <c r="N12" s="2" t="s">
        <v>424</v>
      </c>
      <c r="O12" s="2" t="s">
        <v>529</v>
      </c>
      <c r="P12" s="32">
        <v>-10307.200000000001</v>
      </c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296</v>
      </c>
      <c r="B13" s="2" t="s">
        <v>10</v>
      </c>
      <c r="C13" s="10">
        <v>875935</v>
      </c>
      <c r="D13" s="32" t="s">
        <v>652</v>
      </c>
      <c r="E13" s="69">
        <v>-2496.85</v>
      </c>
      <c r="F13" s="69">
        <v>176</v>
      </c>
      <c r="G13" s="69">
        <f t="shared" ref="G13:G54" si="4">F13*0.7</f>
        <v>123.19999999999999</v>
      </c>
      <c r="H13" s="70">
        <v>0.20533899999999999</v>
      </c>
      <c r="I13" s="69">
        <f t="shared" ref="I13:I20" si="5">(E13+G13)*H13*0.9</f>
        <v>-438.66262561500002</v>
      </c>
      <c r="J13" s="79" t="s">
        <v>468</v>
      </c>
      <c r="K13" s="61">
        <v>0</v>
      </c>
      <c r="L13" s="58">
        <f t="shared" ref="L13:L20" si="6">F13*0.05*H13*0.9</f>
        <v>1.62628488</v>
      </c>
      <c r="M13" s="58"/>
      <c r="N13" s="2" t="s">
        <v>306</v>
      </c>
      <c r="O13" s="29" t="s">
        <v>653</v>
      </c>
      <c r="P13" s="32">
        <v>-1.1000000000000001</v>
      </c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 t="s">
        <v>296</v>
      </c>
      <c r="B14" s="2" t="s">
        <v>10</v>
      </c>
      <c r="C14" s="10">
        <v>923286</v>
      </c>
      <c r="D14" s="2" t="s">
        <v>654</v>
      </c>
      <c r="E14" s="32">
        <v>-1785.35</v>
      </c>
      <c r="F14" s="32">
        <v>223.5</v>
      </c>
      <c r="G14" s="69">
        <f t="shared" si="4"/>
        <v>156.44999999999999</v>
      </c>
      <c r="H14" s="70">
        <v>0.20533899999999999</v>
      </c>
      <c r="I14" s="69">
        <f t="shared" si="5"/>
        <v>-301.02902738999995</v>
      </c>
      <c r="J14" s="79" t="s">
        <v>468</v>
      </c>
      <c r="K14" s="61">
        <v>0</v>
      </c>
      <c r="L14" s="58">
        <f t="shared" si="6"/>
        <v>2.0651969925000002</v>
      </c>
      <c r="M14" s="58"/>
      <c r="N14" s="2" t="s">
        <v>306</v>
      </c>
      <c r="O14" s="29" t="s">
        <v>655</v>
      </c>
      <c r="P14" s="32">
        <v>3.04</v>
      </c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 t="s">
        <v>296</v>
      </c>
      <c r="B15" s="2" t="s">
        <v>10</v>
      </c>
      <c r="C15" s="10">
        <v>943163</v>
      </c>
      <c r="D15" s="32" t="s">
        <v>656</v>
      </c>
      <c r="E15" s="32">
        <v>-325</v>
      </c>
      <c r="F15" s="32">
        <v>37.5</v>
      </c>
      <c r="G15" s="69">
        <f t="shared" si="4"/>
        <v>26.25</v>
      </c>
      <c r="H15" s="70">
        <v>0.20533899999999999</v>
      </c>
      <c r="I15" s="69">
        <f t="shared" si="5"/>
        <v>-55.210523625</v>
      </c>
      <c r="J15" s="79" t="s">
        <v>468</v>
      </c>
      <c r="K15" s="61">
        <v>0</v>
      </c>
      <c r="L15" s="58">
        <f t="shared" si="6"/>
        <v>0.34650956249999998</v>
      </c>
      <c r="M15" s="58"/>
      <c r="N15" s="2" t="s">
        <v>609</v>
      </c>
      <c r="O15" s="2" t="s">
        <v>529</v>
      </c>
      <c r="P15" s="32">
        <v>23241.63</v>
      </c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 t="s">
        <v>296</v>
      </c>
      <c r="B16" s="2" t="s">
        <v>10</v>
      </c>
      <c r="C16" s="10">
        <v>953858</v>
      </c>
      <c r="D16" s="10" t="s">
        <v>657</v>
      </c>
      <c r="E16" s="32">
        <v>-180.15</v>
      </c>
      <c r="F16" s="32">
        <v>163.9</v>
      </c>
      <c r="G16" s="69">
        <f t="shared" si="4"/>
        <v>114.72999999999999</v>
      </c>
      <c r="H16" s="70">
        <v>0.20533899999999999</v>
      </c>
      <c r="I16" s="69">
        <f t="shared" si="5"/>
        <v>-12.089949642000004</v>
      </c>
      <c r="J16" s="79" t="s">
        <v>468</v>
      </c>
      <c r="K16" s="61">
        <v>0</v>
      </c>
      <c r="L16" s="58">
        <f t="shared" si="6"/>
        <v>1.5144777945000001</v>
      </c>
      <c r="M16" s="58"/>
      <c r="N16" s="2" t="s">
        <v>367</v>
      </c>
      <c r="O16" s="29" t="s">
        <v>658</v>
      </c>
      <c r="P16" s="32">
        <v>7.43</v>
      </c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2" t="s">
        <v>296</v>
      </c>
      <c r="B17" s="2" t="s">
        <v>10</v>
      </c>
      <c r="C17" s="10">
        <v>962215</v>
      </c>
      <c r="D17" s="10" t="s">
        <v>659</v>
      </c>
      <c r="E17" s="32">
        <v>-58.2</v>
      </c>
      <c r="F17" s="32">
        <v>38.15</v>
      </c>
      <c r="G17" s="69">
        <f t="shared" si="4"/>
        <v>26.704999999999998</v>
      </c>
      <c r="H17" s="70">
        <v>0.20533899999999999</v>
      </c>
      <c r="I17" s="69">
        <f t="shared" si="5"/>
        <v>-5.8204366245000001</v>
      </c>
      <c r="J17" s="79" t="s">
        <v>468</v>
      </c>
      <c r="K17" s="61">
        <v>0</v>
      </c>
      <c r="L17" s="58">
        <f t="shared" si="6"/>
        <v>0.35251572824999999</v>
      </c>
      <c r="M17" s="58"/>
      <c r="N17" s="2" t="s">
        <v>660</v>
      </c>
      <c r="O17" s="2" t="s">
        <v>661</v>
      </c>
      <c r="P17" s="32">
        <v>6000</v>
      </c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2" t="s">
        <v>296</v>
      </c>
      <c r="B18" s="2" t="s">
        <v>10</v>
      </c>
      <c r="C18" s="10">
        <v>963076</v>
      </c>
      <c r="D18" s="10" t="s">
        <v>662</v>
      </c>
      <c r="E18" s="32">
        <v>-474</v>
      </c>
      <c r="F18" s="32">
        <v>607.04999999999995</v>
      </c>
      <c r="G18" s="69">
        <f t="shared" si="4"/>
        <v>424.93499999999995</v>
      </c>
      <c r="H18" s="70">
        <v>0.20533899999999999</v>
      </c>
      <c r="I18" s="69">
        <f t="shared" si="5"/>
        <v>-9.0674622315000093</v>
      </c>
      <c r="J18" s="79" t="s">
        <v>468</v>
      </c>
      <c r="K18" s="61">
        <v>0</v>
      </c>
      <c r="L18" s="58">
        <f t="shared" si="6"/>
        <v>5.6092967977499999</v>
      </c>
      <c r="M18" s="58"/>
      <c r="N18" s="2" t="s">
        <v>311</v>
      </c>
      <c r="O18" s="29" t="s">
        <v>663</v>
      </c>
      <c r="P18" s="32">
        <v>4.1399999999999997</v>
      </c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2" t="s">
        <v>296</v>
      </c>
      <c r="B19" s="2" t="s">
        <v>10</v>
      </c>
      <c r="C19" s="10">
        <v>999104</v>
      </c>
      <c r="D19" s="32" t="s">
        <v>664</v>
      </c>
      <c r="E19" s="69">
        <v>-404.65</v>
      </c>
      <c r="F19" s="69">
        <v>614.20000000000005</v>
      </c>
      <c r="G19" s="69">
        <f t="shared" si="4"/>
        <v>429.94</v>
      </c>
      <c r="H19" s="70">
        <v>0.20533899999999999</v>
      </c>
      <c r="I19" s="69">
        <f t="shared" si="5"/>
        <v>4.6737209790000032</v>
      </c>
      <c r="J19" s="79" t="s">
        <v>468</v>
      </c>
      <c r="K19" s="61">
        <v>0</v>
      </c>
      <c r="L19" s="58">
        <f t="shared" si="6"/>
        <v>5.6753646210000008</v>
      </c>
      <c r="M19" s="58"/>
      <c r="N19" s="2" t="s">
        <v>665</v>
      </c>
      <c r="O19" s="2" t="s">
        <v>529</v>
      </c>
      <c r="P19" s="32">
        <v>-33984.400000000001</v>
      </c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 t="s">
        <v>296</v>
      </c>
      <c r="B20" s="2" t="s">
        <v>10</v>
      </c>
      <c r="C20" s="10">
        <v>1009846</v>
      </c>
      <c r="D20" s="32" t="s">
        <v>666</v>
      </c>
      <c r="E20" s="69">
        <v>18.5</v>
      </c>
      <c r="F20" s="69">
        <v>11.05</v>
      </c>
      <c r="G20" s="69">
        <f t="shared" si="4"/>
        <v>7.7350000000000003</v>
      </c>
      <c r="H20" s="70">
        <v>0.20533899999999999</v>
      </c>
      <c r="I20" s="69">
        <f t="shared" si="5"/>
        <v>4.8483617985</v>
      </c>
      <c r="J20" s="79" t="s">
        <v>468</v>
      </c>
      <c r="K20" s="61">
        <v>0</v>
      </c>
      <c r="L20" s="58">
        <f t="shared" si="6"/>
        <v>0.10210481775000002</v>
      </c>
      <c r="M20" s="58"/>
      <c r="N20" s="2" t="s">
        <v>314</v>
      </c>
      <c r="O20" s="29" t="s">
        <v>667</v>
      </c>
      <c r="P20" s="32">
        <v>-19</v>
      </c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 t="s">
        <v>296</v>
      </c>
      <c r="B21" s="2" t="s">
        <v>10</v>
      </c>
      <c r="C21" s="10">
        <v>1009846</v>
      </c>
      <c r="D21" s="32" t="s">
        <v>666</v>
      </c>
      <c r="E21" s="32">
        <v>-45.8</v>
      </c>
      <c r="F21" s="32">
        <v>5.5</v>
      </c>
      <c r="G21" s="69">
        <f t="shared" si="4"/>
        <v>3.8499999999999996</v>
      </c>
      <c r="H21" s="70">
        <v>0.20533899999999999</v>
      </c>
      <c r="I21" s="69">
        <f>(E21+G21)*H21</f>
        <v>-8.6139710499999982</v>
      </c>
      <c r="J21" s="79" t="s">
        <v>468</v>
      </c>
      <c r="K21" s="61">
        <v>0</v>
      </c>
      <c r="L21" s="61">
        <f>F21*0.05*H21</f>
        <v>5.6468225000000004E-2</v>
      </c>
      <c r="M21" s="58"/>
      <c r="N21" s="2" t="s">
        <v>376</v>
      </c>
      <c r="O21" s="29" t="s">
        <v>668</v>
      </c>
      <c r="P21" s="32">
        <v>4.4800000000000004</v>
      </c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 t="s">
        <v>296</v>
      </c>
      <c r="B22" s="2" t="s">
        <v>10</v>
      </c>
      <c r="C22" s="10">
        <v>1011126</v>
      </c>
      <c r="D22" s="2" t="s">
        <v>669</v>
      </c>
      <c r="E22" s="32">
        <v>-76.95</v>
      </c>
      <c r="F22" s="32">
        <v>208.15</v>
      </c>
      <c r="G22" s="69">
        <f t="shared" si="4"/>
        <v>145.70499999999998</v>
      </c>
      <c r="H22" s="70">
        <v>0.20533899999999999</v>
      </c>
      <c r="I22" s="69">
        <f t="shared" ref="I22:I28" si="7">(E22+G22)*H22*0.9</f>
        <v>12.706274650499996</v>
      </c>
      <c r="J22" s="79" t="s">
        <v>468</v>
      </c>
      <c r="K22" s="61">
        <v>0</v>
      </c>
      <c r="L22" s="58">
        <f t="shared" ref="L22:L28" si="8">F22*0.05*H22*0.9</f>
        <v>1.9233590782500001</v>
      </c>
      <c r="M22" s="58"/>
      <c r="N22" s="2" t="s">
        <v>316</v>
      </c>
      <c r="O22" s="29" t="s">
        <v>670</v>
      </c>
      <c r="P22" s="32">
        <v>-7.93</v>
      </c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 t="s">
        <v>296</v>
      </c>
      <c r="B23" s="2" t="s">
        <v>10</v>
      </c>
      <c r="C23" s="10">
        <v>1054937</v>
      </c>
      <c r="D23" s="32" t="s">
        <v>671</v>
      </c>
      <c r="E23" s="32">
        <v>190.2</v>
      </c>
      <c r="F23" s="32">
        <v>48.55</v>
      </c>
      <c r="G23" s="69">
        <f t="shared" si="4"/>
        <v>33.984999999999992</v>
      </c>
      <c r="H23" s="70">
        <v>0.20533899999999999</v>
      </c>
      <c r="I23" s="69">
        <f t="shared" si="7"/>
        <v>41.430531343499993</v>
      </c>
      <c r="J23" s="79" t="s">
        <v>468</v>
      </c>
      <c r="K23" s="61">
        <v>0</v>
      </c>
      <c r="L23" s="58">
        <f t="shared" si="8"/>
        <v>0.44861438025000006</v>
      </c>
      <c r="M23" s="58"/>
      <c r="N23" s="2" t="s">
        <v>672</v>
      </c>
      <c r="O23" s="2" t="s">
        <v>529</v>
      </c>
      <c r="P23" s="32">
        <v>-19836</v>
      </c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 t="s">
        <v>296</v>
      </c>
      <c r="B24" s="2" t="s">
        <v>10</v>
      </c>
      <c r="C24" s="10">
        <v>1058479</v>
      </c>
      <c r="D24" s="32" t="s">
        <v>673</v>
      </c>
      <c r="E24" s="32">
        <v>-303.60000000000002</v>
      </c>
      <c r="F24" s="32">
        <v>60.8</v>
      </c>
      <c r="G24" s="69">
        <f t="shared" si="4"/>
        <v>42.559999999999995</v>
      </c>
      <c r="H24" s="70">
        <v>0.20533899999999999</v>
      </c>
      <c r="I24" s="69">
        <f t="shared" si="7"/>
        <v>-48.241523304000005</v>
      </c>
      <c r="J24" s="79" t="s">
        <v>468</v>
      </c>
      <c r="K24" s="61">
        <v>0</v>
      </c>
      <c r="L24" s="58">
        <f t="shared" si="8"/>
        <v>0.56180750400000001</v>
      </c>
      <c r="M24" s="58"/>
      <c r="N24" s="2" t="s">
        <v>319</v>
      </c>
      <c r="O24" s="29" t="s">
        <v>674</v>
      </c>
      <c r="P24" s="32">
        <v>12.01</v>
      </c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 t="s">
        <v>296</v>
      </c>
      <c r="B25" s="2" t="s">
        <v>10</v>
      </c>
      <c r="C25" s="10">
        <v>1058480</v>
      </c>
      <c r="D25" s="10" t="s">
        <v>675</v>
      </c>
      <c r="E25" s="32">
        <v>-576.75</v>
      </c>
      <c r="F25" s="32">
        <v>211.65</v>
      </c>
      <c r="G25" s="69">
        <f t="shared" si="4"/>
        <v>148.155</v>
      </c>
      <c r="H25" s="70">
        <v>0.20533899999999999</v>
      </c>
      <c r="I25" s="69">
        <f t="shared" si="7"/>
        <v>-79.206541834500001</v>
      </c>
      <c r="J25" s="79" t="s">
        <v>468</v>
      </c>
      <c r="K25" s="61">
        <v>0</v>
      </c>
      <c r="L25" s="58">
        <f t="shared" si="8"/>
        <v>1.95569997075</v>
      </c>
      <c r="M25" s="58"/>
      <c r="N25" s="2" t="s">
        <v>320</v>
      </c>
      <c r="O25" s="29" t="s">
        <v>676</v>
      </c>
      <c r="P25" s="32">
        <v>-51.84</v>
      </c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 t="s">
        <v>296</v>
      </c>
      <c r="B26" s="2" t="s">
        <v>10</v>
      </c>
      <c r="C26" s="10">
        <v>1058483</v>
      </c>
      <c r="D26" s="10" t="s">
        <v>677</v>
      </c>
      <c r="E26" s="32">
        <v>145.85</v>
      </c>
      <c r="F26" s="32">
        <v>202</v>
      </c>
      <c r="G26" s="69">
        <f t="shared" si="4"/>
        <v>141.39999999999998</v>
      </c>
      <c r="H26" s="70">
        <v>0.20533899999999999</v>
      </c>
      <c r="I26" s="69">
        <f t="shared" si="7"/>
        <v>53.085264975000001</v>
      </c>
      <c r="J26" s="79" t="s">
        <v>468</v>
      </c>
      <c r="K26" s="61">
        <v>0</v>
      </c>
      <c r="L26" s="58">
        <f t="shared" si="8"/>
        <v>1.8665315100000002</v>
      </c>
      <c r="M26" s="58"/>
      <c r="N26" s="2" t="s">
        <v>322</v>
      </c>
      <c r="O26" s="29" t="s">
        <v>678</v>
      </c>
      <c r="P26" s="32">
        <v>-5.35</v>
      </c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 t="s">
        <v>296</v>
      </c>
      <c r="B27" s="2" t="s">
        <v>10</v>
      </c>
      <c r="C27" s="10">
        <v>1058486</v>
      </c>
      <c r="D27" s="32" t="s">
        <v>679</v>
      </c>
      <c r="E27" s="69">
        <v>-811.15</v>
      </c>
      <c r="F27" s="69">
        <v>170.45</v>
      </c>
      <c r="G27" s="69">
        <f t="shared" si="4"/>
        <v>119.31499999999998</v>
      </c>
      <c r="H27" s="70">
        <v>0.20533899999999999</v>
      </c>
      <c r="I27" s="69">
        <f t="shared" si="7"/>
        <v>-127.8546363585</v>
      </c>
      <c r="J27" s="79" t="s">
        <v>468</v>
      </c>
      <c r="K27" s="61">
        <v>0</v>
      </c>
      <c r="L27" s="58">
        <f t="shared" si="8"/>
        <v>1.5750014647499997</v>
      </c>
      <c r="M27" s="58"/>
      <c r="N27" s="2" t="s">
        <v>397</v>
      </c>
      <c r="O27" s="29" t="s">
        <v>680</v>
      </c>
      <c r="P27" s="32">
        <v>2.98</v>
      </c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 t="s">
        <v>296</v>
      </c>
      <c r="B28" s="2" t="s">
        <v>10</v>
      </c>
      <c r="C28" s="10">
        <v>1058947</v>
      </c>
      <c r="D28" s="10" t="s">
        <v>681</v>
      </c>
      <c r="E28" s="32">
        <v>-779.95</v>
      </c>
      <c r="F28" s="32">
        <v>272.2</v>
      </c>
      <c r="G28" s="69">
        <f t="shared" si="4"/>
        <v>190.54</v>
      </c>
      <c r="H28" s="70">
        <v>0.20533899999999999</v>
      </c>
      <c r="I28" s="69">
        <f t="shared" si="7"/>
        <v>-108.92597399100002</v>
      </c>
      <c r="J28" s="79" t="s">
        <v>468</v>
      </c>
      <c r="K28" s="61">
        <v>0</v>
      </c>
      <c r="L28" s="58">
        <f t="shared" si="8"/>
        <v>2.5151974109999999</v>
      </c>
      <c r="M28" s="58"/>
      <c r="N28" s="2" t="s">
        <v>398</v>
      </c>
      <c r="O28" s="29" t="s">
        <v>682</v>
      </c>
      <c r="P28" s="32">
        <v>-3.02</v>
      </c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 t="s">
        <v>296</v>
      </c>
      <c r="B29" s="2" t="s">
        <v>10</v>
      </c>
      <c r="C29" s="10">
        <v>1058947</v>
      </c>
      <c r="D29" s="10" t="s">
        <v>681</v>
      </c>
      <c r="E29" s="32">
        <v>-3.3</v>
      </c>
      <c r="F29" s="32">
        <v>2.4300000000000002</v>
      </c>
      <c r="G29" s="69">
        <f t="shared" si="4"/>
        <v>1.7010000000000001</v>
      </c>
      <c r="H29" s="70">
        <v>0.20533899999999999</v>
      </c>
      <c r="I29" s="69">
        <f>(E29+G29)*H29</f>
        <v>-0.32833706099999993</v>
      </c>
      <c r="J29" s="79" t="s">
        <v>468</v>
      </c>
      <c r="K29" s="61">
        <v>0</v>
      </c>
      <c r="L29" s="61">
        <f>F29*0.05*H29</f>
        <v>2.49486885E-2</v>
      </c>
      <c r="M29" s="58"/>
      <c r="N29" s="2" t="s">
        <v>683</v>
      </c>
      <c r="O29" s="2" t="s">
        <v>529</v>
      </c>
      <c r="P29" s="32">
        <v>-3699.65</v>
      </c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2" t="s">
        <v>296</v>
      </c>
      <c r="B30" s="2" t="s">
        <v>10</v>
      </c>
      <c r="C30" s="10">
        <v>1060012</v>
      </c>
      <c r="D30" s="10" t="s">
        <v>684</v>
      </c>
      <c r="E30" s="32">
        <v>-57.85</v>
      </c>
      <c r="F30" s="32">
        <v>5.75</v>
      </c>
      <c r="G30" s="69">
        <f t="shared" si="4"/>
        <v>4.0249999999999995</v>
      </c>
      <c r="H30" s="70">
        <v>0.20533899999999999</v>
      </c>
      <c r="I30" s="69">
        <f t="shared" ref="I30:I34" si="9">(E30+G30)*H30*0.9</f>
        <v>-9.9471345074999995</v>
      </c>
      <c r="J30" s="79" t="s">
        <v>468</v>
      </c>
      <c r="K30" s="61">
        <v>0</v>
      </c>
      <c r="L30" s="58">
        <f t="shared" ref="L30:L34" si="10">F30*0.05*H30*0.9</f>
        <v>5.3131466250000002E-2</v>
      </c>
      <c r="M30" s="58"/>
      <c r="N30" s="2" t="s">
        <v>354</v>
      </c>
      <c r="O30" s="29" t="s">
        <v>685</v>
      </c>
      <c r="P30" s="32">
        <v>18.41</v>
      </c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2" t="s">
        <v>296</v>
      </c>
      <c r="B31" s="2" t="s">
        <v>10</v>
      </c>
      <c r="C31" s="10">
        <v>1062553</v>
      </c>
      <c r="D31" s="10" t="s">
        <v>686</v>
      </c>
      <c r="E31" s="32">
        <v>-64.849999999999994</v>
      </c>
      <c r="F31" s="32">
        <v>10.9</v>
      </c>
      <c r="G31" s="69">
        <f t="shared" si="4"/>
        <v>7.63</v>
      </c>
      <c r="H31" s="70">
        <v>0.20533899999999999</v>
      </c>
      <c r="I31" s="69">
        <f t="shared" si="9"/>
        <v>-10.574547821999998</v>
      </c>
      <c r="J31" s="79" t="s">
        <v>468</v>
      </c>
      <c r="K31" s="61">
        <v>0</v>
      </c>
      <c r="L31" s="58">
        <f t="shared" si="10"/>
        <v>0.10071877950000001</v>
      </c>
      <c r="M31" s="58"/>
      <c r="N31" s="2"/>
      <c r="O31" s="2"/>
      <c r="P31" s="32"/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2" t="s">
        <v>296</v>
      </c>
      <c r="B32" s="2" t="s">
        <v>10</v>
      </c>
      <c r="C32" s="10">
        <v>1063039</v>
      </c>
      <c r="D32" s="32" t="s">
        <v>687</v>
      </c>
      <c r="E32" s="32">
        <v>-115</v>
      </c>
      <c r="F32" s="32">
        <v>26.6</v>
      </c>
      <c r="G32" s="69">
        <f t="shared" si="4"/>
        <v>18.62</v>
      </c>
      <c r="H32" s="70">
        <v>0.20533899999999999</v>
      </c>
      <c r="I32" s="69">
        <f t="shared" si="9"/>
        <v>-17.811515537999998</v>
      </c>
      <c r="J32" s="79" t="s">
        <v>468</v>
      </c>
      <c r="K32" s="61">
        <v>0</v>
      </c>
      <c r="L32" s="58">
        <f t="shared" si="10"/>
        <v>0.24579078300000001</v>
      </c>
      <c r="M32" s="58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2" t="s">
        <v>296</v>
      </c>
      <c r="B33" s="2" t="s">
        <v>10</v>
      </c>
      <c r="C33" s="10">
        <v>1064082</v>
      </c>
      <c r="D33" s="32" t="s">
        <v>688</v>
      </c>
      <c r="E33" s="32">
        <v>-58.7</v>
      </c>
      <c r="F33" s="32">
        <v>17.25</v>
      </c>
      <c r="G33" s="69">
        <f t="shared" si="4"/>
        <v>12.074999999999999</v>
      </c>
      <c r="H33" s="70">
        <v>0.20533899999999999</v>
      </c>
      <c r="I33" s="69">
        <f t="shared" si="9"/>
        <v>-8.6165377875000004</v>
      </c>
      <c r="J33" s="79" t="s">
        <v>468</v>
      </c>
      <c r="K33" s="61">
        <v>0</v>
      </c>
      <c r="L33" s="58">
        <f t="shared" si="10"/>
        <v>0.15939439875</v>
      </c>
      <c r="M33" s="58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2" t="s">
        <v>296</v>
      </c>
      <c r="B34" s="2" t="s">
        <v>10</v>
      </c>
      <c r="C34" s="10">
        <v>1064823</v>
      </c>
      <c r="D34" s="32" t="s">
        <v>689</v>
      </c>
      <c r="E34" s="69">
        <v>-74.3</v>
      </c>
      <c r="F34" s="69">
        <v>23.5</v>
      </c>
      <c r="G34" s="69">
        <f t="shared" si="4"/>
        <v>16.45</v>
      </c>
      <c r="H34" s="70">
        <v>0.20533899999999999</v>
      </c>
      <c r="I34" s="69">
        <f t="shared" si="9"/>
        <v>-10.690975034999999</v>
      </c>
      <c r="J34" s="79" t="s">
        <v>468</v>
      </c>
      <c r="K34" s="61">
        <v>0</v>
      </c>
      <c r="L34" s="58">
        <f t="shared" si="10"/>
        <v>0.21714599250000002</v>
      </c>
      <c r="M34" s="58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2" t="s">
        <v>296</v>
      </c>
      <c r="B35" s="2" t="s">
        <v>10</v>
      </c>
      <c r="C35" s="10">
        <v>1064823</v>
      </c>
      <c r="D35" s="32" t="s">
        <v>689</v>
      </c>
      <c r="E35" s="69">
        <v>-23.5</v>
      </c>
      <c r="F35" s="69">
        <v>2.5</v>
      </c>
      <c r="G35" s="69">
        <f t="shared" si="4"/>
        <v>1.75</v>
      </c>
      <c r="H35" s="70">
        <v>0.20533899999999999</v>
      </c>
      <c r="I35" s="69">
        <f>(E35+G35)*H35</f>
        <v>-4.4661232499999999</v>
      </c>
      <c r="J35" s="79" t="s">
        <v>468</v>
      </c>
      <c r="K35" s="61">
        <v>0</v>
      </c>
      <c r="L35" s="61">
        <f>F35*0.05*H35</f>
        <v>2.5667374999999999E-2</v>
      </c>
      <c r="M35" s="58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2" t="s">
        <v>296</v>
      </c>
      <c r="B36" s="2" t="s">
        <v>10</v>
      </c>
      <c r="C36" s="10">
        <v>1064980</v>
      </c>
      <c r="D36" s="32" t="s">
        <v>690</v>
      </c>
      <c r="E36" s="69">
        <v>-163.4</v>
      </c>
      <c r="F36" s="69">
        <v>26.8</v>
      </c>
      <c r="G36" s="69">
        <f t="shared" si="4"/>
        <v>18.759999999999998</v>
      </c>
      <c r="H36" s="70">
        <v>0.20533899999999999</v>
      </c>
      <c r="I36" s="69">
        <f t="shared" ref="I36:I43" si="11">(E36+G36)*H36*0.9</f>
        <v>-26.730209664</v>
      </c>
      <c r="J36" s="79" t="s">
        <v>468</v>
      </c>
      <c r="K36" s="61">
        <v>0</v>
      </c>
      <c r="L36" s="58">
        <f t="shared" ref="L36:L43" si="12">F36*0.05*H36*0.9</f>
        <v>0.247638834</v>
      </c>
      <c r="M36" s="58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2" t="s">
        <v>296</v>
      </c>
      <c r="B37" s="2" t="s">
        <v>10</v>
      </c>
      <c r="C37" s="10">
        <v>1064986</v>
      </c>
      <c r="D37" s="32" t="s">
        <v>691</v>
      </c>
      <c r="E37" s="32">
        <v>-637.75</v>
      </c>
      <c r="F37" s="32">
        <v>137.55000000000001</v>
      </c>
      <c r="G37" s="69">
        <f t="shared" si="4"/>
        <v>96.284999999999997</v>
      </c>
      <c r="H37" s="70">
        <v>0.20533899999999999</v>
      </c>
      <c r="I37" s="69">
        <f t="shared" si="11"/>
        <v>-100.06549347150001</v>
      </c>
      <c r="J37" s="79" t="s">
        <v>468</v>
      </c>
      <c r="K37" s="61">
        <v>0</v>
      </c>
      <c r="L37" s="58">
        <f t="shared" si="12"/>
        <v>1.2709970752500004</v>
      </c>
      <c r="M37" s="58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2" t="s">
        <v>296</v>
      </c>
      <c r="B38" s="2" t="s">
        <v>10</v>
      </c>
      <c r="C38" s="10">
        <v>1065002</v>
      </c>
      <c r="D38" s="32" t="s">
        <v>692</v>
      </c>
      <c r="E38" s="32">
        <v>-181.2</v>
      </c>
      <c r="F38" s="32">
        <v>10.8</v>
      </c>
      <c r="G38" s="69">
        <f t="shared" si="4"/>
        <v>7.56</v>
      </c>
      <c r="H38" s="70">
        <v>0.20533899999999999</v>
      </c>
      <c r="I38" s="69">
        <f t="shared" si="11"/>
        <v>-32.089557563999996</v>
      </c>
      <c r="J38" s="79" t="s">
        <v>468</v>
      </c>
      <c r="K38" s="61">
        <v>0</v>
      </c>
      <c r="L38" s="58">
        <f t="shared" si="12"/>
        <v>9.9794754000000013E-2</v>
      </c>
      <c r="M38" s="58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2" t="s">
        <v>296</v>
      </c>
      <c r="B39" s="2" t="s">
        <v>10</v>
      </c>
      <c r="C39" s="10">
        <v>1065855</v>
      </c>
      <c r="D39" s="32" t="s">
        <v>693</v>
      </c>
      <c r="E39" s="69">
        <v>-80.45</v>
      </c>
      <c r="F39" s="69">
        <v>6.9</v>
      </c>
      <c r="G39" s="69">
        <f t="shared" si="4"/>
        <v>4.83</v>
      </c>
      <c r="H39" s="70">
        <v>0.20533899999999999</v>
      </c>
      <c r="I39" s="69">
        <f t="shared" si="11"/>
        <v>-13.974961662</v>
      </c>
      <c r="J39" s="79" t="s">
        <v>468</v>
      </c>
      <c r="K39" s="61">
        <v>0</v>
      </c>
      <c r="L39" s="58">
        <f t="shared" si="12"/>
        <v>6.3757759499999997E-2</v>
      </c>
      <c r="M39" s="58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2" t="s">
        <v>296</v>
      </c>
      <c r="B40" s="2" t="s">
        <v>10</v>
      </c>
      <c r="C40" s="10">
        <v>1065856</v>
      </c>
      <c r="D40" s="10" t="s">
        <v>694</v>
      </c>
      <c r="E40" s="32">
        <v>524.5</v>
      </c>
      <c r="F40" s="32">
        <v>63.6</v>
      </c>
      <c r="G40" s="69">
        <f t="shared" si="4"/>
        <v>44.519999999999996</v>
      </c>
      <c r="H40" s="70">
        <v>0.20533899999999999</v>
      </c>
      <c r="I40" s="69">
        <f t="shared" si="11"/>
        <v>105.15779800200001</v>
      </c>
      <c r="J40" s="79" t="s">
        <v>468</v>
      </c>
      <c r="K40" s="61">
        <v>0</v>
      </c>
      <c r="L40" s="58">
        <f t="shared" si="12"/>
        <v>0.58768021800000003</v>
      </c>
      <c r="M40" s="58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2" t="s">
        <v>296</v>
      </c>
      <c r="B41" s="2" t="s">
        <v>10</v>
      </c>
      <c r="C41" s="10">
        <v>1065954</v>
      </c>
      <c r="D41" s="32" t="s">
        <v>695</v>
      </c>
      <c r="E41" s="69">
        <v>117.8</v>
      </c>
      <c r="F41" s="69">
        <v>54.6</v>
      </c>
      <c r="G41" s="69">
        <f t="shared" si="4"/>
        <v>38.22</v>
      </c>
      <c r="H41" s="70">
        <v>0.20533899999999999</v>
      </c>
      <c r="I41" s="69">
        <f t="shared" si="11"/>
        <v>28.833291701999997</v>
      </c>
      <c r="J41" s="79" t="s">
        <v>468</v>
      </c>
      <c r="K41" s="61">
        <v>0</v>
      </c>
      <c r="L41" s="58">
        <f t="shared" si="12"/>
        <v>0.50451792300000009</v>
      </c>
      <c r="M41" s="58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2" t="s">
        <v>296</v>
      </c>
      <c r="B42" s="2" t="s">
        <v>10</v>
      </c>
      <c r="C42" s="10">
        <v>1066198</v>
      </c>
      <c r="D42" s="32" t="s">
        <v>696</v>
      </c>
      <c r="E42" s="69">
        <v>-94.4</v>
      </c>
      <c r="F42" s="69">
        <v>76.45</v>
      </c>
      <c r="G42" s="69">
        <f t="shared" si="4"/>
        <v>53.515000000000001</v>
      </c>
      <c r="H42" s="70">
        <v>0.20533899999999999</v>
      </c>
      <c r="I42" s="69">
        <f t="shared" si="11"/>
        <v>-7.5557565135000004</v>
      </c>
      <c r="J42" s="79" t="s">
        <v>468</v>
      </c>
      <c r="K42" s="61">
        <v>0</v>
      </c>
      <c r="L42" s="58">
        <f t="shared" si="12"/>
        <v>0.70641749475000004</v>
      </c>
      <c r="M42" s="58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2" t="s">
        <v>296</v>
      </c>
      <c r="B43" s="2" t="s">
        <v>10</v>
      </c>
      <c r="C43" s="10">
        <v>1066328</v>
      </c>
      <c r="D43" s="10" t="s">
        <v>697</v>
      </c>
      <c r="E43" s="32">
        <v>-93.4</v>
      </c>
      <c r="F43" s="32">
        <v>24.75</v>
      </c>
      <c r="G43" s="69">
        <f t="shared" si="4"/>
        <v>17.324999999999999</v>
      </c>
      <c r="H43" s="70">
        <v>0.20533899999999999</v>
      </c>
      <c r="I43" s="69">
        <f t="shared" si="11"/>
        <v>-14.059047982500001</v>
      </c>
      <c r="J43" s="79" t="s">
        <v>468</v>
      </c>
      <c r="K43" s="61">
        <v>0</v>
      </c>
      <c r="L43" s="58">
        <f t="shared" si="12"/>
        <v>0.22869631125000001</v>
      </c>
      <c r="M43" s="58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2" t="s">
        <v>296</v>
      </c>
      <c r="B44" s="2" t="s">
        <v>10</v>
      </c>
      <c r="C44" s="10">
        <v>1066328</v>
      </c>
      <c r="D44" s="10" t="s">
        <v>697</v>
      </c>
      <c r="E44" s="32">
        <v>-15</v>
      </c>
      <c r="F44" s="32">
        <v>1.5</v>
      </c>
      <c r="G44" s="69">
        <f t="shared" si="4"/>
        <v>1.0499999999999998</v>
      </c>
      <c r="H44" s="70">
        <v>0.20533899999999999</v>
      </c>
      <c r="I44" s="69">
        <f>(E44+G44)*H44</f>
        <v>-2.8644790499999999</v>
      </c>
      <c r="J44" s="79" t="s">
        <v>468</v>
      </c>
      <c r="K44" s="61">
        <v>0</v>
      </c>
      <c r="L44" s="61">
        <f>F44*0.05*H44</f>
        <v>1.5400425000000002E-2</v>
      </c>
      <c r="M44" s="58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2" t="s">
        <v>296</v>
      </c>
      <c r="B45" s="2" t="s">
        <v>10</v>
      </c>
      <c r="C45" s="10">
        <v>1066615</v>
      </c>
      <c r="D45" s="10" t="s">
        <v>698</v>
      </c>
      <c r="E45" s="32">
        <v>-93</v>
      </c>
      <c r="F45" s="32">
        <v>5.05</v>
      </c>
      <c r="G45" s="69">
        <f t="shared" si="4"/>
        <v>3.5349999999999997</v>
      </c>
      <c r="H45" s="70">
        <v>0.20533899999999999</v>
      </c>
      <c r="I45" s="69">
        <f t="shared" ref="I45:I49" si="13">(E45+G45)*H45*0.9</f>
        <v>-16.533588271500001</v>
      </c>
      <c r="J45" s="79" t="s">
        <v>468</v>
      </c>
      <c r="K45" s="61">
        <v>0</v>
      </c>
      <c r="L45" s="58">
        <f t="shared" ref="L45:L49" si="14">F45*0.05*H45*0.9</f>
        <v>4.6663287749999997E-2</v>
      </c>
      <c r="M45" s="58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2" t="s">
        <v>296</v>
      </c>
      <c r="B46" s="2" t="s">
        <v>10</v>
      </c>
      <c r="C46" s="10">
        <v>1067090</v>
      </c>
      <c r="D46" s="10" t="s">
        <v>699</v>
      </c>
      <c r="E46" s="32">
        <v>-232.4</v>
      </c>
      <c r="F46" s="32">
        <v>53.25</v>
      </c>
      <c r="G46" s="69">
        <f t="shared" si="4"/>
        <v>37.274999999999999</v>
      </c>
      <c r="H46" s="70">
        <v>0.20533899999999999</v>
      </c>
      <c r="I46" s="69">
        <f t="shared" si="13"/>
        <v>-36.060095137499999</v>
      </c>
      <c r="J46" s="79" t="s">
        <v>468</v>
      </c>
      <c r="K46" s="61">
        <v>0</v>
      </c>
      <c r="L46" s="58">
        <f t="shared" si="14"/>
        <v>0.49204357874999999</v>
      </c>
      <c r="M46" s="58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2" t="s">
        <v>296</v>
      </c>
      <c r="B47" s="2" t="s">
        <v>10</v>
      </c>
      <c r="C47" s="10">
        <v>1067198</v>
      </c>
      <c r="D47" s="32" t="s">
        <v>700</v>
      </c>
      <c r="E47" s="69">
        <v>74.849999999999994</v>
      </c>
      <c r="F47" s="69">
        <v>10</v>
      </c>
      <c r="G47" s="69">
        <f t="shared" si="4"/>
        <v>7</v>
      </c>
      <c r="H47" s="70">
        <v>0.20533899999999999</v>
      </c>
      <c r="I47" s="69">
        <f t="shared" si="13"/>
        <v>15.126297434999998</v>
      </c>
      <c r="J47" s="79" t="s">
        <v>468</v>
      </c>
      <c r="K47" s="61">
        <v>0</v>
      </c>
      <c r="L47" s="58">
        <f t="shared" si="14"/>
        <v>9.240255E-2</v>
      </c>
      <c r="M47" s="58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2" t="s">
        <v>296</v>
      </c>
      <c r="B48" s="2" t="s">
        <v>10</v>
      </c>
      <c r="C48" s="10">
        <v>915274</v>
      </c>
      <c r="D48" s="32" t="s">
        <v>701</v>
      </c>
      <c r="E48" s="69">
        <v>-1084.5</v>
      </c>
      <c r="F48" s="69">
        <v>266.39999999999998</v>
      </c>
      <c r="G48" s="69">
        <f t="shared" si="4"/>
        <v>186.47999999999996</v>
      </c>
      <c r="H48" s="70">
        <v>0.20533899999999999</v>
      </c>
      <c r="I48" s="69">
        <f t="shared" si="13"/>
        <v>-165.95867590200001</v>
      </c>
      <c r="J48" s="79" t="s">
        <v>468</v>
      </c>
      <c r="K48" s="61">
        <v>0</v>
      </c>
      <c r="L48" s="58">
        <f t="shared" si="14"/>
        <v>2.4616039320000001</v>
      </c>
      <c r="M48" s="58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2" t="s">
        <v>296</v>
      </c>
      <c r="B49" s="2" t="s">
        <v>10</v>
      </c>
      <c r="C49" s="10">
        <v>1053975</v>
      </c>
      <c r="D49" s="32" t="s">
        <v>702</v>
      </c>
      <c r="E49" s="32">
        <v>-1033.2</v>
      </c>
      <c r="F49" s="32">
        <v>97.15</v>
      </c>
      <c r="G49" s="69">
        <f t="shared" si="4"/>
        <v>68.004999999999995</v>
      </c>
      <c r="H49" s="70">
        <v>0.20533899999999999</v>
      </c>
      <c r="I49" s="69">
        <f t="shared" si="13"/>
        <v>-178.37295849450001</v>
      </c>
      <c r="J49" s="79" t="s">
        <v>468</v>
      </c>
      <c r="K49" s="61">
        <v>0</v>
      </c>
      <c r="L49" s="58">
        <f t="shared" si="14"/>
        <v>0.89769077325000013</v>
      </c>
      <c r="M49" s="58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2" t="s">
        <v>296</v>
      </c>
      <c r="B50" s="2" t="s">
        <v>10</v>
      </c>
      <c r="C50" s="10">
        <v>1061785</v>
      </c>
      <c r="D50" s="10" t="s">
        <v>703</v>
      </c>
      <c r="E50" s="32">
        <v>-2</v>
      </c>
      <c r="F50" s="32">
        <v>0.2</v>
      </c>
      <c r="G50" s="69">
        <f t="shared" si="4"/>
        <v>0.13999999999999999</v>
      </c>
      <c r="H50" s="70">
        <v>0.20533899999999999</v>
      </c>
      <c r="I50" s="69">
        <f>(E50+G50)*H50</f>
        <v>-0.38193053999999999</v>
      </c>
      <c r="J50" s="79" t="s">
        <v>468</v>
      </c>
      <c r="K50" s="61">
        <v>0</v>
      </c>
      <c r="L50" s="61">
        <f>F50*0.05*H50</f>
        <v>2.0533900000000004E-3</v>
      </c>
      <c r="M50" s="58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2" t="s">
        <v>296</v>
      </c>
      <c r="B51" s="2" t="s">
        <v>10</v>
      </c>
      <c r="C51" s="10">
        <v>1063932</v>
      </c>
      <c r="D51" s="10" t="s">
        <v>704</v>
      </c>
      <c r="E51" s="32">
        <v>-277.95</v>
      </c>
      <c r="F51" s="32">
        <v>207.15</v>
      </c>
      <c r="G51" s="69">
        <f t="shared" si="4"/>
        <v>145.005</v>
      </c>
      <c r="H51" s="70">
        <v>0.20533899999999999</v>
      </c>
      <c r="I51" s="69">
        <f t="shared" ref="I51:I53" si="15">(E51+G51)*H51*0.9</f>
        <v>-24.568914019499999</v>
      </c>
      <c r="J51" s="79" t="s">
        <v>468</v>
      </c>
      <c r="K51" s="61">
        <v>0</v>
      </c>
      <c r="L51" s="58">
        <f t="shared" ref="L51:L53" si="16">F51*0.05*H51*0.9</f>
        <v>1.9141188232500004</v>
      </c>
      <c r="M51" s="58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2" t="s">
        <v>296</v>
      </c>
      <c r="B52" s="2" t="s">
        <v>10</v>
      </c>
      <c r="C52" s="10">
        <v>1064771</v>
      </c>
      <c r="D52" s="10" t="s">
        <v>705</v>
      </c>
      <c r="E52" s="32">
        <v>-2526.8000000000002</v>
      </c>
      <c r="F52" s="32">
        <v>290.7</v>
      </c>
      <c r="G52" s="69">
        <f t="shared" si="4"/>
        <v>203.48999999999998</v>
      </c>
      <c r="H52" s="70">
        <v>0.20533899999999999</v>
      </c>
      <c r="I52" s="69">
        <f t="shared" si="15"/>
        <v>-429.35953688100005</v>
      </c>
      <c r="J52" s="79" t="s">
        <v>468</v>
      </c>
      <c r="K52" s="61">
        <v>0</v>
      </c>
      <c r="L52" s="58">
        <f t="shared" si="16"/>
        <v>2.6861421284999998</v>
      </c>
      <c r="M52" s="58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2" t="s">
        <v>296</v>
      </c>
      <c r="B53" s="2" t="s">
        <v>10</v>
      </c>
      <c r="C53" s="10">
        <v>1064818</v>
      </c>
      <c r="D53" s="10" t="s">
        <v>706</v>
      </c>
      <c r="E53" s="32">
        <v>-268.75</v>
      </c>
      <c r="F53" s="32">
        <v>35.35</v>
      </c>
      <c r="G53" s="69">
        <f t="shared" si="4"/>
        <v>24.745000000000001</v>
      </c>
      <c r="H53" s="70">
        <v>0.20533899999999999</v>
      </c>
      <c r="I53" s="69">
        <f t="shared" si="15"/>
        <v>-45.093368425499996</v>
      </c>
      <c r="J53" s="79" t="s">
        <v>468</v>
      </c>
      <c r="K53" s="61">
        <v>0</v>
      </c>
      <c r="L53" s="58">
        <f t="shared" si="16"/>
        <v>0.32664301425000003</v>
      </c>
      <c r="M53" s="58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2" t="s">
        <v>296</v>
      </c>
      <c r="B54" s="2" t="s">
        <v>10</v>
      </c>
      <c r="C54" s="10">
        <v>1064818</v>
      </c>
      <c r="D54" s="10" t="s">
        <v>706</v>
      </c>
      <c r="E54" s="32">
        <v>-5.8</v>
      </c>
      <c r="F54" s="32">
        <v>0.7</v>
      </c>
      <c r="G54" s="69">
        <f t="shared" si="4"/>
        <v>0.48999999999999994</v>
      </c>
      <c r="H54" s="70">
        <v>0.20533899999999999</v>
      </c>
      <c r="I54" s="69">
        <f>(E54+G54)*H54</f>
        <v>-1.0903500899999998</v>
      </c>
      <c r="J54" s="79" t="s">
        <v>468</v>
      </c>
      <c r="K54" s="61">
        <v>0</v>
      </c>
      <c r="L54" s="61">
        <f>F54*0.05*H54</f>
        <v>7.1868649999999989E-3</v>
      </c>
      <c r="M54" s="58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2" t="s">
        <v>296</v>
      </c>
      <c r="B55" s="2" t="s">
        <v>140</v>
      </c>
      <c r="C55" s="10">
        <v>9378449</v>
      </c>
      <c r="D55" s="32" t="s">
        <v>707</v>
      </c>
      <c r="E55" s="69">
        <v>-3613.29</v>
      </c>
      <c r="F55" s="69">
        <v>570.80999999999995</v>
      </c>
      <c r="G55" s="69">
        <f>F55*0.6</f>
        <v>342.48599999999993</v>
      </c>
      <c r="H55" s="70">
        <v>0.671458</v>
      </c>
      <c r="I55" s="69">
        <f>((E55+G55)*0.9+48.47)*H55</f>
        <v>-1944.0411917488002</v>
      </c>
      <c r="J55" s="79" t="s">
        <v>468</v>
      </c>
      <c r="K55" s="61">
        <v>0</v>
      </c>
      <c r="L55" s="61">
        <f>F55*0.1*H55*0.9</f>
        <v>34.494744688199994</v>
      </c>
      <c r="M55" s="58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32" t="s">
        <v>317</v>
      </c>
      <c r="B56" s="32" t="s">
        <v>54</v>
      </c>
      <c r="C56" s="10" t="s">
        <v>624</v>
      </c>
      <c r="D56" s="10" t="s">
        <v>625</v>
      </c>
      <c r="E56" s="32">
        <v>-402</v>
      </c>
      <c r="F56" s="32">
        <v>292.38</v>
      </c>
      <c r="G56" s="69">
        <f t="shared" ref="G56:G66" si="17">F56*0.75</f>
        <v>219.285</v>
      </c>
      <c r="H56" s="75">
        <v>0.26644000000000001</v>
      </c>
      <c r="I56" s="69">
        <f t="shared" ref="I56:I66" si="18">(E56+G56)*H56</f>
        <v>-48.682584600000006</v>
      </c>
      <c r="J56" s="78">
        <f t="shared" ref="J56:J66" si="19">F56*0.05*H56</f>
        <v>3.8950863600000001</v>
      </c>
      <c r="K56" s="61">
        <v>0</v>
      </c>
      <c r="L56" s="61">
        <f t="shared" ref="L56:L66" si="20">F56*0.08*H56</f>
        <v>6.2321381760000003</v>
      </c>
      <c r="M56" s="58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32" t="s">
        <v>317</v>
      </c>
      <c r="B57" s="32" t="s">
        <v>54</v>
      </c>
      <c r="C57" s="10" t="s">
        <v>627</v>
      </c>
      <c r="D57" s="10" t="s">
        <v>628</v>
      </c>
      <c r="E57" s="32">
        <v>-77</v>
      </c>
      <c r="F57" s="32">
        <v>92.31</v>
      </c>
      <c r="G57" s="69">
        <f t="shared" si="17"/>
        <v>69.232500000000002</v>
      </c>
      <c r="H57" s="75">
        <v>0.26644000000000001</v>
      </c>
      <c r="I57" s="69">
        <f t="shared" si="18"/>
        <v>-2.0695726999999997</v>
      </c>
      <c r="J57" s="78">
        <f t="shared" si="19"/>
        <v>1.22975382</v>
      </c>
      <c r="K57" s="61">
        <v>0</v>
      </c>
      <c r="L57" s="61">
        <f t="shared" si="20"/>
        <v>1.9676061120000001</v>
      </c>
      <c r="M57" s="58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32" t="s">
        <v>317</v>
      </c>
      <c r="B58" s="32" t="s">
        <v>54</v>
      </c>
      <c r="C58" s="10" t="s">
        <v>630</v>
      </c>
      <c r="D58" s="32" t="s">
        <v>631</v>
      </c>
      <c r="E58" s="69">
        <v>-301.68</v>
      </c>
      <c r="F58" s="69">
        <v>258.47000000000003</v>
      </c>
      <c r="G58" s="69">
        <f t="shared" si="17"/>
        <v>193.85250000000002</v>
      </c>
      <c r="H58" s="75">
        <v>0.26644000000000001</v>
      </c>
      <c r="I58" s="69">
        <f t="shared" si="18"/>
        <v>-28.729559099999996</v>
      </c>
      <c r="J58" s="78">
        <f t="shared" si="19"/>
        <v>3.4433373400000007</v>
      </c>
      <c r="K58" s="61">
        <v>0</v>
      </c>
      <c r="L58" s="61">
        <f t="shared" si="20"/>
        <v>5.5093397440000009</v>
      </c>
      <c r="M58" s="58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32" t="s">
        <v>317</v>
      </c>
      <c r="B59" s="32" t="s">
        <v>54</v>
      </c>
      <c r="C59" s="10" t="s">
        <v>633</v>
      </c>
      <c r="D59" s="10" t="s">
        <v>634</v>
      </c>
      <c r="E59" s="32">
        <v>-11525</v>
      </c>
      <c r="F59" s="32">
        <v>469.12</v>
      </c>
      <c r="G59" s="69">
        <f t="shared" si="17"/>
        <v>351.84000000000003</v>
      </c>
      <c r="H59" s="75">
        <v>0.26644000000000001</v>
      </c>
      <c r="I59" s="69">
        <f t="shared" si="18"/>
        <v>-2976.9767504000001</v>
      </c>
      <c r="J59" s="78">
        <f t="shared" si="19"/>
        <v>6.2496166400000011</v>
      </c>
      <c r="K59" s="61">
        <v>0</v>
      </c>
      <c r="L59" s="61">
        <f t="shared" si="20"/>
        <v>9.9993866240000013</v>
      </c>
      <c r="M59" s="58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32" t="s">
        <v>317</v>
      </c>
      <c r="B60" s="32" t="s">
        <v>54</v>
      </c>
      <c r="C60" s="10" t="s">
        <v>636</v>
      </c>
      <c r="D60" s="10" t="s">
        <v>637</v>
      </c>
      <c r="E60" s="32">
        <v>-24968.67</v>
      </c>
      <c r="F60" s="32">
        <v>2627.8</v>
      </c>
      <c r="G60" s="69">
        <f t="shared" si="17"/>
        <v>1970.8500000000001</v>
      </c>
      <c r="H60" s="75">
        <v>0.26644000000000001</v>
      </c>
      <c r="I60" s="69">
        <f t="shared" si="18"/>
        <v>-6127.5391608</v>
      </c>
      <c r="J60" s="78">
        <f t="shared" si="19"/>
        <v>35.007551600000006</v>
      </c>
      <c r="K60" s="61">
        <v>0</v>
      </c>
      <c r="L60" s="61">
        <f t="shared" si="20"/>
        <v>56.01208256000001</v>
      </c>
      <c r="M60" s="58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32" t="s">
        <v>317</v>
      </c>
      <c r="B61" s="32" t="s">
        <v>54</v>
      </c>
      <c r="C61" s="10" t="s">
        <v>638</v>
      </c>
      <c r="D61" s="10" t="s">
        <v>639</v>
      </c>
      <c r="E61" s="32">
        <v>1474.89</v>
      </c>
      <c r="F61" s="32">
        <v>562.73</v>
      </c>
      <c r="G61" s="69">
        <f t="shared" si="17"/>
        <v>422.04750000000001</v>
      </c>
      <c r="H61" s="75">
        <v>0.26644000000000001</v>
      </c>
      <c r="I61" s="69">
        <f t="shared" si="18"/>
        <v>505.4200275</v>
      </c>
      <c r="J61" s="78">
        <f t="shared" si="19"/>
        <v>7.4966890600000005</v>
      </c>
      <c r="K61" s="61">
        <v>0</v>
      </c>
      <c r="L61" s="61">
        <f t="shared" si="20"/>
        <v>11.994702496</v>
      </c>
      <c r="M61" s="58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32" t="s">
        <v>317</v>
      </c>
      <c r="B62" s="32" t="s">
        <v>54</v>
      </c>
      <c r="C62" s="10" t="s">
        <v>641</v>
      </c>
      <c r="D62" s="32" t="s">
        <v>642</v>
      </c>
      <c r="E62" s="69">
        <v>5141.5600000000004</v>
      </c>
      <c r="F62" s="69">
        <v>504.86</v>
      </c>
      <c r="G62" s="69">
        <f t="shared" si="17"/>
        <v>378.64499999999998</v>
      </c>
      <c r="H62" s="75">
        <v>0.26644000000000001</v>
      </c>
      <c r="I62" s="69">
        <f t="shared" si="18"/>
        <v>1470.8034202000001</v>
      </c>
      <c r="J62" s="78">
        <f t="shared" si="19"/>
        <v>6.7257449200000012</v>
      </c>
      <c r="K62" s="61">
        <v>0</v>
      </c>
      <c r="L62" s="61">
        <f t="shared" si="20"/>
        <v>10.761191872000001</v>
      </c>
      <c r="M62" s="58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32" t="s">
        <v>317</v>
      </c>
      <c r="B63" s="32" t="s">
        <v>54</v>
      </c>
      <c r="C63" s="10" t="s">
        <v>644</v>
      </c>
      <c r="D63" s="10" t="s">
        <v>645</v>
      </c>
      <c r="E63" s="32">
        <v>334.4</v>
      </c>
      <c r="F63" s="32">
        <v>17.739999999999998</v>
      </c>
      <c r="G63" s="69">
        <f t="shared" si="17"/>
        <v>13.305</v>
      </c>
      <c r="H63" s="75">
        <v>0.26644000000000001</v>
      </c>
      <c r="I63" s="69">
        <f t="shared" si="18"/>
        <v>92.642520199999993</v>
      </c>
      <c r="J63" s="78">
        <f t="shared" si="19"/>
        <v>0.23633228000000001</v>
      </c>
      <c r="K63" s="61">
        <v>0</v>
      </c>
      <c r="L63" s="61">
        <f t="shared" si="20"/>
        <v>0.37813164799999999</v>
      </c>
      <c r="M63" s="58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32" t="s">
        <v>317</v>
      </c>
      <c r="B64" s="32" t="s">
        <v>54</v>
      </c>
      <c r="C64" s="10" t="s">
        <v>708</v>
      </c>
      <c r="D64" s="10" t="s">
        <v>709</v>
      </c>
      <c r="E64" s="32">
        <v>432</v>
      </c>
      <c r="F64" s="32">
        <v>24</v>
      </c>
      <c r="G64" s="69">
        <f t="shared" si="17"/>
        <v>18</v>
      </c>
      <c r="H64" s="75">
        <v>0.26644000000000001</v>
      </c>
      <c r="I64" s="69">
        <f t="shared" si="18"/>
        <v>119.89800000000001</v>
      </c>
      <c r="J64" s="78">
        <f t="shared" si="19"/>
        <v>0.31972800000000007</v>
      </c>
      <c r="K64" s="61">
        <v>0</v>
      </c>
      <c r="L64" s="61">
        <f t="shared" si="20"/>
        <v>0.51156480000000004</v>
      </c>
      <c r="M64" s="58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32" t="s">
        <v>317</v>
      </c>
      <c r="B65" s="29" t="s">
        <v>35</v>
      </c>
      <c r="C65" s="10" t="s">
        <v>647</v>
      </c>
      <c r="D65" s="10" t="s">
        <v>648</v>
      </c>
      <c r="E65" s="32">
        <v>-119.66</v>
      </c>
      <c r="F65" s="32">
        <v>1000.23</v>
      </c>
      <c r="G65" s="69">
        <f t="shared" si="17"/>
        <v>750.17250000000001</v>
      </c>
      <c r="H65" s="75">
        <v>0.26644000000000001</v>
      </c>
      <c r="I65" s="69">
        <f t="shared" si="18"/>
        <v>167.9937505</v>
      </c>
      <c r="J65" s="78">
        <f t="shared" si="19"/>
        <v>13.325064060000003</v>
      </c>
      <c r="K65" s="61">
        <v>0</v>
      </c>
      <c r="L65" s="61">
        <f t="shared" si="20"/>
        <v>21.320102496000001</v>
      </c>
      <c r="M65" s="58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32" t="s">
        <v>317</v>
      </c>
      <c r="B66" s="29" t="s">
        <v>35</v>
      </c>
      <c r="C66" s="10" t="s">
        <v>650</v>
      </c>
      <c r="D66" s="10" t="s">
        <v>651</v>
      </c>
      <c r="E66" s="32">
        <v>-100</v>
      </c>
      <c r="F66" s="32">
        <v>0</v>
      </c>
      <c r="G66" s="69">
        <f t="shared" si="17"/>
        <v>0</v>
      </c>
      <c r="H66" s="75">
        <v>0.26644000000000001</v>
      </c>
      <c r="I66" s="69">
        <f t="shared" si="18"/>
        <v>-26.644000000000002</v>
      </c>
      <c r="J66" s="78">
        <f t="shared" si="19"/>
        <v>0</v>
      </c>
      <c r="K66" s="61">
        <v>0</v>
      </c>
      <c r="L66" s="61">
        <f t="shared" si="20"/>
        <v>0</v>
      </c>
      <c r="M66" s="58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32" t="s">
        <v>317</v>
      </c>
      <c r="B67" s="32" t="s">
        <v>140</v>
      </c>
      <c r="C67" s="10">
        <v>9378449</v>
      </c>
      <c r="D67" s="32" t="s">
        <v>707</v>
      </c>
      <c r="E67" s="69">
        <v>-21742.68</v>
      </c>
      <c r="F67" s="69">
        <v>1297.57</v>
      </c>
      <c r="G67" s="69">
        <f>F67*0.6</f>
        <v>778.54199999999992</v>
      </c>
      <c r="H67" s="70">
        <v>0.66871999999999998</v>
      </c>
      <c r="I67" s="69">
        <f>((E67+G67)*0.9+213.64)*H67</f>
        <v>-12474.359186224001</v>
      </c>
      <c r="J67" s="79" t="s">
        <v>468</v>
      </c>
      <c r="K67" s="61">
        <v>0</v>
      </c>
      <c r="L67" s="61">
        <f>F67*0.1*H67*0.9</f>
        <v>78.093990936000012</v>
      </c>
      <c r="M67" s="58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32" t="s">
        <v>317</v>
      </c>
      <c r="B68" s="2" t="s">
        <v>10</v>
      </c>
      <c r="C68" s="10">
        <v>919711</v>
      </c>
      <c r="D68" s="10" t="s">
        <v>710</v>
      </c>
      <c r="E68" s="32">
        <v>17.8</v>
      </c>
      <c r="F68" s="32">
        <v>0.85</v>
      </c>
      <c r="G68" s="69">
        <f t="shared" ref="G68:G101" si="21">F68*0.7</f>
        <v>0.59499999999999997</v>
      </c>
      <c r="H68" s="73">
        <v>0.20576</v>
      </c>
      <c r="I68" s="69">
        <f t="shared" ref="I68:I101" si="22">(E68+G68)*H68*0.9</f>
        <v>3.4064596799999998</v>
      </c>
      <c r="J68" s="79" t="s">
        <v>468</v>
      </c>
      <c r="K68" s="61">
        <f t="shared" ref="K68:K101" si="23">E68*0.1*H68</f>
        <v>0.36625280000000004</v>
      </c>
      <c r="L68" s="58">
        <f t="shared" ref="L68:L101" si="24">(F68*0.05+G68*0.1)*H68</f>
        <v>2.0987520000000003E-2</v>
      </c>
      <c r="M68" s="58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x14ac:dyDescent="0.3">
      <c r="A69" s="32" t="s">
        <v>317</v>
      </c>
      <c r="B69" s="2" t="s">
        <v>10</v>
      </c>
      <c r="C69" s="10">
        <v>963076</v>
      </c>
      <c r="D69" s="46" t="s">
        <v>662</v>
      </c>
      <c r="E69" s="69">
        <v>-2523.15</v>
      </c>
      <c r="F69" s="69">
        <v>773.45</v>
      </c>
      <c r="G69" s="69">
        <f t="shared" si="21"/>
        <v>541.41499999999996</v>
      </c>
      <c r="H69" s="73">
        <v>0.20576</v>
      </c>
      <c r="I69" s="69">
        <f t="shared" si="22"/>
        <v>-366.98561424000002</v>
      </c>
      <c r="J69" s="79" t="s">
        <v>468</v>
      </c>
      <c r="K69" s="61">
        <f t="shared" si="23"/>
        <v>-51.916334400000004</v>
      </c>
      <c r="L69" s="58">
        <f t="shared" si="24"/>
        <v>19.097408640000001</v>
      </c>
      <c r="M69" s="58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x14ac:dyDescent="0.3">
      <c r="A70" s="32" t="s">
        <v>317</v>
      </c>
      <c r="B70" s="2" t="s">
        <v>10</v>
      </c>
      <c r="C70" s="10">
        <v>1009846</v>
      </c>
      <c r="D70" s="10" t="s">
        <v>666</v>
      </c>
      <c r="E70" s="32">
        <v>-155.30000000000001</v>
      </c>
      <c r="F70" s="32">
        <v>28.15</v>
      </c>
      <c r="G70" s="69">
        <f t="shared" si="21"/>
        <v>19.704999999999998</v>
      </c>
      <c r="H70" s="73">
        <v>0.20576</v>
      </c>
      <c r="I70" s="69">
        <f t="shared" si="22"/>
        <v>-25.110024480000003</v>
      </c>
      <c r="J70" s="79" t="s">
        <v>468</v>
      </c>
      <c r="K70" s="61">
        <f t="shared" si="23"/>
        <v>-3.1954528000000004</v>
      </c>
      <c r="L70" s="58">
        <f t="shared" si="24"/>
        <v>0.69505728</v>
      </c>
      <c r="M70" s="58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32" t="s">
        <v>317</v>
      </c>
      <c r="B71" s="2" t="s">
        <v>10</v>
      </c>
      <c r="C71" s="10">
        <v>1011126</v>
      </c>
      <c r="D71" s="10" t="s">
        <v>669</v>
      </c>
      <c r="E71" s="32">
        <v>-40</v>
      </c>
      <c r="F71" s="32">
        <v>3.35</v>
      </c>
      <c r="G71" s="69">
        <f t="shared" si="21"/>
        <v>2.3449999999999998</v>
      </c>
      <c r="H71" s="73">
        <v>0.20576</v>
      </c>
      <c r="I71" s="69">
        <f t="shared" si="22"/>
        <v>-6.9731035199999996</v>
      </c>
      <c r="J71" s="79" t="s">
        <v>468</v>
      </c>
      <c r="K71" s="61">
        <f t="shared" si="23"/>
        <v>-0.82303999999999999</v>
      </c>
      <c r="L71" s="58">
        <f t="shared" si="24"/>
        <v>8.2715520000000001E-2</v>
      </c>
      <c r="M71" s="58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32" t="s">
        <v>317</v>
      </c>
      <c r="B72" s="2" t="s">
        <v>10</v>
      </c>
      <c r="C72" s="10">
        <v>1054937</v>
      </c>
      <c r="D72" s="10" t="s">
        <v>671</v>
      </c>
      <c r="E72" s="32">
        <v>-247.2</v>
      </c>
      <c r="F72" s="32">
        <v>38.549999999999997</v>
      </c>
      <c r="G72" s="69">
        <f t="shared" si="21"/>
        <v>26.984999999999996</v>
      </c>
      <c r="H72" s="73">
        <v>0.20576</v>
      </c>
      <c r="I72" s="69">
        <f t="shared" si="22"/>
        <v>-40.780294560000002</v>
      </c>
      <c r="J72" s="79" t="s">
        <v>468</v>
      </c>
      <c r="K72" s="61">
        <f t="shared" si="23"/>
        <v>-5.0863871999999999</v>
      </c>
      <c r="L72" s="58">
        <f t="shared" si="24"/>
        <v>0.95184575999999987</v>
      </c>
      <c r="M72" s="58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32" t="s">
        <v>317</v>
      </c>
      <c r="B73" s="2" t="s">
        <v>10</v>
      </c>
      <c r="C73" s="10">
        <v>1058480</v>
      </c>
      <c r="D73" s="10" t="s">
        <v>675</v>
      </c>
      <c r="E73" s="32">
        <v>-0.2</v>
      </c>
      <c r="F73" s="32">
        <v>0</v>
      </c>
      <c r="G73" s="69">
        <f t="shared" si="21"/>
        <v>0</v>
      </c>
      <c r="H73" s="73">
        <v>0.20576</v>
      </c>
      <c r="I73" s="69">
        <f t="shared" si="22"/>
        <v>-3.7036800000000002E-2</v>
      </c>
      <c r="J73" s="79" t="s">
        <v>468</v>
      </c>
      <c r="K73" s="61">
        <f t="shared" si="23"/>
        <v>-4.1152000000000011E-3</v>
      </c>
      <c r="L73" s="58">
        <f t="shared" si="24"/>
        <v>0</v>
      </c>
      <c r="M73" s="58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32" t="s">
        <v>317</v>
      </c>
      <c r="B74" s="2" t="s">
        <v>10</v>
      </c>
      <c r="C74" s="10">
        <v>1058483</v>
      </c>
      <c r="D74" s="10" t="s">
        <v>677</v>
      </c>
      <c r="E74" s="32">
        <v>-264.14999999999998</v>
      </c>
      <c r="F74" s="32">
        <v>107.95</v>
      </c>
      <c r="G74" s="69">
        <f t="shared" si="21"/>
        <v>75.564999999999998</v>
      </c>
      <c r="H74" s="73">
        <v>0.20576</v>
      </c>
      <c r="I74" s="69">
        <f t="shared" si="22"/>
        <v>-34.922924639999998</v>
      </c>
      <c r="J74" s="79" t="s">
        <v>468</v>
      </c>
      <c r="K74" s="61">
        <f t="shared" si="23"/>
        <v>-5.4351503999999995</v>
      </c>
      <c r="L74" s="58">
        <f t="shared" si="24"/>
        <v>2.6654150400000001</v>
      </c>
      <c r="M74" s="58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32" t="s">
        <v>317</v>
      </c>
      <c r="B75" s="2" t="s">
        <v>10</v>
      </c>
      <c r="C75" s="10">
        <v>1058486</v>
      </c>
      <c r="D75" s="46" t="s">
        <v>679</v>
      </c>
      <c r="E75" s="69">
        <v>-137.44999999999999</v>
      </c>
      <c r="F75" s="69">
        <v>54.65</v>
      </c>
      <c r="G75" s="69">
        <f t="shared" si="21"/>
        <v>38.254999999999995</v>
      </c>
      <c r="H75" s="73">
        <v>0.20576</v>
      </c>
      <c r="I75" s="69">
        <f t="shared" si="22"/>
        <v>-18.369326879999999</v>
      </c>
      <c r="J75" s="79" t="s">
        <v>468</v>
      </c>
      <c r="K75" s="61">
        <f t="shared" si="23"/>
        <v>-2.8281711999999999</v>
      </c>
      <c r="L75" s="58">
        <f t="shared" si="24"/>
        <v>1.34937408</v>
      </c>
      <c r="M75" s="58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32" t="s">
        <v>317</v>
      </c>
      <c r="B76" s="2" t="s">
        <v>10</v>
      </c>
      <c r="C76" s="10">
        <v>1058490</v>
      </c>
      <c r="D76" s="46" t="s">
        <v>711</v>
      </c>
      <c r="E76" s="32">
        <v>-95.9</v>
      </c>
      <c r="F76" s="32">
        <v>47.1</v>
      </c>
      <c r="G76" s="69">
        <f t="shared" si="21"/>
        <v>32.97</v>
      </c>
      <c r="H76" s="73">
        <v>0.20576</v>
      </c>
      <c r="I76" s="69">
        <f t="shared" si="22"/>
        <v>-11.653629120000002</v>
      </c>
      <c r="J76" s="79" t="s">
        <v>468</v>
      </c>
      <c r="K76" s="61">
        <f t="shared" si="23"/>
        <v>-1.9732384000000003</v>
      </c>
      <c r="L76" s="58">
        <f t="shared" si="24"/>
        <v>1.1629555199999999</v>
      </c>
      <c r="M76" s="58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32" t="s">
        <v>317</v>
      </c>
      <c r="B77" s="2" t="s">
        <v>10</v>
      </c>
      <c r="C77" s="10">
        <v>1058491</v>
      </c>
      <c r="D77" s="46" t="s">
        <v>712</v>
      </c>
      <c r="E77" s="32">
        <v>-357.6</v>
      </c>
      <c r="F77" s="32">
        <v>100.3</v>
      </c>
      <c r="G77" s="69">
        <f t="shared" si="21"/>
        <v>70.209999999999994</v>
      </c>
      <c r="H77" s="73">
        <v>0.20576</v>
      </c>
      <c r="I77" s="69">
        <f t="shared" si="22"/>
        <v>-53.22002976000001</v>
      </c>
      <c r="J77" s="79" t="s">
        <v>468</v>
      </c>
      <c r="K77" s="61">
        <f t="shared" si="23"/>
        <v>-7.3579776000000008</v>
      </c>
      <c r="L77" s="58">
        <f t="shared" si="24"/>
        <v>2.4765273600000004</v>
      </c>
      <c r="M77" s="58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32" t="s">
        <v>317</v>
      </c>
      <c r="B78" s="2" t="s">
        <v>10</v>
      </c>
      <c r="C78" s="10">
        <v>1060012</v>
      </c>
      <c r="D78" s="46" t="s">
        <v>684</v>
      </c>
      <c r="E78" s="32">
        <v>74.400000000000006</v>
      </c>
      <c r="F78" s="32">
        <v>20.75</v>
      </c>
      <c r="G78" s="69">
        <f t="shared" si="21"/>
        <v>14.524999999999999</v>
      </c>
      <c r="H78" s="73">
        <v>0.20576</v>
      </c>
      <c r="I78" s="69">
        <f t="shared" si="22"/>
        <v>16.467487200000001</v>
      </c>
      <c r="J78" s="79" t="s">
        <v>468</v>
      </c>
      <c r="K78" s="61">
        <f t="shared" si="23"/>
        <v>1.5308544000000002</v>
      </c>
      <c r="L78" s="58">
        <f t="shared" si="24"/>
        <v>0.51234240000000009</v>
      </c>
      <c r="M78" s="58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32" t="s">
        <v>317</v>
      </c>
      <c r="B79" s="2" t="s">
        <v>10</v>
      </c>
      <c r="C79" s="10">
        <v>1063039</v>
      </c>
      <c r="D79" s="10" t="s">
        <v>687</v>
      </c>
      <c r="E79" s="32">
        <v>-55</v>
      </c>
      <c r="F79" s="32">
        <v>15.15</v>
      </c>
      <c r="G79" s="69">
        <f t="shared" si="21"/>
        <v>10.605</v>
      </c>
      <c r="H79" s="73">
        <v>0.20576</v>
      </c>
      <c r="I79" s="69">
        <f t="shared" si="22"/>
        <v>-8.2212436799999988</v>
      </c>
      <c r="J79" s="79" t="s">
        <v>468</v>
      </c>
      <c r="K79" s="61">
        <f t="shared" si="23"/>
        <v>-1.13168</v>
      </c>
      <c r="L79" s="58">
        <f t="shared" si="24"/>
        <v>0.37407168000000002</v>
      </c>
      <c r="M79" s="58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32" t="s">
        <v>317</v>
      </c>
      <c r="B80" s="2" t="s">
        <v>10</v>
      </c>
      <c r="C80" s="10">
        <v>1064980</v>
      </c>
      <c r="D80" s="10" t="s">
        <v>690</v>
      </c>
      <c r="E80" s="32">
        <v>-145.5</v>
      </c>
      <c r="F80" s="32">
        <v>36.299999999999997</v>
      </c>
      <c r="G80" s="69">
        <f t="shared" si="21"/>
        <v>25.409999999999997</v>
      </c>
      <c r="H80" s="73">
        <v>0.20576</v>
      </c>
      <c r="I80" s="69">
        <f t="shared" si="22"/>
        <v>-22.238746559999999</v>
      </c>
      <c r="J80" s="79" t="s">
        <v>468</v>
      </c>
      <c r="K80" s="61">
        <f t="shared" si="23"/>
        <v>-2.993808</v>
      </c>
      <c r="L80" s="58">
        <f t="shared" si="24"/>
        <v>0.89629055999999996</v>
      </c>
      <c r="M80" s="58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32" t="s">
        <v>317</v>
      </c>
      <c r="B81" s="2" t="s">
        <v>10</v>
      </c>
      <c r="C81" s="10">
        <v>1065954</v>
      </c>
      <c r="D81" s="10" t="s">
        <v>695</v>
      </c>
      <c r="E81" s="32">
        <v>163.1</v>
      </c>
      <c r="F81" s="32">
        <v>26.1</v>
      </c>
      <c r="G81" s="69">
        <f t="shared" si="21"/>
        <v>18.27</v>
      </c>
      <c r="H81" s="73">
        <v>0.20576</v>
      </c>
      <c r="I81" s="69">
        <f t="shared" si="22"/>
        <v>33.586822080000005</v>
      </c>
      <c r="J81" s="79" t="s">
        <v>468</v>
      </c>
      <c r="K81" s="61">
        <f t="shared" si="23"/>
        <v>3.3559455999999996</v>
      </c>
      <c r="L81" s="58">
        <f t="shared" si="24"/>
        <v>0.64444032000000007</v>
      </c>
      <c r="M81" s="58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32" t="s">
        <v>317</v>
      </c>
      <c r="B82" s="2" t="s">
        <v>10</v>
      </c>
      <c r="C82" s="10">
        <v>1067052</v>
      </c>
      <c r="D82" s="10" t="s">
        <v>713</v>
      </c>
      <c r="E82" s="32">
        <v>-377.9</v>
      </c>
      <c r="F82" s="32">
        <v>70.75</v>
      </c>
      <c r="G82" s="69">
        <f t="shared" si="21"/>
        <v>49.524999999999999</v>
      </c>
      <c r="H82" s="73">
        <v>0.20576</v>
      </c>
      <c r="I82" s="69">
        <f t="shared" si="22"/>
        <v>-60.809795999999999</v>
      </c>
      <c r="J82" s="79" t="s">
        <v>468</v>
      </c>
      <c r="K82" s="61">
        <f t="shared" si="23"/>
        <v>-7.7756704000000001</v>
      </c>
      <c r="L82" s="58">
        <f t="shared" si="24"/>
        <v>1.7469024</v>
      </c>
      <c r="M82" s="58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32" t="s">
        <v>317</v>
      </c>
      <c r="B83" s="2" t="s">
        <v>10</v>
      </c>
      <c r="C83" s="10">
        <v>1067090</v>
      </c>
      <c r="D83" s="46" t="s">
        <v>699</v>
      </c>
      <c r="E83" s="69">
        <v>-590.35</v>
      </c>
      <c r="F83" s="69">
        <v>153.5</v>
      </c>
      <c r="G83" s="69">
        <f t="shared" si="21"/>
        <v>107.44999999999999</v>
      </c>
      <c r="H83" s="73">
        <v>0.20576</v>
      </c>
      <c r="I83" s="69">
        <f t="shared" si="22"/>
        <v>-89.425353600000008</v>
      </c>
      <c r="J83" s="79" t="s">
        <v>468</v>
      </c>
      <c r="K83" s="61">
        <f t="shared" si="23"/>
        <v>-12.147041600000001</v>
      </c>
      <c r="L83" s="58">
        <f t="shared" si="24"/>
        <v>3.7900992000000002</v>
      </c>
      <c r="M83" s="58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32" t="s">
        <v>317</v>
      </c>
      <c r="B84" s="2" t="s">
        <v>10</v>
      </c>
      <c r="C84" s="10">
        <v>1067198</v>
      </c>
      <c r="D84" s="10" t="s">
        <v>700</v>
      </c>
      <c r="E84" s="32">
        <v>-324.10000000000002</v>
      </c>
      <c r="F84" s="32">
        <v>112.85</v>
      </c>
      <c r="G84" s="69">
        <f t="shared" si="21"/>
        <v>78.99499999999999</v>
      </c>
      <c r="H84" s="73">
        <v>0.20576</v>
      </c>
      <c r="I84" s="69">
        <f t="shared" si="22"/>
        <v>-45.389524320000007</v>
      </c>
      <c r="J84" s="79" t="s">
        <v>468</v>
      </c>
      <c r="K84" s="61">
        <f t="shared" si="23"/>
        <v>-6.6686816000000011</v>
      </c>
      <c r="L84" s="58">
        <f t="shared" si="24"/>
        <v>2.7864019199999999</v>
      </c>
      <c r="M84" s="58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32" t="s">
        <v>317</v>
      </c>
      <c r="B85" s="2" t="s">
        <v>10</v>
      </c>
      <c r="C85" s="10">
        <v>1067925</v>
      </c>
      <c r="D85" s="10" t="s">
        <v>714</v>
      </c>
      <c r="E85" s="32">
        <v>-160</v>
      </c>
      <c r="F85" s="32">
        <v>27.3</v>
      </c>
      <c r="G85" s="69">
        <f t="shared" si="21"/>
        <v>19.11</v>
      </c>
      <c r="H85" s="73">
        <v>0.20576</v>
      </c>
      <c r="I85" s="69">
        <f t="shared" si="22"/>
        <v>-26.090573759999998</v>
      </c>
      <c r="J85" s="79" t="s">
        <v>468</v>
      </c>
      <c r="K85" s="61">
        <f t="shared" si="23"/>
        <v>-3.29216</v>
      </c>
      <c r="L85" s="58">
        <f t="shared" si="24"/>
        <v>0.67406976000000007</v>
      </c>
      <c r="M85" s="58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32" t="s">
        <v>317</v>
      </c>
      <c r="B86" s="2" t="s">
        <v>10</v>
      </c>
      <c r="C86" s="10">
        <v>1068074</v>
      </c>
      <c r="D86" s="10" t="s">
        <v>715</v>
      </c>
      <c r="E86" s="32">
        <v>-113.95</v>
      </c>
      <c r="F86" s="32">
        <v>47</v>
      </c>
      <c r="G86" s="69">
        <f t="shared" si="21"/>
        <v>32.9</v>
      </c>
      <c r="H86" s="73">
        <v>0.20576</v>
      </c>
      <c r="I86" s="69">
        <f t="shared" si="22"/>
        <v>-15.009163200000003</v>
      </c>
      <c r="J86" s="79" t="s">
        <v>468</v>
      </c>
      <c r="K86" s="61">
        <f t="shared" si="23"/>
        <v>-2.3446352000000004</v>
      </c>
      <c r="L86" s="58">
        <f t="shared" si="24"/>
        <v>1.1604864000000001</v>
      </c>
      <c r="M86" s="58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32" t="s">
        <v>317</v>
      </c>
      <c r="B87" s="2" t="s">
        <v>10</v>
      </c>
      <c r="C87" s="10">
        <v>1068679</v>
      </c>
      <c r="D87" s="46" t="s">
        <v>716</v>
      </c>
      <c r="E87" s="69">
        <v>-73.650000000000006</v>
      </c>
      <c r="F87" s="69">
        <v>11.5</v>
      </c>
      <c r="G87" s="69">
        <f t="shared" si="21"/>
        <v>8.0499999999999989</v>
      </c>
      <c r="H87" s="73">
        <v>0.20576</v>
      </c>
      <c r="I87" s="69">
        <f t="shared" si="22"/>
        <v>-12.148070400000002</v>
      </c>
      <c r="J87" s="79" t="s">
        <v>468</v>
      </c>
      <c r="K87" s="61">
        <f t="shared" si="23"/>
        <v>-1.5154224000000003</v>
      </c>
      <c r="L87" s="58">
        <f t="shared" si="24"/>
        <v>0.2839488</v>
      </c>
      <c r="M87" s="58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32" t="s">
        <v>317</v>
      </c>
      <c r="B88" s="2" t="s">
        <v>10</v>
      </c>
      <c r="C88" s="10">
        <v>1068680</v>
      </c>
      <c r="D88" s="10" t="s">
        <v>717</v>
      </c>
      <c r="E88" s="32">
        <v>-74.900000000000006</v>
      </c>
      <c r="F88" s="32">
        <v>8</v>
      </c>
      <c r="G88" s="69">
        <f t="shared" si="21"/>
        <v>5.6</v>
      </c>
      <c r="H88" s="73">
        <v>0.20576</v>
      </c>
      <c r="I88" s="69">
        <f t="shared" si="22"/>
        <v>-12.833251200000003</v>
      </c>
      <c r="J88" s="79" t="s">
        <v>468</v>
      </c>
      <c r="K88" s="61">
        <f t="shared" si="23"/>
        <v>-1.5411424000000002</v>
      </c>
      <c r="L88" s="58">
        <f t="shared" si="24"/>
        <v>0.1975296</v>
      </c>
      <c r="M88" s="58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32" t="s">
        <v>317</v>
      </c>
      <c r="B89" s="2" t="s">
        <v>10</v>
      </c>
      <c r="C89" s="10">
        <v>1068783</v>
      </c>
      <c r="D89" s="10" t="s">
        <v>718</v>
      </c>
      <c r="E89" s="32">
        <v>-93.65</v>
      </c>
      <c r="F89" s="32">
        <v>22.75</v>
      </c>
      <c r="G89" s="69">
        <f t="shared" si="21"/>
        <v>15.924999999999999</v>
      </c>
      <c r="H89" s="73">
        <v>0.20576</v>
      </c>
      <c r="I89" s="69">
        <f t="shared" si="22"/>
        <v>-14.393426400000003</v>
      </c>
      <c r="J89" s="79" t="s">
        <v>468</v>
      </c>
      <c r="K89" s="61">
        <f t="shared" si="23"/>
        <v>-1.9269423999999999</v>
      </c>
      <c r="L89" s="58">
        <f t="shared" si="24"/>
        <v>0.56172480000000002</v>
      </c>
      <c r="M89" s="58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32" t="s">
        <v>317</v>
      </c>
      <c r="B90" s="2" t="s">
        <v>10</v>
      </c>
      <c r="C90" s="10">
        <v>1070498</v>
      </c>
      <c r="D90" s="10" t="s">
        <v>719</v>
      </c>
      <c r="E90" s="32">
        <v>-61.85</v>
      </c>
      <c r="F90" s="32">
        <v>6.95</v>
      </c>
      <c r="G90" s="69">
        <f t="shared" si="21"/>
        <v>4.8650000000000002</v>
      </c>
      <c r="H90" s="73">
        <v>0.20576</v>
      </c>
      <c r="I90" s="69">
        <f t="shared" si="22"/>
        <v>-10.55271024</v>
      </c>
      <c r="J90" s="79" t="s">
        <v>468</v>
      </c>
      <c r="K90" s="61">
        <f t="shared" si="23"/>
        <v>-1.2726256</v>
      </c>
      <c r="L90" s="58">
        <f t="shared" si="24"/>
        <v>0.17160384000000001</v>
      </c>
      <c r="M90" s="58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32" t="s">
        <v>317</v>
      </c>
      <c r="B91" s="2" t="s">
        <v>10</v>
      </c>
      <c r="C91" s="10">
        <v>1070569</v>
      </c>
      <c r="D91" s="10" t="s">
        <v>720</v>
      </c>
      <c r="E91" s="32">
        <v>-96</v>
      </c>
      <c r="F91" s="32">
        <v>5.8</v>
      </c>
      <c r="G91" s="69">
        <f t="shared" si="21"/>
        <v>4.0599999999999996</v>
      </c>
      <c r="H91" s="73">
        <v>0.20576</v>
      </c>
      <c r="I91" s="69">
        <f t="shared" si="22"/>
        <v>-17.02581696</v>
      </c>
      <c r="J91" s="79" t="s">
        <v>468</v>
      </c>
      <c r="K91" s="61">
        <f t="shared" si="23"/>
        <v>-1.9752960000000004</v>
      </c>
      <c r="L91" s="58">
        <f t="shared" si="24"/>
        <v>0.14320896</v>
      </c>
      <c r="M91" s="58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32" t="s">
        <v>317</v>
      </c>
      <c r="B92" s="2" t="s">
        <v>10</v>
      </c>
      <c r="C92" s="10">
        <v>1070669</v>
      </c>
      <c r="D92" s="10" t="s">
        <v>721</v>
      </c>
      <c r="E92" s="32">
        <v>-172.75</v>
      </c>
      <c r="F92" s="32">
        <v>49.95</v>
      </c>
      <c r="G92" s="69">
        <f t="shared" si="21"/>
        <v>34.964999999999996</v>
      </c>
      <c r="H92" s="73">
        <v>0.20576</v>
      </c>
      <c r="I92" s="69">
        <f t="shared" si="22"/>
        <v>-25.515577440000001</v>
      </c>
      <c r="J92" s="79" t="s">
        <v>468</v>
      </c>
      <c r="K92" s="61">
        <f t="shared" si="23"/>
        <v>-3.5545040000000006</v>
      </c>
      <c r="L92" s="58">
        <f t="shared" si="24"/>
        <v>1.23332544</v>
      </c>
      <c r="M92" s="58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32" t="s">
        <v>317</v>
      </c>
      <c r="B93" s="2" t="s">
        <v>10</v>
      </c>
      <c r="C93" s="10">
        <v>1070717</v>
      </c>
      <c r="D93" s="10" t="s">
        <v>722</v>
      </c>
      <c r="E93" s="32">
        <v>-566.65</v>
      </c>
      <c r="F93" s="32">
        <v>160.44999999999999</v>
      </c>
      <c r="G93" s="69">
        <f t="shared" si="21"/>
        <v>112.31499999999998</v>
      </c>
      <c r="H93" s="73">
        <v>0.20576</v>
      </c>
      <c r="I93" s="69">
        <f t="shared" si="22"/>
        <v>-84.135572639999992</v>
      </c>
      <c r="J93" s="79" t="s">
        <v>468</v>
      </c>
      <c r="K93" s="61">
        <f t="shared" si="23"/>
        <v>-11.659390399999999</v>
      </c>
      <c r="L93" s="58">
        <f t="shared" si="24"/>
        <v>3.9617030399999997</v>
      </c>
      <c r="M93" s="58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32" t="s">
        <v>317</v>
      </c>
      <c r="B94" s="2" t="s">
        <v>10</v>
      </c>
      <c r="C94" s="10">
        <v>1070747</v>
      </c>
      <c r="D94" s="46" t="s">
        <v>723</v>
      </c>
      <c r="E94" s="69">
        <v>-117.45</v>
      </c>
      <c r="F94" s="69">
        <v>17.45</v>
      </c>
      <c r="G94" s="69">
        <f t="shared" si="21"/>
        <v>12.214999999999998</v>
      </c>
      <c r="H94" s="73">
        <v>0.20576</v>
      </c>
      <c r="I94" s="69">
        <f t="shared" si="22"/>
        <v>-19.487838239999999</v>
      </c>
      <c r="J94" s="79" t="s">
        <v>468</v>
      </c>
      <c r="K94" s="61">
        <f t="shared" si="23"/>
        <v>-2.4166512</v>
      </c>
      <c r="L94" s="58">
        <f t="shared" si="24"/>
        <v>0.43086143999999998</v>
      </c>
      <c r="M94" s="58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32" t="s">
        <v>317</v>
      </c>
      <c r="B95" s="2" t="s">
        <v>10</v>
      </c>
      <c r="C95" s="10">
        <v>1071253</v>
      </c>
      <c r="D95" s="10" t="s">
        <v>724</v>
      </c>
      <c r="E95" s="32">
        <v>-317.14999999999998</v>
      </c>
      <c r="F95" s="32">
        <v>188.1</v>
      </c>
      <c r="G95" s="69">
        <f t="shared" si="21"/>
        <v>131.66999999999999</v>
      </c>
      <c r="H95" s="73">
        <v>0.20576</v>
      </c>
      <c r="I95" s="69">
        <f t="shared" si="22"/>
        <v>-34.347928319999994</v>
      </c>
      <c r="J95" s="79" t="s">
        <v>468</v>
      </c>
      <c r="K95" s="61">
        <f t="shared" si="23"/>
        <v>-6.5256784000000003</v>
      </c>
      <c r="L95" s="58">
        <f t="shared" si="24"/>
        <v>4.6444147199999994</v>
      </c>
      <c r="M95" s="58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32" t="s">
        <v>317</v>
      </c>
      <c r="B96" s="2" t="s">
        <v>10</v>
      </c>
      <c r="C96" s="10">
        <v>1071606</v>
      </c>
      <c r="D96" s="10" t="s">
        <v>725</v>
      </c>
      <c r="E96" s="32">
        <v>-185.15</v>
      </c>
      <c r="F96" s="32">
        <v>62.35</v>
      </c>
      <c r="G96" s="69">
        <f t="shared" si="21"/>
        <v>43.644999999999996</v>
      </c>
      <c r="H96" s="73">
        <v>0.20576</v>
      </c>
      <c r="I96" s="69">
        <f t="shared" si="22"/>
        <v>-26.204461919999996</v>
      </c>
      <c r="J96" s="79" t="s">
        <v>468</v>
      </c>
      <c r="K96" s="61">
        <f t="shared" si="23"/>
        <v>-3.8096464000000001</v>
      </c>
      <c r="L96" s="58">
        <f t="shared" si="24"/>
        <v>1.5394963199999998</v>
      </c>
      <c r="M96" s="58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32" t="s">
        <v>317</v>
      </c>
      <c r="B97" s="2" t="s">
        <v>10</v>
      </c>
      <c r="C97" s="10">
        <v>1072699</v>
      </c>
      <c r="D97" s="10" t="s">
        <v>726</v>
      </c>
      <c r="E97" s="32">
        <v>-10</v>
      </c>
      <c r="F97" s="32">
        <v>0.8</v>
      </c>
      <c r="G97" s="69">
        <f t="shared" si="21"/>
        <v>0.55999999999999994</v>
      </c>
      <c r="H97" s="73">
        <v>0.20576</v>
      </c>
      <c r="I97" s="69">
        <f t="shared" si="22"/>
        <v>-1.7481369599999999</v>
      </c>
      <c r="J97" s="79" t="s">
        <v>468</v>
      </c>
      <c r="K97" s="61">
        <f t="shared" si="23"/>
        <v>-0.20576</v>
      </c>
      <c r="L97" s="58">
        <f t="shared" si="24"/>
        <v>1.975296E-2</v>
      </c>
      <c r="M97" s="58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32" t="s">
        <v>317</v>
      </c>
      <c r="B98" s="2" t="s">
        <v>10</v>
      </c>
      <c r="C98" s="10">
        <v>915274</v>
      </c>
      <c r="D98" s="10" t="s">
        <v>701</v>
      </c>
      <c r="E98" s="32">
        <v>-967.45</v>
      </c>
      <c r="F98" s="32">
        <v>192.4</v>
      </c>
      <c r="G98" s="69">
        <f t="shared" si="21"/>
        <v>134.68</v>
      </c>
      <c r="H98" s="73">
        <v>0.20576</v>
      </c>
      <c r="I98" s="69">
        <f t="shared" si="22"/>
        <v>-154.21567968000002</v>
      </c>
      <c r="J98" s="79" t="s">
        <v>468</v>
      </c>
      <c r="K98" s="61">
        <f t="shared" si="23"/>
        <v>-19.9062512</v>
      </c>
      <c r="L98" s="58">
        <f t="shared" si="24"/>
        <v>4.7505868800000002</v>
      </c>
      <c r="M98" s="58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32" t="s">
        <v>317</v>
      </c>
      <c r="B99" s="2" t="s">
        <v>10</v>
      </c>
      <c r="C99" s="10">
        <v>1053975</v>
      </c>
      <c r="D99" s="10" t="s">
        <v>702</v>
      </c>
      <c r="E99" s="32">
        <v>-653.15</v>
      </c>
      <c r="F99" s="32">
        <v>265.85000000000002</v>
      </c>
      <c r="G99" s="69">
        <f t="shared" si="21"/>
        <v>186.095</v>
      </c>
      <c r="H99" s="73">
        <v>0.20576</v>
      </c>
      <c r="I99" s="69">
        <f t="shared" si="22"/>
        <v>-86.491113119999994</v>
      </c>
      <c r="J99" s="79" t="s">
        <v>468</v>
      </c>
      <c r="K99" s="61">
        <f t="shared" si="23"/>
        <v>-13.439214399999999</v>
      </c>
      <c r="L99" s="58">
        <f t="shared" si="24"/>
        <v>6.5641555199999999</v>
      </c>
      <c r="M99" s="58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32" t="s">
        <v>317</v>
      </c>
      <c r="B100" s="2" t="s">
        <v>10</v>
      </c>
      <c r="C100" s="10">
        <v>1063932</v>
      </c>
      <c r="D100" s="46" t="s">
        <v>704</v>
      </c>
      <c r="E100" s="69">
        <v>-55</v>
      </c>
      <c r="F100" s="69">
        <v>8.9</v>
      </c>
      <c r="G100" s="69">
        <f t="shared" si="21"/>
        <v>6.2299999999999995</v>
      </c>
      <c r="H100" s="73">
        <v>0.20576</v>
      </c>
      <c r="I100" s="69">
        <f t="shared" si="22"/>
        <v>-9.0314236800000014</v>
      </c>
      <c r="J100" s="79" t="s">
        <v>468</v>
      </c>
      <c r="K100" s="61">
        <f t="shared" si="23"/>
        <v>-1.13168</v>
      </c>
      <c r="L100" s="58">
        <f t="shared" si="24"/>
        <v>0.21975168</v>
      </c>
      <c r="M100" s="58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32" t="s">
        <v>317</v>
      </c>
      <c r="B101" s="2" t="s">
        <v>10</v>
      </c>
      <c r="C101" s="10">
        <v>1069689</v>
      </c>
      <c r="D101" s="10" t="s">
        <v>727</v>
      </c>
      <c r="E101" s="32">
        <v>-168.6</v>
      </c>
      <c r="F101" s="32">
        <v>22.6</v>
      </c>
      <c r="G101" s="69">
        <f t="shared" si="21"/>
        <v>15.82</v>
      </c>
      <c r="H101" s="73">
        <v>0.20576</v>
      </c>
      <c r="I101" s="69">
        <f t="shared" si="22"/>
        <v>-28.292411520000002</v>
      </c>
      <c r="J101" s="79" t="s">
        <v>468</v>
      </c>
      <c r="K101" s="61">
        <f t="shared" si="23"/>
        <v>-3.4691136</v>
      </c>
      <c r="L101" s="58">
        <f t="shared" si="24"/>
        <v>0.55802112000000004</v>
      </c>
      <c r="M101" s="58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32" t="s">
        <v>325</v>
      </c>
      <c r="B102" s="32" t="s">
        <v>54</v>
      </c>
      <c r="C102" s="10" t="s">
        <v>624</v>
      </c>
      <c r="D102" s="10" t="s">
        <v>625</v>
      </c>
      <c r="E102" s="32">
        <v>-184</v>
      </c>
      <c r="F102" s="32">
        <v>75</v>
      </c>
      <c r="G102" s="69">
        <f t="shared" ref="G102:G111" si="25">F102*0.75</f>
        <v>56.25</v>
      </c>
      <c r="H102" s="75">
        <v>0.26577000000000001</v>
      </c>
      <c r="I102" s="69">
        <f t="shared" ref="I102:I111" si="26">(E102+G102)*H102</f>
        <v>-33.9521175</v>
      </c>
      <c r="J102" s="78">
        <f t="shared" ref="J102:J111" si="27">F102*0.05*H102</f>
        <v>0.99663750000000007</v>
      </c>
      <c r="K102" s="61">
        <v>0</v>
      </c>
      <c r="L102" s="61">
        <f t="shared" ref="L102:L111" si="28">F102*0.08*H102</f>
        <v>1.5946199999999999</v>
      </c>
      <c r="M102" s="58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32" t="s">
        <v>325</v>
      </c>
      <c r="B103" s="32" t="s">
        <v>54</v>
      </c>
      <c r="C103" s="10" t="s">
        <v>627</v>
      </c>
      <c r="D103" s="10" t="s">
        <v>628</v>
      </c>
      <c r="E103" s="32">
        <v>7448.84</v>
      </c>
      <c r="F103" s="32">
        <v>1962.39</v>
      </c>
      <c r="G103" s="69">
        <f t="shared" si="25"/>
        <v>1471.7925</v>
      </c>
      <c r="H103" s="75">
        <v>0.26577000000000001</v>
      </c>
      <c r="I103" s="69">
        <f t="shared" si="26"/>
        <v>2370.8364995249999</v>
      </c>
      <c r="J103" s="78">
        <f t="shared" si="27"/>
        <v>26.077219515000007</v>
      </c>
      <c r="K103" s="61">
        <v>0</v>
      </c>
      <c r="L103" s="61">
        <f t="shared" si="28"/>
        <v>41.723551224000005</v>
      </c>
      <c r="M103" s="58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32" t="s">
        <v>325</v>
      </c>
      <c r="B104" s="32" t="s">
        <v>54</v>
      </c>
      <c r="C104" s="10" t="s">
        <v>630</v>
      </c>
      <c r="D104" s="10" t="s">
        <v>631</v>
      </c>
      <c r="E104" s="32">
        <v>-2455.9299999999998</v>
      </c>
      <c r="F104" s="32">
        <v>1432.66</v>
      </c>
      <c r="G104" s="69">
        <f t="shared" si="25"/>
        <v>1074.4950000000001</v>
      </c>
      <c r="H104" s="75">
        <v>0.26577000000000001</v>
      </c>
      <c r="I104" s="69">
        <f t="shared" si="26"/>
        <v>-367.14397994999996</v>
      </c>
      <c r="J104" s="78">
        <f t="shared" si="27"/>
        <v>19.037902410000004</v>
      </c>
      <c r="K104" s="61">
        <v>0</v>
      </c>
      <c r="L104" s="61">
        <f t="shared" si="28"/>
        <v>30.460643856000004</v>
      </c>
      <c r="M104" s="58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32" t="s">
        <v>325</v>
      </c>
      <c r="B105" s="32" t="s">
        <v>54</v>
      </c>
      <c r="C105" s="10" t="s">
        <v>636</v>
      </c>
      <c r="D105" s="10" t="s">
        <v>637</v>
      </c>
      <c r="E105" s="32">
        <v>24363.68</v>
      </c>
      <c r="F105" s="32">
        <v>2164.6799999999998</v>
      </c>
      <c r="G105" s="69">
        <f t="shared" si="25"/>
        <v>1623.5099999999998</v>
      </c>
      <c r="H105" s="75">
        <v>0.26577000000000001</v>
      </c>
      <c r="I105" s="69">
        <f t="shared" si="26"/>
        <v>6906.6154863000002</v>
      </c>
      <c r="J105" s="78">
        <f t="shared" si="27"/>
        <v>28.765350179999999</v>
      </c>
      <c r="K105" s="61">
        <v>0</v>
      </c>
      <c r="L105" s="61">
        <f t="shared" si="28"/>
        <v>46.024560287999996</v>
      </c>
      <c r="M105" s="58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32" t="s">
        <v>325</v>
      </c>
      <c r="B106" s="32" t="s">
        <v>54</v>
      </c>
      <c r="C106" s="10" t="s">
        <v>638</v>
      </c>
      <c r="D106" s="10" t="s">
        <v>639</v>
      </c>
      <c r="E106" s="32">
        <v>-2153.52</v>
      </c>
      <c r="F106" s="32">
        <v>152.27000000000001</v>
      </c>
      <c r="G106" s="69">
        <f t="shared" si="25"/>
        <v>114.20250000000001</v>
      </c>
      <c r="H106" s="75">
        <v>0.26577000000000001</v>
      </c>
      <c r="I106" s="69">
        <f t="shared" si="26"/>
        <v>-541.98941197499994</v>
      </c>
      <c r="J106" s="78">
        <f t="shared" si="27"/>
        <v>2.0234398950000005</v>
      </c>
      <c r="K106" s="61">
        <v>0</v>
      </c>
      <c r="L106" s="61">
        <f t="shared" si="28"/>
        <v>3.2375038320000002</v>
      </c>
      <c r="M106" s="58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32" t="s">
        <v>325</v>
      </c>
      <c r="B107" s="32" t="s">
        <v>54</v>
      </c>
      <c r="C107" s="10" t="s">
        <v>641</v>
      </c>
      <c r="D107" s="10" t="s">
        <v>642</v>
      </c>
      <c r="E107" s="32">
        <v>-3136.64</v>
      </c>
      <c r="F107" s="32">
        <v>862.91</v>
      </c>
      <c r="G107" s="69">
        <f t="shared" si="25"/>
        <v>647.1825</v>
      </c>
      <c r="H107" s="75">
        <v>0.26577000000000001</v>
      </c>
      <c r="I107" s="69">
        <f t="shared" si="26"/>
        <v>-661.62311977499996</v>
      </c>
      <c r="J107" s="78">
        <f t="shared" si="27"/>
        <v>11.466779535000001</v>
      </c>
      <c r="K107" s="61">
        <v>0</v>
      </c>
      <c r="L107" s="61">
        <f t="shared" si="28"/>
        <v>18.346847256</v>
      </c>
      <c r="M107" s="58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32" t="s">
        <v>325</v>
      </c>
      <c r="B108" s="32" t="s">
        <v>54</v>
      </c>
      <c r="C108" s="10" t="s">
        <v>728</v>
      </c>
      <c r="D108" s="10" t="s">
        <v>729</v>
      </c>
      <c r="E108" s="32">
        <v>-5649.06</v>
      </c>
      <c r="F108" s="32">
        <v>268.63</v>
      </c>
      <c r="G108" s="69">
        <f t="shared" si="25"/>
        <v>201.4725</v>
      </c>
      <c r="H108" s="75">
        <v>0.26577000000000001</v>
      </c>
      <c r="I108" s="69">
        <f t="shared" si="26"/>
        <v>-1447.8053298750001</v>
      </c>
      <c r="J108" s="78">
        <f t="shared" si="27"/>
        <v>3.5696897550000002</v>
      </c>
      <c r="K108" s="61">
        <v>0</v>
      </c>
      <c r="L108" s="61">
        <f t="shared" si="28"/>
        <v>5.7115036080000001</v>
      </c>
      <c r="M108" s="58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32" t="s">
        <v>325</v>
      </c>
      <c r="B109" s="32" t="s">
        <v>54</v>
      </c>
      <c r="C109" s="10" t="s">
        <v>644</v>
      </c>
      <c r="D109" s="10" t="s">
        <v>645</v>
      </c>
      <c r="E109" s="32">
        <v>49.8</v>
      </c>
      <c r="F109" s="32">
        <v>10.199999999999999</v>
      </c>
      <c r="G109" s="69">
        <f t="shared" si="25"/>
        <v>7.6499999999999995</v>
      </c>
      <c r="H109" s="75">
        <v>0.26577000000000001</v>
      </c>
      <c r="I109" s="69">
        <f t="shared" si="26"/>
        <v>15.2684865</v>
      </c>
      <c r="J109" s="78">
        <f t="shared" si="27"/>
        <v>0.13554270000000002</v>
      </c>
      <c r="K109" s="61">
        <v>0</v>
      </c>
      <c r="L109" s="61">
        <f t="shared" si="28"/>
        <v>0.21686832</v>
      </c>
      <c r="M109" s="58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 t="s">
        <v>325</v>
      </c>
      <c r="B110" s="29" t="s">
        <v>35</v>
      </c>
      <c r="C110" s="10" t="s">
        <v>647</v>
      </c>
      <c r="D110" s="10" t="s">
        <v>648</v>
      </c>
      <c r="E110" s="32">
        <v>3373.72</v>
      </c>
      <c r="F110" s="32">
        <v>348.24</v>
      </c>
      <c r="G110" s="69">
        <f t="shared" si="25"/>
        <v>261.18</v>
      </c>
      <c r="H110" s="75">
        <v>0.26577000000000001</v>
      </c>
      <c r="I110" s="69">
        <f t="shared" si="26"/>
        <v>966.04737299999988</v>
      </c>
      <c r="J110" s="78">
        <f t="shared" si="27"/>
        <v>4.6275872400000004</v>
      </c>
      <c r="K110" s="61">
        <v>0</v>
      </c>
      <c r="L110" s="61">
        <f t="shared" si="28"/>
        <v>7.4041395840000002</v>
      </c>
      <c r="M110" s="58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 t="s">
        <v>325</v>
      </c>
      <c r="B111" s="29" t="s">
        <v>35</v>
      </c>
      <c r="C111" s="10" t="s">
        <v>650</v>
      </c>
      <c r="D111" s="10" t="s">
        <v>651</v>
      </c>
      <c r="E111" s="32">
        <v>947.08</v>
      </c>
      <c r="F111" s="32">
        <v>566.30999999999995</v>
      </c>
      <c r="G111" s="69">
        <f t="shared" si="25"/>
        <v>424.73249999999996</v>
      </c>
      <c r="H111" s="75">
        <v>0.26577000000000001</v>
      </c>
      <c r="I111" s="69">
        <f t="shared" si="26"/>
        <v>364.586608125</v>
      </c>
      <c r="J111" s="78">
        <f t="shared" si="27"/>
        <v>7.5254104350000004</v>
      </c>
      <c r="K111" s="61">
        <v>0</v>
      </c>
      <c r="L111" s="61">
        <f t="shared" si="28"/>
        <v>12.040656695999999</v>
      </c>
      <c r="M111" s="58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 t="s">
        <v>325</v>
      </c>
      <c r="B112" s="32" t="s">
        <v>140</v>
      </c>
      <c r="C112" s="10">
        <v>9378449</v>
      </c>
      <c r="D112" s="32" t="s">
        <v>707</v>
      </c>
      <c r="E112" s="69">
        <v>-20047.259999999998</v>
      </c>
      <c r="F112" s="69">
        <v>2532.37</v>
      </c>
      <c r="G112" s="69">
        <f t="shared" ref="G112:G113" si="29">F112*0.6</f>
        <v>1519.4219999999998</v>
      </c>
      <c r="H112" s="70">
        <v>0.65259999999999996</v>
      </c>
      <c r="I112" s="69">
        <f t="shared" ref="I112:I113" si="30">((E112+G112)*0.9)*H112</f>
        <v>-10882.140370919999</v>
      </c>
      <c r="J112" s="79" t="s">
        <v>468</v>
      </c>
      <c r="K112" s="61">
        <v>0</v>
      </c>
      <c r="L112" s="61">
        <f t="shared" ref="L112:L113" si="31">F112*0.1*H112*0.9</f>
        <v>148.73621957999998</v>
      </c>
      <c r="M112" s="58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 t="s">
        <v>325</v>
      </c>
      <c r="B113" s="32" t="s">
        <v>140</v>
      </c>
      <c r="C113" s="10">
        <v>9423640</v>
      </c>
      <c r="D113" s="32" t="s">
        <v>730</v>
      </c>
      <c r="E113" s="69">
        <v>-427.1</v>
      </c>
      <c r="F113" s="69">
        <v>68.03</v>
      </c>
      <c r="G113" s="69">
        <f t="shared" si="29"/>
        <v>40.817999999999998</v>
      </c>
      <c r="H113" s="70">
        <v>0.65259999999999996</v>
      </c>
      <c r="I113" s="69">
        <f t="shared" si="30"/>
        <v>-226.87886988000002</v>
      </c>
      <c r="J113" s="79" t="s">
        <v>468</v>
      </c>
      <c r="K113" s="61">
        <v>0</v>
      </c>
      <c r="L113" s="61">
        <f t="shared" si="31"/>
        <v>3.99567402</v>
      </c>
      <c r="M113" s="58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 t="s">
        <v>325</v>
      </c>
      <c r="B114" s="32" t="s">
        <v>10</v>
      </c>
      <c r="C114" s="10">
        <v>1077637</v>
      </c>
      <c r="D114" s="32" t="s">
        <v>731</v>
      </c>
      <c r="E114" s="69">
        <v>-4480.8999999999996</v>
      </c>
      <c r="F114" s="69">
        <v>1197.8499999999999</v>
      </c>
      <c r="G114" s="69">
        <f t="shared" ref="G114:G155" si="32">F114*0.7</f>
        <v>838.49499999999989</v>
      </c>
      <c r="H114" s="73">
        <v>0.20080000000000001</v>
      </c>
      <c r="I114" s="69">
        <f t="shared" ref="I114:I155" si="33">(E114+G114)*H114*0.9</f>
        <v>-658.25543159999995</v>
      </c>
      <c r="J114" s="79" t="s">
        <v>468</v>
      </c>
      <c r="K114" s="61">
        <f t="shared" ref="K114:K155" si="34">E114*0.1*H114</f>
        <v>-89.976472000000001</v>
      </c>
      <c r="L114" s="58">
        <f t="shared" ref="L114:L155" si="35">(F114*0.05+G114*0.1)*H114</f>
        <v>28.863393599999998</v>
      </c>
      <c r="M114" s="58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 t="s">
        <v>325</v>
      </c>
      <c r="B115" s="32" t="s">
        <v>10</v>
      </c>
      <c r="C115" s="10">
        <v>923286</v>
      </c>
      <c r="D115" s="10" t="s">
        <v>654</v>
      </c>
      <c r="E115" s="32">
        <v>-1164.2</v>
      </c>
      <c r="F115" s="32">
        <v>260</v>
      </c>
      <c r="G115" s="69">
        <f t="shared" si="32"/>
        <v>182</v>
      </c>
      <c r="H115" s="73">
        <v>0.20080000000000001</v>
      </c>
      <c r="I115" s="69">
        <f t="shared" si="33"/>
        <v>-177.503184</v>
      </c>
      <c r="J115" s="79" t="s">
        <v>468</v>
      </c>
      <c r="K115" s="61">
        <f t="shared" si="34"/>
        <v>-23.377136000000004</v>
      </c>
      <c r="L115" s="58">
        <f t="shared" si="35"/>
        <v>6.2649600000000003</v>
      </c>
      <c r="M115" s="58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 t="s">
        <v>325</v>
      </c>
      <c r="B116" s="32" t="s">
        <v>10</v>
      </c>
      <c r="C116" s="10">
        <v>939192</v>
      </c>
      <c r="D116" s="32" t="s">
        <v>732</v>
      </c>
      <c r="E116" s="32">
        <v>-275.8</v>
      </c>
      <c r="F116" s="32">
        <v>58.55</v>
      </c>
      <c r="G116" s="69">
        <f t="shared" si="32"/>
        <v>40.984999999999992</v>
      </c>
      <c r="H116" s="73">
        <v>0.20080000000000001</v>
      </c>
      <c r="I116" s="69">
        <f t="shared" si="33"/>
        <v>-42.43576680000001</v>
      </c>
      <c r="J116" s="79" t="s">
        <v>468</v>
      </c>
      <c r="K116" s="61">
        <f t="shared" si="34"/>
        <v>-5.5380640000000003</v>
      </c>
      <c r="L116" s="58">
        <f t="shared" si="35"/>
        <v>1.4108208</v>
      </c>
      <c r="M116" s="58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 t="s">
        <v>325</v>
      </c>
      <c r="B117" s="32" t="s">
        <v>10</v>
      </c>
      <c r="C117" s="10">
        <v>953858</v>
      </c>
      <c r="D117" s="10" t="s">
        <v>657</v>
      </c>
      <c r="E117" s="32">
        <v>-85</v>
      </c>
      <c r="F117" s="32">
        <v>5.4</v>
      </c>
      <c r="G117" s="69">
        <f t="shared" si="32"/>
        <v>3.78</v>
      </c>
      <c r="H117" s="73">
        <v>0.20080000000000001</v>
      </c>
      <c r="I117" s="69">
        <f t="shared" si="33"/>
        <v>-14.678078400000002</v>
      </c>
      <c r="J117" s="79" t="s">
        <v>468</v>
      </c>
      <c r="K117" s="61">
        <f t="shared" si="34"/>
        <v>-1.7068000000000001</v>
      </c>
      <c r="L117" s="58">
        <f t="shared" si="35"/>
        <v>0.1301184</v>
      </c>
      <c r="M117" s="58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 t="s">
        <v>325</v>
      </c>
      <c r="B118" s="32" t="s">
        <v>10</v>
      </c>
      <c r="C118" s="10">
        <v>963076</v>
      </c>
      <c r="D118" s="10" t="s">
        <v>662</v>
      </c>
      <c r="E118" s="32">
        <v>-215.3</v>
      </c>
      <c r="F118" s="32">
        <v>125.65</v>
      </c>
      <c r="G118" s="69">
        <f t="shared" si="32"/>
        <v>87.954999999999998</v>
      </c>
      <c r="H118" s="73">
        <v>0.20080000000000001</v>
      </c>
      <c r="I118" s="69">
        <f t="shared" si="33"/>
        <v>-23.013788400000003</v>
      </c>
      <c r="J118" s="79" t="s">
        <v>468</v>
      </c>
      <c r="K118" s="61">
        <f t="shared" si="34"/>
        <v>-4.3232240000000006</v>
      </c>
      <c r="L118" s="58">
        <f t="shared" si="35"/>
        <v>3.0276624000000005</v>
      </c>
      <c r="M118" s="58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 t="s">
        <v>325</v>
      </c>
      <c r="B119" s="32" t="s">
        <v>10</v>
      </c>
      <c r="C119" s="10">
        <v>1009846</v>
      </c>
      <c r="D119" s="10" t="s">
        <v>666</v>
      </c>
      <c r="E119" s="32">
        <v>1.55</v>
      </c>
      <c r="F119" s="32">
        <v>10.75</v>
      </c>
      <c r="G119" s="69">
        <f t="shared" si="32"/>
        <v>7.5249999999999995</v>
      </c>
      <c r="H119" s="73">
        <v>0.20080000000000001</v>
      </c>
      <c r="I119" s="69">
        <f t="shared" si="33"/>
        <v>1.640034</v>
      </c>
      <c r="J119" s="79" t="s">
        <v>468</v>
      </c>
      <c r="K119" s="61">
        <f t="shared" si="34"/>
        <v>3.1124000000000006E-2</v>
      </c>
      <c r="L119" s="58">
        <f t="shared" si="35"/>
        <v>0.25903200000000004</v>
      </c>
      <c r="M119" s="58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 t="s">
        <v>325</v>
      </c>
      <c r="B120" s="32" t="s">
        <v>10</v>
      </c>
      <c r="C120" s="10">
        <v>1054937</v>
      </c>
      <c r="D120" s="10" t="s">
        <v>671</v>
      </c>
      <c r="E120" s="32">
        <v>-38</v>
      </c>
      <c r="F120" s="32">
        <v>10.35</v>
      </c>
      <c r="G120" s="69">
        <f t="shared" si="32"/>
        <v>7.2449999999999992</v>
      </c>
      <c r="H120" s="73">
        <v>0.20080000000000001</v>
      </c>
      <c r="I120" s="69">
        <f t="shared" si="33"/>
        <v>-5.5580436000000004</v>
      </c>
      <c r="J120" s="79" t="s">
        <v>468</v>
      </c>
      <c r="K120" s="61">
        <f t="shared" si="34"/>
        <v>-0.76304000000000005</v>
      </c>
      <c r="L120" s="58">
        <f t="shared" si="35"/>
        <v>0.24939359999999999</v>
      </c>
      <c r="M120" s="58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 t="s">
        <v>325</v>
      </c>
      <c r="B121" s="32" t="s">
        <v>10</v>
      </c>
      <c r="C121" s="10">
        <v>1058480</v>
      </c>
      <c r="D121" s="10" t="s">
        <v>675</v>
      </c>
      <c r="E121" s="32">
        <v>-10</v>
      </c>
      <c r="F121" s="32">
        <v>3.25</v>
      </c>
      <c r="G121" s="69">
        <f t="shared" si="32"/>
        <v>2.2749999999999999</v>
      </c>
      <c r="H121" s="73">
        <v>0.20080000000000001</v>
      </c>
      <c r="I121" s="69">
        <f t="shared" si="33"/>
        <v>-1.3960620000000001</v>
      </c>
      <c r="J121" s="79" t="s">
        <v>468</v>
      </c>
      <c r="K121" s="61">
        <f t="shared" si="34"/>
        <v>-0.20080000000000001</v>
      </c>
      <c r="L121" s="58">
        <f t="shared" si="35"/>
        <v>7.8312000000000007E-2</v>
      </c>
      <c r="M121" s="58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 t="s">
        <v>325</v>
      </c>
      <c r="B122" s="32" t="s">
        <v>10</v>
      </c>
      <c r="C122" s="10">
        <v>1058483</v>
      </c>
      <c r="D122" s="32" t="s">
        <v>677</v>
      </c>
      <c r="E122" s="32">
        <v>-97.2</v>
      </c>
      <c r="F122" s="32">
        <v>70.099999999999994</v>
      </c>
      <c r="G122" s="69">
        <f t="shared" si="32"/>
        <v>49.069999999999993</v>
      </c>
      <c r="H122" s="73">
        <v>0.20080000000000001</v>
      </c>
      <c r="I122" s="69">
        <f t="shared" si="33"/>
        <v>-8.6980536000000033</v>
      </c>
      <c r="J122" s="79" t="s">
        <v>468</v>
      </c>
      <c r="K122" s="61">
        <f t="shared" si="34"/>
        <v>-1.9517760000000002</v>
      </c>
      <c r="L122" s="58">
        <f t="shared" si="35"/>
        <v>1.6891295999999998</v>
      </c>
      <c r="M122" s="58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 t="s">
        <v>325</v>
      </c>
      <c r="B123" s="32" t="s">
        <v>10</v>
      </c>
      <c r="C123" s="10">
        <v>1058486</v>
      </c>
      <c r="D123" s="10" t="s">
        <v>679</v>
      </c>
      <c r="E123" s="32">
        <v>-303.25</v>
      </c>
      <c r="F123" s="32">
        <v>34.5</v>
      </c>
      <c r="G123" s="69">
        <f t="shared" si="32"/>
        <v>24.15</v>
      </c>
      <c r="H123" s="73">
        <v>0.20080000000000001</v>
      </c>
      <c r="I123" s="69">
        <f t="shared" si="33"/>
        <v>-50.438952</v>
      </c>
      <c r="J123" s="79" t="s">
        <v>468</v>
      </c>
      <c r="K123" s="61">
        <f t="shared" si="34"/>
        <v>-6.0892600000000003</v>
      </c>
      <c r="L123" s="58">
        <f t="shared" si="35"/>
        <v>0.83131200000000016</v>
      </c>
      <c r="M123" s="58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 t="s">
        <v>325</v>
      </c>
      <c r="B124" s="32" t="s">
        <v>10</v>
      </c>
      <c r="C124" s="10">
        <v>1058490</v>
      </c>
      <c r="D124" s="10" t="s">
        <v>711</v>
      </c>
      <c r="E124" s="32">
        <v>-183.85</v>
      </c>
      <c r="F124" s="32">
        <v>143.4</v>
      </c>
      <c r="G124" s="69">
        <f t="shared" si="32"/>
        <v>100.38</v>
      </c>
      <c r="H124" s="73">
        <v>0.20080000000000001</v>
      </c>
      <c r="I124" s="69">
        <f t="shared" si="33"/>
        <v>-15.084698400000001</v>
      </c>
      <c r="J124" s="79" t="s">
        <v>468</v>
      </c>
      <c r="K124" s="61">
        <f t="shared" si="34"/>
        <v>-3.6917080000000002</v>
      </c>
      <c r="L124" s="58">
        <f t="shared" si="35"/>
        <v>3.4553664000000004</v>
      </c>
      <c r="M124" s="58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 t="s">
        <v>325</v>
      </c>
      <c r="B125" s="32" t="s">
        <v>10</v>
      </c>
      <c r="C125" s="10">
        <v>1058491</v>
      </c>
      <c r="D125" s="10" t="s">
        <v>712</v>
      </c>
      <c r="E125" s="32">
        <v>-246.85</v>
      </c>
      <c r="F125" s="32">
        <v>114.45</v>
      </c>
      <c r="G125" s="69">
        <f t="shared" si="32"/>
        <v>80.114999999999995</v>
      </c>
      <c r="H125" s="73">
        <v>0.20080000000000001</v>
      </c>
      <c r="I125" s="69">
        <f t="shared" si="33"/>
        <v>-30.132349200000004</v>
      </c>
      <c r="J125" s="79" t="s">
        <v>468</v>
      </c>
      <c r="K125" s="61">
        <f t="shared" si="34"/>
        <v>-4.956748000000001</v>
      </c>
      <c r="L125" s="58">
        <f t="shared" si="35"/>
        <v>2.7577872000000001</v>
      </c>
      <c r="M125" s="58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 t="s">
        <v>325</v>
      </c>
      <c r="B126" s="32" t="s">
        <v>10</v>
      </c>
      <c r="C126" s="10">
        <v>1058947</v>
      </c>
      <c r="D126" s="10" t="s">
        <v>681</v>
      </c>
      <c r="E126" s="32">
        <v>-438.49</v>
      </c>
      <c r="F126" s="32">
        <v>55.3</v>
      </c>
      <c r="G126" s="69">
        <f t="shared" si="32"/>
        <v>38.709999999999994</v>
      </c>
      <c r="H126" s="73">
        <v>0.20080000000000001</v>
      </c>
      <c r="I126" s="69">
        <f t="shared" si="33"/>
        <v>-72.248241600000014</v>
      </c>
      <c r="J126" s="79" t="s">
        <v>468</v>
      </c>
      <c r="K126" s="61">
        <f t="shared" si="34"/>
        <v>-8.8048792000000002</v>
      </c>
      <c r="L126" s="58">
        <f t="shared" si="35"/>
        <v>1.3325087999999998</v>
      </c>
      <c r="M126" s="58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 t="s">
        <v>325</v>
      </c>
      <c r="B127" s="32" t="s">
        <v>10</v>
      </c>
      <c r="C127" s="10">
        <v>1064980</v>
      </c>
      <c r="D127" s="10" t="s">
        <v>690</v>
      </c>
      <c r="E127" s="32">
        <v>-119.85</v>
      </c>
      <c r="F127" s="32">
        <v>65.95</v>
      </c>
      <c r="G127" s="69">
        <f t="shared" si="32"/>
        <v>46.164999999999999</v>
      </c>
      <c r="H127" s="73">
        <v>0.20080000000000001</v>
      </c>
      <c r="I127" s="69">
        <f t="shared" si="33"/>
        <v>-13.316353200000002</v>
      </c>
      <c r="J127" s="79" t="s">
        <v>468</v>
      </c>
      <c r="K127" s="61">
        <f t="shared" si="34"/>
        <v>-2.4065880000000002</v>
      </c>
      <c r="L127" s="58">
        <f t="shared" si="35"/>
        <v>1.5891312000000002</v>
      </c>
      <c r="M127" s="58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 t="s">
        <v>325</v>
      </c>
      <c r="B128" s="32" t="s">
        <v>10</v>
      </c>
      <c r="C128" s="10">
        <v>1067052</v>
      </c>
      <c r="D128" s="32" t="s">
        <v>713</v>
      </c>
      <c r="E128" s="69">
        <v>-248.05</v>
      </c>
      <c r="F128" s="69">
        <v>36.299999999999997</v>
      </c>
      <c r="G128" s="69">
        <f t="shared" si="32"/>
        <v>25.409999999999997</v>
      </c>
      <c r="H128" s="73">
        <v>0.20080000000000001</v>
      </c>
      <c r="I128" s="69">
        <f t="shared" si="33"/>
        <v>-40.235500800000004</v>
      </c>
      <c r="J128" s="79" t="s">
        <v>468</v>
      </c>
      <c r="K128" s="61">
        <f t="shared" si="34"/>
        <v>-4.9808440000000012</v>
      </c>
      <c r="L128" s="58">
        <f t="shared" si="35"/>
        <v>0.87468480000000004</v>
      </c>
      <c r="M128" s="58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2" t="s">
        <v>325</v>
      </c>
      <c r="B129" s="32" t="s">
        <v>10</v>
      </c>
      <c r="C129" s="10">
        <v>1067090</v>
      </c>
      <c r="D129" s="32" t="s">
        <v>699</v>
      </c>
      <c r="E129" s="32">
        <v>-296</v>
      </c>
      <c r="F129" s="32">
        <v>55.05</v>
      </c>
      <c r="G129" s="69">
        <f t="shared" si="32"/>
        <v>38.534999999999997</v>
      </c>
      <c r="H129" s="73">
        <v>0.20080000000000001</v>
      </c>
      <c r="I129" s="69">
        <f t="shared" si="33"/>
        <v>-46.529074800000004</v>
      </c>
      <c r="J129" s="79" t="s">
        <v>468</v>
      </c>
      <c r="K129" s="61">
        <f t="shared" si="34"/>
        <v>-5.9436800000000005</v>
      </c>
      <c r="L129" s="58">
        <f t="shared" si="35"/>
        <v>1.3264848</v>
      </c>
      <c r="M129" s="58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2" t="s">
        <v>325</v>
      </c>
      <c r="B130" s="32" t="s">
        <v>10</v>
      </c>
      <c r="C130" s="10">
        <v>1067198</v>
      </c>
      <c r="D130" s="10" t="s">
        <v>700</v>
      </c>
      <c r="E130" s="32">
        <v>-115.3</v>
      </c>
      <c r="F130" s="32">
        <v>112.35</v>
      </c>
      <c r="G130" s="69">
        <f t="shared" si="32"/>
        <v>78.644999999999996</v>
      </c>
      <c r="H130" s="73">
        <v>0.20080000000000001</v>
      </c>
      <c r="I130" s="69">
        <f t="shared" si="33"/>
        <v>-6.6242916000000003</v>
      </c>
      <c r="J130" s="79" t="s">
        <v>468</v>
      </c>
      <c r="K130" s="61">
        <f t="shared" si="34"/>
        <v>-2.3152240000000002</v>
      </c>
      <c r="L130" s="58">
        <f t="shared" si="35"/>
        <v>2.7071855999999999</v>
      </c>
      <c r="M130" s="58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2" t="s">
        <v>325</v>
      </c>
      <c r="B131" s="32" t="s">
        <v>10</v>
      </c>
      <c r="C131" s="10">
        <v>1068074</v>
      </c>
      <c r="D131" s="10" t="s">
        <v>715</v>
      </c>
      <c r="E131" s="32">
        <v>-18.8</v>
      </c>
      <c r="F131" s="32">
        <v>4.95</v>
      </c>
      <c r="G131" s="69">
        <f t="shared" si="32"/>
        <v>3.4649999999999999</v>
      </c>
      <c r="H131" s="73">
        <v>0.20080000000000001</v>
      </c>
      <c r="I131" s="69">
        <f t="shared" si="33"/>
        <v>-2.7713412000000002</v>
      </c>
      <c r="J131" s="79" t="s">
        <v>468</v>
      </c>
      <c r="K131" s="61">
        <f t="shared" si="34"/>
        <v>-0.37750400000000006</v>
      </c>
      <c r="L131" s="58">
        <f t="shared" si="35"/>
        <v>0.11927520000000003</v>
      </c>
      <c r="M131" s="58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2" t="s">
        <v>325</v>
      </c>
      <c r="B132" s="32" t="s">
        <v>10</v>
      </c>
      <c r="C132" s="10">
        <v>1070669</v>
      </c>
      <c r="D132" s="10" t="s">
        <v>721</v>
      </c>
      <c r="E132" s="32">
        <v>-622.79999999999995</v>
      </c>
      <c r="F132" s="32">
        <v>577</v>
      </c>
      <c r="G132" s="69">
        <f t="shared" si="32"/>
        <v>403.9</v>
      </c>
      <c r="H132" s="73">
        <v>0.20080000000000001</v>
      </c>
      <c r="I132" s="69">
        <f t="shared" si="33"/>
        <v>-39.559607999999997</v>
      </c>
      <c r="J132" s="79" t="s">
        <v>468</v>
      </c>
      <c r="K132" s="61">
        <f t="shared" si="34"/>
        <v>-12.505824</v>
      </c>
      <c r="L132" s="58">
        <f t="shared" si="35"/>
        <v>13.903392000000002</v>
      </c>
      <c r="M132" s="58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2" t="s">
        <v>325</v>
      </c>
      <c r="B133" s="32" t="s">
        <v>10</v>
      </c>
      <c r="C133" s="10">
        <v>1071606</v>
      </c>
      <c r="D133" s="32" t="s">
        <v>725</v>
      </c>
      <c r="E133" s="69">
        <v>-175.5</v>
      </c>
      <c r="F133" s="69">
        <v>20.3</v>
      </c>
      <c r="G133" s="69">
        <f t="shared" si="32"/>
        <v>14.209999999999999</v>
      </c>
      <c r="H133" s="73">
        <v>0.20080000000000001</v>
      </c>
      <c r="I133" s="69">
        <f t="shared" si="33"/>
        <v>-29.148328799999998</v>
      </c>
      <c r="J133" s="79" t="s">
        <v>468</v>
      </c>
      <c r="K133" s="61">
        <f t="shared" si="34"/>
        <v>-3.5240400000000003</v>
      </c>
      <c r="L133" s="58">
        <f t="shared" si="35"/>
        <v>0.48914879999999999</v>
      </c>
      <c r="M133" s="58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2" t="s">
        <v>325</v>
      </c>
      <c r="B134" s="32" t="s">
        <v>10</v>
      </c>
      <c r="C134" s="10">
        <v>1072699</v>
      </c>
      <c r="D134" s="32" t="s">
        <v>726</v>
      </c>
      <c r="E134" s="69">
        <v>-19.149999999999999</v>
      </c>
      <c r="F134" s="69">
        <v>2.09</v>
      </c>
      <c r="G134" s="69">
        <f t="shared" si="32"/>
        <v>1.4629999999999999</v>
      </c>
      <c r="H134" s="73">
        <v>0.20080000000000001</v>
      </c>
      <c r="I134" s="69">
        <f t="shared" si="33"/>
        <v>-3.1963946399999998</v>
      </c>
      <c r="J134" s="79" t="s">
        <v>468</v>
      </c>
      <c r="K134" s="61">
        <f t="shared" si="34"/>
        <v>-0.38453200000000004</v>
      </c>
      <c r="L134" s="58">
        <f t="shared" si="35"/>
        <v>5.0360639999999998E-2</v>
      </c>
      <c r="M134" s="58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2" t="s">
        <v>325</v>
      </c>
      <c r="B135" s="32" t="s">
        <v>10</v>
      </c>
      <c r="C135" s="10">
        <v>1074259</v>
      </c>
      <c r="D135" s="32" t="s">
        <v>733</v>
      </c>
      <c r="E135" s="69">
        <v>-84.4</v>
      </c>
      <c r="F135" s="69">
        <v>7.1</v>
      </c>
      <c r="G135" s="69">
        <f t="shared" si="32"/>
        <v>4.97</v>
      </c>
      <c r="H135" s="73">
        <v>0.20080000000000001</v>
      </c>
      <c r="I135" s="69">
        <f t="shared" si="33"/>
        <v>-14.354589600000001</v>
      </c>
      <c r="J135" s="79" t="s">
        <v>468</v>
      </c>
      <c r="K135" s="61">
        <f t="shared" si="34"/>
        <v>-1.6947520000000003</v>
      </c>
      <c r="L135" s="58">
        <f t="shared" si="35"/>
        <v>0.1710816</v>
      </c>
      <c r="M135" s="58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2" t="s">
        <v>325</v>
      </c>
      <c r="B136" s="32" t="s">
        <v>10</v>
      </c>
      <c r="C136" s="10">
        <v>1074390</v>
      </c>
      <c r="D136" s="10" t="s">
        <v>734</v>
      </c>
      <c r="E136" s="69">
        <v>-199.65</v>
      </c>
      <c r="F136" s="69">
        <v>98.2</v>
      </c>
      <c r="G136" s="69">
        <f t="shared" si="32"/>
        <v>68.739999999999995</v>
      </c>
      <c r="H136" s="73">
        <v>0.20080000000000001</v>
      </c>
      <c r="I136" s="69">
        <f t="shared" si="33"/>
        <v>-23.658055200000007</v>
      </c>
      <c r="J136" s="79" t="s">
        <v>468</v>
      </c>
      <c r="K136" s="61">
        <f t="shared" si="34"/>
        <v>-4.0089720000000009</v>
      </c>
      <c r="L136" s="58">
        <f t="shared" si="35"/>
        <v>2.3662272</v>
      </c>
      <c r="M136" s="58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2" t="s">
        <v>325</v>
      </c>
      <c r="B137" s="32" t="s">
        <v>10</v>
      </c>
      <c r="C137" s="10">
        <v>1074392</v>
      </c>
      <c r="D137" s="10" t="s">
        <v>735</v>
      </c>
      <c r="E137" s="32">
        <v>-759.05</v>
      </c>
      <c r="F137" s="32">
        <v>125.85</v>
      </c>
      <c r="G137" s="69">
        <f t="shared" si="32"/>
        <v>88.094999999999985</v>
      </c>
      <c r="H137" s="73">
        <v>0.20080000000000001</v>
      </c>
      <c r="I137" s="69">
        <f t="shared" si="33"/>
        <v>-121.25498759999998</v>
      </c>
      <c r="J137" s="79" t="s">
        <v>468</v>
      </c>
      <c r="K137" s="61">
        <f t="shared" si="34"/>
        <v>-15.241724000000001</v>
      </c>
      <c r="L137" s="58">
        <f t="shared" si="35"/>
        <v>3.0324815999999997</v>
      </c>
      <c r="M137" s="58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2" t="s">
        <v>325</v>
      </c>
      <c r="B138" s="32" t="s">
        <v>10</v>
      </c>
      <c r="C138" s="10">
        <v>1074446</v>
      </c>
      <c r="D138" s="10" t="s">
        <v>736</v>
      </c>
      <c r="E138" s="69">
        <v>-181.6</v>
      </c>
      <c r="F138" s="69">
        <v>19.100000000000001</v>
      </c>
      <c r="G138" s="69">
        <f t="shared" si="32"/>
        <v>13.370000000000001</v>
      </c>
      <c r="H138" s="73">
        <v>0.20080000000000001</v>
      </c>
      <c r="I138" s="69">
        <f t="shared" si="33"/>
        <v>-30.402525599999997</v>
      </c>
      <c r="J138" s="79" t="s">
        <v>468</v>
      </c>
      <c r="K138" s="61">
        <f t="shared" si="34"/>
        <v>-3.646528</v>
      </c>
      <c r="L138" s="58">
        <f t="shared" si="35"/>
        <v>0.46023360000000008</v>
      </c>
      <c r="M138" s="58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2" t="s">
        <v>325</v>
      </c>
      <c r="B139" s="32" t="s">
        <v>10</v>
      </c>
      <c r="C139" s="10">
        <v>1075452</v>
      </c>
      <c r="D139" s="10" t="s">
        <v>737</v>
      </c>
      <c r="E139" s="32">
        <v>-348.65</v>
      </c>
      <c r="F139" s="32">
        <v>147.4</v>
      </c>
      <c r="G139" s="69">
        <f t="shared" si="32"/>
        <v>103.17999999999999</v>
      </c>
      <c r="H139" s="73">
        <v>0.20080000000000001</v>
      </c>
      <c r="I139" s="69">
        <f t="shared" si="33"/>
        <v>-44.361338399999994</v>
      </c>
      <c r="J139" s="79" t="s">
        <v>468</v>
      </c>
      <c r="K139" s="61">
        <f t="shared" si="34"/>
        <v>-7.0008920000000003</v>
      </c>
      <c r="L139" s="58">
        <f t="shared" si="35"/>
        <v>3.5517504000000004</v>
      </c>
      <c r="M139" s="58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2" t="s">
        <v>325</v>
      </c>
      <c r="B140" s="32" t="s">
        <v>10</v>
      </c>
      <c r="C140" s="10">
        <v>1075784</v>
      </c>
      <c r="D140" s="10" t="s">
        <v>738</v>
      </c>
      <c r="E140" s="69">
        <v>-315</v>
      </c>
      <c r="F140" s="69">
        <v>31.05</v>
      </c>
      <c r="G140" s="69">
        <f t="shared" si="32"/>
        <v>21.734999999999999</v>
      </c>
      <c r="H140" s="73">
        <v>0.20080000000000001</v>
      </c>
      <c r="I140" s="69">
        <f t="shared" si="33"/>
        <v>-52.9988508</v>
      </c>
      <c r="J140" s="79" t="s">
        <v>468</v>
      </c>
      <c r="K140" s="61">
        <f t="shared" si="34"/>
        <v>-6.3252000000000006</v>
      </c>
      <c r="L140" s="58">
        <f t="shared" si="35"/>
        <v>0.74818080000000009</v>
      </c>
      <c r="M140" s="58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2" t="s">
        <v>325</v>
      </c>
      <c r="B141" s="32" t="s">
        <v>10</v>
      </c>
      <c r="C141" s="10">
        <v>1075888</v>
      </c>
      <c r="D141" s="10" t="s">
        <v>739</v>
      </c>
      <c r="E141" s="69">
        <v>-566.9</v>
      </c>
      <c r="F141" s="69">
        <v>206.85</v>
      </c>
      <c r="G141" s="69">
        <f t="shared" si="32"/>
        <v>144.79499999999999</v>
      </c>
      <c r="H141" s="73">
        <v>0.20080000000000001</v>
      </c>
      <c r="I141" s="69">
        <f t="shared" si="33"/>
        <v>-76.282815600000006</v>
      </c>
      <c r="J141" s="79" t="s">
        <v>468</v>
      </c>
      <c r="K141" s="61">
        <f t="shared" si="34"/>
        <v>-11.383352</v>
      </c>
      <c r="L141" s="58">
        <f t="shared" si="35"/>
        <v>4.9842576000000003</v>
      </c>
      <c r="M141" s="58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 t="s">
        <v>325</v>
      </c>
      <c r="B142" s="32" t="s">
        <v>10</v>
      </c>
      <c r="C142" s="10">
        <v>1076180</v>
      </c>
      <c r="D142" s="10" t="s">
        <v>740</v>
      </c>
      <c r="E142" s="32">
        <v>-92.7</v>
      </c>
      <c r="F142" s="32">
        <v>11.7</v>
      </c>
      <c r="G142" s="69">
        <f t="shared" si="32"/>
        <v>8.19</v>
      </c>
      <c r="H142" s="73">
        <v>0.20080000000000001</v>
      </c>
      <c r="I142" s="69">
        <f t="shared" si="33"/>
        <v>-15.272647200000002</v>
      </c>
      <c r="J142" s="79" t="s">
        <v>468</v>
      </c>
      <c r="K142" s="61">
        <f t="shared" si="34"/>
        <v>-1.8614160000000004</v>
      </c>
      <c r="L142" s="58">
        <f t="shared" si="35"/>
        <v>0.28192319999999998</v>
      </c>
      <c r="M142" s="58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 t="s">
        <v>325</v>
      </c>
      <c r="B143" s="32" t="s">
        <v>10</v>
      </c>
      <c r="C143" s="10">
        <v>1076492</v>
      </c>
      <c r="D143" s="10" t="s">
        <v>741</v>
      </c>
      <c r="E143" s="32">
        <v>-85</v>
      </c>
      <c r="F143" s="32">
        <v>9.9</v>
      </c>
      <c r="G143" s="69">
        <f t="shared" si="32"/>
        <v>6.93</v>
      </c>
      <c r="H143" s="73">
        <v>0.20080000000000001</v>
      </c>
      <c r="I143" s="69">
        <f t="shared" si="33"/>
        <v>-14.108810399999999</v>
      </c>
      <c r="J143" s="79" t="s">
        <v>468</v>
      </c>
      <c r="K143" s="61">
        <f t="shared" si="34"/>
        <v>-1.7068000000000001</v>
      </c>
      <c r="L143" s="58">
        <f t="shared" si="35"/>
        <v>0.23855040000000005</v>
      </c>
      <c r="M143" s="58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 t="s">
        <v>325</v>
      </c>
      <c r="B144" s="32" t="s">
        <v>10</v>
      </c>
      <c r="C144" s="10">
        <v>1076663</v>
      </c>
      <c r="D144" s="10" t="s">
        <v>742</v>
      </c>
      <c r="E144" s="69">
        <v>-160</v>
      </c>
      <c r="F144" s="69">
        <v>22</v>
      </c>
      <c r="G144" s="69">
        <f t="shared" si="32"/>
        <v>15.399999999999999</v>
      </c>
      <c r="H144" s="73">
        <v>0.20080000000000001</v>
      </c>
      <c r="I144" s="69">
        <f t="shared" si="33"/>
        <v>-26.132111999999999</v>
      </c>
      <c r="J144" s="79" t="s">
        <v>468</v>
      </c>
      <c r="K144" s="61">
        <f t="shared" si="34"/>
        <v>-3.2128000000000001</v>
      </c>
      <c r="L144" s="58">
        <f t="shared" si="35"/>
        <v>0.53011200000000003</v>
      </c>
      <c r="M144" s="58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2" t="s">
        <v>325</v>
      </c>
      <c r="B145" s="32" t="s">
        <v>10</v>
      </c>
      <c r="C145" s="10">
        <v>1076991</v>
      </c>
      <c r="D145" s="10" t="s">
        <v>743</v>
      </c>
      <c r="E145" s="32">
        <v>-290.85000000000002</v>
      </c>
      <c r="F145" s="32">
        <v>34.25</v>
      </c>
      <c r="G145" s="69">
        <f t="shared" si="32"/>
        <v>23.974999999999998</v>
      </c>
      <c r="H145" s="73">
        <v>0.20080000000000001</v>
      </c>
      <c r="I145" s="69">
        <f t="shared" si="33"/>
        <v>-48.229650000000007</v>
      </c>
      <c r="J145" s="79" t="s">
        <v>468</v>
      </c>
      <c r="K145" s="61">
        <f t="shared" si="34"/>
        <v>-5.8402680000000009</v>
      </c>
      <c r="L145" s="58">
        <f t="shared" si="35"/>
        <v>0.82528800000000013</v>
      </c>
      <c r="M145" s="58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 t="s">
        <v>325</v>
      </c>
      <c r="B146" s="32" t="s">
        <v>10</v>
      </c>
      <c r="C146" s="10">
        <v>1077208</v>
      </c>
      <c r="D146" s="10" t="s">
        <v>744</v>
      </c>
      <c r="E146" s="69">
        <v>-125</v>
      </c>
      <c r="F146" s="69">
        <v>17.7</v>
      </c>
      <c r="G146" s="69">
        <f t="shared" si="32"/>
        <v>12.389999999999999</v>
      </c>
      <c r="H146" s="73">
        <v>0.20080000000000001</v>
      </c>
      <c r="I146" s="69">
        <f t="shared" si="33"/>
        <v>-20.350879200000001</v>
      </c>
      <c r="J146" s="79" t="s">
        <v>468</v>
      </c>
      <c r="K146" s="61">
        <f t="shared" si="34"/>
        <v>-2.5100000000000002</v>
      </c>
      <c r="L146" s="58">
        <f t="shared" si="35"/>
        <v>0.42649919999999997</v>
      </c>
      <c r="M146" s="58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 t="s">
        <v>325</v>
      </c>
      <c r="B147" s="32" t="s">
        <v>10</v>
      </c>
      <c r="C147" s="10">
        <v>1077282</v>
      </c>
      <c r="D147" s="10" t="s">
        <v>745</v>
      </c>
      <c r="E147" s="32">
        <v>-1037.05</v>
      </c>
      <c r="F147" s="32">
        <v>237.4</v>
      </c>
      <c r="G147" s="69">
        <f t="shared" si="32"/>
        <v>166.18</v>
      </c>
      <c r="H147" s="73">
        <v>0.20080000000000001</v>
      </c>
      <c r="I147" s="69">
        <f t="shared" si="33"/>
        <v>-157.3836264</v>
      </c>
      <c r="J147" s="79" t="s">
        <v>468</v>
      </c>
      <c r="K147" s="61">
        <f t="shared" si="34"/>
        <v>-20.823964</v>
      </c>
      <c r="L147" s="58">
        <f t="shared" si="35"/>
        <v>5.7203904000000012</v>
      </c>
      <c r="M147" s="58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 t="s">
        <v>325</v>
      </c>
      <c r="B148" s="32" t="s">
        <v>10</v>
      </c>
      <c r="C148" s="10">
        <v>1077417</v>
      </c>
      <c r="D148" s="10" t="s">
        <v>746</v>
      </c>
      <c r="E148" s="32">
        <v>59.95</v>
      </c>
      <c r="F148" s="32">
        <v>35.75</v>
      </c>
      <c r="G148" s="69">
        <f t="shared" si="32"/>
        <v>25.024999999999999</v>
      </c>
      <c r="H148" s="73">
        <v>0.20080000000000001</v>
      </c>
      <c r="I148" s="69">
        <f t="shared" si="33"/>
        <v>15.356681999999999</v>
      </c>
      <c r="J148" s="79" t="s">
        <v>468</v>
      </c>
      <c r="K148" s="61">
        <f t="shared" si="34"/>
        <v>1.2037960000000003</v>
      </c>
      <c r="L148" s="58">
        <f t="shared" si="35"/>
        <v>0.86143200000000009</v>
      </c>
      <c r="M148" s="58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 t="s">
        <v>325</v>
      </c>
      <c r="B149" s="32" t="s">
        <v>10</v>
      </c>
      <c r="C149" s="10">
        <v>1077974</v>
      </c>
      <c r="D149" s="10" t="s">
        <v>747</v>
      </c>
      <c r="E149" s="32">
        <v>-119.65</v>
      </c>
      <c r="F149" s="32">
        <v>20.100000000000001</v>
      </c>
      <c r="G149" s="69">
        <f t="shared" si="32"/>
        <v>14.07</v>
      </c>
      <c r="H149" s="73">
        <v>0.20080000000000001</v>
      </c>
      <c r="I149" s="69">
        <f t="shared" si="33"/>
        <v>-19.080417600000004</v>
      </c>
      <c r="J149" s="79" t="s">
        <v>468</v>
      </c>
      <c r="K149" s="61">
        <f t="shared" si="34"/>
        <v>-2.4025720000000006</v>
      </c>
      <c r="L149" s="58">
        <f t="shared" si="35"/>
        <v>0.48432960000000003</v>
      </c>
      <c r="M149" s="58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 t="s">
        <v>325</v>
      </c>
      <c r="B150" s="32" t="s">
        <v>10</v>
      </c>
      <c r="C150" s="10">
        <v>1078030</v>
      </c>
      <c r="D150" s="10" t="s">
        <v>748</v>
      </c>
      <c r="E150" s="32">
        <v>185.6</v>
      </c>
      <c r="F150" s="32">
        <v>20.350000000000001</v>
      </c>
      <c r="G150" s="69">
        <f t="shared" si="32"/>
        <v>14.244999999999999</v>
      </c>
      <c r="H150" s="73">
        <v>0.20080000000000001</v>
      </c>
      <c r="I150" s="69">
        <f t="shared" si="33"/>
        <v>36.115988399999999</v>
      </c>
      <c r="J150" s="79" t="s">
        <v>468</v>
      </c>
      <c r="K150" s="61">
        <f t="shared" si="34"/>
        <v>3.7268479999999999</v>
      </c>
      <c r="L150" s="58">
        <f t="shared" si="35"/>
        <v>0.49035360000000006</v>
      </c>
      <c r="M150" s="58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 t="s">
        <v>325</v>
      </c>
      <c r="B151" s="32" t="s">
        <v>10</v>
      </c>
      <c r="C151" s="10">
        <v>1078062</v>
      </c>
      <c r="D151" s="32" t="s">
        <v>749</v>
      </c>
      <c r="E151" s="69">
        <v>-91.55</v>
      </c>
      <c r="F151" s="69">
        <v>17.149999999999999</v>
      </c>
      <c r="G151" s="69">
        <f t="shared" si="32"/>
        <v>12.004999999999999</v>
      </c>
      <c r="H151" s="73">
        <v>0.20080000000000001</v>
      </c>
      <c r="I151" s="69">
        <f t="shared" si="33"/>
        <v>-14.375372400000002</v>
      </c>
      <c r="J151" s="79" t="s">
        <v>468</v>
      </c>
      <c r="K151" s="61">
        <f t="shared" si="34"/>
        <v>-1.8383239999999998</v>
      </c>
      <c r="L151" s="58">
        <f t="shared" si="35"/>
        <v>0.41324639999999996</v>
      </c>
      <c r="M151" s="58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 t="s">
        <v>325</v>
      </c>
      <c r="B152" s="32" t="s">
        <v>10</v>
      </c>
      <c r="C152" s="10">
        <v>1078395</v>
      </c>
      <c r="D152" s="10" t="s">
        <v>750</v>
      </c>
      <c r="E152" s="69">
        <v>-316.05</v>
      </c>
      <c r="F152" s="69">
        <v>40.299999999999997</v>
      </c>
      <c r="G152" s="69">
        <f t="shared" si="32"/>
        <v>28.209999999999997</v>
      </c>
      <c r="H152" s="73">
        <v>0.20080000000000001</v>
      </c>
      <c r="I152" s="69">
        <f t="shared" si="33"/>
        <v>-52.018444800000012</v>
      </c>
      <c r="J152" s="79" t="s">
        <v>468</v>
      </c>
      <c r="K152" s="61">
        <f t="shared" si="34"/>
        <v>-6.3462840000000007</v>
      </c>
      <c r="L152" s="58">
        <f t="shared" si="35"/>
        <v>0.97106880000000007</v>
      </c>
      <c r="M152" s="58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 t="s">
        <v>325</v>
      </c>
      <c r="B153" s="32" t="s">
        <v>10</v>
      </c>
      <c r="C153" s="10">
        <v>915274</v>
      </c>
      <c r="D153" s="10" t="s">
        <v>701</v>
      </c>
      <c r="E153" s="32">
        <v>-203.4</v>
      </c>
      <c r="F153" s="32">
        <v>34.25</v>
      </c>
      <c r="G153" s="69">
        <f t="shared" si="32"/>
        <v>23.974999999999998</v>
      </c>
      <c r="H153" s="73">
        <v>0.20080000000000001</v>
      </c>
      <c r="I153" s="69">
        <f t="shared" si="33"/>
        <v>-32.425686000000006</v>
      </c>
      <c r="J153" s="79" t="s">
        <v>468</v>
      </c>
      <c r="K153" s="61">
        <f t="shared" si="34"/>
        <v>-4.0842720000000012</v>
      </c>
      <c r="L153" s="58">
        <f t="shared" si="35"/>
        <v>0.82528800000000013</v>
      </c>
      <c r="M153" s="58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 t="s">
        <v>325</v>
      </c>
      <c r="B154" s="32" t="s">
        <v>10</v>
      </c>
      <c r="C154" s="10">
        <v>924295</v>
      </c>
      <c r="D154" s="10" t="s">
        <v>751</v>
      </c>
      <c r="E154" s="32">
        <v>-107</v>
      </c>
      <c r="F154" s="32">
        <v>40.5</v>
      </c>
      <c r="G154" s="69">
        <f t="shared" si="32"/>
        <v>28.349999999999998</v>
      </c>
      <c r="H154" s="73">
        <v>0.20080000000000001</v>
      </c>
      <c r="I154" s="69">
        <f t="shared" si="33"/>
        <v>-14.213628000000002</v>
      </c>
      <c r="J154" s="79" t="s">
        <v>468</v>
      </c>
      <c r="K154" s="61">
        <f t="shared" si="34"/>
        <v>-2.1485600000000002</v>
      </c>
      <c r="L154" s="58">
        <f t="shared" si="35"/>
        <v>0.97588799999999987</v>
      </c>
      <c r="M154" s="58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 t="s">
        <v>325</v>
      </c>
      <c r="B155" s="32" t="s">
        <v>10</v>
      </c>
      <c r="C155" s="10">
        <v>1075216</v>
      </c>
      <c r="D155" s="10" t="s">
        <v>752</v>
      </c>
      <c r="E155" s="32">
        <v>-56.85</v>
      </c>
      <c r="F155" s="32">
        <v>12.6</v>
      </c>
      <c r="G155" s="69">
        <f t="shared" si="32"/>
        <v>8.8199999999999985</v>
      </c>
      <c r="H155" s="73">
        <v>0.20080000000000001</v>
      </c>
      <c r="I155" s="69">
        <f t="shared" si="33"/>
        <v>-8.6799816000000014</v>
      </c>
      <c r="J155" s="79" t="s">
        <v>468</v>
      </c>
      <c r="K155" s="61">
        <f t="shared" si="34"/>
        <v>-1.1415480000000002</v>
      </c>
      <c r="L155" s="58">
        <f t="shared" si="35"/>
        <v>0.30360960000000004</v>
      </c>
      <c r="M155" s="58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 t="s">
        <v>325</v>
      </c>
      <c r="B156" s="32" t="s">
        <v>753</v>
      </c>
      <c r="C156" s="10" t="s">
        <v>754</v>
      </c>
      <c r="D156" s="32" t="s">
        <v>755</v>
      </c>
      <c r="E156" s="69">
        <v>50.18</v>
      </c>
      <c r="F156" s="69">
        <v>30.14</v>
      </c>
      <c r="G156" s="69">
        <f t="shared" ref="G156:G157" si="36">F156*0.3</f>
        <v>9.0419999999999998</v>
      </c>
      <c r="H156" s="70">
        <v>1</v>
      </c>
      <c r="I156" s="69">
        <f t="shared" ref="I156:I171" si="37">(E156+G156)*H156</f>
        <v>59.222000000000001</v>
      </c>
      <c r="J156" s="79" t="s">
        <v>468</v>
      </c>
      <c r="K156" s="61">
        <v>0</v>
      </c>
      <c r="L156" s="58">
        <f t="shared" ref="L156:L157" si="38">F156*0.05*H156</f>
        <v>1.5070000000000001</v>
      </c>
      <c r="M156" s="58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 t="s">
        <v>325</v>
      </c>
      <c r="B157" s="32" t="s">
        <v>756</v>
      </c>
      <c r="C157" s="10" t="s">
        <v>757</v>
      </c>
      <c r="D157" s="32" t="s">
        <v>758</v>
      </c>
      <c r="E157" s="69">
        <v>14.26</v>
      </c>
      <c r="F157" s="69">
        <v>1.71</v>
      </c>
      <c r="G157" s="69">
        <f t="shared" si="36"/>
        <v>0.51300000000000001</v>
      </c>
      <c r="H157" s="70">
        <v>1</v>
      </c>
      <c r="I157" s="69">
        <f t="shared" si="37"/>
        <v>14.773</v>
      </c>
      <c r="J157" s="79" t="s">
        <v>468</v>
      </c>
      <c r="K157" s="61">
        <v>0</v>
      </c>
      <c r="L157" s="58">
        <f t="shared" si="38"/>
        <v>8.5500000000000007E-2</v>
      </c>
      <c r="M157" s="58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 t="s">
        <v>332</v>
      </c>
      <c r="B158" s="32" t="s">
        <v>54</v>
      </c>
      <c r="C158" s="10" t="s">
        <v>623</v>
      </c>
      <c r="D158" s="10">
        <v>727727</v>
      </c>
      <c r="E158" s="69">
        <v>-1725</v>
      </c>
      <c r="F158" s="69">
        <v>82.5</v>
      </c>
      <c r="G158" s="69">
        <f t="shared" ref="G158:G168" si="39">F158*0.75</f>
        <v>61.875</v>
      </c>
      <c r="H158" s="75">
        <v>0.27323999999999998</v>
      </c>
      <c r="I158" s="69">
        <f t="shared" si="37"/>
        <v>-454.43227499999995</v>
      </c>
      <c r="J158" s="78">
        <f t="shared" ref="J158:J168" si="40">F158*0.05*H158</f>
        <v>1.1271149999999999</v>
      </c>
      <c r="K158" s="61">
        <v>0</v>
      </c>
      <c r="L158" s="61">
        <f t="shared" ref="L158:L168" si="41">F158*0.08*H158</f>
        <v>1.8033840000000001</v>
      </c>
      <c r="M158" s="58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 t="s">
        <v>332</v>
      </c>
      <c r="B159" s="32" t="s">
        <v>54</v>
      </c>
      <c r="C159" s="10" t="s">
        <v>624</v>
      </c>
      <c r="D159" s="32" t="s">
        <v>625</v>
      </c>
      <c r="E159" s="69">
        <v>14750.64</v>
      </c>
      <c r="F159" s="69">
        <v>7348.45</v>
      </c>
      <c r="G159" s="69">
        <f t="shared" si="39"/>
        <v>5511.3374999999996</v>
      </c>
      <c r="H159" s="75">
        <v>0.27323999999999998</v>
      </c>
      <c r="I159" s="69">
        <f t="shared" si="37"/>
        <v>5536.3827320999999</v>
      </c>
      <c r="J159" s="78">
        <f t="shared" si="40"/>
        <v>100.3945239</v>
      </c>
      <c r="K159" s="61">
        <v>0</v>
      </c>
      <c r="L159" s="61">
        <f t="shared" si="41"/>
        <v>160.63123823999999</v>
      </c>
      <c r="M159" s="58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 t="s">
        <v>332</v>
      </c>
      <c r="B160" s="32" t="s">
        <v>54</v>
      </c>
      <c r="C160" s="10" t="s">
        <v>627</v>
      </c>
      <c r="D160" s="10" t="s">
        <v>628</v>
      </c>
      <c r="E160" s="32">
        <v>-3608.8</v>
      </c>
      <c r="F160" s="32">
        <v>409.08</v>
      </c>
      <c r="G160" s="69">
        <f t="shared" si="39"/>
        <v>306.81</v>
      </c>
      <c r="H160" s="75">
        <v>0.27323999999999998</v>
      </c>
      <c r="I160" s="69">
        <f t="shared" si="37"/>
        <v>-902.23574759999997</v>
      </c>
      <c r="J160" s="78">
        <f t="shared" si="40"/>
        <v>5.5888509600000003</v>
      </c>
      <c r="K160" s="61">
        <v>0</v>
      </c>
      <c r="L160" s="61">
        <f t="shared" si="41"/>
        <v>8.9421615359999986</v>
      </c>
      <c r="M160" s="58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 t="s">
        <v>332</v>
      </c>
      <c r="B161" s="32" t="s">
        <v>54</v>
      </c>
      <c r="C161" s="10" t="s">
        <v>630</v>
      </c>
      <c r="D161" s="10" t="s">
        <v>631</v>
      </c>
      <c r="E161" s="32">
        <v>-645.04999999999995</v>
      </c>
      <c r="F161" s="32">
        <v>455.21</v>
      </c>
      <c r="G161" s="69">
        <f t="shared" si="39"/>
        <v>341.40749999999997</v>
      </c>
      <c r="H161" s="75">
        <v>0.27323999999999998</v>
      </c>
      <c r="I161" s="69">
        <f t="shared" si="37"/>
        <v>-82.967276699999985</v>
      </c>
      <c r="J161" s="78">
        <f t="shared" si="40"/>
        <v>6.2190790199999997</v>
      </c>
      <c r="K161" s="61">
        <v>0</v>
      </c>
      <c r="L161" s="61">
        <f t="shared" si="41"/>
        <v>9.9505264320000002</v>
      </c>
      <c r="M161" s="58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 t="s">
        <v>332</v>
      </c>
      <c r="B162" s="32" t="s">
        <v>54</v>
      </c>
      <c r="C162" s="10" t="s">
        <v>633</v>
      </c>
      <c r="D162" s="32" t="s">
        <v>634</v>
      </c>
      <c r="E162" s="69">
        <v>1467</v>
      </c>
      <c r="F162" s="69">
        <v>46.5</v>
      </c>
      <c r="G162" s="69">
        <f t="shared" si="39"/>
        <v>34.875</v>
      </c>
      <c r="H162" s="75">
        <v>0.27323999999999998</v>
      </c>
      <c r="I162" s="69">
        <f t="shared" si="37"/>
        <v>410.37232499999999</v>
      </c>
      <c r="J162" s="78">
        <f t="shared" si="40"/>
        <v>0.63528300000000004</v>
      </c>
      <c r="K162" s="61">
        <v>0</v>
      </c>
      <c r="L162" s="61">
        <f t="shared" si="41"/>
        <v>1.0164527999999999</v>
      </c>
      <c r="M162" s="58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 t="s">
        <v>332</v>
      </c>
      <c r="B163" s="32" t="s">
        <v>54</v>
      </c>
      <c r="C163" s="10" t="s">
        <v>636</v>
      </c>
      <c r="D163" s="32" t="s">
        <v>637</v>
      </c>
      <c r="E163" s="69">
        <v>-12982.5</v>
      </c>
      <c r="F163" s="69">
        <v>1486.05</v>
      </c>
      <c r="G163" s="69">
        <f t="shared" si="39"/>
        <v>1114.5374999999999</v>
      </c>
      <c r="H163" s="75">
        <v>0.27323999999999998</v>
      </c>
      <c r="I163" s="69">
        <f t="shared" si="37"/>
        <v>-3242.8020734999996</v>
      </c>
      <c r="J163" s="78">
        <f t="shared" si="40"/>
        <v>20.302415099999997</v>
      </c>
      <c r="K163" s="61">
        <v>0</v>
      </c>
      <c r="L163" s="61">
        <f t="shared" si="41"/>
        <v>32.483864159999996</v>
      </c>
      <c r="M163" s="58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 t="s">
        <v>332</v>
      </c>
      <c r="B164" s="32" t="s">
        <v>54</v>
      </c>
      <c r="C164" s="10" t="s">
        <v>638</v>
      </c>
      <c r="D164" s="10" t="s">
        <v>639</v>
      </c>
      <c r="E164" s="32">
        <v>2110.65</v>
      </c>
      <c r="F164" s="32">
        <v>351.66</v>
      </c>
      <c r="G164" s="69">
        <f t="shared" si="39"/>
        <v>263.745</v>
      </c>
      <c r="H164" s="75">
        <v>0.27323999999999998</v>
      </c>
      <c r="I164" s="69">
        <f t="shared" si="37"/>
        <v>648.77968979999991</v>
      </c>
      <c r="J164" s="78">
        <f t="shared" si="40"/>
        <v>4.8043789200000004</v>
      </c>
      <c r="K164" s="61">
        <v>0</v>
      </c>
      <c r="L164" s="61">
        <f t="shared" si="41"/>
        <v>7.6870062720000005</v>
      </c>
      <c r="M164" s="58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 t="s">
        <v>332</v>
      </c>
      <c r="B165" s="32" t="s">
        <v>54</v>
      </c>
      <c r="C165" s="10" t="s">
        <v>641</v>
      </c>
      <c r="D165" s="10" t="s">
        <v>642</v>
      </c>
      <c r="E165" s="32">
        <v>1310.48</v>
      </c>
      <c r="F165" s="32">
        <v>968.75</v>
      </c>
      <c r="G165" s="69">
        <f t="shared" si="39"/>
        <v>726.5625</v>
      </c>
      <c r="H165" s="75">
        <v>0.27323999999999998</v>
      </c>
      <c r="I165" s="69">
        <f t="shared" si="37"/>
        <v>556.60149269999999</v>
      </c>
      <c r="J165" s="78">
        <f t="shared" si="40"/>
        <v>13.2350625</v>
      </c>
      <c r="K165" s="61">
        <v>0</v>
      </c>
      <c r="L165" s="61">
        <f t="shared" si="41"/>
        <v>21.176099999999998</v>
      </c>
      <c r="M165" s="58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 t="s">
        <v>332</v>
      </c>
      <c r="B166" s="32" t="s">
        <v>54</v>
      </c>
      <c r="C166" s="10" t="s">
        <v>759</v>
      </c>
      <c r="D166" s="10" t="s">
        <v>760</v>
      </c>
      <c r="E166" s="32">
        <v>-381.55</v>
      </c>
      <c r="F166" s="32">
        <v>30.97</v>
      </c>
      <c r="G166" s="69">
        <f t="shared" si="39"/>
        <v>23.227499999999999</v>
      </c>
      <c r="H166" s="75">
        <v>0.27323999999999998</v>
      </c>
      <c r="I166" s="69">
        <f t="shared" si="37"/>
        <v>-97.908039899999991</v>
      </c>
      <c r="J166" s="78">
        <f t="shared" si="40"/>
        <v>0.42311213999999997</v>
      </c>
      <c r="K166" s="61">
        <v>0</v>
      </c>
      <c r="L166" s="61">
        <f t="shared" si="41"/>
        <v>0.67697942399999989</v>
      </c>
      <c r="M166" s="58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 t="s">
        <v>332</v>
      </c>
      <c r="B167" s="29" t="s">
        <v>35</v>
      </c>
      <c r="C167" s="10" t="s">
        <v>647</v>
      </c>
      <c r="D167" s="32" t="s">
        <v>648</v>
      </c>
      <c r="E167" s="69">
        <v>3810.28</v>
      </c>
      <c r="F167" s="69">
        <v>226.96</v>
      </c>
      <c r="G167" s="69">
        <f t="shared" si="39"/>
        <v>170.22</v>
      </c>
      <c r="H167" s="75">
        <v>0.27323999999999998</v>
      </c>
      <c r="I167" s="69">
        <f t="shared" si="37"/>
        <v>1087.6318199999998</v>
      </c>
      <c r="J167" s="78">
        <f t="shared" si="40"/>
        <v>3.10072752</v>
      </c>
      <c r="K167" s="61">
        <v>0</v>
      </c>
      <c r="L167" s="61">
        <f t="shared" si="41"/>
        <v>4.9611640320000001</v>
      </c>
      <c r="M167" s="58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 t="s">
        <v>332</v>
      </c>
      <c r="B168" s="29" t="s">
        <v>35</v>
      </c>
      <c r="C168" s="10" t="s">
        <v>650</v>
      </c>
      <c r="D168" s="10" t="s">
        <v>651</v>
      </c>
      <c r="E168" s="32">
        <v>-85</v>
      </c>
      <c r="F168" s="32">
        <v>5.5</v>
      </c>
      <c r="G168" s="69">
        <f t="shared" si="39"/>
        <v>4.125</v>
      </c>
      <c r="H168" s="75">
        <v>0.27323999999999998</v>
      </c>
      <c r="I168" s="69">
        <f t="shared" si="37"/>
        <v>-22.098284999999997</v>
      </c>
      <c r="J168" s="78">
        <f t="shared" si="40"/>
        <v>7.5140999999999999E-2</v>
      </c>
      <c r="K168" s="61">
        <v>0</v>
      </c>
      <c r="L168" s="61">
        <f t="shared" si="41"/>
        <v>0.12022559999999999</v>
      </c>
      <c r="M168" s="58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2" t="s">
        <v>332</v>
      </c>
      <c r="B169" s="29" t="s">
        <v>753</v>
      </c>
      <c r="C169" s="10" t="s">
        <v>754</v>
      </c>
      <c r="D169" s="10" t="s">
        <v>755</v>
      </c>
      <c r="E169" s="32">
        <v>467.44</v>
      </c>
      <c r="F169" s="32">
        <v>127.65</v>
      </c>
      <c r="G169" s="69">
        <f t="shared" ref="G169:G171" si="42">F169*0.3</f>
        <v>38.295000000000002</v>
      </c>
      <c r="H169" s="70">
        <v>1</v>
      </c>
      <c r="I169" s="69">
        <f t="shared" si="37"/>
        <v>505.73500000000001</v>
      </c>
      <c r="J169" s="79" t="s">
        <v>468</v>
      </c>
      <c r="K169" s="61">
        <v>0</v>
      </c>
      <c r="L169" s="58">
        <f t="shared" ref="L169:L171" si="43">F169*0.05*H169</f>
        <v>6.3825000000000003</v>
      </c>
      <c r="M169" s="58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2" t="s">
        <v>332</v>
      </c>
      <c r="B170" s="32" t="s">
        <v>753</v>
      </c>
      <c r="C170" s="10" t="s">
        <v>757</v>
      </c>
      <c r="D170" s="10" t="s">
        <v>761</v>
      </c>
      <c r="E170" s="32">
        <v>4.47</v>
      </c>
      <c r="F170" s="32">
        <v>2.9</v>
      </c>
      <c r="G170" s="69">
        <f t="shared" si="42"/>
        <v>0.87</v>
      </c>
      <c r="H170" s="70">
        <v>1</v>
      </c>
      <c r="I170" s="69">
        <f t="shared" si="37"/>
        <v>5.34</v>
      </c>
      <c r="J170" s="79" t="s">
        <v>468</v>
      </c>
      <c r="K170" s="61">
        <v>0</v>
      </c>
      <c r="L170" s="58">
        <f t="shared" si="43"/>
        <v>0.14499999999999999</v>
      </c>
      <c r="M170" s="58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2" t="s">
        <v>332</v>
      </c>
      <c r="B171" s="2" t="s">
        <v>762</v>
      </c>
      <c r="C171" s="10" t="s">
        <v>757</v>
      </c>
      <c r="D171" s="32" t="s">
        <v>761</v>
      </c>
      <c r="E171" s="32">
        <v>-914.5</v>
      </c>
      <c r="F171" s="32">
        <v>26.55</v>
      </c>
      <c r="G171" s="69">
        <f t="shared" si="42"/>
        <v>7.9649999999999999</v>
      </c>
      <c r="H171" s="70">
        <v>1</v>
      </c>
      <c r="I171" s="69">
        <f t="shared" si="37"/>
        <v>-906.53499999999997</v>
      </c>
      <c r="J171" s="79" t="s">
        <v>468</v>
      </c>
      <c r="K171" s="61">
        <v>0</v>
      </c>
      <c r="L171" s="58">
        <f t="shared" si="43"/>
        <v>1.3275000000000001</v>
      </c>
      <c r="M171" s="58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2" t="s">
        <v>332</v>
      </c>
      <c r="B172" s="32" t="s">
        <v>140</v>
      </c>
      <c r="C172" s="10">
        <v>9423640</v>
      </c>
      <c r="D172" s="32" t="s">
        <v>730</v>
      </c>
      <c r="E172" s="69">
        <v>25</v>
      </c>
      <c r="F172" s="69">
        <v>0</v>
      </c>
      <c r="G172" s="69">
        <f>F172*0.6</f>
        <v>0</v>
      </c>
      <c r="H172" s="70">
        <v>0.65252460000000001</v>
      </c>
      <c r="I172" s="69">
        <f>((E172+G172)*0.9)*H172</f>
        <v>14.681803500000001</v>
      </c>
      <c r="J172" s="79" t="s">
        <v>468</v>
      </c>
      <c r="K172" s="61">
        <v>0</v>
      </c>
      <c r="L172" s="61">
        <f>F172*0.1*H172*0.9</f>
        <v>0</v>
      </c>
      <c r="M172" s="58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 t="s">
        <v>332</v>
      </c>
      <c r="B173" s="32" t="s">
        <v>10</v>
      </c>
      <c r="C173" s="10">
        <v>1077627</v>
      </c>
      <c r="D173" s="32" t="s">
        <v>763</v>
      </c>
      <c r="E173" s="69">
        <v>4776.8500000000004</v>
      </c>
      <c r="F173" s="69">
        <v>197.25</v>
      </c>
      <c r="G173" s="69">
        <f t="shared" ref="G173:G200" si="44">F173*0.7</f>
        <v>138.07499999999999</v>
      </c>
      <c r="H173" s="73">
        <v>0.20202000000000001</v>
      </c>
      <c r="I173" s="69">
        <f t="shared" ref="I173:I200" si="45">(E173+G173)*H173*0.9</f>
        <v>893.6218336500001</v>
      </c>
      <c r="J173" s="79" t="s">
        <v>468</v>
      </c>
      <c r="K173" s="61">
        <f t="shared" ref="K173:K200" si="46">E173*0.1*H173</f>
        <v>96.50192370000002</v>
      </c>
      <c r="L173" s="58">
        <f t="shared" ref="L173:L200" si="47">(F173*0.05+G173*0.1)*H173</f>
        <v>4.7818134000000008</v>
      </c>
      <c r="M173" s="58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 t="s">
        <v>332</v>
      </c>
      <c r="B174" s="32" t="s">
        <v>10</v>
      </c>
      <c r="C174" s="10">
        <v>1077644</v>
      </c>
      <c r="D174" s="32" t="s">
        <v>764</v>
      </c>
      <c r="E174" s="69">
        <v>3252.95</v>
      </c>
      <c r="F174" s="69">
        <v>46.4</v>
      </c>
      <c r="G174" s="69">
        <f t="shared" si="44"/>
        <v>32.479999999999997</v>
      </c>
      <c r="H174" s="73">
        <v>0.20202000000000001</v>
      </c>
      <c r="I174" s="69">
        <f t="shared" si="45"/>
        <v>597.35031173999994</v>
      </c>
      <c r="J174" s="79" t="s">
        <v>468</v>
      </c>
      <c r="K174" s="61">
        <f t="shared" si="46"/>
        <v>65.716095899999999</v>
      </c>
      <c r="L174" s="58">
        <f t="shared" si="47"/>
        <v>1.12484736</v>
      </c>
      <c r="M174" s="58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2" t="s">
        <v>332</v>
      </c>
      <c r="B175" s="32" t="s">
        <v>10</v>
      </c>
      <c r="C175" s="10">
        <v>1079125</v>
      </c>
      <c r="D175" s="32" t="s">
        <v>765</v>
      </c>
      <c r="E175" s="69">
        <v>-12.9</v>
      </c>
      <c r="F175" s="69">
        <v>30.05</v>
      </c>
      <c r="G175" s="69">
        <f t="shared" si="44"/>
        <v>21.035</v>
      </c>
      <c r="H175" s="73">
        <v>0.20202000000000001</v>
      </c>
      <c r="I175" s="69">
        <f t="shared" si="45"/>
        <v>1.4790894299999999</v>
      </c>
      <c r="J175" s="79" t="s">
        <v>468</v>
      </c>
      <c r="K175" s="61">
        <f t="shared" si="46"/>
        <v>-0.2606058</v>
      </c>
      <c r="L175" s="58">
        <f t="shared" si="47"/>
        <v>0.72848411999999996</v>
      </c>
      <c r="M175" s="58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2" t="s">
        <v>332</v>
      </c>
      <c r="B176" s="32" t="s">
        <v>10</v>
      </c>
      <c r="C176" s="10">
        <v>1024127</v>
      </c>
      <c r="D176" s="10" t="s">
        <v>766</v>
      </c>
      <c r="E176" s="69">
        <v>-399.55</v>
      </c>
      <c r="F176" s="69">
        <v>91.7</v>
      </c>
      <c r="G176" s="69">
        <f t="shared" si="44"/>
        <v>64.19</v>
      </c>
      <c r="H176" s="73">
        <v>0.20202000000000001</v>
      </c>
      <c r="I176" s="69">
        <f t="shared" si="45"/>
        <v>-60.974484480000001</v>
      </c>
      <c r="J176" s="79" t="s">
        <v>468</v>
      </c>
      <c r="K176" s="61">
        <f t="shared" si="46"/>
        <v>-8.0717091000000014</v>
      </c>
      <c r="L176" s="58">
        <f t="shared" si="47"/>
        <v>2.2230280800000002</v>
      </c>
      <c r="M176" s="58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2" t="s">
        <v>332</v>
      </c>
      <c r="B177" s="32" t="s">
        <v>10</v>
      </c>
      <c r="C177" s="10">
        <v>923286</v>
      </c>
      <c r="D177" s="10" t="s">
        <v>654</v>
      </c>
      <c r="E177" s="32">
        <v>-359.45</v>
      </c>
      <c r="F177" s="32">
        <v>59.15</v>
      </c>
      <c r="G177" s="69">
        <f t="shared" si="44"/>
        <v>41.404999999999994</v>
      </c>
      <c r="H177" s="73">
        <v>0.20202000000000001</v>
      </c>
      <c r="I177" s="69">
        <f t="shared" si="45"/>
        <v>-57.826305810000008</v>
      </c>
      <c r="J177" s="79" t="s">
        <v>468</v>
      </c>
      <c r="K177" s="61">
        <f t="shared" si="46"/>
        <v>-7.2616089000000006</v>
      </c>
      <c r="L177" s="58">
        <f t="shared" si="47"/>
        <v>1.4339379599999997</v>
      </c>
      <c r="M177" s="58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2" t="s">
        <v>332</v>
      </c>
      <c r="B178" s="32" t="s">
        <v>10</v>
      </c>
      <c r="C178" s="10">
        <v>939192</v>
      </c>
      <c r="D178" s="10" t="s">
        <v>732</v>
      </c>
      <c r="E178" s="32">
        <v>-10</v>
      </c>
      <c r="F178" s="32">
        <v>0.65</v>
      </c>
      <c r="G178" s="69">
        <f t="shared" si="44"/>
        <v>0.45499999999999996</v>
      </c>
      <c r="H178" s="73">
        <v>0.20202000000000001</v>
      </c>
      <c r="I178" s="69">
        <f t="shared" si="45"/>
        <v>-1.7354528100000002</v>
      </c>
      <c r="J178" s="79" t="s">
        <v>468</v>
      </c>
      <c r="K178" s="61">
        <f t="shared" si="46"/>
        <v>-0.20202000000000001</v>
      </c>
      <c r="L178" s="58">
        <f t="shared" si="47"/>
        <v>1.575756E-2</v>
      </c>
      <c r="M178" s="58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2" t="s">
        <v>332</v>
      </c>
      <c r="B179" s="32" t="s">
        <v>10</v>
      </c>
      <c r="C179" s="10">
        <v>963076</v>
      </c>
      <c r="D179" s="10" t="s">
        <v>662</v>
      </c>
      <c r="E179" s="32">
        <v>-53.7</v>
      </c>
      <c r="F179" s="32">
        <v>8.35</v>
      </c>
      <c r="G179" s="69">
        <f t="shared" si="44"/>
        <v>5.8449999999999998</v>
      </c>
      <c r="H179" s="73">
        <v>0.20202000000000001</v>
      </c>
      <c r="I179" s="69">
        <f t="shared" si="45"/>
        <v>-8.700900390000001</v>
      </c>
      <c r="J179" s="79" t="s">
        <v>468</v>
      </c>
      <c r="K179" s="61">
        <f t="shared" si="46"/>
        <v>-1.0848474000000001</v>
      </c>
      <c r="L179" s="58">
        <f t="shared" si="47"/>
        <v>0.20242404</v>
      </c>
      <c r="M179" s="58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2" t="s">
        <v>332</v>
      </c>
      <c r="B180" s="32" t="s">
        <v>10</v>
      </c>
      <c r="C180" s="10">
        <v>1009846</v>
      </c>
      <c r="D180" s="10" t="s">
        <v>666</v>
      </c>
      <c r="E180" s="32">
        <v>-91.85</v>
      </c>
      <c r="F180" s="32">
        <v>29.35</v>
      </c>
      <c r="G180" s="69">
        <f t="shared" si="44"/>
        <v>20.544999999999998</v>
      </c>
      <c r="H180" s="73">
        <v>0.20202000000000001</v>
      </c>
      <c r="I180" s="69">
        <f t="shared" si="45"/>
        <v>-12.964532489999998</v>
      </c>
      <c r="J180" s="79" t="s">
        <v>468</v>
      </c>
      <c r="K180" s="61">
        <f t="shared" si="46"/>
        <v>-1.8555537000000002</v>
      </c>
      <c r="L180" s="58">
        <f t="shared" si="47"/>
        <v>0.71151444000000008</v>
      </c>
      <c r="M180" s="58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2" t="s">
        <v>332</v>
      </c>
      <c r="B181" s="32" t="s">
        <v>10</v>
      </c>
      <c r="C181" s="10">
        <v>1054937</v>
      </c>
      <c r="D181" s="10" t="s">
        <v>671</v>
      </c>
      <c r="E181" s="32">
        <v>-69.8</v>
      </c>
      <c r="F181" s="32">
        <v>24.45</v>
      </c>
      <c r="G181" s="69">
        <f t="shared" si="44"/>
        <v>17.114999999999998</v>
      </c>
      <c r="H181" s="73">
        <v>0.20202000000000001</v>
      </c>
      <c r="I181" s="69">
        <f t="shared" si="45"/>
        <v>-9.5790813300000011</v>
      </c>
      <c r="J181" s="79" t="s">
        <v>468</v>
      </c>
      <c r="K181" s="61">
        <f t="shared" si="46"/>
        <v>-1.4100996000000001</v>
      </c>
      <c r="L181" s="58">
        <f t="shared" si="47"/>
        <v>0.59272668000000006</v>
      </c>
      <c r="M181" s="58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2" t="s">
        <v>332</v>
      </c>
      <c r="B182" s="32" t="s">
        <v>10</v>
      </c>
      <c r="C182" s="10">
        <v>1058947</v>
      </c>
      <c r="D182" s="10" t="s">
        <v>681</v>
      </c>
      <c r="E182" s="32">
        <v>-540.20000000000005</v>
      </c>
      <c r="F182" s="32">
        <v>226.35</v>
      </c>
      <c r="G182" s="69">
        <f t="shared" si="44"/>
        <v>158.44499999999999</v>
      </c>
      <c r="H182" s="73">
        <v>0.20202000000000001</v>
      </c>
      <c r="I182" s="69">
        <f t="shared" si="45"/>
        <v>-69.409930590000016</v>
      </c>
      <c r="J182" s="79" t="s">
        <v>468</v>
      </c>
      <c r="K182" s="61">
        <f t="shared" si="46"/>
        <v>-10.913120400000002</v>
      </c>
      <c r="L182" s="58">
        <f t="shared" si="47"/>
        <v>5.4872672399999995</v>
      </c>
      <c r="M182" s="58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2" t="s">
        <v>332</v>
      </c>
      <c r="B183" s="32" t="s">
        <v>10</v>
      </c>
      <c r="C183" s="10">
        <v>1060012</v>
      </c>
      <c r="D183" s="10" t="s">
        <v>684</v>
      </c>
      <c r="E183" s="32">
        <v>-15</v>
      </c>
      <c r="F183" s="32">
        <v>1.5</v>
      </c>
      <c r="G183" s="69">
        <f t="shared" si="44"/>
        <v>1.0499999999999998</v>
      </c>
      <c r="H183" s="73">
        <v>0.20202000000000001</v>
      </c>
      <c r="I183" s="69">
        <f t="shared" si="45"/>
        <v>-2.5363610999999997</v>
      </c>
      <c r="J183" s="79" t="s">
        <v>468</v>
      </c>
      <c r="K183" s="61">
        <f t="shared" si="46"/>
        <v>-0.30303000000000002</v>
      </c>
      <c r="L183" s="58">
        <f t="shared" si="47"/>
        <v>3.6363600000000003E-2</v>
      </c>
      <c r="M183" s="58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2" t="s">
        <v>332</v>
      </c>
      <c r="B184" s="32" t="s">
        <v>10</v>
      </c>
      <c r="C184" s="10">
        <v>1064980</v>
      </c>
      <c r="D184" s="10" t="s">
        <v>690</v>
      </c>
      <c r="E184" s="32">
        <v>-236.75</v>
      </c>
      <c r="F184" s="32">
        <v>52</v>
      </c>
      <c r="G184" s="69">
        <f t="shared" si="44"/>
        <v>36.4</v>
      </c>
      <c r="H184" s="73">
        <v>0.20202000000000001</v>
      </c>
      <c r="I184" s="69">
        <f t="shared" si="45"/>
        <v>-36.427236300000004</v>
      </c>
      <c r="J184" s="79" t="s">
        <v>468</v>
      </c>
      <c r="K184" s="61">
        <f t="shared" si="46"/>
        <v>-4.7828235000000001</v>
      </c>
      <c r="L184" s="58">
        <f t="shared" si="47"/>
        <v>1.2606048000000001</v>
      </c>
      <c r="M184" s="58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2" t="s">
        <v>332</v>
      </c>
      <c r="B185" s="32" t="s">
        <v>10</v>
      </c>
      <c r="C185" s="10">
        <v>1067198</v>
      </c>
      <c r="D185" s="10" t="s">
        <v>700</v>
      </c>
      <c r="E185" s="32">
        <v>-190.25</v>
      </c>
      <c r="F185" s="32">
        <v>107.64</v>
      </c>
      <c r="G185" s="69">
        <f t="shared" si="44"/>
        <v>75.347999999999999</v>
      </c>
      <c r="H185" s="73">
        <v>0.20202000000000001</v>
      </c>
      <c r="I185" s="69">
        <f t="shared" si="45"/>
        <v>-20.891251836000002</v>
      </c>
      <c r="J185" s="79" t="s">
        <v>468</v>
      </c>
      <c r="K185" s="61">
        <f t="shared" si="46"/>
        <v>-3.8434305000000006</v>
      </c>
      <c r="L185" s="58">
        <f t="shared" si="47"/>
        <v>2.6094519360000006</v>
      </c>
      <c r="M185" s="58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 t="s">
        <v>332</v>
      </c>
      <c r="B186" s="32" t="s">
        <v>10</v>
      </c>
      <c r="C186" s="10">
        <v>1068074</v>
      </c>
      <c r="D186" s="10" t="s">
        <v>715</v>
      </c>
      <c r="E186" s="32">
        <v>-63.95</v>
      </c>
      <c r="F186" s="32">
        <v>9.9</v>
      </c>
      <c r="G186" s="69">
        <f t="shared" si="44"/>
        <v>6.93</v>
      </c>
      <c r="H186" s="73">
        <v>0.20202000000000001</v>
      </c>
      <c r="I186" s="69">
        <f t="shared" si="45"/>
        <v>-10.367262360000002</v>
      </c>
      <c r="J186" s="79" t="s">
        <v>468</v>
      </c>
      <c r="K186" s="61">
        <f t="shared" si="46"/>
        <v>-1.2919179000000001</v>
      </c>
      <c r="L186" s="58">
        <f t="shared" si="47"/>
        <v>0.23999976000000003</v>
      </c>
      <c r="M186" s="58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 t="s">
        <v>332</v>
      </c>
      <c r="B187" s="32" t="s">
        <v>10</v>
      </c>
      <c r="C187" s="10">
        <v>1072699</v>
      </c>
      <c r="D187" s="32" t="s">
        <v>726</v>
      </c>
      <c r="E187" s="69">
        <v>-3.6</v>
      </c>
      <c r="F187" s="69">
        <v>2.0499999999999998</v>
      </c>
      <c r="G187" s="69">
        <f t="shared" si="44"/>
        <v>1.4349999999999998</v>
      </c>
      <c r="H187" s="73">
        <v>0.20202000000000001</v>
      </c>
      <c r="I187" s="69">
        <f t="shared" si="45"/>
        <v>-0.39363597</v>
      </c>
      <c r="J187" s="79" t="s">
        <v>468</v>
      </c>
      <c r="K187" s="61">
        <f t="shared" si="46"/>
        <v>-7.2727200000000006E-2</v>
      </c>
      <c r="L187" s="58">
        <f t="shared" si="47"/>
        <v>4.9696919999999999E-2</v>
      </c>
      <c r="M187" s="58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 t="s">
        <v>332</v>
      </c>
      <c r="B188" s="32" t="s">
        <v>10</v>
      </c>
      <c r="C188" s="10">
        <v>1078030</v>
      </c>
      <c r="D188" s="32" t="s">
        <v>767</v>
      </c>
      <c r="E188" s="69">
        <v>40.35</v>
      </c>
      <c r="F188" s="69">
        <v>33.450000000000003</v>
      </c>
      <c r="G188" s="69">
        <f t="shared" si="44"/>
        <v>23.414999999999999</v>
      </c>
      <c r="H188" s="73">
        <v>0.20202000000000001</v>
      </c>
      <c r="I188" s="69">
        <f t="shared" si="45"/>
        <v>11.59362477</v>
      </c>
      <c r="J188" s="79" t="s">
        <v>468</v>
      </c>
      <c r="K188" s="61">
        <f t="shared" si="46"/>
        <v>0.81515070000000001</v>
      </c>
      <c r="L188" s="58">
        <f t="shared" si="47"/>
        <v>0.81090828000000004</v>
      </c>
      <c r="M188" s="58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2" t="s">
        <v>332</v>
      </c>
      <c r="B189" s="32" t="s">
        <v>10</v>
      </c>
      <c r="C189" s="10">
        <v>1078405</v>
      </c>
      <c r="D189" s="10" t="s">
        <v>768</v>
      </c>
      <c r="E189" s="69">
        <v>-483.4</v>
      </c>
      <c r="F189" s="69">
        <v>42.1</v>
      </c>
      <c r="G189" s="69">
        <f t="shared" si="44"/>
        <v>29.47</v>
      </c>
      <c r="H189" s="73">
        <v>0.20202000000000001</v>
      </c>
      <c r="I189" s="69">
        <f t="shared" si="45"/>
        <v>-82.532644739999995</v>
      </c>
      <c r="J189" s="79" t="s">
        <v>468</v>
      </c>
      <c r="K189" s="61">
        <f t="shared" si="46"/>
        <v>-9.7656468000000007</v>
      </c>
      <c r="L189" s="58">
        <f t="shared" si="47"/>
        <v>1.02060504</v>
      </c>
      <c r="M189" s="58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2" t="s">
        <v>332</v>
      </c>
      <c r="B190" s="32" t="s">
        <v>10</v>
      </c>
      <c r="C190" s="10">
        <v>1080181</v>
      </c>
      <c r="D190" s="10" t="s">
        <v>769</v>
      </c>
      <c r="E190" s="32">
        <v>-95.75</v>
      </c>
      <c r="F190" s="32">
        <v>8.15</v>
      </c>
      <c r="G190" s="69">
        <f t="shared" si="44"/>
        <v>5.7050000000000001</v>
      </c>
      <c r="H190" s="73">
        <v>0.20202000000000001</v>
      </c>
      <c r="I190" s="69">
        <f t="shared" si="45"/>
        <v>-16.371801810000001</v>
      </c>
      <c r="J190" s="79" t="s">
        <v>468</v>
      </c>
      <c r="K190" s="61">
        <f t="shared" si="46"/>
        <v>-1.9343415000000002</v>
      </c>
      <c r="L190" s="58">
        <f t="shared" si="47"/>
        <v>0.19757556000000001</v>
      </c>
      <c r="M190" s="58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2" t="s">
        <v>332</v>
      </c>
      <c r="B191" s="32" t="s">
        <v>10</v>
      </c>
      <c r="C191" s="10">
        <v>1082214</v>
      </c>
      <c r="D191" s="10" t="s">
        <v>770</v>
      </c>
      <c r="E191" s="32">
        <v>-1409.65</v>
      </c>
      <c r="F191" s="32">
        <v>192.1</v>
      </c>
      <c r="G191" s="69">
        <f t="shared" si="44"/>
        <v>134.47</v>
      </c>
      <c r="H191" s="73">
        <v>0.20202000000000001</v>
      </c>
      <c r="I191" s="69">
        <f t="shared" si="45"/>
        <v>-231.85067724000001</v>
      </c>
      <c r="J191" s="79" t="s">
        <v>468</v>
      </c>
      <c r="K191" s="61">
        <f t="shared" si="46"/>
        <v>-28.477749300000003</v>
      </c>
      <c r="L191" s="58">
        <f t="shared" si="47"/>
        <v>4.6569650400000002</v>
      </c>
      <c r="M191" s="58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2" t="s">
        <v>332</v>
      </c>
      <c r="B192" s="32" t="s">
        <v>10</v>
      </c>
      <c r="C192" s="10">
        <v>1082404</v>
      </c>
      <c r="D192" s="32" t="s">
        <v>771</v>
      </c>
      <c r="E192" s="69">
        <v>-43.6</v>
      </c>
      <c r="F192" s="69">
        <v>12.9</v>
      </c>
      <c r="G192" s="69">
        <f t="shared" si="44"/>
        <v>9.0299999999999994</v>
      </c>
      <c r="H192" s="73">
        <v>0.20202000000000001</v>
      </c>
      <c r="I192" s="69">
        <f t="shared" si="45"/>
        <v>-6.2854482600000008</v>
      </c>
      <c r="J192" s="79" t="s">
        <v>468</v>
      </c>
      <c r="K192" s="61">
        <f t="shared" si="46"/>
        <v>-0.88080720000000012</v>
      </c>
      <c r="L192" s="58">
        <f t="shared" si="47"/>
        <v>0.31272696</v>
      </c>
      <c r="M192" s="58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2" t="s">
        <v>332</v>
      </c>
      <c r="B193" s="32" t="s">
        <v>10</v>
      </c>
      <c r="C193" s="10">
        <v>1082647</v>
      </c>
      <c r="D193" s="32" t="s">
        <v>772</v>
      </c>
      <c r="E193" s="69">
        <v>-45</v>
      </c>
      <c r="F193" s="69">
        <v>12.55</v>
      </c>
      <c r="G193" s="69">
        <f t="shared" si="44"/>
        <v>8.7850000000000001</v>
      </c>
      <c r="H193" s="73">
        <v>0.20202000000000001</v>
      </c>
      <c r="I193" s="69">
        <f t="shared" si="45"/>
        <v>-6.5845388700000012</v>
      </c>
      <c r="J193" s="79" t="s">
        <v>468</v>
      </c>
      <c r="K193" s="61">
        <f t="shared" si="46"/>
        <v>-0.90909000000000006</v>
      </c>
      <c r="L193" s="58">
        <f t="shared" si="47"/>
        <v>0.30424212000000006</v>
      </c>
      <c r="M193" s="58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2" t="s">
        <v>332</v>
      </c>
      <c r="B194" s="32" t="s">
        <v>10</v>
      </c>
      <c r="C194" s="10">
        <v>1082901</v>
      </c>
      <c r="D194" s="10" t="s">
        <v>773</v>
      </c>
      <c r="E194" s="69">
        <v>-212.15</v>
      </c>
      <c r="F194" s="69">
        <v>19.7</v>
      </c>
      <c r="G194" s="69">
        <f t="shared" si="44"/>
        <v>13.79</v>
      </c>
      <c r="H194" s="73">
        <v>0.20202000000000001</v>
      </c>
      <c r="I194" s="69">
        <f t="shared" si="45"/>
        <v>-36.065418480000005</v>
      </c>
      <c r="J194" s="79" t="s">
        <v>468</v>
      </c>
      <c r="K194" s="61">
        <f t="shared" si="46"/>
        <v>-4.2858543000000004</v>
      </c>
      <c r="L194" s="58">
        <f t="shared" si="47"/>
        <v>0.47757527999999999</v>
      </c>
      <c r="M194" s="58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2" t="s">
        <v>332</v>
      </c>
      <c r="B195" s="32" t="s">
        <v>10</v>
      </c>
      <c r="C195" s="10">
        <v>1083052</v>
      </c>
      <c r="D195" s="10" t="s">
        <v>774</v>
      </c>
      <c r="E195" s="32">
        <v>-298.45</v>
      </c>
      <c r="F195" s="32">
        <v>39.25</v>
      </c>
      <c r="G195" s="69">
        <f t="shared" si="44"/>
        <v>27.474999999999998</v>
      </c>
      <c r="H195" s="73">
        <v>0.20202000000000001</v>
      </c>
      <c r="I195" s="69">
        <f t="shared" si="45"/>
        <v>-49.268132549999997</v>
      </c>
      <c r="J195" s="79" t="s">
        <v>468</v>
      </c>
      <c r="K195" s="61">
        <f t="shared" si="46"/>
        <v>-6.0292868999999998</v>
      </c>
      <c r="L195" s="58">
        <f t="shared" si="47"/>
        <v>0.95151419999999998</v>
      </c>
      <c r="M195" s="58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2" t="s">
        <v>332</v>
      </c>
      <c r="B196" s="32" t="s">
        <v>10</v>
      </c>
      <c r="C196" s="10">
        <v>1083276</v>
      </c>
      <c r="D196" s="10" t="s">
        <v>775</v>
      </c>
      <c r="E196" s="32">
        <v>-161.6</v>
      </c>
      <c r="F196" s="32">
        <v>57.15</v>
      </c>
      <c r="G196" s="69">
        <f t="shared" si="44"/>
        <v>40.004999999999995</v>
      </c>
      <c r="H196" s="73">
        <v>0.20202000000000001</v>
      </c>
      <c r="I196" s="69">
        <f t="shared" si="45"/>
        <v>-22.108159709999999</v>
      </c>
      <c r="J196" s="79" t="s">
        <v>468</v>
      </c>
      <c r="K196" s="61">
        <f t="shared" si="46"/>
        <v>-3.2646432000000001</v>
      </c>
      <c r="L196" s="58">
        <f t="shared" si="47"/>
        <v>1.38545316</v>
      </c>
      <c r="M196" s="58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2" t="s">
        <v>332</v>
      </c>
      <c r="B197" s="32" t="s">
        <v>10</v>
      </c>
      <c r="C197" s="10">
        <v>1083567</v>
      </c>
      <c r="D197" s="10" t="s">
        <v>776</v>
      </c>
      <c r="E197" s="32">
        <v>-85.45</v>
      </c>
      <c r="F197" s="32">
        <v>36.9</v>
      </c>
      <c r="G197" s="69">
        <f t="shared" si="44"/>
        <v>25.83</v>
      </c>
      <c r="H197" s="73">
        <v>0.20202000000000001</v>
      </c>
      <c r="I197" s="69">
        <f t="shared" si="45"/>
        <v>-10.839989160000002</v>
      </c>
      <c r="J197" s="79" t="s">
        <v>468</v>
      </c>
      <c r="K197" s="61">
        <f t="shared" si="46"/>
        <v>-1.7262609</v>
      </c>
      <c r="L197" s="58">
        <f t="shared" si="47"/>
        <v>0.89454456000000004</v>
      </c>
      <c r="M197" s="58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2" t="s">
        <v>332</v>
      </c>
      <c r="B198" s="32" t="s">
        <v>10</v>
      </c>
      <c r="C198" s="10">
        <v>1083888</v>
      </c>
      <c r="D198" s="10" t="s">
        <v>777</v>
      </c>
      <c r="E198" s="32">
        <v>-285.60000000000002</v>
      </c>
      <c r="F198" s="32">
        <v>65.5</v>
      </c>
      <c r="G198" s="69">
        <f t="shared" si="44"/>
        <v>45.849999999999994</v>
      </c>
      <c r="H198" s="73">
        <v>0.20202000000000001</v>
      </c>
      <c r="I198" s="69">
        <f t="shared" si="45"/>
        <v>-43.590865500000007</v>
      </c>
      <c r="J198" s="79" t="s">
        <v>468</v>
      </c>
      <c r="K198" s="61">
        <f t="shared" si="46"/>
        <v>-5.7696912000000005</v>
      </c>
      <c r="L198" s="58">
        <f t="shared" si="47"/>
        <v>1.5878772000000001</v>
      </c>
      <c r="M198" s="58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2" t="s">
        <v>332</v>
      </c>
      <c r="B199" s="32" t="s">
        <v>10</v>
      </c>
      <c r="C199" s="10">
        <v>1084048</v>
      </c>
      <c r="D199" s="32" t="s">
        <v>778</v>
      </c>
      <c r="E199" s="69">
        <v>49.15</v>
      </c>
      <c r="F199" s="69">
        <v>32.4</v>
      </c>
      <c r="G199" s="69">
        <f t="shared" si="44"/>
        <v>22.679999999999996</v>
      </c>
      <c r="H199" s="73">
        <v>0.20202000000000001</v>
      </c>
      <c r="I199" s="69">
        <f t="shared" si="45"/>
        <v>13.05998694</v>
      </c>
      <c r="J199" s="79" t="s">
        <v>468</v>
      </c>
      <c r="K199" s="61">
        <f t="shared" si="46"/>
        <v>0.99292829999999999</v>
      </c>
      <c r="L199" s="58">
        <f t="shared" si="47"/>
        <v>0.78545376</v>
      </c>
      <c r="M199" s="58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2" t="s">
        <v>332</v>
      </c>
      <c r="B200" s="32" t="s">
        <v>10</v>
      </c>
      <c r="C200" s="10">
        <v>915274</v>
      </c>
      <c r="D200" s="32" t="s">
        <v>701</v>
      </c>
      <c r="E200" s="69">
        <v>-277.60000000000002</v>
      </c>
      <c r="F200" s="69">
        <v>126.4</v>
      </c>
      <c r="G200" s="69">
        <f t="shared" si="44"/>
        <v>88.48</v>
      </c>
      <c r="H200" s="73">
        <v>0.20202000000000001</v>
      </c>
      <c r="I200" s="69">
        <f t="shared" si="45"/>
        <v>-34.385420160000002</v>
      </c>
      <c r="J200" s="79" t="s">
        <v>468</v>
      </c>
      <c r="K200" s="61">
        <f t="shared" si="46"/>
        <v>-5.6080752000000009</v>
      </c>
      <c r="L200" s="58">
        <f t="shared" si="47"/>
        <v>3.0642393600000002</v>
      </c>
      <c r="M200" s="58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2" t="s">
        <v>340</v>
      </c>
      <c r="B201" s="32" t="s">
        <v>54</v>
      </c>
      <c r="C201" s="10" t="s">
        <v>624</v>
      </c>
      <c r="D201" s="10" t="s">
        <v>625</v>
      </c>
      <c r="E201" s="69">
        <v>857</v>
      </c>
      <c r="F201" s="69">
        <v>74.5</v>
      </c>
      <c r="G201" s="69">
        <f t="shared" ref="G201:G210" si="48">F201*0.75</f>
        <v>55.875</v>
      </c>
      <c r="H201" s="75">
        <v>0.27211000000000002</v>
      </c>
      <c r="I201" s="69">
        <f t="shared" ref="I201:I214" si="49">(E201+G201)*H201</f>
        <v>248.40241625000002</v>
      </c>
      <c r="J201" s="78">
        <f t="shared" ref="J201:J210" si="50">F201*0.05*H201</f>
        <v>1.0136097500000001</v>
      </c>
      <c r="K201" s="61">
        <v>0</v>
      </c>
      <c r="L201" s="61">
        <f t="shared" ref="L201:L210" si="51">F201*0.08*H201</f>
        <v>1.6217756000000001</v>
      </c>
      <c r="M201" s="58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2" t="s">
        <v>340</v>
      </c>
      <c r="B202" s="32" t="s">
        <v>54</v>
      </c>
      <c r="C202" s="10" t="s">
        <v>630</v>
      </c>
      <c r="D202" s="10" t="s">
        <v>631</v>
      </c>
      <c r="E202" s="32">
        <v>4772.82</v>
      </c>
      <c r="F202" s="32">
        <v>455.99</v>
      </c>
      <c r="G202" s="69">
        <f t="shared" si="48"/>
        <v>341.99250000000001</v>
      </c>
      <c r="H202" s="75">
        <v>0.27211000000000002</v>
      </c>
      <c r="I202" s="69">
        <f t="shared" si="49"/>
        <v>1391.7916293750002</v>
      </c>
      <c r="J202" s="78">
        <f t="shared" si="50"/>
        <v>6.203971945000001</v>
      </c>
      <c r="K202" s="61">
        <v>0</v>
      </c>
      <c r="L202" s="61">
        <f t="shared" si="51"/>
        <v>9.9263551119999995</v>
      </c>
      <c r="M202" s="58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2" t="s">
        <v>340</v>
      </c>
      <c r="B203" s="32" t="s">
        <v>54</v>
      </c>
      <c r="C203" s="10" t="s">
        <v>633</v>
      </c>
      <c r="D203" s="10" t="s">
        <v>634</v>
      </c>
      <c r="E203" s="32">
        <v>9</v>
      </c>
      <c r="F203" s="32">
        <v>9</v>
      </c>
      <c r="G203" s="69">
        <f t="shared" si="48"/>
        <v>6.75</v>
      </c>
      <c r="H203" s="75">
        <v>0.27211000000000002</v>
      </c>
      <c r="I203" s="69">
        <f t="shared" si="49"/>
        <v>4.2857324999999999</v>
      </c>
      <c r="J203" s="78">
        <f t="shared" si="50"/>
        <v>0.12244950000000002</v>
      </c>
      <c r="K203" s="61">
        <v>0</v>
      </c>
      <c r="L203" s="61">
        <f t="shared" si="51"/>
        <v>0.19591920000000002</v>
      </c>
      <c r="M203" s="58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2" t="s">
        <v>340</v>
      </c>
      <c r="B204" s="32" t="s">
        <v>54</v>
      </c>
      <c r="C204" s="10" t="s">
        <v>636</v>
      </c>
      <c r="D204" s="10" t="s">
        <v>637</v>
      </c>
      <c r="E204" s="32">
        <v>27343.63</v>
      </c>
      <c r="F204" s="32">
        <v>2692.53</v>
      </c>
      <c r="G204" s="69">
        <f t="shared" si="48"/>
        <v>2019.3975</v>
      </c>
      <c r="H204" s="75">
        <v>0.27211000000000002</v>
      </c>
      <c r="I204" s="69">
        <f t="shared" si="49"/>
        <v>7989.9734130250008</v>
      </c>
      <c r="J204" s="78">
        <f t="shared" si="50"/>
        <v>36.633216915000006</v>
      </c>
      <c r="K204" s="61">
        <v>0</v>
      </c>
      <c r="L204" s="61">
        <f t="shared" si="51"/>
        <v>58.61314706400001</v>
      </c>
      <c r="M204" s="58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2" t="s">
        <v>340</v>
      </c>
      <c r="B205" s="32" t="s">
        <v>54</v>
      </c>
      <c r="C205" s="10" t="s">
        <v>638</v>
      </c>
      <c r="D205" s="10" t="s">
        <v>639</v>
      </c>
      <c r="E205" s="32">
        <v>681.8</v>
      </c>
      <c r="F205" s="32">
        <v>40</v>
      </c>
      <c r="G205" s="69">
        <f t="shared" si="48"/>
        <v>30</v>
      </c>
      <c r="H205" s="75">
        <v>0.27211000000000002</v>
      </c>
      <c r="I205" s="69">
        <f t="shared" si="49"/>
        <v>193.68789799999999</v>
      </c>
      <c r="J205" s="78">
        <f t="shared" si="50"/>
        <v>0.54422000000000004</v>
      </c>
      <c r="K205" s="61">
        <v>0</v>
      </c>
      <c r="L205" s="61">
        <f t="shared" si="51"/>
        <v>0.87075200000000008</v>
      </c>
      <c r="M205" s="58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2" t="s">
        <v>340</v>
      </c>
      <c r="B206" s="32" t="s">
        <v>54</v>
      </c>
      <c r="C206" s="10" t="s">
        <v>641</v>
      </c>
      <c r="D206" s="32" t="s">
        <v>642</v>
      </c>
      <c r="E206" s="69">
        <v>2539.83</v>
      </c>
      <c r="F206" s="69">
        <v>383.77</v>
      </c>
      <c r="G206" s="69">
        <f t="shared" si="48"/>
        <v>287.82749999999999</v>
      </c>
      <c r="H206" s="75">
        <v>0.27211000000000002</v>
      </c>
      <c r="I206" s="69">
        <f t="shared" si="49"/>
        <v>769.43388232500001</v>
      </c>
      <c r="J206" s="78">
        <f t="shared" si="50"/>
        <v>5.2213827350000006</v>
      </c>
      <c r="K206" s="61">
        <v>0</v>
      </c>
      <c r="L206" s="61">
        <f t="shared" si="51"/>
        <v>8.3542123759999996</v>
      </c>
      <c r="M206" s="58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2" t="s">
        <v>340</v>
      </c>
      <c r="B207" s="32" t="s">
        <v>54</v>
      </c>
      <c r="C207" s="10" t="s">
        <v>779</v>
      </c>
      <c r="D207" s="46" t="s">
        <v>780</v>
      </c>
      <c r="E207" s="69">
        <v>-994.56</v>
      </c>
      <c r="F207" s="69">
        <v>55.32</v>
      </c>
      <c r="G207" s="69">
        <f t="shared" si="48"/>
        <v>41.49</v>
      </c>
      <c r="H207" s="75">
        <v>0.27211000000000002</v>
      </c>
      <c r="I207" s="69">
        <f t="shared" si="49"/>
        <v>-259.33987769999999</v>
      </c>
      <c r="J207" s="78">
        <f t="shared" si="50"/>
        <v>0.75265626000000008</v>
      </c>
      <c r="K207" s="61">
        <v>0</v>
      </c>
      <c r="L207" s="61">
        <f t="shared" si="51"/>
        <v>1.204250016</v>
      </c>
      <c r="M207" s="58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2" t="s">
        <v>340</v>
      </c>
      <c r="B208" s="32" t="s">
        <v>54</v>
      </c>
      <c r="C208" s="10" t="s">
        <v>728</v>
      </c>
      <c r="D208" s="10" t="s">
        <v>729</v>
      </c>
      <c r="E208" s="69">
        <v>-363.4</v>
      </c>
      <c r="F208" s="69">
        <v>36.119999999999997</v>
      </c>
      <c r="G208" s="69">
        <f t="shared" si="48"/>
        <v>27.089999999999996</v>
      </c>
      <c r="H208" s="75">
        <v>0.27211000000000002</v>
      </c>
      <c r="I208" s="69">
        <f t="shared" si="49"/>
        <v>-91.513314100000002</v>
      </c>
      <c r="J208" s="78">
        <f t="shared" si="50"/>
        <v>0.49143066000000007</v>
      </c>
      <c r="K208" s="61">
        <v>0</v>
      </c>
      <c r="L208" s="61">
        <f t="shared" si="51"/>
        <v>0.78628905599999999</v>
      </c>
      <c r="M208" s="58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2" t="s">
        <v>340</v>
      </c>
      <c r="B209" s="32" t="s">
        <v>54</v>
      </c>
      <c r="C209" s="10" t="s">
        <v>759</v>
      </c>
      <c r="D209" s="10" t="s">
        <v>760</v>
      </c>
      <c r="E209" s="32">
        <v>-321</v>
      </c>
      <c r="F209" s="32">
        <v>23</v>
      </c>
      <c r="G209" s="69">
        <f t="shared" si="48"/>
        <v>17.25</v>
      </c>
      <c r="H209" s="75">
        <v>0.27211000000000002</v>
      </c>
      <c r="I209" s="69">
        <f t="shared" si="49"/>
        <v>-82.653412500000002</v>
      </c>
      <c r="J209" s="78">
        <f t="shared" si="50"/>
        <v>0.31292650000000005</v>
      </c>
      <c r="K209" s="61">
        <v>0</v>
      </c>
      <c r="L209" s="61">
        <f t="shared" si="51"/>
        <v>0.50068240000000008</v>
      </c>
      <c r="M209" s="58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2" t="s">
        <v>340</v>
      </c>
      <c r="B210" s="29" t="s">
        <v>35</v>
      </c>
      <c r="C210" s="10" t="s">
        <v>647</v>
      </c>
      <c r="D210" s="10" t="s">
        <v>648</v>
      </c>
      <c r="E210" s="32">
        <v>60</v>
      </c>
      <c r="F210" s="32">
        <v>0</v>
      </c>
      <c r="G210" s="69">
        <f t="shared" si="48"/>
        <v>0</v>
      </c>
      <c r="H210" s="75">
        <v>0.27211000000000002</v>
      </c>
      <c r="I210" s="69">
        <f t="shared" si="49"/>
        <v>16.326600000000003</v>
      </c>
      <c r="J210" s="78">
        <f t="shared" si="50"/>
        <v>0</v>
      </c>
      <c r="K210" s="61">
        <v>0</v>
      </c>
      <c r="L210" s="61">
        <f t="shared" si="51"/>
        <v>0</v>
      </c>
      <c r="M210" s="58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2" t="s">
        <v>340</v>
      </c>
      <c r="B211" s="10" t="s">
        <v>753</v>
      </c>
      <c r="C211" s="10" t="s">
        <v>757</v>
      </c>
      <c r="D211" s="10" t="s">
        <v>761</v>
      </c>
      <c r="E211" s="32">
        <v>-31.57</v>
      </c>
      <c r="F211" s="32">
        <v>10.79</v>
      </c>
      <c r="G211" s="69">
        <f t="shared" ref="G211:G214" si="52">F211*0.3</f>
        <v>3.2369999999999997</v>
      </c>
      <c r="H211" s="70">
        <v>1</v>
      </c>
      <c r="I211" s="69">
        <f t="shared" si="49"/>
        <v>-28.333000000000002</v>
      </c>
      <c r="J211" s="79" t="s">
        <v>468</v>
      </c>
      <c r="K211" s="61">
        <v>0</v>
      </c>
      <c r="L211" s="58">
        <f t="shared" ref="L211:L214" si="53">F211*0.05*H211</f>
        <v>0.53949999999999998</v>
      </c>
      <c r="M211" s="58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2" t="s">
        <v>340</v>
      </c>
      <c r="B212" s="32" t="s">
        <v>762</v>
      </c>
      <c r="C212" s="10" t="s">
        <v>781</v>
      </c>
      <c r="D212" s="32" t="s">
        <v>782</v>
      </c>
      <c r="E212" s="69">
        <v>-169.02</v>
      </c>
      <c r="F212" s="69">
        <v>95.53</v>
      </c>
      <c r="G212" s="69">
        <f t="shared" si="52"/>
        <v>28.658999999999999</v>
      </c>
      <c r="H212" s="70">
        <v>1</v>
      </c>
      <c r="I212" s="69">
        <f t="shared" si="49"/>
        <v>-140.36100000000002</v>
      </c>
      <c r="J212" s="79" t="s">
        <v>468</v>
      </c>
      <c r="K212" s="61">
        <v>0</v>
      </c>
      <c r="L212" s="58">
        <f t="shared" si="53"/>
        <v>4.7765000000000004</v>
      </c>
      <c r="M212" s="58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 t="s">
        <v>340</v>
      </c>
      <c r="B213" s="32" t="s">
        <v>762</v>
      </c>
      <c r="C213" s="10" t="s">
        <v>754</v>
      </c>
      <c r="D213" s="32" t="s">
        <v>755</v>
      </c>
      <c r="E213" s="69">
        <v>-39</v>
      </c>
      <c r="F213" s="69">
        <v>0.61</v>
      </c>
      <c r="G213" s="69">
        <f t="shared" si="52"/>
        <v>0.183</v>
      </c>
      <c r="H213" s="70">
        <v>1</v>
      </c>
      <c r="I213" s="69">
        <f t="shared" si="49"/>
        <v>-38.817</v>
      </c>
      <c r="J213" s="79" t="s">
        <v>468</v>
      </c>
      <c r="K213" s="61">
        <v>0</v>
      </c>
      <c r="L213" s="58">
        <f t="shared" si="53"/>
        <v>3.0499999999999999E-2</v>
      </c>
      <c r="M213" s="58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2" t="s">
        <v>340</v>
      </c>
      <c r="B214" s="32" t="s">
        <v>762</v>
      </c>
      <c r="C214" s="10" t="s">
        <v>757</v>
      </c>
      <c r="D214" s="10" t="s">
        <v>761</v>
      </c>
      <c r="E214" s="69">
        <v>-167.7</v>
      </c>
      <c r="F214" s="69">
        <v>31.94</v>
      </c>
      <c r="G214" s="69">
        <f t="shared" si="52"/>
        <v>9.5820000000000007</v>
      </c>
      <c r="H214" s="70">
        <v>1</v>
      </c>
      <c r="I214" s="69">
        <f t="shared" si="49"/>
        <v>-158.11799999999999</v>
      </c>
      <c r="J214" s="79" t="s">
        <v>468</v>
      </c>
      <c r="K214" s="61">
        <v>0</v>
      </c>
      <c r="L214" s="58">
        <f t="shared" si="53"/>
        <v>1.5970000000000002</v>
      </c>
      <c r="M214" s="58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2" t="s">
        <v>340</v>
      </c>
      <c r="B215" s="32" t="s">
        <v>140</v>
      </c>
      <c r="C215" s="10">
        <v>9423640</v>
      </c>
      <c r="D215" s="32" t="s">
        <v>730</v>
      </c>
      <c r="E215" s="69">
        <v>-3126.59</v>
      </c>
      <c r="F215" s="69">
        <v>510.95</v>
      </c>
      <c r="G215" s="69">
        <f>F215*0.6</f>
        <v>306.57</v>
      </c>
      <c r="H215" s="70">
        <v>0.64929599999999998</v>
      </c>
      <c r="I215" s="69">
        <f>((E215+G215)*0.9-692.17)*H215</f>
        <v>-2097.3481476480001</v>
      </c>
      <c r="J215" s="79" t="s">
        <v>468</v>
      </c>
      <c r="K215" s="61">
        <v>0</v>
      </c>
      <c r="L215" s="61">
        <f>F215*0.1*H215*0.9</f>
        <v>29.858201208000001</v>
      </c>
      <c r="M215" s="58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2" t="s">
        <v>340</v>
      </c>
      <c r="B216" s="32" t="s">
        <v>10</v>
      </c>
      <c r="C216" s="10">
        <v>919711</v>
      </c>
      <c r="D216" s="10" t="s">
        <v>710</v>
      </c>
      <c r="E216" s="32">
        <v>-320.7</v>
      </c>
      <c r="F216" s="32">
        <v>12.4</v>
      </c>
      <c r="G216" s="69">
        <f t="shared" ref="G216:G243" si="54">F216*0.7</f>
        <v>8.68</v>
      </c>
      <c r="H216" s="73">
        <v>0.20039999999999999</v>
      </c>
      <c r="I216" s="69">
        <f t="shared" ref="I216:I255" si="55">(E216+G216)*H216</f>
        <v>-62.528807999999998</v>
      </c>
      <c r="J216" s="79" t="s">
        <v>468</v>
      </c>
      <c r="K216" s="61">
        <v>0</v>
      </c>
      <c r="L216" s="58">
        <f t="shared" ref="L216:L243" si="56">F216*0.05*H216</f>
        <v>0.12424800000000001</v>
      </c>
      <c r="M216" s="58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2" t="s">
        <v>340</v>
      </c>
      <c r="B217" s="32" t="s">
        <v>10</v>
      </c>
      <c r="C217" s="10">
        <v>923286</v>
      </c>
      <c r="D217" s="10" t="s">
        <v>654</v>
      </c>
      <c r="E217" s="32">
        <v>-734.75</v>
      </c>
      <c r="F217" s="32">
        <v>158.80000000000001</v>
      </c>
      <c r="G217" s="69">
        <f t="shared" si="54"/>
        <v>111.16</v>
      </c>
      <c r="H217" s="73">
        <v>0.20039999999999999</v>
      </c>
      <c r="I217" s="69">
        <f t="shared" si="55"/>
        <v>-124.96743600000001</v>
      </c>
      <c r="J217" s="79" t="s">
        <v>468</v>
      </c>
      <c r="K217" s="61">
        <v>0</v>
      </c>
      <c r="L217" s="58">
        <f t="shared" si="56"/>
        <v>1.5911760000000001</v>
      </c>
      <c r="M217" s="58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2" t="s">
        <v>340</v>
      </c>
      <c r="B218" s="32" t="s">
        <v>10</v>
      </c>
      <c r="C218" s="10">
        <v>924100</v>
      </c>
      <c r="D218" s="10" t="s">
        <v>783</v>
      </c>
      <c r="E218" s="32">
        <v>59.1</v>
      </c>
      <c r="F218" s="32">
        <v>6.6</v>
      </c>
      <c r="G218" s="69">
        <f t="shared" si="54"/>
        <v>4.6199999999999992</v>
      </c>
      <c r="H218" s="73">
        <v>0.20039999999999999</v>
      </c>
      <c r="I218" s="69">
        <f t="shared" si="55"/>
        <v>12.769487999999999</v>
      </c>
      <c r="J218" s="79" t="s">
        <v>468</v>
      </c>
      <c r="K218" s="61">
        <v>0</v>
      </c>
      <c r="L218" s="58">
        <f t="shared" si="56"/>
        <v>6.6131999999999996E-2</v>
      </c>
      <c r="M218" s="58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" t="s">
        <v>340</v>
      </c>
      <c r="B219" s="32" t="s">
        <v>10</v>
      </c>
      <c r="C219" s="10">
        <v>939192</v>
      </c>
      <c r="D219" s="10" t="s">
        <v>732</v>
      </c>
      <c r="E219" s="32">
        <v>1117</v>
      </c>
      <c r="F219" s="32">
        <v>141.75</v>
      </c>
      <c r="G219" s="69">
        <f t="shared" si="54"/>
        <v>99.224999999999994</v>
      </c>
      <c r="H219" s="73">
        <v>0.20039999999999999</v>
      </c>
      <c r="I219" s="69">
        <f t="shared" si="55"/>
        <v>243.73148999999998</v>
      </c>
      <c r="J219" s="79" t="s">
        <v>468</v>
      </c>
      <c r="K219" s="61">
        <v>0</v>
      </c>
      <c r="L219" s="58">
        <f t="shared" si="56"/>
        <v>1.4203350000000001</v>
      </c>
      <c r="M219" s="58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2" t="s">
        <v>340</v>
      </c>
      <c r="B220" s="32" t="s">
        <v>10</v>
      </c>
      <c r="C220" s="10">
        <v>1009846</v>
      </c>
      <c r="D220" s="32" t="s">
        <v>666</v>
      </c>
      <c r="E220" s="69">
        <v>-13.6</v>
      </c>
      <c r="F220" s="69">
        <v>16.7</v>
      </c>
      <c r="G220" s="69">
        <f t="shared" si="54"/>
        <v>11.69</v>
      </c>
      <c r="H220" s="73">
        <v>0.20039999999999999</v>
      </c>
      <c r="I220" s="69">
        <f t="shared" si="55"/>
        <v>-0.38276399999999999</v>
      </c>
      <c r="J220" s="79" t="s">
        <v>468</v>
      </c>
      <c r="K220" s="61">
        <v>0</v>
      </c>
      <c r="L220" s="58">
        <f t="shared" si="56"/>
        <v>0.16733399999999998</v>
      </c>
      <c r="M220" s="58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2" t="s">
        <v>340</v>
      </c>
      <c r="B221" s="32" t="s">
        <v>10</v>
      </c>
      <c r="C221" s="10">
        <v>1054937</v>
      </c>
      <c r="D221" s="32" t="s">
        <v>671</v>
      </c>
      <c r="E221" s="69">
        <v>-13.6</v>
      </c>
      <c r="F221" s="69">
        <v>72.650000000000006</v>
      </c>
      <c r="G221" s="69">
        <f t="shared" si="54"/>
        <v>50.855000000000004</v>
      </c>
      <c r="H221" s="73">
        <v>0.20039999999999999</v>
      </c>
      <c r="I221" s="69">
        <f t="shared" si="55"/>
        <v>7.4659020000000007</v>
      </c>
      <c r="J221" s="79" t="s">
        <v>468</v>
      </c>
      <c r="K221" s="61">
        <v>0</v>
      </c>
      <c r="L221" s="58">
        <f t="shared" si="56"/>
        <v>0.72795300000000007</v>
      </c>
      <c r="M221" s="58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 t="s">
        <v>340</v>
      </c>
      <c r="B222" s="32" t="s">
        <v>10</v>
      </c>
      <c r="C222" s="10">
        <v>1058488</v>
      </c>
      <c r="D222" s="32" t="s">
        <v>784</v>
      </c>
      <c r="E222" s="69">
        <v>-69</v>
      </c>
      <c r="F222" s="69">
        <v>6.16</v>
      </c>
      <c r="G222" s="69">
        <f t="shared" si="54"/>
        <v>4.3119999999999994</v>
      </c>
      <c r="H222" s="73">
        <v>0.20039999999999999</v>
      </c>
      <c r="I222" s="69">
        <f t="shared" si="55"/>
        <v>-12.9634752</v>
      </c>
      <c r="J222" s="79" t="s">
        <v>468</v>
      </c>
      <c r="K222" s="61">
        <v>0</v>
      </c>
      <c r="L222" s="58">
        <f t="shared" si="56"/>
        <v>6.1723200000000006E-2</v>
      </c>
      <c r="M222" s="58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 t="s">
        <v>340</v>
      </c>
      <c r="B223" s="32" t="s">
        <v>10</v>
      </c>
      <c r="C223" s="10">
        <v>1058947</v>
      </c>
      <c r="D223" s="10" t="s">
        <v>681</v>
      </c>
      <c r="E223" s="32">
        <v>-455.15</v>
      </c>
      <c r="F223" s="32">
        <v>65.900000000000006</v>
      </c>
      <c r="G223" s="69">
        <f t="shared" si="54"/>
        <v>46.13</v>
      </c>
      <c r="H223" s="73">
        <v>0.20039999999999999</v>
      </c>
      <c r="I223" s="69">
        <f t="shared" si="55"/>
        <v>-81.967607999999998</v>
      </c>
      <c r="J223" s="79" t="s">
        <v>468</v>
      </c>
      <c r="K223" s="61">
        <v>0</v>
      </c>
      <c r="L223" s="58">
        <f t="shared" si="56"/>
        <v>0.66031800000000007</v>
      </c>
      <c r="M223" s="58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 t="s">
        <v>340</v>
      </c>
      <c r="B224" s="32" t="s">
        <v>10</v>
      </c>
      <c r="C224" s="10">
        <v>1063104</v>
      </c>
      <c r="D224" s="10" t="s">
        <v>785</v>
      </c>
      <c r="E224" s="32">
        <v>-618.5</v>
      </c>
      <c r="F224" s="32">
        <v>200.9</v>
      </c>
      <c r="G224" s="69">
        <f t="shared" si="54"/>
        <v>140.63</v>
      </c>
      <c r="H224" s="73">
        <v>0.20039999999999999</v>
      </c>
      <c r="I224" s="69">
        <f t="shared" si="55"/>
        <v>-95.765147999999996</v>
      </c>
      <c r="J224" s="79" t="s">
        <v>468</v>
      </c>
      <c r="K224" s="61">
        <v>0</v>
      </c>
      <c r="L224" s="58">
        <f t="shared" si="56"/>
        <v>2.0130180000000002</v>
      </c>
      <c r="M224" s="58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 t="s">
        <v>340</v>
      </c>
      <c r="B225" s="32" t="s">
        <v>10</v>
      </c>
      <c r="C225" s="10">
        <v>1064980</v>
      </c>
      <c r="D225" s="10" t="s">
        <v>690</v>
      </c>
      <c r="E225" s="32">
        <v>-115.1</v>
      </c>
      <c r="F225" s="32">
        <v>23.8</v>
      </c>
      <c r="G225" s="69">
        <f t="shared" si="54"/>
        <v>16.66</v>
      </c>
      <c r="H225" s="73">
        <v>0.20039999999999999</v>
      </c>
      <c r="I225" s="69">
        <f t="shared" si="55"/>
        <v>-19.727376</v>
      </c>
      <c r="J225" s="79" t="s">
        <v>468</v>
      </c>
      <c r="K225" s="61">
        <v>0</v>
      </c>
      <c r="L225" s="58">
        <f t="shared" si="56"/>
        <v>0.23847600000000002</v>
      </c>
      <c r="M225" s="58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 t="s">
        <v>340</v>
      </c>
      <c r="B226" s="32" t="s">
        <v>10</v>
      </c>
      <c r="C226" s="10">
        <v>1067198</v>
      </c>
      <c r="D226" s="32" t="s">
        <v>786</v>
      </c>
      <c r="E226" s="69">
        <v>-70.8</v>
      </c>
      <c r="F226" s="69">
        <v>204.73</v>
      </c>
      <c r="G226" s="69">
        <f t="shared" si="54"/>
        <v>143.31099999999998</v>
      </c>
      <c r="H226" s="73">
        <v>0.20039999999999999</v>
      </c>
      <c r="I226" s="69">
        <f t="shared" si="55"/>
        <v>14.531204399999996</v>
      </c>
      <c r="J226" s="79" t="s">
        <v>468</v>
      </c>
      <c r="K226" s="61">
        <v>0</v>
      </c>
      <c r="L226" s="58">
        <f t="shared" si="56"/>
        <v>2.0513945999999996</v>
      </c>
      <c r="M226" s="58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2" t="s">
        <v>340</v>
      </c>
      <c r="B227" s="32" t="s">
        <v>10</v>
      </c>
      <c r="C227" s="10">
        <v>1068074</v>
      </c>
      <c r="D227" s="32" t="s">
        <v>715</v>
      </c>
      <c r="E227" s="69">
        <v>-27.05</v>
      </c>
      <c r="F227" s="69">
        <v>40.049999999999997</v>
      </c>
      <c r="G227" s="69">
        <f t="shared" si="54"/>
        <v>28.034999999999997</v>
      </c>
      <c r="H227" s="73">
        <v>0.20039999999999999</v>
      </c>
      <c r="I227" s="69">
        <f t="shared" si="55"/>
        <v>0.19739399999999918</v>
      </c>
      <c r="J227" s="79" t="s">
        <v>468</v>
      </c>
      <c r="K227" s="61">
        <v>0</v>
      </c>
      <c r="L227" s="58">
        <f t="shared" si="56"/>
        <v>0.40130099999999996</v>
      </c>
      <c r="M227" s="58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2" t="s">
        <v>340</v>
      </c>
      <c r="B228" s="32" t="s">
        <v>10</v>
      </c>
      <c r="C228" s="10">
        <v>1075888</v>
      </c>
      <c r="D228" s="10" t="s">
        <v>739</v>
      </c>
      <c r="E228" s="32">
        <v>96</v>
      </c>
      <c r="F228" s="32">
        <v>42.4</v>
      </c>
      <c r="G228" s="69">
        <f t="shared" si="54"/>
        <v>29.679999999999996</v>
      </c>
      <c r="H228" s="73">
        <v>0.20039999999999999</v>
      </c>
      <c r="I228" s="69">
        <f t="shared" si="55"/>
        <v>25.186271999999999</v>
      </c>
      <c r="J228" s="79" t="s">
        <v>468</v>
      </c>
      <c r="K228" s="61">
        <v>0</v>
      </c>
      <c r="L228" s="58">
        <f t="shared" si="56"/>
        <v>0.424848</v>
      </c>
      <c r="M228" s="58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2" t="s">
        <v>340</v>
      </c>
      <c r="B229" s="32" t="s">
        <v>10</v>
      </c>
      <c r="C229" s="10">
        <v>1082647</v>
      </c>
      <c r="D229" s="10" t="s">
        <v>772</v>
      </c>
      <c r="E229" s="32">
        <v>-1217.05</v>
      </c>
      <c r="F229" s="32">
        <v>332.55</v>
      </c>
      <c r="G229" s="69">
        <f t="shared" si="54"/>
        <v>232.785</v>
      </c>
      <c r="H229" s="73">
        <v>0.20039999999999999</v>
      </c>
      <c r="I229" s="69">
        <f t="shared" si="55"/>
        <v>-197.24670599999999</v>
      </c>
      <c r="J229" s="79" t="s">
        <v>468</v>
      </c>
      <c r="K229" s="61">
        <v>0</v>
      </c>
      <c r="L229" s="58">
        <f t="shared" si="56"/>
        <v>3.3321510000000001</v>
      </c>
      <c r="M229" s="58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2" t="s">
        <v>340</v>
      </c>
      <c r="B230" s="32" t="s">
        <v>10</v>
      </c>
      <c r="C230" s="10">
        <v>1083888</v>
      </c>
      <c r="D230" s="10" t="s">
        <v>777</v>
      </c>
      <c r="E230" s="32">
        <v>-116.05</v>
      </c>
      <c r="F230" s="32">
        <v>13.8</v>
      </c>
      <c r="G230" s="69">
        <f t="shared" si="54"/>
        <v>9.66</v>
      </c>
      <c r="H230" s="73">
        <v>0.20039999999999999</v>
      </c>
      <c r="I230" s="69">
        <f t="shared" si="55"/>
        <v>-21.320556</v>
      </c>
      <c r="J230" s="79" t="s">
        <v>468</v>
      </c>
      <c r="K230" s="61">
        <v>0</v>
      </c>
      <c r="L230" s="58">
        <f t="shared" si="56"/>
        <v>0.13827600000000001</v>
      </c>
      <c r="M230" s="58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2" t="s">
        <v>340</v>
      </c>
      <c r="B231" s="32" t="s">
        <v>10</v>
      </c>
      <c r="C231" s="10">
        <v>1084544</v>
      </c>
      <c r="D231" s="10" t="s">
        <v>787</v>
      </c>
      <c r="E231" s="32">
        <v>-99.9</v>
      </c>
      <c r="F231" s="32">
        <v>15.7</v>
      </c>
      <c r="G231" s="69">
        <f t="shared" si="54"/>
        <v>10.989999999999998</v>
      </c>
      <c r="H231" s="73">
        <v>0.20039999999999999</v>
      </c>
      <c r="I231" s="69">
        <f t="shared" si="55"/>
        <v>-17.817564000000001</v>
      </c>
      <c r="J231" s="79" t="s">
        <v>468</v>
      </c>
      <c r="K231" s="61">
        <v>0</v>
      </c>
      <c r="L231" s="58">
        <f t="shared" si="56"/>
        <v>0.15731400000000001</v>
      </c>
      <c r="M231" s="58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2" t="s">
        <v>340</v>
      </c>
      <c r="B232" s="32" t="s">
        <v>10</v>
      </c>
      <c r="C232" s="10">
        <v>1088487</v>
      </c>
      <c r="D232" s="10" t="s">
        <v>788</v>
      </c>
      <c r="E232" s="32">
        <v>-210.9</v>
      </c>
      <c r="F232" s="32">
        <v>98.4</v>
      </c>
      <c r="G232" s="69">
        <f t="shared" si="54"/>
        <v>68.88</v>
      </c>
      <c r="H232" s="73">
        <v>0.20039999999999999</v>
      </c>
      <c r="I232" s="69">
        <f t="shared" si="55"/>
        <v>-28.460808</v>
      </c>
      <c r="J232" s="79" t="s">
        <v>468</v>
      </c>
      <c r="K232" s="61">
        <v>0</v>
      </c>
      <c r="L232" s="58">
        <f t="shared" si="56"/>
        <v>0.98596800000000018</v>
      </c>
      <c r="M232" s="58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 t="s">
        <v>340</v>
      </c>
      <c r="B233" s="32" t="s">
        <v>10</v>
      </c>
      <c r="C233" s="10">
        <v>915274</v>
      </c>
      <c r="D233" s="32" t="s">
        <v>701</v>
      </c>
      <c r="E233" s="69">
        <v>-225.45</v>
      </c>
      <c r="F233" s="69">
        <v>90.7</v>
      </c>
      <c r="G233" s="69">
        <f t="shared" si="54"/>
        <v>63.489999999999995</v>
      </c>
      <c r="H233" s="73">
        <v>0.20039999999999999</v>
      </c>
      <c r="I233" s="69">
        <f t="shared" si="55"/>
        <v>-32.456783999999992</v>
      </c>
      <c r="J233" s="79" t="s">
        <v>468</v>
      </c>
      <c r="K233" s="61">
        <v>0</v>
      </c>
      <c r="L233" s="58">
        <f t="shared" si="56"/>
        <v>0.90881400000000001</v>
      </c>
      <c r="M233" s="58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 t="s">
        <v>340</v>
      </c>
      <c r="B234" s="32" t="s">
        <v>10</v>
      </c>
      <c r="C234" s="10">
        <v>1060012</v>
      </c>
      <c r="D234" s="10" t="s">
        <v>684</v>
      </c>
      <c r="E234" s="32">
        <v>-54</v>
      </c>
      <c r="F234" s="32">
        <v>5.42</v>
      </c>
      <c r="G234" s="69">
        <f t="shared" si="54"/>
        <v>3.7939999999999996</v>
      </c>
      <c r="H234" s="73">
        <v>0.20039999999999999</v>
      </c>
      <c r="I234" s="69">
        <f t="shared" si="55"/>
        <v>-10.0612824</v>
      </c>
      <c r="J234" s="79" t="s">
        <v>468</v>
      </c>
      <c r="K234" s="61">
        <v>0</v>
      </c>
      <c r="L234" s="58">
        <f t="shared" si="56"/>
        <v>5.43084E-2</v>
      </c>
      <c r="M234" s="58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 t="s">
        <v>340</v>
      </c>
      <c r="B235" s="32" t="s">
        <v>10</v>
      </c>
      <c r="C235" s="10">
        <v>1072699</v>
      </c>
      <c r="D235" s="10" t="s">
        <v>726</v>
      </c>
      <c r="E235" s="32">
        <v>-3.75</v>
      </c>
      <c r="F235" s="32">
        <v>7.06</v>
      </c>
      <c r="G235" s="69">
        <f t="shared" si="54"/>
        <v>4.9419999999999993</v>
      </c>
      <c r="H235" s="73">
        <v>0.20039999999999999</v>
      </c>
      <c r="I235" s="69">
        <f t="shared" si="55"/>
        <v>0.23887679999999986</v>
      </c>
      <c r="J235" s="79" t="s">
        <v>468</v>
      </c>
      <c r="K235" s="61">
        <v>0</v>
      </c>
      <c r="L235" s="58">
        <f t="shared" si="56"/>
        <v>7.074119999999999E-2</v>
      </c>
      <c r="M235" s="58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 t="s">
        <v>340</v>
      </c>
      <c r="B236" s="32" t="s">
        <v>10</v>
      </c>
      <c r="C236" s="10">
        <v>1082404</v>
      </c>
      <c r="D236" s="10" t="s">
        <v>771</v>
      </c>
      <c r="E236" s="32">
        <v>-248.3</v>
      </c>
      <c r="F236" s="32">
        <v>59.35</v>
      </c>
      <c r="G236" s="69">
        <f t="shared" si="54"/>
        <v>41.545000000000002</v>
      </c>
      <c r="H236" s="73">
        <v>0.20039999999999999</v>
      </c>
      <c r="I236" s="69">
        <f t="shared" si="55"/>
        <v>-41.433701999999997</v>
      </c>
      <c r="J236" s="79" t="s">
        <v>468</v>
      </c>
      <c r="K236" s="61">
        <v>0</v>
      </c>
      <c r="L236" s="58">
        <f t="shared" si="56"/>
        <v>0.59468700000000008</v>
      </c>
      <c r="M236" s="58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 t="s">
        <v>340</v>
      </c>
      <c r="B237" s="32" t="s">
        <v>10</v>
      </c>
      <c r="C237" s="10">
        <v>1083276</v>
      </c>
      <c r="D237" s="10" t="s">
        <v>775</v>
      </c>
      <c r="E237" s="32">
        <v>-20</v>
      </c>
      <c r="F237" s="32">
        <v>3.05</v>
      </c>
      <c r="G237" s="69">
        <f t="shared" si="54"/>
        <v>2.1349999999999998</v>
      </c>
      <c r="H237" s="73">
        <v>0.20039999999999999</v>
      </c>
      <c r="I237" s="69">
        <f t="shared" si="55"/>
        <v>-3.5801460000000005</v>
      </c>
      <c r="J237" s="79" t="s">
        <v>468</v>
      </c>
      <c r="K237" s="61">
        <v>0</v>
      </c>
      <c r="L237" s="58">
        <f t="shared" si="56"/>
        <v>3.0560999999999998E-2</v>
      </c>
      <c r="M237" s="58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 t="s">
        <v>340</v>
      </c>
      <c r="B238" s="32" t="s">
        <v>10</v>
      </c>
      <c r="C238" s="10">
        <v>1084048</v>
      </c>
      <c r="D238" s="32" t="s">
        <v>778</v>
      </c>
      <c r="E238" s="69">
        <v>-252.7</v>
      </c>
      <c r="F238" s="69">
        <v>82.35</v>
      </c>
      <c r="G238" s="69">
        <f t="shared" si="54"/>
        <v>57.644999999999989</v>
      </c>
      <c r="H238" s="73">
        <v>0.20039999999999999</v>
      </c>
      <c r="I238" s="69">
        <f t="shared" si="55"/>
        <v>-39.089022</v>
      </c>
      <c r="J238" s="79" t="s">
        <v>468</v>
      </c>
      <c r="K238" s="61">
        <v>0</v>
      </c>
      <c r="L238" s="58">
        <f t="shared" si="56"/>
        <v>0.82514699999999996</v>
      </c>
      <c r="M238" s="58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 t="s">
        <v>340</v>
      </c>
      <c r="B239" s="32" t="s">
        <v>10</v>
      </c>
      <c r="C239" s="10">
        <v>1077627</v>
      </c>
      <c r="D239" s="32" t="s">
        <v>763</v>
      </c>
      <c r="E239" s="69">
        <v>2201.5</v>
      </c>
      <c r="F239" s="69">
        <v>141.35</v>
      </c>
      <c r="G239" s="69">
        <f t="shared" si="54"/>
        <v>98.944999999999993</v>
      </c>
      <c r="H239" s="73">
        <v>0.20039999999999999</v>
      </c>
      <c r="I239" s="69">
        <f t="shared" si="55"/>
        <v>461.00917800000002</v>
      </c>
      <c r="J239" s="79" t="s">
        <v>468</v>
      </c>
      <c r="K239" s="61">
        <v>0</v>
      </c>
      <c r="L239" s="58">
        <f t="shared" si="56"/>
        <v>1.4163269999999999</v>
      </c>
      <c r="M239" s="58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2" t="s">
        <v>340</v>
      </c>
      <c r="B240" s="32" t="s">
        <v>10</v>
      </c>
      <c r="C240" s="10">
        <v>1077637</v>
      </c>
      <c r="D240" s="32" t="s">
        <v>731</v>
      </c>
      <c r="E240" s="69">
        <v>69.599999999999994</v>
      </c>
      <c r="F240" s="69">
        <v>1.9</v>
      </c>
      <c r="G240" s="69">
        <f t="shared" si="54"/>
        <v>1.3299999999999998</v>
      </c>
      <c r="H240" s="73">
        <v>0.20039999999999999</v>
      </c>
      <c r="I240" s="69">
        <f t="shared" si="55"/>
        <v>14.214371999999997</v>
      </c>
      <c r="J240" s="79" t="s">
        <v>468</v>
      </c>
      <c r="K240" s="61">
        <v>0</v>
      </c>
      <c r="L240" s="58">
        <f t="shared" si="56"/>
        <v>1.9037999999999999E-2</v>
      </c>
      <c r="M240" s="58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2" t="s">
        <v>340</v>
      </c>
      <c r="B241" s="32" t="s">
        <v>10</v>
      </c>
      <c r="C241" s="10">
        <v>1077641</v>
      </c>
      <c r="D241" s="10" t="s">
        <v>789</v>
      </c>
      <c r="E241" s="32">
        <v>-5197.75</v>
      </c>
      <c r="F241" s="32">
        <v>234.45</v>
      </c>
      <c r="G241" s="69">
        <f t="shared" si="54"/>
        <v>164.11499999999998</v>
      </c>
      <c r="H241" s="73">
        <v>0.20039999999999999</v>
      </c>
      <c r="I241" s="69">
        <f t="shared" si="55"/>
        <v>-1008.740454</v>
      </c>
      <c r="J241" s="79" t="s">
        <v>468</v>
      </c>
      <c r="K241" s="61">
        <v>0</v>
      </c>
      <c r="L241" s="58">
        <f t="shared" si="56"/>
        <v>2.349189</v>
      </c>
      <c r="M241" s="58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2" t="s">
        <v>340</v>
      </c>
      <c r="B242" s="32" t="s">
        <v>10</v>
      </c>
      <c r="C242" s="10">
        <v>1079121</v>
      </c>
      <c r="D242" s="10" t="s">
        <v>790</v>
      </c>
      <c r="E242" s="32">
        <v>-208.85</v>
      </c>
      <c r="F242" s="32">
        <v>72.3</v>
      </c>
      <c r="G242" s="69">
        <f t="shared" si="54"/>
        <v>50.609999999999992</v>
      </c>
      <c r="H242" s="73">
        <v>0.20039999999999999</v>
      </c>
      <c r="I242" s="69">
        <f t="shared" si="55"/>
        <v>-31.711296000000001</v>
      </c>
      <c r="J242" s="79" t="s">
        <v>468</v>
      </c>
      <c r="K242" s="61">
        <v>0</v>
      </c>
      <c r="L242" s="58">
        <f t="shared" si="56"/>
        <v>0.72444600000000003</v>
      </c>
      <c r="M242" s="58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 t="s">
        <v>340</v>
      </c>
      <c r="B243" s="32" t="s">
        <v>10</v>
      </c>
      <c r="C243" s="10">
        <v>1079125</v>
      </c>
      <c r="D243" s="10" t="s">
        <v>765</v>
      </c>
      <c r="E243" s="32">
        <v>-621.1</v>
      </c>
      <c r="F243" s="32">
        <v>149.85</v>
      </c>
      <c r="G243" s="69">
        <f t="shared" si="54"/>
        <v>104.895</v>
      </c>
      <c r="H243" s="73">
        <v>0.20039999999999999</v>
      </c>
      <c r="I243" s="69">
        <f t="shared" si="55"/>
        <v>-103.44748200000001</v>
      </c>
      <c r="J243" s="79" t="s">
        <v>468</v>
      </c>
      <c r="K243" s="61">
        <v>0</v>
      </c>
      <c r="L243" s="58">
        <f t="shared" si="56"/>
        <v>1.5014969999999999</v>
      </c>
      <c r="M243" s="58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 t="s">
        <v>359</v>
      </c>
      <c r="B244" s="32" t="s">
        <v>54</v>
      </c>
      <c r="C244" s="10" t="s">
        <v>627</v>
      </c>
      <c r="D244" s="10" t="s">
        <v>628</v>
      </c>
      <c r="E244" s="32">
        <v>-75.84</v>
      </c>
      <c r="F244" s="32">
        <v>3.79</v>
      </c>
      <c r="G244" s="69">
        <f t="shared" ref="G244:G251" si="57">F244*0.75</f>
        <v>2.8425000000000002</v>
      </c>
      <c r="H244" s="75">
        <v>0.27339000000000002</v>
      </c>
      <c r="I244" s="69">
        <f t="shared" si="55"/>
        <v>-19.956786525000002</v>
      </c>
      <c r="J244" s="78">
        <f t="shared" ref="J244:J251" si="58">F244*0.05*H244</f>
        <v>5.1807405000000008E-2</v>
      </c>
      <c r="K244" s="61">
        <v>0</v>
      </c>
      <c r="L244" s="61">
        <f t="shared" ref="L244:L251" si="59">F244*0.08*H244</f>
        <v>8.2891848000000018E-2</v>
      </c>
      <c r="M244" s="58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 t="s">
        <v>359</v>
      </c>
      <c r="B245" s="32" t="s">
        <v>54</v>
      </c>
      <c r="C245" s="10" t="s">
        <v>630</v>
      </c>
      <c r="D245" s="10" t="s">
        <v>631</v>
      </c>
      <c r="E245" s="32">
        <v>-8.76</v>
      </c>
      <c r="F245" s="32">
        <v>7.48</v>
      </c>
      <c r="G245" s="69">
        <f t="shared" si="57"/>
        <v>5.61</v>
      </c>
      <c r="H245" s="75">
        <v>0.27339000000000002</v>
      </c>
      <c r="I245" s="69">
        <f t="shared" si="55"/>
        <v>-0.86117849999999996</v>
      </c>
      <c r="J245" s="78">
        <f t="shared" si="58"/>
        <v>0.10224786000000002</v>
      </c>
      <c r="K245" s="61">
        <v>0</v>
      </c>
      <c r="L245" s="61">
        <f t="shared" si="59"/>
        <v>0.16359657600000002</v>
      </c>
      <c r="M245" s="58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 t="s">
        <v>359</v>
      </c>
      <c r="B246" s="32" t="s">
        <v>54</v>
      </c>
      <c r="C246" s="10" t="s">
        <v>633</v>
      </c>
      <c r="D246" s="46" t="s">
        <v>634</v>
      </c>
      <c r="E246" s="69">
        <v>35</v>
      </c>
      <c r="F246" s="69">
        <v>7.5</v>
      </c>
      <c r="G246" s="69">
        <f t="shared" si="57"/>
        <v>5.625</v>
      </c>
      <c r="H246" s="75">
        <v>0.27339000000000002</v>
      </c>
      <c r="I246" s="69">
        <f t="shared" si="55"/>
        <v>11.106468750000001</v>
      </c>
      <c r="J246" s="78">
        <f t="shared" si="58"/>
        <v>0.10252125000000001</v>
      </c>
      <c r="K246" s="61">
        <v>0</v>
      </c>
      <c r="L246" s="61">
        <f t="shared" si="59"/>
        <v>0.16403400000000001</v>
      </c>
      <c r="M246" s="58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 t="s">
        <v>359</v>
      </c>
      <c r="B247" s="32" t="s">
        <v>54</v>
      </c>
      <c r="C247" s="10" t="s">
        <v>636</v>
      </c>
      <c r="D247" s="46" t="s">
        <v>637</v>
      </c>
      <c r="E247" s="69">
        <v>-77424.5</v>
      </c>
      <c r="F247" s="69">
        <v>3796.6</v>
      </c>
      <c r="G247" s="69">
        <f t="shared" si="57"/>
        <v>2847.45</v>
      </c>
      <c r="H247" s="75">
        <v>0.27339000000000002</v>
      </c>
      <c r="I247" s="69">
        <f t="shared" si="55"/>
        <v>-20388.619699500003</v>
      </c>
      <c r="J247" s="78">
        <f t="shared" si="58"/>
        <v>51.897623700000011</v>
      </c>
      <c r="K247" s="61">
        <v>0</v>
      </c>
      <c r="L247" s="61">
        <f t="shared" si="59"/>
        <v>83.036197920000006</v>
      </c>
      <c r="M247" s="58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2" t="s">
        <v>359</v>
      </c>
      <c r="B248" s="32" t="s">
        <v>54</v>
      </c>
      <c r="C248" s="10" t="s">
        <v>728</v>
      </c>
      <c r="D248" s="46" t="s">
        <v>729</v>
      </c>
      <c r="E248" s="69">
        <v>-284</v>
      </c>
      <c r="F248" s="69">
        <v>37.4</v>
      </c>
      <c r="G248" s="69">
        <f t="shared" si="57"/>
        <v>28.049999999999997</v>
      </c>
      <c r="H248" s="75">
        <v>0.27339000000000002</v>
      </c>
      <c r="I248" s="69">
        <f t="shared" si="55"/>
        <v>-69.9741705</v>
      </c>
      <c r="J248" s="78">
        <f t="shared" si="58"/>
        <v>0.51123930000000006</v>
      </c>
      <c r="K248" s="61">
        <v>0</v>
      </c>
      <c r="L248" s="61">
        <f t="shared" si="59"/>
        <v>0.81798288000000008</v>
      </c>
      <c r="M248" s="58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2" t="s">
        <v>359</v>
      </c>
      <c r="B249" s="32" t="s">
        <v>54</v>
      </c>
      <c r="C249" s="10" t="s">
        <v>759</v>
      </c>
      <c r="D249" s="46" t="s">
        <v>760</v>
      </c>
      <c r="E249" s="69">
        <v>91.51</v>
      </c>
      <c r="F249" s="69">
        <v>9.5299999999999994</v>
      </c>
      <c r="G249" s="69">
        <f t="shared" si="57"/>
        <v>7.1474999999999991</v>
      </c>
      <c r="H249" s="75">
        <v>0.27339000000000002</v>
      </c>
      <c r="I249" s="69">
        <f t="shared" si="55"/>
        <v>26.971973925</v>
      </c>
      <c r="J249" s="78">
        <f t="shared" si="58"/>
        <v>0.13027033500000001</v>
      </c>
      <c r="K249" s="61">
        <v>0</v>
      </c>
      <c r="L249" s="61">
        <f t="shared" si="59"/>
        <v>0.208432536</v>
      </c>
      <c r="M249" s="58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 t="s">
        <v>359</v>
      </c>
      <c r="B250" s="29" t="s">
        <v>35</v>
      </c>
      <c r="C250" s="10" t="s">
        <v>647</v>
      </c>
      <c r="D250" s="10" t="s">
        <v>648</v>
      </c>
      <c r="E250" s="32">
        <v>102.39</v>
      </c>
      <c r="F250" s="32">
        <v>5.69</v>
      </c>
      <c r="G250" s="69">
        <f t="shared" si="57"/>
        <v>4.2675000000000001</v>
      </c>
      <c r="H250" s="75">
        <v>0.27339000000000002</v>
      </c>
      <c r="I250" s="69">
        <f t="shared" si="55"/>
        <v>29.159093925000001</v>
      </c>
      <c r="J250" s="78">
        <f t="shared" si="58"/>
        <v>7.7779455000000011E-2</v>
      </c>
      <c r="K250" s="61">
        <v>0</v>
      </c>
      <c r="L250" s="61">
        <f t="shared" si="59"/>
        <v>0.12444712800000002</v>
      </c>
      <c r="M250" s="58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32" t="s">
        <v>359</v>
      </c>
      <c r="B251" s="29" t="s">
        <v>35</v>
      </c>
      <c r="C251" s="10" t="s">
        <v>650</v>
      </c>
      <c r="D251" s="10" t="s">
        <v>651</v>
      </c>
      <c r="E251" s="32">
        <v>98.4</v>
      </c>
      <c r="F251" s="32">
        <v>96.6</v>
      </c>
      <c r="G251" s="69">
        <f t="shared" si="57"/>
        <v>72.449999999999989</v>
      </c>
      <c r="H251" s="75">
        <v>0.27339000000000002</v>
      </c>
      <c r="I251" s="69">
        <f t="shared" si="55"/>
        <v>46.708681500000004</v>
      </c>
      <c r="J251" s="78">
        <f t="shared" si="58"/>
        <v>1.3204737000000002</v>
      </c>
      <c r="K251" s="61">
        <v>0</v>
      </c>
      <c r="L251" s="61">
        <f t="shared" si="59"/>
        <v>2.11275792</v>
      </c>
      <c r="M251" s="58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32" t="s">
        <v>359</v>
      </c>
      <c r="B252" s="32" t="s">
        <v>753</v>
      </c>
      <c r="C252" s="10" t="s">
        <v>754</v>
      </c>
      <c r="D252" s="10" t="s">
        <v>755</v>
      </c>
      <c r="E252" s="32">
        <v>-269.67</v>
      </c>
      <c r="F252" s="32">
        <v>12.83</v>
      </c>
      <c r="G252" s="69">
        <f t="shared" ref="G252:G255" si="60">F252*0.3</f>
        <v>3.8489999999999998</v>
      </c>
      <c r="H252" s="70">
        <v>1</v>
      </c>
      <c r="I252" s="69">
        <f t="shared" si="55"/>
        <v>-265.82100000000003</v>
      </c>
      <c r="J252" s="79" t="s">
        <v>468</v>
      </c>
      <c r="K252" s="61">
        <v>0</v>
      </c>
      <c r="L252" s="58">
        <f t="shared" ref="L252:L255" si="61">F252*0.05*H252</f>
        <v>0.64150000000000007</v>
      </c>
      <c r="M252" s="58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 t="s">
        <v>359</v>
      </c>
      <c r="B253" s="32" t="s">
        <v>753</v>
      </c>
      <c r="C253" s="10" t="s">
        <v>757</v>
      </c>
      <c r="D253" s="10" t="s">
        <v>761</v>
      </c>
      <c r="E253" s="32">
        <v>668.4</v>
      </c>
      <c r="F253" s="32">
        <v>33.08</v>
      </c>
      <c r="G253" s="69">
        <f t="shared" si="60"/>
        <v>9.9239999999999995</v>
      </c>
      <c r="H253" s="70">
        <v>1</v>
      </c>
      <c r="I253" s="69">
        <f t="shared" si="55"/>
        <v>678.32399999999996</v>
      </c>
      <c r="J253" s="79" t="s">
        <v>468</v>
      </c>
      <c r="K253" s="61">
        <v>0</v>
      </c>
      <c r="L253" s="58">
        <f t="shared" si="61"/>
        <v>1.6539999999999999</v>
      </c>
      <c r="M253" s="58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 t="s">
        <v>359</v>
      </c>
      <c r="B254" s="32" t="s">
        <v>762</v>
      </c>
      <c r="C254" s="10" t="s">
        <v>754</v>
      </c>
      <c r="D254" s="10" t="s">
        <v>755</v>
      </c>
      <c r="E254" s="32">
        <v>-465.5</v>
      </c>
      <c r="F254" s="32">
        <v>9.2200000000000006</v>
      </c>
      <c r="G254" s="69">
        <f t="shared" si="60"/>
        <v>2.766</v>
      </c>
      <c r="H254" s="70">
        <v>1</v>
      </c>
      <c r="I254" s="69">
        <f t="shared" si="55"/>
        <v>-462.73399999999998</v>
      </c>
      <c r="J254" s="79" t="s">
        <v>468</v>
      </c>
      <c r="K254" s="61">
        <v>0</v>
      </c>
      <c r="L254" s="58">
        <f t="shared" si="61"/>
        <v>0.46100000000000008</v>
      </c>
      <c r="M254" s="58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 t="s">
        <v>359</v>
      </c>
      <c r="B255" s="32" t="s">
        <v>762</v>
      </c>
      <c r="C255" s="10" t="s">
        <v>757</v>
      </c>
      <c r="D255" s="10" t="s">
        <v>761</v>
      </c>
      <c r="E255" s="32">
        <v>-52</v>
      </c>
      <c r="F255" s="32">
        <v>2.61</v>
      </c>
      <c r="G255" s="69">
        <f t="shared" si="60"/>
        <v>0.78299999999999992</v>
      </c>
      <c r="H255" s="70">
        <v>1</v>
      </c>
      <c r="I255" s="69">
        <f t="shared" si="55"/>
        <v>-51.216999999999999</v>
      </c>
      <c r="J255" s="79" t="s">
        <v>468</v>
      </c>
      <c r="K255" s="61">
        <v>0</v>
      </c>
      <c r="L255" s="58">
        <f t="shared" si="61"/>
        <v>0.1305</v>
      </c>
      <c r="M255" s="58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32" t="s">
        <v>359</v>
      </c>
      <c r="B256" s="32" t="s">
        <v>140</v>
      </c>
      <c r="C256" s="10">
        <v>9423640</v>
      </c>
      <c r="D256" s="10" t="s">
        <v>730</v>
      </c>
      <c r="E256" s="32">
        <v>-365</v>
      </c>
      <c r="F256" s="32">
        <v>10.53</v>
      </c>
      <c r="G256" s="69">
        <f t="shared" ref="G256:G257" si="62">F256*0.6</f>
        <v>6.3179999999999996</v>
      </c>
      <c r="H256" s="70">
        <v>0.65252460000000001</v>
      </c>
      <c r="I256" s="69">
        <f t="shared" ref="I256:I257" si="63">((E256+G256)*0.9-208.08)*H256</f>
        <v>-346.42126448748002</v>
      </c>
      <c r="J256" s="79" t="s">
        <v>468</v>
      </c>
      <c r="K256" s="61">
        <v>0</v>
      </c>
      <c r="L256" s="61">
        <f t="shared" ref="L256:L257" si="64">F256*0.1*H256*0.9</f>
        <v>0.61839756341999996</v>
      </c>
      <c r="M256" s="58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32" t="s">
        <v>359</v>
      </c>
      <c r="B257" s="32" t="s">
        <v>140</v>
      </c>
      <c r="C257" s="10">
        <v>9378449</v>
      </c>
      <c r="D257" s="10" t="s">
        <v>707</v>
      </c>
      <c r="E257" s="32">
        <v>-4272.5</v>
      </c>
      <c r="F257" s="32">
        <v>115.85</v>
      </c>
      <c r="G257" s="69">
        <f t="shared" si="62"/>
        <v>69.509999999999991</v>
      </c>
      <c r="H257" s="70">
        <v>0.65252460000000001</v>
      </c>
      <c r="I257" s="69">
        <f t="shared" si="63"/>
        <v>-2604.0762504666</v>
      </c>
      <c r="J257" s="79" t="s">
        <v>468</v>
      </c>
      <c r="K257" s="61">
        <v>0</v>
      </c>
      <c r="L257" s="61">
        <f t="shared" si="64"/>
        <v>6.803547741900001</v>
      </c>
      <c r="M257" s="58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32" t="s">
        <v>359</v>
      </c>
      <c r="B258" s="32" t="s">
        <v>10</v>
      </c>
      <c r="C258" s="10">
        <v>1024127</v>
      </c>
      <c r="D258" s="10" t="s">
        <v>766</v>
      </c>
      <c r="E258" s="32">
        <v>-1007.35</v>
      </c>
      <c r="F258" s="32">
        <v>253.2</v>
      </c>
      <c r="G258" s="69">
        <f t="shared" ref="G258:G277" si="65">F258*0.7</f>
        <v>177.23999999999998</v>
      </c>
      <c r="H258" s="73">
        <v>0.20202000000000001</v>
      </c>
      <c r="I258" s="69">
        <f t="shared" ref="I258:I277" si="66">(E258+G258)*H258</f>
        <v>-167.6988222</v>
      </c>
      <c r="J258" s="79" t="s">
        <v>468</v>
      </c>
      <c r="K258" s="61">
        <v>0</v>
      </c>
      <c r="L258" s="58">
        <f t="shared" ref="L258:L277" si="67">F258*0.05*H258</f>
        <v>2.5575732000000002</v>
      </c>
      <c r="M258" s="58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32" t="s">
        <v>359</v>
      </c>
      <c r="B259" s="32" t="s">
        <v>10</v>
      </c>
      <c r="C259" s="10">
        <v>923286</v>
      </c>
      <c r="D259" s="10" t="s">
        <v>654</v>
      </c>
      <c r="E259" s="32">
        <v>-1645</v>
      </c>
      <c r="F259" s="32">
        <v>487.7</v>
      </c>
      <c r="G259" s="69">
        <f t="shared" si="65"/>
        <v>341.39</v>
      </c>
      <c r="H259" s="73">
        <v>0.20202000000000001</v>
      </c>
      <c r="I259" s="69">
        <f t="shared" si="66"/>
        <v>-263.35529220000001</v>
      </c>
      <c r="J259" s="79" t="s">
        <v>468</v>
      </c>
      <c r="K259" s="61">
        <v>0</v>
      </c>
      <c r="L259" s="58">
        <f t="shared" si="67"/>
        <v>4.9262577000000007</v>
      </c>
      <c r="M259" s="58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32" t="s">
        <v>359</v>
      </c>
      <c r="B260" s="32" t="s">
        <v>10</v>
      </c>
      <c r="C260" s="10">
        <v>924100</v>
      </c>
      <c r="D260" s="10" t="s">
        <v>783</v>
      </c>
      <c r="E260" s="32">
        <v>-264.55</v>
      </c>
      <c r="F260" s="32">
        <v>30.15</v>
      </c>
      <c r="G260" s="69">
        <f t="shared" si="65"/>
        <v>21.104999999999997</v>
      </c>
      <c r="H260" s="73">
        <v>0.20202000000000001</v>
      </c>
      <c r="I260" s="69">
        <f t="shared" si="66"/>
        <v>-49.180758900000008</v>
      </c>
      <c r="J260" s="79" t="s">
        <v>468</v>
      </c>
      <c r="K260" s="61">
        <v>0</v>
      </c>
      <c r="L260" s="58">
        <f t="shared" si="67"/>
        <v>0.30454515000000004</v>
      </c>
      <c r="M260" s="58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32" t="s">
        <v>359</v>
      </c>
      <c r="B261" s="32" t="s">
        <v>10</v>
      </c>
      <c r="C261" s="10">
        <v>1009846</v>
      </c>
      <c r="D261" s="10" t="s">
        <v>666</v>
      </c>
      <c r="E261" s="32">
        <v>-58.55</v>
      </c>
      <c r="F261" s="32">
        <v>20.100000000000001</v>
      </c>
      <c r="G261" s="69">
        <f t="shared" si="65"/>
        <v>14.07</v>
      </c>
      <c r="H261" s="73">
        <v>0.20202000000000001</v>
      </c>
      <c r="I261" s="69">
        <f t="shared" si="66"/>
        <v>-8.9858495999999999</v>
      </c>
      <c r="J261" s="79" t="s">
        <v>468</v>
      </c>
      <c r="K261" s="61">
        <v>0</v>
      </c>
      <c r="L261" s="58">
        <f t="shared" si="67"/>
        <v>0.20303010000000002</v>
      </c>
      <c r="M261" s="58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32" t="s">
        <v>359</v>
      </c>
      <c r="B262" s="32" t="s">
        <v>10</v>
      </c>
      <c r="C262" s="10">
        <v>1054937</v>
      </c>
      <c r="D262" s="10" t="s">
        <v>671</v>
      </c>
      <c r="E262" s="32">
        <v>-58.6</v>
      </c>
      <c r="F262" s="32">
        <v>17.61</v>
      </c>
      <c r="G262" s="69">
        <f t="shared" si="65"/>
        <v>12.326999999999998</v>
      </c>
      <c r="H262" s="73">
        <v>0.20202000000000001</v>
      </c>
      <c r="I262" s="69">
        <f t="shared" si="66"/>
        <v>-9.3480714600000017</v>
      </c>
      <c r="J262" s="79" t="s">
        <v>468</v>
      </c>
      <c r="K262" s="61">
        <v>0</v>
      </c>
      <c r="L262" s="58">
        <f t="shared" si="67"/>
        <v>0.17787861000000002</v>
      </c>
      <c r="M262" s="58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32" t="s">
        <v>359</v>
      </c>
      <c r="B263" s="32" t="s">
        <v>10</v>
      </c>
      <c r="C263" s="10">
        <v>1058488</v>
      </c>
      <c r="D263" s="10" t="s">
        <v>784</v>
      </c>
      <c r="E263" s="32">
        <v>-367</v>
      </c>
      <c r="F263" s="32">
        <v>34.549999999999997</v>
      </c>
      <c r="G263" s="69">
        <f t="shared" si="65"/>
        <v>24.184999999999995</v>
      </c>
      <c r="H263" s="73">
        <v>0.20202000000000001</v>
      </c>
      <c r="I263" s="69">
        <f t="shared" si="66"/>
        <v>-69.255486300000001</v>
      </c>
      <c r="J263" s="79" t="s">
        <v>468</v>
      </c>
      <c r="K263" s="61">
        <v>0</v>
      </c>
      <c r="L263" s="58">
        <f t="shared" si="67"/>
        <v>0.34898955000000004</v>
      </c>
      <c r="M263" s="58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32" t="s">
        <v>359</v>
      </c>
      <c r="B264" s="32" t="s">
        <v>10</v>
      </c>
      <c r="C264" s="10">
        <v>1058947</v>
      </c>
      <c r="D264" s="10" t="s">
        <v>681</v>
      </c>
      <c r="E264" s="32">
        <v>-511.2</v>
      </c>
      <c r="F264" s="32">
        <v>98.9</v>
      </c>
      <c r="G264" s="69">
        <f t="shared" si="65"/>
        <v>69.23</v>
      </c>
      <c r="H264" s="73">
        <v>0.20202000000000001</v>
      </c>
      <c r="I264" s="69">
        <f t="shared" si="66"/>
        <v>-89.2867794</v>
      </c>
      <c r="J264" s="79" t="s">
        <v>468</v>
      </c>
      <c r="K264" s="61">
        <v>0</v>
      </c>
      <c r="L264" s="58">
        <f t="shared" si="67"/>
        <v>0.99898890000000007</v>
      </c>
      <c r="M264" s="58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32" t="s">
        <v>359</v>
      </c>
      <c r="B265" s="32" t="s">
        <v>10</v>
      </c>
      <c r="C265" s="10">
        <v>1063104</v>
      </c>
      <c r="D265" s="10" t="s">
        <v>785</v>
      </c>
      <c r="E265" s="32">
        <v>-200</v>
      </c>
      <c r="F265" s="32">
        <v>19.899999999999999</v>
      </c>
      <c r="G265" s="69">
        <f t="shared" si="65"/>
        <v>13.929999999999998</v>
      </c>
      <c r="H265" s="73">
        <v>0.20202000000000001</v>
      </c>
      <c r="I265" s="69">
        <f t="shared" si="66"/>
        <v>-37.589861399999997</v>
      </c>
      <c r="J265" s="79" t="s">
        <v>468</v>
      </c>
      <c r="K265" s="61">
        <v>0</v>
      </c>
      <c r="L265" s="58">
        <f t="shared" si="67"/>
        <v>0.20100989999999999</v>
      </c>
      <c r="M265" s="58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32" t="s">
        <v>359</v>
      </c>
      <c r="B266" s="32" t="s">
        <v>10</v>
      </c>
      <c r="C266" s="10">
        <v>1064980</v>
      </c>
      <c r="D266" s="10" t="s">
        <v>690</v>
      </c>
      <c r="E266" s="32">
        <v>-123.55</v>
      </c>
      <c r="F266" s="32">
        <v>34.450000000000003</v>
      </c>
      <c r="G266" s="69">
        <f t="shared" si="65"/>
        <v>24.115000000000002</v>
      </c>
      <c r="H266" s="73">
        <v>0.20202000000000001</v>
      </c>
      <c r="I266" s="69">
        <f t="shared" si="66"/>
        <v>-20.087858700000002</v>
      </c>
      <c r="J266" s="79" t="s">
        <v>468</v>
      </c>
      <c r="K266" s="61">
        <v>0</v>
      </c>
      <c r="L266" s="58">
        <f t="shared" si="67"/>
        <v>0.34797945000000002</v>
      </c>
      <c r="M266" s="58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32" t="s">
        <v>359</v>
      </c>
      <c r="B267" s="32" t="s">
        <v>10</v>
      </c>
      <c r="C267" s="10">
        <v>1067198</v>
      </c>
      <c r="D267" s="10" t="s">
        <v>700</v>
      </c>
      <c r="E267" s="32">
        <v>-342.35</v>
      </c>
      <c r="F267" s="32">
        <v>122.77</v>
      </c>
      <c r="G267" s="69">
        <f t="shared" si="65"/>
        <v>85.938999999999993</v>
      </c>
      <c r="H267" s="73">
        <v>0.20202000000000001</v>
      </c>
      <c r="I267" s="69">
        <f t="shared" si="66"/>
        <v>-51.800150220000013</v>
      </c>
      <c r="J267" s="79" t="s">
        <v>468</v>
      </c>
      <c r="K267" s="61">
        <v>0</v>
      </c>
      <c r="L267" s="58">
        <f t="shared" si="67"/>
        <v>1.24009977</v>
      </c>
      <c r="M267" s="58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32" t="s">
        <v>359</v>
      </c>
      <c r="B268" s="32" t="s">
        <v>10</v>
      </c>
      <c r="C268" s="10">
        <v>1068074</v>
      </c>
      <c r="D268" s="10" t="s">
        <v>715</v>
      </c>
      <c r="E268" s="32">
        <v>-47.9</v>
      </c>
      <c r="F268" s="32">
        <v>20.85</v>
      </c>
      <c r="G268" s="69">
        <f t="shared" si="65"/>
        <v>14.595000000000001</v>
      </c>
      <c r="H268" s="73">
        <v>0.20202000000000001</v>
      </c>
      <c r="I268" s="69">
        <f t="shared" si="66"/>
        <v>-6.7282761000000004</v>
      </c>
      <c r="J268" s="79" t="s">
        <v>468</v>
      </c>
      <c r="K268" s="61">
        <v>0</v>
      </c>
      <c r="L268" s="58">
        <f t="shared" si="67"/>
        <v>0.21060585000000004</v>
      </c>
      <c r="M268" s="58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32" t="s">
        <v>359</v>
      </c>
      <c r="B269" s="32" t="s">
        <v>10</v>
      </c>
      <c r="C269" s="10">
        <v>1072699</v>
      </c>
      <c r="D269" s="10" t="s">
        <v>726</v>
      </c>
      <c r="E269" s="32">
        <v>-15.6</v>
      </c>
      <c r="F269" s="32">
        <v>2.72</v>
      </c>
      <c r="G269" s="69">
        <f t="shared" si="65"/>
        <v>1.9039999999999999</v>
      </c>
      <c r="H269" s="73">
        <v>0.20202000000000001</v>
      </c>
      <c r="I269" s="69">
        <f t="shared" si="66"/>
        <v>-2.7668659199999999</v>
      </c>
      <c r="J269" s="79" t="s">
        <v>468</v>
      </c>
      <c r="K269" s="61">
        <v>0</v>
      </c>
      <c r="L269" s="58">
        <f t="shared" si="67"/>
        <v>2.7474720000000001E-2</v>
      </c>
      <c r="M269" s="58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32" t="s">
        <v>359</v>
      </c>
      <c r="B270" s="32" t="s">
        <v>10</v>
      </c>
      <c r="C270" s="10">
        <v>1075888</v>
      </c>
      <c r="D270" s="10" t="s">
        <v>739</v>
      </c>
      <c r="E270" s="32">
        <v>-87.25</v>
      </c>
      <c r="F270" s="32">
        <v>6.15</v>
      </c>
      <c r="G270" s="69">
        <f t="shared" si="65"/>
        <v>4.3049999999999997</v>
      </c>
      <c r="H270" s="73">
        <v>0.20202000000000001</v>
      </c>
      <c r="I270" s="69">
        <f t="shared" si="66"/>
        <v>-16.756548899999999</v>
      </c>
      <c r="J270" s="79" t="s">
        <v>468</v>
      </c>
      <c r="K270" s="61">
        <v>0</v>
      </c>
      <c r="L270" s="58">
        <f t="shared" si="67"/>
        <v>6.2121150000000014E-2</v>
      </c>
      <c r="M270" s="58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32" t="s">
        <v>359</v>
      </c>
      <c r="B271" s="32" t="s">
        <v>10</v>
      </c>
      <c r="C271" s="10">
        <v>1089225</v>
      </c>
      <c r="D271" s="10" t="s">
        <v>791</v>
      </c>
      <c r="E271" s="32">
        <v>93.65</v>
      </c>
      <c r="F271" s="32">
        <v>37.26</v>
      </c>
      <c r="G271" s="69">
        <f t="shared" si="65"/>
        <v>26.081999999999997</v>
      </c>
      <c r="H271" s="73">
        <v>0.20202000000000001</v>
      </c>
      <c r="I271" s="69">
        <f t="shared" si="66"/>
        <v>24.188258640000001</v>
      </c>
      <c r="J271" s="79" t="s">
        <v>468</v>
      </c>
      <c r="K271" s="61">
        <v>0</v>
      </c>
      <c r="L271" s="58">
        <f t="shared" si="67"/>
        <v>0.37636326000000003</v>
      </c>
      <c r="M271" s="58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32" t="s">
        <v>359</v>
      </c>
      <c r="B272" s="32" t="s">
        <v>10</v>
      </c>
      <c r="C272" s="10">
        <v>1090462</v>
      </c>
      <c r="D272" s="10" t="s">
        <v>792</v>
      </c>
      <c r="E272" s="32">
        <v>87.2</v>
      </c>
      <c r="F272" s="32">
        <v>99.76</v>
      </c>
      <c r="G272" s="69">
        <f t="shared" si="65"/>
        <v>69.831999999999994</v>
      </c>
      <c r="H272" s="73">
        <v>0.20202000000000001</v>
      </c>
      <c r="I272" s="69">
        <f t="shared" si="66"/>
        <v>31.723604639999998</v>
      </c>
      <c r="J272" s="79" t="s">
        <v>468</v>
      </c>
      <c r="K272" s="61">
        <v>0</v>
      </c>
      <c r="L272" s="58">
        <f t="shared" si="67"/>
        <v>1.0076757600000001</v>
      </c>
      <c r="M272" s="58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32" t="s">
        <v>359</v>
      </c>
      <c r="B273" s="32" t="s">
        <v>10</v>
      </c>
      <c r="C273" s="10">
        <v>1092236</v>
      </c>
      <c r="D273" s="10" t="s">
        <v>793</v>
      </c>
      <c r="E273" s="32">
        <v>-128.1</v>
      </c>
      <c r="F273" s="32">
        <v>33.25</v>
      </c>
      <c r="G273" s="69">
        <f t="shared" si="65"/>
        <v>23.274999999999999</v>
      </c>
      <c r="H273" s="73">
        <v>0.20202000000000001</v>
      </c>
      <c r="I273" s="69">
        <f t="shared" si="66"/>
        <v>-21.176746499999997</v>
      </c>
      <c r="J273" s="79" t="s">
        <v>468</v>
      </c>
      <c r="K273" s="61">
        <v>0</v>
      </c>
      <c r="L273" s="58">
        <f t="shared" si="67"/>
        <v>0.33585825000000002</v>
      </c>
      <c r="M273" s="58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32" t="s">
        <v>359</v>
      </c>
      <c r="B274" s="32" t="s">
        <v>10</v>
      </c>
      <c r="C274" s="10">
        <v>1092712</v>
      </c>
      <c r="D274" s="10" t="s">
        <v>794</v>
      </c>
      <c r="E274" s="32">
        <v>-260</v>
      </c>
      <c r="F274" s="32">
        <v>53.9</v>
      </c>
      <c r="G274" s="69">
        <f t="shared" si="65"/>
        <v>37.729999999999997</v>
      </c>
      <c r="H274" s="73">
        <v>0.20202000000000001</v>
      </c>
      <c r="I274" s="69">
        <f t="shared" si="66"/>
        <v>-44.902985400000006</v>
      </c>
      <c r="J274" s="79" t="s">
        <v>468</v>
      </c>
      <c r="K274" s="61">
        <v>0</v>
      </c>
      <c r="L274" s="58">
        <f t="shared" si="67"/>
        <v>0.54444390000000009</v>
      </c>
      <c r="M274" s="58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32" t="s">
        <v>359</v>
      </c>
      <c r="B275" s="32" t="s">
        <v>10</v>
      </c>
      <c r="C275" s="10">
        <v>1093482</v>
      </c>
      <c r="D275" s="10" t="s">
        <v>795</v>
      </c>
      <c r="E275" s="32">
        <v>-14.8</v>
      </c>
      <c r="F275" s="32">
        <v>6.7</v>
      </c>
      <c r="G275" s="69">
        <f t="shared" si="65"/>
        <v>4.6899999999999995</v>
      </c>
      <c r="H275" s="73">
        <v>0.20202000000000001</v>
      </c>
      <c r="I275" s="69">
        <f t="shared" si="66"/>
        <v>-2.0424222000000003</v>
      </c>
      <c r="J275" s="79" t="s">
        <v>468</v>
      </c>
      <c r="K275" s="61">
        <v>0</v>
      </c>
      <c r="L275" s="58">
        <f t="shared" si="67"/>
        <v>6.7676700000000006E-2</v>
      </c>
      <c r="M275" s="58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32" t="s">
        <v>359</v>
      </c>
      <c r="B276" s="32" t="s">
        <v>10</v>
      </c>
      <c r="C276" s="10">
        <v>915274</v>
      </c>
      <c r="D276" s="10" t="s">
        <v>701</v>
      </c>
      <c r="E276" s="32">
        <v>-717.3</v>
      </c>
      <c r="F276" s="32">
        <v>214.35</v>
      </c>
      <c r="G276" s="69">
        <f t="shared" si="65"/>
        <v>150.04499999999999</v>
      </c>
      <c r="H276" s="73">
        <v>0.20202000000000001</v>
      </c>
      <c r="I276" s="69">
        <f t="shared" si="66"/>
        <v>-114.5968551</v>
      </c>
      <c r="J276" s="79" t="s">
        <v>468</v>
      </c>
      <c r="K276" s="61">
        <v>0</v>
      </c>
      <c r="L276" s="58">
        <f t="shared" si="67"/>
        <v>2.1651493500000001</v>
      </c>
      <c r="M276" s="58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32" t="s">
        <v>359</v>
      </c>
      <c r="B277" s="32" t="s">
        <v>10</v>
      </c>
      <c r="C277" s="10">
        <v>1093723</v>
      </c>
      <c r="D277" s="10" t="s">
        <v>796</v>
      </c>
      <c r="E277" s="32">
        <v>-98.65</v>
      </c>
      <c r="F277" s="32">
        <v>36.6</v>
      </c>
      <c r="G277" s="69">
        <f t="shared" si="65"/>
        <v>25.62</v>
      </c>
      <c r="H277" s="73">
        <v>0.20202000000000001</v>
      </c>
      <c r="I277" s="69">
        <f t="shared" si="66"/>
        <v>-14.7535206</v>
      </c>
      <c r="J277" s="79" t="s">
        <v>468</v>
      </c>
      <c r="K277" s="61">
        <v>0</v>
      </c>
      <c r="L277" s="58">
        <f t="shared" si="67"/>
        <v>0.36969660000000004</v>
      </c>
      <c r="M277" s="58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32" t="s">
        <v>359</v>
      </c>
      <c r="B278" s="10" t="s">
        <v>178</v>
      </c>
      <c r="C278" s="2" t="s">
        <v>797</v>
      </c>
      <c r="D278" s="32" t="s">
        <v>798</v>
      </c>
      <c r="E278" s="69">
        <v>4664.84</v>
      </c>
      <c r="F278" s="69">
        <v>1020.82</v>
      </c>
      <c r="G278" s="32">
        <f>F278*0.725</f>
        <v>740.09450000000004</v>
      </c>
      <c r="H278" s="75">
        <v>0.27339000000000002</v>
      </c>
      <c r="I278" s="69">
        <f>(E278+G278)*H278*0.75</f>
        <v>1108.2412822162501</v>
      </c>
      <c r="J278" s="78">
        <f>F278*0.025*H278</f>
        <v>6.977049495000001</v>
      </c>
      <c r="K278" s="61">
        <f>E278*0.25*H278</f>
        <v>318.83015190000003</v>
      </c>
      <c r="L278" s="61">
        <f>(F278*0.05+G278*0.25)*H278</f>
        <v>64.537707828750001</v>
      </c>
      <c r="M278" s="58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 t="s">
        <v>366</v>
      </c>
      <c r="B279" s="32" t="s">
        <v>54</v>
      </c>
      <c r="C279" s="10" t="s">
        <v>623</v>
      </c>
      <c r="D279" s="10">
        <v>727727</v>
      </c>
      <c r="E279" s="32">
        <v>1182.1500000000001</v>
      </c>
      <c r="F279" s="32">
        <v>65.680000000000007</v>
      </c>
      <c r="G279" s="69">
        <f t="shared" ref="G279:G290" si="68">F279*0.75</f>
        <v>49.260000000000005</v>
      </c>
      <c r="H279" s="75">
        <v>0.2752</v>
      </c>
      <c r="I279" s="69">
        <f t="shared" ref="I279:I290" si="69">(E279+G279)*H279</f>
        <v>338.88403200000005</v>
      </c>
      <c r="J279" s="78">
        <f t="shared" ref="J279:J290" si="70">F279*0.05*H279</f>
        <v>0.90375680000000014</v>
      </c>
      <c r="K279" s="61">
        <v>0</v>
      </c>
      <c r="L279" s="61">
        <f t="shared" ref="L279:L290" si="71">F279*0.08*H279</f>
        <v>1.4460108800000002</v>
      </c>
      <c r="M279" s="58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 t="s">
        <v>366</v>
      </c>
      <c r="B280" s="32" t="s">
        <v>54</v>
      </c>
      <c r="C280" s="10" t="s">
        <v>627</v>
      </c>
      <c r="D280" s="10" t="s">
        <v>628</v>
      </c>
      <c r="E280" s="32">
        <v>-550</v>
      </c>
      <c r="F280" s="32">
        <v>45</v>
      </c>
      <c r="G280" s="69">
        <f t="shared" si="68"/>
        <v>33.75</v>
      </c>
      <c r="H280" s="75">
        <v>0.2752</v>
      </c>
      <c r="I280" s="69">
        <f t="shared" si="69"/>
        <v>-142.072</v>
      </c>
      <c r="J280" s="78">
        <f t="shared" si="70"/>
        <v>0.61919999999999997</v>
      </c>
      <c r="K280" s="61">
        <v>0</v>
      </c>
      <c r="L280" s="61">
        <f t="shared" si="71"/>
        <v>0.99072000000000005</v>
      </c>
      <c r="M280" s="58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 t="s">
        <v>366</v>
      </c>
      <c r="B281" s="32" t="s">
        <v>54</v>
      </c>
      <c r="C281" s="10" t="s">
        <v>799</v>
      </c>
      <c r="D281" s="10" t="s">
        <v>800</v>
      </c>
      <c r="E281" s="32">
        <v>360</v>
      </c>
      <c r="F281" s="32">
        <v>72.599999999999994</v>
      </c>
      <c r="G281" s="69">
        <f t="shared" si="68"/>
        <v>54.449999999999996</v>
      </c>
      <c r="H281" s="75">
        <v>0.2752</v>
      </c>
      <c r="I281" s="69">
        <f t="shared" si="69"/>
        <v>114.05664</v>
      </c>
      <c r="J281" s="78">
        <f t="shared" si="70"/>
        <v>0.99897599999999998</v>
      </c>
      <c r="K281" s="61">
        <v>0</v>
      </c>
      <c r="L281" s="61">
        <f t="shared" si="71"/>
        <v>1.5983616</v>
      </c>
      <c r="M281" s="58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 t="s">
        <v>366</v>
      </c>
      <c r="B282" s="32" t="s">
        <v>54</v>
      </c>
      <c r="C282" s="10" t="s">
        <v>630</v>
      </c>
      <c r="D282" s="10" t="s">
        <v>631</v>
      </c>
      <c r="E282" s="32">
        <v>2801.91</v>
      </c>
      <c r="F282" s="32">
        <v>419.4</v>
      </c>
      <c r="G282" s="69">
        <f t="shared" si="68"/>
        <v>314.54999999999995</v>
      </c>
      <c r="H282" s="75">
        <v>0.2752</v>
      </c>
      <c r="I282" s="69">
        <f t="shared" si="69"/>
        <v>857.64979200000005</v>
      </c>
      <c r="J282" s="78">
        <f t="shared" si="70"/>
        <v>5.7709440000000001</v>
      </c>
      <c r="K282" s="61">
        <v>0</v>
      </c>
      <c r="L282" s="61">
        <f t="shared" si="71"/>
        <v>9.2335104000000001</v>
      </c>
      <c r="M282" s="58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 t="s">
        <v>366</v>
      </c>
      <c r="B283" s="32" t="s">
        <v>54</v>
      </c>
      <c r="C283" s="10" t="s">
        <v>801</v>
      </c>
      <c r="D283" s="10" t="s">
        <v>802</v>
      </c>
      <c r="E283" s="32">
        <v>30</v>
      </c>
      <c r="F283" s="32">
        <v>8</v>
      </c>
      <c r="G283" s="69">
        <f t="shared" si="68"/>
        <v>6</v>
      </c>
      <c r="H283" s="75">
        <v>0.2752</v>
      </c>
      <c r="I283" s="69">
        <f t="shared" si="69"/>
        <v>9.9071999999999996</v>
      </c>
      <c r="J283" s="78">
        <f t="shared" si="70"/>
        <v>0.11008000000000001</v>
      </c>
      <c r="K283" s="61">
        <v>0</v>
      </c>
      <c r="L283" s="61">
        <f t="shared" si="71"/>
        <v>0.17612800000000001</v>
      </c>
      <c r="M283" s="58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 t="s">
        <v>366</v>
      </c>
      <c r="B284" s="32" t="s">
        <v>54</v>
      </c>
      <c r="C284" s="10" t="s">
        <v>633</v>
      </c>
      <c r="D284" s="10" t="s">
        <v>634</v>
      </c>
      <c r="E284" s="32">
        <v>345.6</v>
      </c>
      <c r="F284" s="32">
        <v>19.2</v>
      </c>
      <c r="G284" s="69">
        <f t="shared" si="68"/>
        <v>14.399999999999999</v>
      </c>
      <c r="H284" s="75">
        <v>0.2752</v>
      </c>
      <c r="I284" s="69">
        <f t="shared" si="69"/>
        <v>99.072000000000003</v>
      </c>
      <c r="J284" s="78">
        <f t="shared" si="70"/>
        <v>0.26419199999999998</v>
      </c>
      <c r="K284" s="61">
        <v>0</v>
      </c>
      <c r="L284" s="61">
        <f t="shared" si="71"/>
        <v>0.42270720000000001</v>
      </c>
      <c r="M284" s="58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 t="s">
        <v>366</v>
      </c>
      <c r="B285" s="32" t="s">
        <v>54</v>
      </c>
      <c r="C285" s="10" t="s">
        <v>638</v>
      </c>
      <c r="D285" s="10" t="s">
        <v>639</v>
      </c>
      <c r="E285" s="32">
        <v>-181.6</v>
      </c>
      <c r="F285" s="32">
        <v>9.08</v>
      </c>
      <c r="G285" s="69">
        <f t="shared" si="68"/>
        <v>6.8100000000000005</v>
      </c>
      <c r="H285" s="75">
        <v>0.2752</v>
      </c>
      <c r="I285" s="69">
        <f t="shared" si="69"/>
        <v>-48.102207999999997</v>
      </c>
      <c r="J285" s="78">
        <f t="shared" si="70"/>
        <v>0.1249408</v>
      </c>
      <c r="K285" s="61">
        <v>0</v>
      </c>
      <c r="L285" s="61">
        <f t="shared" si="71"/>
        <v>0.19990528000000002</v>
      </c>
      <c r="M285" s="58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 t="s">
        <v>366</v>
      </c>
      <c r="B286" s="32" t="s">
        <v>54</v>
      </c>
      <c r="C286" s="10" t="s">
        <v>803</v>
      </c>
      <c r="D286" s="10" t="s">
        <v>804</v>
      </c>
      <c r="E286" s="32">
        <v>239.4</v>
      </c>
      <c r="F286" s="32">
        <v>10.8</v>
      </c>
      <c r="G286" s="69">
        <f t="shared" si="68"/>
        <v>8.1000000000000014</v>
      </c>
      <c r="H286" s="75">
        <v>0.2752</v>
      </c>
      <c r="I286" s="69">
        <f t="shared" si="69"/>
        <v>68.111999999999995</v>
      </c>
      <c r="J286" s="78">
        <f t="shared" si="70"/>
        <v>0.14860800000000002</v>
      </c>
      <c r="K286" s="61">
        <v>0</v>
      </c>
      <c r="L286" s="61">
        <f t="shared" si="71"/>
        <v>0.23777280000000003</v>
      </c>
      <c r="M286" s="58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 t="s">
        <v>366</v>
      </c>
      <c r="B287" s="32" t="s">
        <v>54</v>
      </c>
      <c r="C287" s="10" t="s">
        <v>728</v>
      </c>
      <c r="D287" s="10" t="s">
        <v>729</v>
      </c>
      <c r="E287" s="32">
        <v>159.6</v>
      </c>
      <c r="F287" s="32">
        <v>7.2</v>
      </c>
      <c r="G287" s="69">
        <f t="shared" si="68"/>
        <v>5.4</v>
      </c>
      <c r="H287" s="75">
        <v>0.2752</v>
      </c>
      <c r="I287" s="69">
        <f t="shared" si="69"/>
        <v>45.408000000000001</v>
      </c>
      <c r="J287" s="78">
        <f t="shared" si="70"/>
        <v>9.9072000000000007E-2</v>
      </c>
      <c r="K287" s="61">
        <v>0</v>
      </c>
      <c r="L287" s="61">
        <f t="shared" si="71"/>
        <v>0.15851520000000002</v>
      </c>
      <c r="M287" s="58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 t="s">
        <v>366</v>
      </c>
      <c r="B288" s="32" t="s">
        <v>54</v>
      </c>
      <c r="C288" s="10" t="s">
        <v>759</v>
      </c>
      <c r="D288" s="10" t="s">
        <v>760</v>
      </c>
      <c r="E288" s="32">
        <v>-130</v>
      </c>
      <c r="F288" s="32">
        <v>5</v>
      </c>
      <c r="G288" s="69">
        <f t="shared" si="68"/>
        <v>3.75</v>
      </c>
      <c r="H288" s="75">
        <v>0.2752</v>
      </c>
      <c r="I288" s="69">
        <f t="shared" si="69"/>
        <v>-34.744</v>
      </c>
      <c r="J288" s="78">
        <f t="shared" si="70"/>
        <v>6.88E-2</v>
      </c>
      <c r="K288" s="61">
        <v>0</v>
      </c>
      <c r="L288" s="61">
        <f t="shared" si="71"/>
        <v>0.11008000000000001</v>
      </c>
      <c r="M288" s="58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 t="s">
        <v>366</v>
      </c>
      <c r="B289" s="29" t="s">
        <v>35</v>
      </c>
      <c r="C289" s="10" t="s">
        <v>647</v>
      </c>
      <c r="D289" s="10" t="s">
        <v>648</v>
      </c>
      <c r="E289" s="32">
        <v>-125</v>
      </c>
      <c r="F289" s="32">
        <v>7</v>
      </c>
      <c r="G289" s="69">
        <f t="shared" si="68"/>
        <v>5.25</v>
      </c>
      <c r="H289" s="75">
        <v>0.2752</v>
      </c>
      <c r="I289" s="69">
        <f t="shared" si="69"/>
        <v>-32.955199999999998</v>
      </c>
      <c r="J289" s="78">
        <f t="shared" si="70"/>
        <v>9.6320000000000003E-2</v>
      </c>
      <c r="K289" s="61">
        <v>0</v>
      </c>
      <c r="L289" s="61">
        <f t="shared" si="71"/>
        <v>0.15411200000000003</v>
      </c>
      <c r="M289" s="58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 t="s">
        <v>366</v>
      </c>
      <c r="B290" s="29" t="s">
        <v>35</v>
      </c>
      <c r="C290" s="10" t="s">
        <v>650</v>
      </c>
      <c r="D290" s="10" t="s">
        <v>651</v>
      </c>
      <c r="E290" s="32">
        <v>-50</v>
      </c>
      <c r="F290" s="32">
        <v>0</v>
      </c>
      <c r="G290" s="69">
        <f t="shared" si="68"/>
        <v>0</v>
      </c>
      <c r="H290" s="75">
        <v>0.2752</v>
      </c>
      <c r="I290" s="69">
        <f t="shared" si="69"/>
        <v>-13.76</v>
      </c>
      <c r="J290" s="78">
        <f t="shared" si="70"/>
        <v>0</v>
      </c>
      <c r="K290" s="61">
        <v>0</v>
      </c>
      <c r="L290" s="61">
        <f t="shared" si="71"/>
        <v>0</v>
      </c>
      <c r="M290" s="58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 t="s">
        <v>366</v>
      </c>
      <c r="B291" s="32" t="s">
        <v>140</v>
      </c>
      <c r="C291" s="10">
        <v>9423640</v>
      </c>
      <c r="D291" s="10" t="s">
        <v>730</v>
      </c>
      <c r="E291" s="32">
        <v>-2930.14</v>
      </c>
      <c r="F291" s="32">
        <v>454.13</v>
      </c>
      <c r="G291" s="69">
        <f t="shared" ref="G291:G292" si="72">F291*0.6</f>
        <v>272.47800000000001</v>
      </c>
      <c r="H291" s="70">
        <v>0.65524225000000003</v>
      </c>
      <c r="I291" s="69">
        <f t="shared" ref="I291:I292" si="73">((E291+G291)*0.9)*H291</f>
        <v>-1567.27118575755</v>
      </c>
      <c r="J291" s="79" t="s">
        <v>468</v>
      </c>
      <c r="K291" s="61">
        <v>0</v>
      </c>
      <c r="L291" s="61">
        <f t="shared" ref="L291:L292" si="74">F291*0.1*H291*0.9</f>
        <v>26.780864669325002</v>
      </c>
      <c r="M291" s="58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 t="s">
        <v>366</v>
      </c>
      <c r="B292" s="32" t="s">
        <v>140</v>
      </c>
      <c r="C292" s="10">
        <v>9378449</v>
      </c>
      <c r="D292" s="10" t="s">
        <v>707</v>
      </c>
      <c r="E292" s="32">
        <v>100</v>
      </c>
      <c r="F292" s="32">
        <v>0</v>
      </c>
      <c r="G292" s="69">
        <f t="shared" si="72"/>
        <v>0</v>
      </c>
      <c r="H292" s="70">
        <v>0.65524225000000003</v>
      </c>
      <c r="I292" s="69">
        <f t="shared" si="73"/>
        <v>58.971802500000003</v>
      </c>
      <c r="J292" s="79" t="s">
        <v>468</v>
      </c>
      <c r="K292" s="61">
        <v>0</v>
      </c>
      <c r="L292" s="61">
        <f t="shared" si="74"/>
        <v>0</v>
      </c>
      <c r="M292" s="58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 t="s">
        <v>366</v>
      </c>
      <c r="B293" s="2" t="s">
        <v>10</v>
      </c>
      <c r="C293" s="10">
        <v>1077627</v>
      </c>
      <c r="D293" s="10" t="s">
        <v>763</v>
      </c>
      <c r="E293" s="32">
        <v>2183.8000000000002</v>
      </c>
      <c r="F293" s="32">
        <v>47.7</v>
      </c>
      <c r="G293" s="69">
        <f t="shared" ref="G293:G310" si="75">F293*0.7</f>
        <v>33.39</v>
      </c>
      <c r="H293" s="73">
        <v>0.20161299999999999</v>
      </c>
      <c r="I293" s="69">
        <f t="shared" ref="I293:I324" si="76">(E293+G293)*H293</f>
        <v>447.01432746999996</v>
      </c>
      <c r="J293" s="79" t="s">
        <v>468</v>
      </c>
      <c r="K293" s="61">
        <v>0</v>
      </c>
      <c r="L293" s="58">
        <f t="shared" ref="L293:L311" si="77">F293*0.05*H293</f>
        <v>0.48084700499999999</v>
      </c>
      <c r="M293" s="58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 t="s">
        <v>366</v>
      </c>
      <c r="B294" s="2" t="s">
        <v>10</v>
      </c>
      <c r="C294" s="10">
        <v>1077637</v>
      </c>
      <c r="D294" s="10" t="s">
        <v>731</v>
      </c>
      <c r="E294" s="32">
        <v>-19.5</v>
      </c>
      <c r="F294" s="32">
        <v>6.3</v>
      </c>
      <c r="G294" s="69">
        <f t="shared" si="75"/>
        <v>4.4099999999999993</v>
      </c>
      <c r="H294" s="73">
        <v>0.20161299999999999</v>
      </c>
      <c r="I294" s="69">
        <f t="shared" si="76"/>
        <v>-3.0423401699999997</v>
      </c>
      <c r="J294" s="79" t="s">
        <v>468</v>
      </c>
      <c r="K294" s="61">
        <v>0</v>
      </c>
      <c r="L294" s="58">
        <f t="shared" si="77"/>
        <v>6.3508095000000001E-2</v>
      </c>
      <c r="M294" s="58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 t="s">
        <v>366</v>
      </c>
      <c r="B295" s="2" t="s">
        <v>10</v>
      </c>
      <c r="C295" s="10">
        <v>923286</v>
      </c>
      <c r="D295" s="10" t="s">
        <v>654</v>
      </c>
      <c r="E295" s="32">
        <v>-1640.75</v>
      </c>
      <c r="F295" s="32">
        <v>236.4</v>
      </c>
      <c r="G295" s="69">
        <f t="shared" si="75"/>
        <v>165.48</v>
      </c>
      <c r="H295" s="73">
        <v>0.20161299999999999</v>
      </c>
      <c r="I295" s="69">
        <f t="shared" si="76"/>
        <v>-297.43361050999999</v>
      </c>
      <c r="J295" s="79" t="s">
        <v>468</v>
      </c>
      <c r="K295" s="61">
        <v>0</v>
      </c>
      <c r="L295" s="58">
        <f t="shared" si="77"/>
        <v>2.3830656599999998</v>
      </c>
      <c r="M295" s="58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 t="s">
        <v>366</v>
      </c>
      <c r="B296" s="2" t="s">
        <v>10</v>
      </c>
      <c r="C296" s="10">
        <v>963076</v>
      </c>
      <c r="D296" s="10" t="s">
        <v>662</v>
      </c>
      <c r="E296" s="32">
        <v>-167.7</v>
      </c>
      <c r="F296" s="32">
        <v>30.1</v>
      </c>
      <c r="G296" s="69">
        <f t="shared" si="75"/>
        <v>21.07</v>
      </c>
      <c r="H296" s="73">
        <v>0.20161299999999999</v>
      </c>
      <c r="I296" s="69">
        <f t="shared" si="76"/>
        <v>-29.562514189999998</v>
      </c>
      <c r="J296" s="79" t="s">
        <v>468</v>
      </c>
      <c r="K296" s="61">
        <v>0</v>
      </c>
      <c r="L296" s="58">
        <f t="shared" si="77"/>
        <v>0.30342756500000001</v>
      </c>
      <c r="M296" s="58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 t="s">
        <v>366</v>
      </c>
      <c r="B297" s="2" t="s">
        <v>10</v>
      </c>
      <c r="C297" s="10">
        <v>1009846</v>
      </c>
      <c r="D297" s="10" t="s">
        <v>666</v>
      </c>
      <c r="E297" s="32">
        <v>-10.95</v>
      </c>
      <c r="F297" s="32">
        <v>3.3</v>
      </c>
      <c r="G297" s="69">
        <f t="shared" si="75"/>
        <v>2.3099999999999996</v>
      </c>
      <c r="H297" s="73">
        <v>0.20161299999999999</v>
      </c>
      <c r="I297" s="69">
        <f t="shared" si="76"/>
        <v>-1.74193632</v>
      </c>
      <c r="J297" s="79" t="s">
        <v>468</v>
      </c>
      <c r="K297" s="61">
        <v>0</v>
      </c>
      <c r="L297" s="58">
        <f t="shared" si="77"/>
        <v>3.3266144999999997E-2</v>
      </c>
      <c r="M297" s="58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 t="s">
        <v>366</v>
      </c>
      <c r="B298" s="2" t="s">
        <v>10</v>
      </c>
      <c r="C298" s="10">
        <v>1058484</v>
      </c>
      <c r="D298" s="10" t="s">
        <v>805</v>
      </c>
      <c r="E298" s="32">
        <v>-403.35</v>
      </c>
      <c r="F298" s="32">
        <v>195.25</v>
      </c>
      <c r="G298" s="69">
        <f t="shared" si="75"/>
        <v>136.67499999999998</v>
      </c>
      <c r="H298" s="73">
        <v>0.20161299999999999</v>
      </c>
      <c r="I298" s="69">
        <f t="shared" si="76"/>
        <v>-53.765146775000012</v>
      </c>
      <c r="J298" s="79" t="s">
        <v>468</v>
      </c>
      <c r="K298" s="61">
        <v>0</v>
      </c>
      <c r="L298" s="58">
        <f t="shared" si="77"/>
        <v>1.9682469125000002</v>
      </c>
      <c r="M298" s="58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 t="s">
        <v>366</v>
      </c>
      <c r="B299" s="2" t="s">
        <v>10</v>
      </c>
      <c r="C299" s="10">
        <v>1058947</v>
      </c>
      <c r="D299" s="10" t="s">
        <v>681</v>
      </c>
      <c r="E299" s="32">
        <v>-456.59</v>
      </c>
      <c r="F299" s="32">
        <v>104.79</v>
      </c>
      <c r="G299" s="69">
        <f t="shared" si="75"/>
        <v>73.352999999999994</v>
      </c>
      <c r="H299" s="73">
        <v>0.20161299999999999</v>
      </c>
      <c r="I299" s="69">
        <f t="shared" si="76"/>
        <v>-77.265561280999989</v>
      </c>
      <c r="J299" s="79" t="s">
        <v>468</v>
      </c>
      <c r="K299" s="61">
        <v>0</v>
      </c>
      <c r="L299" s="58">
        <f t="shared" si="77"/>
        <v>1.0563513135</v>
      </c>
      <c r="M299" s="58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 t="s">
        <v>366</v>
      </c>
      <c r="B300" s="2" t="s">
        <v>10</v>
      </c>
      <c r="C300" s="10">
        <v>1067198</v>
      </c>
      <c r="D300" s="10" t="s">
        <v>700</v>
      </c>
      <c r="E300" s="32">
        <v>-73.75</v>
      </c>
      <c r="F300" s="32">
        <v>36.99</v>
      </c>
      <c r="G300" s="69">
        <f t="shared" si="75"/>
        <v>25.893000000000001</v>
      </c>
      <c r="H300" s="73">
        <v>0.20161299999999999</v>
      </c>
      <c r="I300" s="69">
        <f t="shared" si="76"/>
        <v>-9.6485933409999998</v>
      </c>
      <c r="J300" s="79" t="s">
        <v>468</v>
      </c>
      <c r="K300" s="61">
        <v>0</v>
      </c>
      <c r="L300" s="58">
        <f t="shared" si="77"/>
        <v>0.37288324350000002</v>
      </c>
      <c r="M300" s="58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 t="s">
        <v>366</v>
      </c>
      <c r="B301" s="2" t="s">
        <v>10</v>
      </c>
      <c r="C301" s="10">
        <v>1072699</v>
      </c>
      <c r="D301" s="10" t="s">
        <v>726</v>
      </c>
      <c r="E301" s="32">
        <v>-6</v>
      </c>
      <c r="F301" s="32">
        <v>1.55</v>
      </c>
      <c r="G301" s="69">
        <f t="shared" si="75"/>
        <v>1.085</v>
      </c>
      <c r="H301" s="73">
        <v>0.20161299999999999</v>
      </c>
      <c r="I301" s="69">
        <f t="shared" si="76"/>
        <v>-0.99092789499999989</v>
      </c>
      <c r="J301" s="79" t="s">
        <v>468</v>
      </c>
      <c r="K301" s="61">
        <v>0</v>
      </c>
      <c r="L301" s="58">
        <f t="shared" si="77"/>
        <v>1.5625007500000003E-2</v>
      </c>
      <c r="M301" s="58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 t="s">
        <v>366</v>
      </c>
      <c r="B302" s="2" t="s">
        <v>10</v>
      </c>
      <c r="C302" s="10">
        <v>1075888</v>
      </c>
      <c r="D302" s="10" t="s">
        <v>739</v>
      </c>
      <c r="E302" s="32">
        <v>-90</v>
      </c>
      <c r="F302" s="32">
        <v>7.4</v>
      </c>
      <c r="G302" s="69">
        <f t="shared" si="75"/>
        <v>5.18</v>
      </c>
      <c r="H302" s="73">
        <v>0.20161299999999999</v>
      </c>
      <c r="I302" s="69">
        <f t="shared" si="76"/>
        <v>-17.100814659999998</v>
      </c>
      <c r="J302" s="79" t="s">
        <v>468</v>
      </c>
      <c r="K302" s="61">
        <v>0</v>
      </c>
      <c r="L302" s="58">
        <f t="shared" si="77"/>
        <v>7.459681E-2</v>
      </c>
      <c r="M302" s="58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 t="s">
        <v>366</v>
      </c>
      <c r="B303" s="2" t="s">
        <v>10</v>
      </c>
      <c r="C303" s="10">
        <v>1083888</v>
      </c>
      <c r="D303" s="10" t="s">
        <v>777</v>
      </c>
      <c r="E303" s="32">
        <v>-123.85</v>
      </c>
      <c r="F303" s="32">
        <v>12.8</v>
      </c>
      <c r="G303" s="69">
        <f t="shared" si="75"/>
        <v>8.9599999999999991</v>
      </c>
      <c r="H303" s="73">
        <v>0.20161299999999999</v>
      </c>
      <c r="I303" s="69">
        <f t="shared" si="76"/>
        <v>-23.16331757</v>
      </c>
      <c r="J303" s="79" t="s">
        <v>468</v>
      </c>
      <c r="K303" s="61">
        <v>0</v>
      </c>
      <c r="L303" s="58">
        <f t="shared" si="77"/>
        <v>0.12903232000000001</v>
      </c>
      <c r="M303" s="58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 t="s">
        <v>366</v>
      </c>
      <c r="B304" s="2" t="s">
        <v>10</v>
      </c>
      <c r="C304" s="10">
        <v>1093482</v>
      </c>
      <c r="D304" s="10" t="s">
        <v>795</v>
      </c>
      <c r="E304" s="32">
        <v>-22.95</v>
      </c>
      <c r="F304" s="32">
        <v>27.95</v>
      </c>
      <c r="G304" s="69">
        <f t="shared" si="75"/>
        <v>19.564999999999998</v>
      </c>
      <c r="H304" s="73">
        <v>0.20161299999999999</v>
      </c>
      <c r="I304" s="69">
        <f t="shared" si="76"/>
        <v>-0.68246000500000026</v>
      </c>
      <c r="J304" s="79" t="s">
        <v>468</v>
      </c>
      <c r="K304" s="61">
        <v>0</v>
      </c>
      <c r="L304" s="58">
        <f t="shared" si="77"/>
        <v>0.28175416749999999</v>
      </c>
      <c r="M304" s="58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 t="s">
        <v>366</v>
      </c>
      <c r="B305" s="2" t="s">
        <v>10</v>
      </c>
      <c r="C305" s="10">
        <v>1094238</v>
      </c>
      <c r="D305" s="10" t="s">
        <v>806</v>
      </c>
      <c r="E305" s="32">
        <v>-100</v>
      </c>
      <c r="F305" s="32">
        <v>21.55</v>
      </c>
      <c r="G305" s="69">
        <f t="shared" si="75"/>
        <v>15.084999999999999</v>
      </c>
      <c r="H305" s="73">
        <v>0.20161299999999999</v>
      </c>
      <c r="I305" s="69">
        <f t="shared" si="76"/>
        <v>-17.119967894999998</v>
      </c>
      <c r="J305" s="79" t="s">
        <v>468</v>
      </c>
      <c r="K305" s="61">
        <v>0</v>
      </c>
      <c r="L305" s="58">
        <f t="shared" si="77"/>
        <v>0.21723800750000002</v>
      </c>
      <c r="M305" s="58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 t="s">
        <v>366</v>
      </c>
      <c r="B306" s="2" t="s">
        <v>10</v>
      </c>
      <c r="C306" s="10">
        <v>1094517</v>
      </c>
      <c r="D306" s="10" t="s">
        <v>807</v>
      </c>
      <c r="E306" s="32">
        <v>-5912.4</v>
      </c>
      <c r="F306" s="32">
        <v>1604.5</v>
      </c>
      <c r="G306" s="69">
        <f t="shared" si="75"/>
        <v>1123.1499999999999</v>
      </c>
      <c r="H306" s="73">
        <v>0.20161299999999999</v>
      </c>
      <c r="I306" s="69">
        <f t="shared" si="76"/>
        <v>-965.57506024999998</v>
      </c>
      <c r="J306" s="79" t="s">
        <v>468</v>
      </c>
      <c r="K306" s="61">
        <v>0</v>
      </c>
      <c r="L306" s="58">
        <f t="shared" si="77"/>
        <v>16.174402924999999</v>
      </c>
      <c r="M306" s="58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 t="s">
        <v>366</v>
      </c>
      <c r="B307" s="2" t="s">
        <v>10</v>
      </c>
      <c r="C307" s="10">
        <v>1096992</v>
      </c>
      <c r="D307" s="10" t="s">
        <v>808</v>
      </c>
      <c r="E307" s="32">
        <v>-30</v>
      </c>
      <c r="F307" s="32">
        <v>2.95</v>
      </c>
      <c r="G307" s="69">
        <f t="shared" si="75"/>
        <v>2.0649999999999999</v>
      </c>
      <c r="H307" s="73">
        <v>0.20161299999999999</v>
      </c>
      <c r="I307" s="69">
        <f t="shared" si="76"/>
        <v>-5.6320591549999994</v>
      </c>
      <c r="J307" s="79" t="s">
        <v>468</v>
      </c>
      <c r="K307" s="61">
        <v>0</v>
      </c>
      <c r="L307" s="58">
        <f t="shared" si="77"/>
        <v>2.9737917500000002E-2</v>
      </c>
      <c r="M307" s="58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 t="s">
        <v>366</v>
      </c>
      <c r="B308" s="2" t="s">
        <v>10</v>
      </c>
      <c r="C308" s="10">
        <v>915274</v>
      </c>
      <c r="D308" s="10" t="s">
        <v>701</v>
      </c>
      <c r="E308" s="32">
        <v>-971.4</v>
      </c>
      <c r="F308" s="32">
        <v>167.05</v>
      </c>
      <c r="G308" s="69">
        <f t="shared" si="75"/>
        <v>116.935</v>
      </c>
      <c r="H308" s="73">
        <v>0.20161299999999999</v>
      </c>
      <c r="I308" s="69">
        <f t="shared" si="76"/>
        <v>-172.27125204499998</v>
      </c>
      <c r="J308" s="79" t="s">
        <v>468</v>
      </c>
      <c r="K308" s="61">
        <v>0</v>
      </c>
      <c r="L308" s="58">
        <f t="shared" si="77"/>
        <v>1.6839725825</v>
      </c>
      <c r="M308" s="58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 t="s">
        <v>366</v>
      </c>
      <c r="B309" s="2" t="s">
        <v>10</v>
      </c>
      <c r="C309" s="10">
        <v>1093723</v>
      </c>
      <c r="D309" s="10" t="s">
        <v>796</v>
      </c>
      <c r="E309" s="32">
        <v>-6.4</v>
      </c>
      <c r="F309" s="32">
        <v>1.05</v>
      </c>
      <c r="G309" s="69">
        <f t="shared" si="75"/>
        <v>0.73499999999999999</v>
      </c>
      <c r="H309" s="73">
        <v>0.20161299999999999</v>
      </c>
      <c r="I309" s="69">
        <f t="shared" si="76"/>
        <v>-1.142137645</v>
      </c>
      <c r="J309" s="79" t="s">
        <v>468</v>
      </c>
      <c r="K309" s="61">
        <v>0</v>
      </c>
      <c r="L309" s="58">
        <f t="shared" si="77"/>
        <v>1.05846825E-2</v>
      </c>
      <c r="M309" s="58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 t="s">
        <v>366</v>
      </c>
      <c r="B310" s="2" t="s">
        <v>10</v>
      </c>
      <c r="C310" s="10">
        <v>1097878</v>
      </c>
      <c r="D310" s="10" t="s">
        <v>809</v>
      </c>
      <c r="E310" s="32">
        <v>-180.5</v>
      </c>
      <c r="F310" s="32">
        <v>25.7</v>
      </c>
      <c r="G310" s="69">
        <f t="shared" si="75"/>
        <v>17.989999999999998</v>
      </c>
      <c r="H310" s="73">
        <v>0.20161299999999999</v>
      </c>
      <c r="I310" s="69">
        <f t="shared" si="76"/>
        <v>-32.764128629999995</v>
      </c>
      <c r="J310" s="79" t="s">
        <v>468</v>
      </c>
      <c r="K310" s="61">
        <v>0</v>
      </c>
      <c r="L310" s="58">
        <f t="shared" si="77"/>
        <v>0.25907270500000001</v>
      </c>
      <c r="M310" s="58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 t="s">
        <v>366</v>
      </c>
      <c r="B311" s="32" t="s">
        <v>762</v>
      </c>
      <c r="C311" s="10" t="s">
        <v>754</v>
      </c>
      <c r="D311" s="10" t="s">
        <v>755</v>
      </c>
      <c r="E311" s="32">
        <v>-256.93</v>
      </c>
      <c r="F311" s="32">
        <v>31.13</v>
      </c>
      <c r="G311" s="69">
        <f>F311*0.3</f>
        <v>9.3389999999999986</v>
      </c>
      <c r="H311" s="70">
        <v>1</v>
      </c>
      <c r="I311" s="69">
        <f t="shared" si="76"/>
        <v>-247.59100000000001</v>
      </c>
      <c r="J311" s="79" t="s">
        <v>468</v>
      </c>
      <c r="K311" s="61">
        <v>0</v>
      </c>
      <c r="L311" s="58">
        <f t="shared" si="77"/>
        <v>1.5565</v>
      </c>
      <c r="M311" s="58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 t="s">
        <v>370</v>
      </c>
      <c r="B312" s="32" t="s">
        <v>54</v>
      </c>
      <c r="C312" s="10" t="s">
        <v>627</v>
      </c>
      <c r="D312" s="10" t="s">
        <v>628</v>
      </c>
      <c r="E312" s="32">
        <v>-268</v>
      </c>
      <c r="F312" s="32">
        <v>9.9</v>
      </c>
      <c r="G312" s="69">
        <f t="shared" ref="G312:G321" si="78">F312*0.75</f>
        <v>7.4250000000000007</v>
      </c>
      <c r="H312" s="75">
        <v>0.27467999999999998</v>
      </c>
      <c r="I312" s="69">
        <f t="shared" si="76"/>
        <v>-71.574740999999989</v>
      </c>
      <c r="J312" s="78">
        <f t="shared" ref="J312:J321" si="79">F312*0.05*H312</f>
        <v>0.13596659999999999</v>
      </c>
      <c r="K312" s="61">
        <v>0</v>
      </c>
      <c r="L312" s="61">
        <f t="shared" ref="L312:L321" si="80">F312*0.08*H312</f>
        <v>0.21754656</v>
      </c>
      <c r="M312" s="58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 t="s">
        <v>370</v>
      </c>
      <c r="B313" s="32" t="s">
        <v>54</v>
      </c>
      <c r="C313" s="10" t="s">
        <v>630</v>
      </c>
      <c r="D313" s="10" t="s">
        <v>631</v>
      </c>
      <c r="E313" s="32">
        <v>-408.3</v>
      </c>
      <c r="F313" s="32">
        <v>24.16</v>
      </c>
      <c r="G313" s="69">
        <f t="shared" si="78"/>
        <v>18.12</v>
      </c>
      <c r="H313" s="75">
        <v>0.27467999999999998</v>
      </c>
      <c r="I313" s="69">
        <f t="shared" si="76"/>
        <v>-107.1746424</v>
      </c>
      <c r="J313" s="78">
        <f t="shared" si="79"/>
        <v>0.33181344000000002</v>
      </c>
      <c r="K313" s="61">
        <v>0</v>
      </c>
      <c r="L313" s="61">
        <f t="shared" si="80"/>
        <v>0.53090150400000002</v>
      </c>
      <c r="M313" s="58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 t="s">
        <v>370</v>
      </c>
      <c r="B314" s="32" t="s">
        <v>54</v>
      </c>
      <c r="C314" s="10" t="s">
        <v>633</v>
      </c>
      <c r="D314" s="10" t="s">
        <v>634</v>
      </c>
      <c r="E314" s="32">
        <v>295.2</v>
      </c>
      <c r="F314" s="32">
        <v>16.399999999999999</v>
      </c>
      <c r="G314" s="69">
        <f t="shared" si="78"/>
        <v>12.299999999999999</v>
      </c>
      <c r="H314" s="75">
        <v>0.27467999999999998</v>
      </c>
      <c r="I314" s="69">
        <f t="shared" si="76"/>
        <v>84.464099999999988</v>
      </c>
      <c r="J314" s="78">
        <f t="shared" si="79"/>
        <v>0.22523759999999998</v>
      </c>
      <c r="K314" s="61">
        <v>0</v>
      </c>
      <c r="L314" s="61">
        <f t="shared" si="80"/>
        <v>0.36038015999999995</v>
      </c>
      <c r="M314" s="58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 t="s">
        <v>370</v>
      </c>
      <c r="B315" s="32" t="s">
        <v>54</v>
      </c>
      <c r="C315" s="10" t="s">
        <v>638</v>
      </c>
      <c r="D315" s="10" t="s">
        <v>639</v>
      </c>
      <c r="E315" s="32">
        <v>-6842.73</v>
      </c>
      <c r="F315" s="32">
        <v>427.79</v>
      </c>
      <c r="G315" s="69">
        <f t="shared" si="78"/>
        <v>320.84250000000003</v>
      </c>
      <c r="H315" s="75">
        <v>0.27467999999999998</v>
      </c>
      <c r="I315" s="69">
        <f t="shared" si="76"/>
        <v>-1791.4320584999998</v>
      </c>
      <c r="J315" s="78">
        <f t="shared" si="79"/>
        <v>5.8752678600000001</v>
      </c>
      <c r="K315" s="61">
        <v>0</v>
      </c>
      <c r="L315" s="61">
        <f t="shared" si="80"/>
        <v>9.4004285760000013</v>
      </c>
      <c r="M315" s="58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 t="s">
        <v>370</v>
      </c>
      <c r="B316" s="32" t="s">
        <v>54</v>
      </c>
      <c r="C316" s="10" t="s">
        <v>641</v>
      </c>
      <c r="D316" s="10" t="s">
        <v>642</v>
      </c>
      <c r="E316" s="32">
        <v>6284</v>
      </c>
      <c r="F316" s="32">
        <v>2058</v>
      </c>
      <c r="G316" s="69">
        <f t="shared" si="78"/>
        <v>1543.5</v>
      </c>
      <c r="H316" s="75">
        <v>0.27467999999999998</v>
      </c>
      <c r="I316" s="69">
        <f t="shared" si="76"/>
        <v>2150.0576999999998</v>
      </c>
      <c r="J316" s="78">
        <f t="shared" si="79"/>
        <v>28.264572000000001</v>
      </c>
      <c r="K316" s="61">
        <v>0</v>
      </c>
      <c r="L316" s="61">
        <f t="shared" si="80"/>
        <v>45.223315200000002</v>
      </c>
      <c r="M316" s="58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 t="s">
        <v>370</v>
      </c>
      <c r="B317" s="32" t="s">
        <v>54</v>
      </c>
      <c r="C317" s="10" t="s">
        <v>779</v>
      </c>
      <c r="D317" s="10" t="s">
        <v>780</v>
      </c>
      <c r="E317" s="32">
        <v>114489.9</v>
      </c>
      <c r="F317" s="32">
        <v>6905.05</v>
      </c>
      <c r="G317" s="69">
        <f t="shared" si="78"/>
        <v>5178.7875000000004</v>
      </c>
      <c r="H317" s="75">
        <v>0.27467999999999998</v>
      </c>
      <c r="I317" s="69">
        <f t="shared" si="76"/>
        <v>32870.595082499996</v>
      </c>
      <c r="J317" s="78">
        <f t="shared" si="79"/>
        <v>94.833956700000002</v>
      </c>
      <c r="K317" s="61">
        <v>0</v>
      </c>
      <c r="L317" s="61">
        <f t="shared" si="80"/>
        <v>151.73433071999997</v>
      </c>
      <c r="M317" s="58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 t="s">
        <v>370</v>
      </c>
      <c r="B318" s="32" t="s">
        <v>54</v>
      </c>
      <c r="C318" s="10" t="s">
        <v>728</v>
      </c>
      <c r="D318" s="10" t="s">
        <v>729</v>
      </c>
      <c r="E318" s="32">
        <v>-326</v>
      </c>
      <c r="F318" s="32">
        <v>137.30000000000001</v>
      </c>
      <c r="G318" s="69">
        <f t="shared" si="78"/>
        <v>102.97500000000001</v>
      </c>
      <c r="H318" s="75">
        <v>0.27467999999999998</v>
      </c>
      <c r="I318" s="69">
        <f t="shared" si="76"/>
        <v>-61.26050699999999</v>
      </c>
      <c r="J318" s="78">
        <f t="shared" si="79"/>
        <v>1.8856782000000001</v>
      </c>
      <c r="K318" s="61">
        <v>0</v>
      </c>
      <c r="L318" s="61">
        <f t="shared" si="80"/>
        <v>3.0170851200000004</v>
      </c>
      <c r="M318" s="58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 t="s">
        <v>370</v>
      </c>
      <c r="B319" s="32" t="s">
        <v>54</v>
      </c>
      <c r="C319" s="10" t="s">
        <v>759</v>
      </c>
      <c r="D319" s="10" t="s">
        <v>760</v>
      </c>
      <c r="E319" s="32">
        <v>-70</v>
      </c>
      <c r="F319" s="32">
        <v>0</v>
      </c>
      <c r="G319" s="69">
        <f t="shared" si="78"/>
        <v>0</v>
      </c>
      <c r="H319" s="75">
        <v>0.27467999999999998</v>
      </c>
      <c r="I319" s="69">
        <f t="shared" si="76"/>
        <v>-19.227599999999999</v>
      </c>
      <c r="J319" s="78">
        <f t="shared" si="79"/>
        <v>0</v>
      </c>
      <c r="K319" s="61">
        <v>0</v>
      </c>
      <c r="L319" s="61">
        <f t="shared" si="80"/>
        <v>0</v>
      </c>
      <c r="M319" s="58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 t="s">
        <v>370</v>
      </c>
      <c r="B320" s="32" t="s">
        <v>54</v>
      </c>
      <c r="C320" s="10" t="s">
        <v>708</v>
      </c>
      <c r="D320" s="10" t="s">
        <v>709</v>
      </c>
      <c r="E320" s="32">
        <v>-320</v>
      </c>
      <c r="F320" s="32">
        <v>16</v>
      </c>
      <c r="G320" s="69">
        <f t="shared" si="78"/>
        <v>12</v>
      </c>
      <c r="H320" s="75">
        <v>0.27467999999999998</v>
      </c>
      <c r="I320" s="69">
        <f t="shared" si="76"/>
        <v>-84.601439999999997</v>
      </c>
      <c r="J320" s="78">
        <f t="shared" si="79"/>
        <v>0.21974399999999999</v>
      </c>
      <c r="K320" s="61">
        <v>0</v>
      </c>
      <c r="L320" s="61">
        <f t="shared" si="80"/>
        <v>0.35159039999999997</v>
      </c>
      <c r="M320" s="58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 t="s">
        <v>370</v>
      </c>
      <c r="B321" s="29" t="s">
        <v>35</v>
      </c>
      <c r="C321" s="10" t="s">
        <v>647</v>
      </c>
      <c r="D321" s="10" t="s">
        <v>648</v>
      </c>
      <c r="E321" s="32">
        <v>-66</v>
      </c>
      <c r="F321" s="32">
        <v>5.5</v>
      </c>
      <c r="G321" s="69">
        <f t="shared" si="78"/>
        <v>4.125</v>
      </c>
      <c r="H321" s="75">
        <v>0.27467999999999998</v>
      </c>
      <c r="I321" s="69">
        <f t="shared" si="76"/>
        <v>-16.995825</v>
      </c>
      <c r="J321" s="78">
        <f t="shared" si="79"/>
        <v>7.5537000000000007E-2</v>
      </c>
      <c r="K321" s="61">
        <v>0</v>
      </c>
      <c r="L321" s="61">
        <f t="shared" si="80"/>
        <v>0.12085919999999999</v>
      </c>
      <c r="M321" s="58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 t="s">
        <v>370</v>
      </c>
      <c r="B322" s="10" t="s">
        <v>810</v>
      </c>
      <c r="C322" s="10" t="s">
        <v>811</v>
      </c>
      <c r="D322" s="10" t="s">
        <v>812</v>
      </c>
      <c r="E322" s="32">
        <v>-21</v>
      </c>
      <c r="F322" s="32">
        <v>0.86</v>
      </c>
      <c r="G322" s="69">
        <f t="shared" ref="G322:G324" si="81">F322*0.3</f>
        <v>0.25800000000000001</v>
      </c>
      <c r="H322" s="70">
        <v>1</v>
      </c>
      <c r="I322" s="69">
        <f t="shared" si="76"/>
        <v>-20.742000000000001</v>
      </c>
      <c r="J322" s="79" t="s">
        <v>468</v>
      </c>
      <c r="K322" s="61">
        <v>0</v>
      </c>
      <c r="L322" s="58">
        <f t="shared" ref="L322:L324" si="82">F322*0.05*H322</f>
        <v>4.3000000000000003E-2</v>
      </c>
      <c r="M322" s="58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 t="s">
        <v>370</v>
      </c>
      <c r="B323" s="10" t="s">
        <v>753</v>
      </c>
      <c r="C323" s="10" t="s">
        <v>754</v>
      </c>
      <c r="D323" s="10" t="s">
        <v>755</v>
      </c>
      <c r="E323" s="32">
        <v>-562.41999999999996</v>
      </c>
      <c r="F323" s="32">
        <v>67.92</v>
      </c>
      <c r="G323" s="69">
        <f t="shared" si="81"/>
        <v>20.376000000000001</v>
      </c>
      <c r="H323" s="70">
        <v>1</v>
      </c>
      <c r="I323" s="69">
        <f t="shared" si="76"/>
        <v>-542.04399999999998</v>
      </c>
      <c r="J323" s="79" t="s">
        <v>468</v>
      </c>
      <c r="K323" s="61">
        <v>0</v>
      </c>
      <c r="L323" s="58">
        <f t="shared" si="82"/>
        <v>3.3960000000000004</v>
      </c>
      <c r="M323" s="58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 t="s">
        <v>370</v>
      </c>
      <c r="B324" s="10" t="s">
        <v>762</v>
      </c>
      <c r="C324" s="10" t="s">
        <v>757</v>
      </c>
      <c r="D324" s="10" t="s">
        <v>761</v>
      </c>
      <c r="E324" s="32">
        <v>422</v>
      </c>
      <c r="F324" s="32">
        <v>9.44</v>
      </c>
      <c r="G324" s="69">
        <f t="shared" si="81"/>
        <v>2.8319999999999999</v>
      </c>
      <c r="H324" s="70">
        <v>1</v>
      </c>
      <c r="I324" s="69">
        <f t="shared" si="76"/>
        <v>424.83199999999999</v>
      </c>
      <c r="J324" s="79" t="s">
        <v>468</v>
      </c>
      <c r="K324" s="61">
        <v>0</v>
      </c>
      <c r="L324" s="58">
        <f t="shared" si="82"/>
        <v>0.47199999999999998</v>
      </c>
      <c r="M324" s="58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 t="s">
        <v>370</v>
      </c>
      <c r="B325" s="32" t="s">
        <v>140</v>
      </c>
      <c r="C325" s="10">
        <v>9423640</v>
      </c>
      <c r="D325" s="10" t="s">
        <v>730</v>
      </c>
      <c r="E325" s="32">
        <v>-2219.15</v>
      </c>
      <c r="F325" s="32">
        <v>165.27</v>
      </c>
      <c r="G325" s="69">
        <f>F325*0.6</f>
        <v>99.162000000000006</v>
      </c>
      <c r="H325" s="70">
        <v>0.65461778000000004</v>
      </c>
      <c r="I325" s="69">
        <f>((E325+G325)*0.9)*H325</f>
        <v>-1249.0036543679762</v>
      </c>
      <c r="J325" s="79" t="s">
        <v>468</v>
      </c>
      <c r="K325" s="61">
        <v>0</v>
      </c>
      <c r="L325" s="61">
        <f>F325*0.1*H325*0.9</f>
        <v>9.7369812450540003</v>
      </c>
      <c r="M325" s="58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 t="s">
        <v>370</v>
      </c>
      <c r="B326" s="2" t="s">
        <v>10</v>
      </c>
      <c r="C326" s="10">
        <v>1077632</v>
      </c>
      <c r="D326" s="10" t="s">
        <v>813</v>
      </c>
      <c r="E326" s="32">
        <v>-2389.5</v>
      </c>
      <c r="F326" s="32">
        <v>75.5</v>
      </c>
      <c r="G326" s="69">
        <f t="shared" ref="G326:G353" si="83">F326*0.7</f>
        <v>52.849999999999994</v>
      </c>
      <c r="H326" s="70">
        <v>0.20080300000000001</v>
      </c>
      <c r="I326" s="69">
        <f t="shared" ref="I326:I368" si="84">(E326+G326)*H326</f>
        <v>-469.20632995000005</v>
      </c>
      <c r="J326" s="79" t="s">
        <v>468</v>
      </c>
      <c r="K326" s="61">
        <v>0</v>
      </c>
      <c r="L326" s="58">
        <f t="shared" ref="L326:L353" si="85">F326*0.05*H326</f>
        <v>0.75803132500000014</v>
      </c>
      <c r="M326" s="58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 t="s">
        <v>370</v>
      </c>
      <c r="B327" s="2" t="s">
        <v>10</v>
      </c>
      <c r="C327" s="10">
        <v>1077635</v>
      </c>
      <c r="D327" s="10" t="s">
        <v>814</v>
      </c>
      <c r="E327" s="32">
        <v>-46</v>
      </c>
      <c r="F327" s="32">
        <v>0</v>
      </c>
      <c r="G327" s="69">
        <f t="shared" si="83"/>
        <v>0</v>
      </c>
      <c r="H327" s="70">
        <v>0.20080300000000001</v>
      </c>
      <c r="I327" s="69">
        <f t="shared" si="84"/>
        <v>-9.2369380000000003</v>
      </c>
      <c r="J327" s="79" t="s">
        <v>468</v>
      </c>
      <c r="K327" s="61">
        <v>0</v>
      </c>
      <c r="L327" s="58">
        <f t="shared" si="85"/>
        <v>0</v>
      </c>
      <c r="M327" s="58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 t="s">
        <v>370</v>
      </c>
      <c r="B328" s="2" t="s">
        <v>10</v>
      </c>
      <c r="C328" s="10">
        <v>1077637</v>
      </c>
      <c r="D328" s="10" t="s">
        <v>731</v>
      </c>
      <c r="E328" s="32">
        <v>775.15</v>
      </c>
      <c r="F328" s="32">
        <v>14.55</v>
      </c>
      <c r="G328" s="69">
        <f t="shared" si="83"/>
        <v>10.185</v>
      </c>
      <c r="H328" s="70">
        <v>0.20080300000000001</v>
      </c>
      <c r="I328" s="69">
        <f t="shared" si="84"/>
        <v>157.69762400499999</v>
      </c>
      <c r="J328" s="79" t="s">
        <v>468</v>
      </c>
      <c r="K328" s="61">
        <v>0</v>
      </c>
      <c r="L328" s="58">
        <f t="shared" si="85"/>
        <v>0.14608418250000002</v>
      </c>
      <c r="M328" s="58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 t="s">
        <v>370</v>
      </c>
      <c r="B329" s="2" t="s">
        <v>10</v>
      </c>
      <c r="C329" s="10">
        <v>1077641</v>
      </c>
      <c r="D329" s="10" t="s">
        <v>789</v>
      </c>
      <c r="E329" s="32">
        <v>-45</v>
      </c>
      <c r="F329" s="32">
        <v>0</v>
      </c>
      <c r="G329" s="69">
        <f t="shared" si="83"/>
        <v>0</v>
      </c>
      <c r="H329" s="70">
        <v>0.20080300000000001</v>
      </c>
      <c r="I329" s="69">
        <f t="shared" si="84"/>
        <v>-9.0361349999999998</v>
      </c>
      <c r="J329" s="79" t="s">
        <v>468</v>
      </c>
      <c r="K329" s="61">
        <v>0</v>
      </c>
      <c r="L329" s="58">
        <f t="shared" si="85"/>
        <v>0</v>
      </c>
      <c r="M329" s="58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 t="s">
        <v>370</v>
      </c>
      <c r="B330" s="2" t="s">
        <v>10</v>
      </c>
      <c r="C330" s="10">
        <v>1079121</v>
      </c>
      <c r="D330" s="10" t="s">
        <v>790</v>
      </c>
      <c r="E330" s="32">
        <v>2781.9</v>
      </c>
      <c r="F330" s="32">
        <v>66.05</v>
      </c>
      <c r="G330" s="69">
        <f t="shared" si="83"/>
        <v>46.234999999999992</v>
      </c>
      <c r="H330" s="70">
        <v>0.20080300000000001</v>
      </c>
      <c r="I330" s="69">
        <f t="shared" si="84"/>
        <v>567.89799240500008</v>
      </c>
      <c r="J330" s="79" t="s">
        <v>468</v>
      </c>
      <c r="K330" s="61">
        <v>0</v>
      </c>
      <c r="L330" s="58">
        <f t="shared" si="85"/>
        <v>0.66315190750000008</v>
      </c>
      <c r="M330" s="58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 t="s">
        <v>370</v>
      </c>
      <c r="B331" s="2" t="s">
        <v>10</v>
      </c>
      <c r="C331" s="10">
        <v>923286</v>
      </c>
      <c r="D331" s="10" t="s">
        <v>654</v>
      </c>
      <c r="E331" s="32">
        <v>-1659.4</v>
      </c>
      <c r="F331" s="32">
        <v>279.85000000000002</v>
      </c>
      <c r="G331" s="69">
        <f t="shared" si="83"/>
        <v>195.89500000000001</v>
      </c>
      <c r="H331" s="70">
        <v>0.20080300000000001</v>
      </c>
      <c r="I331" s="69">
        <f t="shared" si="84"/>
        <v>-293.87619451500001</v>
      </c>
      <c r="J331" s="79" t="s">
        <v>468</v>
      </c>
      <c r="K331" s="61">
        <v>0</v>
      </c>
      <c r="L331" s="58">
        <f t="shared" si="85"/>
        <v>2.8097359775000004</v>
      </c>
      <c r="M331" s="58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 t="s">
        <v>370</v>
      </c>
      <c r="B332" s="2" t="s">
        <v>10</v>
      </c>
      <c r="C332" s="10">
        <v>963076</v>
      </c>
      <c r="D332" s="10" t="s">
        <v>662</v>
      </c>
      <c r="E332" s="32">
        <v>-1055.4000000000001</v>
      </c>
      <c r="F332" s="32">
        <v>215.8</v>
      </c>
      <c r="G332" s="69">
        <f t="shared" si="83"/>
        <v>151.06</v>
      </c>
      <c r="H332" s="70">
        <v>0.20080300000000001</v>
      </c>
      <c r="I332" s="69">
        <f t="shared" si="84"/>
        <v>-181.59418502000003</v>
      </c>
      <c r="J332" s="79" t="s">
        <v>468</v>
      </c>
      <c r="K332" s="61">
        <v>0</v>
      </c>
      <c r="L332" s="58">
        <f t="shared" si="85"/>
        <v>2.1666643700000003</v>
      </c>
      <c r="M332" s="58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 t="s">
        <v>370</v>
      </c>
      <c r="B333" s="2" t="s">
        <v>10</v>
      </c>
      <c r="C333" s="10">
        <v>1009846</v>
      </c>
      <c r="D333" s="10" t="s">
        <v>666</v>
      </c>
      <c r="E333" s="32">
        <v>-40.15</v>
      </c>
      <c r="F333" s="32">
        <v>12.35</v>
      </c>
      <c r="G333" s="69">
        <f t="shared" si="83"/>
        <v>8.6449999999999996</v>
      </c>
      <c r="H333" s="70">
        <v>0.20080300000000001</v>
      </c>
      <c r="I333" s="69">
        <f t="shared" si="84"/>
        <v>-6.3262985150000004</v>
      </c>
      <c r="J333" s="79" t="s">
        <v>468</v>
      </c>
      <c r="K333" s="61">
        <v>0</v>
      </c>
      <c r="L333" s="58">
        <f t="shared" si="85"/>
        <v>0.12399585250000002</v>
      </c>
      <c r="M333" s="58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 t="s">
        <v>370</v>
      </c>
      <c r="B334" s="2" t="s">
        <v>10</v>
      </c>
      <c r="C334" s="10">
        <v>1011133</v>
      </c>
      <c r="D334" s="10" t="s">
        <v>815</v>
      </c>
      <c r="E334" s="32">
        <v>0</v>
      </c>
      <c r="F334" s="32">
        <v>0</v>
      </c>
      <c r="G334" s="69">
        <f t="shared" si="83"/>
        <v>0</v>
      </c>
      <c r="H334" s="70">
        <v>0.20080300000000001</v>
      </c>
      <c r="I334" s="69">
        <f t="shared" si="84"/>
        <v>0</v>
      </c>
      <c r="J334" s="79" t="s">
        <v>468</v>
      </c>
      <c r="K334" s="61">
        <v>0</v>
      </c>
      <c r="L334" s="58">
        <f t="shared" si="85"/>
        <v>0</v>
      </c>
      <c r="M334" s="58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 t="s">
        <v>370</v>
      </c>
      <c r="B335" s="2" t="s">
        <v>10</v>
      </c>
      <c r="C335" s="10">
        <v>1054937</v>
      </c>
      <c r="D335" s="10" t="s">
        <v>671</v>
      </c>
      <c r="E335" s="32">
        <v>-49</v>
      </c>
      <c r="F335" s="32">
        <v>12.8</v>
      </c>
      <c r="G335" s="69">
        <f t="shared" si="83"/>
        <v>8.9599999999999991</v>
      </c>
      <c r="H335" s="70">
        <v>0.20080300000000001</v>
      </c>
      <c r="I335" s="69">
        <f t="shared" si="84"/>
        <v>-8.0401521200000001</v>
      </c>
      <c r="J335" s="79" t="s">
        <v>468</v>
      </c>
      <c r="K335" s="61">
        <v>0</v>
      </c>
      <c r="L335" s="58">
        <f t="shared" si="85"/>
        <v>0.12851392000000003</v>
      </c>
      <c r="M335" s="58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 t="s">
        <v>370</v>
      </c>
      <c r="B336" s="2" t="s">
        <v>10</v>
      </c>
      <c r="C336" s="10">
        <v>1058488</v>
      </c>
      <c r="D336" s="10" t="s">
        <v>784</v>
      </c>
      <c r="E336" s="32">
        <v>-104.85</v>
      </c>
      <c r="F336" s="32">
        <v>13</v>
      </c>
      <c r="G336" s="69">
        <f t="shared" si="83"/>
        <v>9.1</v>
      </c>
      <c r="H336" s="70">
        <v>0.20080300000000001</v>
      </c>
      <c r="I336" s="69">
        <f t="shared" si="84"/>
        <v>-19.226887250000001</v>
      </c>
      <c r="J336" s="79" t="s">
        <v>468</v>
      </c>
      <c r="K336" s="61">
        <v>0</v>
      </c>
      <c r="L336" s="58">
        <f t="shared" si="85"/>
        <v>0.13052195</v>
      </c>
      <c r="M336" s="58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 t="s">
        <v>370</v>
      </c>
      <c r="B337" s="2" t="s">
        <v>10</v>
      </c>
      <c r="C337" s="10">
        <v>1058947</v>
      </c>
      <c r="D337" s="10" t="s">
        <v>681</v>
      </c>
      <c r="E337" s="32">
        <v>-484</v>
      </c>
      <c r="F337" s="32">
        <v>35.25</v>
      </c>
      <c r="G337" s="69">
        <f t="shared" si="83"/>
        <v>24.674999999999997</v>
      </c>
      <c r="H337" s="70">
        <v>0.20080300000000001</v>
      </c>
      <c r="I337" s="69">
        <f t="shared" si="84"/>
        <v>-92.233837975</v>
      </c>
      <c r="J337" s="79" t="s">
        <v>468</v>
      </c>
      <c r="K337" s="61">
        <v>0</v>
      </c>
      <c r="L337" s="58">
        <f t="shared" si="85"/>
        <v>0.35391528750000006</v>
      </c>
      <c r="M337" s="58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 t="s">
        <v>370</v>
      </c>
      <c r="B338" s="2" t="s">
        <v>10</v>
      </c>
      <c r="C338" s="10">
        <v>1067052</v>
      </c>
      <c r="D338" s="10" t="s">
        <v>713</v>
      </c>
      <c r="E338" s="32">
        <v>0</v>
      </c>
      <c r="F338" s="32">
        <v>0</v>
      </c>
      <c r="G338" s="69">
        <f t="shared" si="83"/>
        <v>0</v>
      </c>
      <c r="H338" s="70">
        <v>0.20080300000000001</v>
      </c>
      <c r="I338" s="69">
        <f t="shared" si="84"/>
        <v>0</v>
      </c>
      <c r="J338" s="79" t="s">
        <v>468</v>
      </c>
      <c r="K338" s="61">
        <v>0</v>
      </c>
      <c r="L338" s="58">
        <f t="shared" si="85"/>
        <v>0</v>
      </c>
      <c r="M338" s="58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 t="s">
        <v>370</v>
      </c>
      <c r="B339" s="2" t="s">
        <v>10</v>
      </c>
      <c r="C339" s="10">
        <v>1067198</v>
      </c>
      <c r="D339" s="10" t="s">
        <v>700</v>
      </c>
      <c r="E339" s="32">
        <v>-271.85000000000002</v>
      </c>
      <c r="F339" s="32">
        <v>90.9</v>
      </c>
      <c r="G339" s="69">
        <f t="shared" si="83"/>
        <v>63.63</v>
      </c>
      <c r="H339" s="70">
        <v>0.20080300000000001</v>
      </c>
      <c r="I339" s="69">
        <f t="shared" si="84"/>
        <v>-41.811200660000004</v>
      </c>
      <c r="J339" s="79" t="s">
        <v>468</v>
      </c>
      <c r="K339" s="61">
        <v>0</v>
      </c>
      <c r="L339" s="58">
        <f t="shared" si="85"/>
        <v>0.91264963500000018</v>
      </c>
      <c r="M339" s="58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 t="s">
        <v>370</v>
      </c>
      <c r="B340" s="2" t="s">
        <v>10</v>
      </c>
      <c r="C340" s="10">
        <v>1072699</v>
      </c>
      <c r="D340" s="10" t="s">
        <v>726</v>
      </c>
      <c r="E340" s="32">
        <v>-20</v>
      </c>
      <c r="F340" s="32">
        <v>2</v>
      </c>
      <c r="G340" s="69">
        <f t="shared" si="83"/>
        <v>1.4</v>
      </c>
      <c r="H340" s="70">
        <v>0.20080300000000001</v>
      </c>
      <c r="I340" s="69">
        <f t="shared" si="84"/>
        <v>-3.7349358000000006</v>
      </c>
      <c r="J340" s="79" t="s">
        <v>468</v>
      </c>
      <c r="K340" s="61">
        <v>0</v>
      </c>
      <c r="L340" s="58">
        <f t="shared" si="85"/>
        <v>2.0080300000000002E-2</v>
      </c>
      <c r="M340" s="58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 t="s">
        <v>370</v>
      </c>
      <c r="B341" s="2" t="s">
        <v>10</v>
      </c>
      <c r="C341" s="10">
        <v>1075888</v>
      </c>
      <c r="D341" s="10" t="s">
        <v>739</v>
      </c>
      <c r="E341" s="32">
        <v>47.15</v>
      </c>
      <c r="F341" s="32">
        <v>14.8</v>
      </c>
      <c r="G341" s="69">
        <f t="shared" si="83"/>
        <v>10.36</v>
      </c>
      <c r="H341" s="70">
        <v>0.20080300000000001</v>
      </c>
      <c r="I341" s="69">
        <f t="shared" si="84"/>
        <v>11.54818053</v>
      </c>
      <c r="J341" s="79" t="s">
        <v>468</v>
      </c>
      <c r="K341" s="61">
        <v>0</v>
      </c>
      <c r="L341" s="58">
        <f t="shared" si="85"/>
        <v>0.14859422000000003</v>
      </c>
      <c r="M341" s="58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 t="s">
        <v>370</v>
      </c>
      <c r="B342" s="2" t="s">
        <v>10</v>
      </c>
      <c r="C342" s="10">
        <v>1083888</v>
      </c>
      <c r="D342" s="10" t="s">
        <v>777</v>
      </c>
      <c r="E342" s="32">
        <v>-108.2</v>
      </c>
      <c r="F342" s="32">
        <v>13.9</v>
      </c>
      <c r="G342" s="69">
        <f t="shared" si="83"/>
        <v>9.73</v>
      </c>
      <c r="H342" s="70">
        <v>0.20080300000000001</v>
      </c>
      <c r="I342" s="69">
        <f t="shared" si="84"/>
        <v>-19.77307141</v>
      </c>
      <c r="J342" s="79" t="s">
        <v>468</v>
      </c>
      <c r="K342" s="61">
        <v>0</v>
      </c>
      <c r="L342" s="58">
        <f t="shared" si="85"/>
        <v>0.13955808500000003</v>
      </c>
      <c r="M342" s="58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 t="s">
        <v>370</v>
      </c>
      <c r="B343" s="2" t="s">
        <v>10</v>
      </c>
      <c r="C343" s="10">
        <v>1093482</v>
      </c>
      <c r="D343" s="10" t="s">
        <v>795</v>
      </c>
      <c r="E343" s="32">
        <v>-30</v>
      </c>
      <c r="F343" s="32">
        <v>19.850000000000001</v>
      </c>
      <c r="G343" s="69">
        <f t="shared" si="83"/>
        <v>13.895</v>
      </c>
      <c r="H343" s="70">
        <v>0.20080300000000001</v>
      </c>
      <c r="I343" s="69">
        <f t="shared" si="84"/>
        <v>-3.2339323150000001</v>
      </c>
      <c r="J343" s="79" t="s">
        <v>468</v>
      </c>
      <c r="K343" s="61">
        <v>0</v>
      </c>
      <c r="L343" s="58">
        <f t="shared" si="85"/>
        <v>0.19929697750000003</v>
      </c>
      <c r="M343" s="58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 t="s">
        <v>370</v>
      </c>
      <c r="B344" s="2" t="s">
        <v>10</v>
      </c>
      <c r="C344" s="10">
        <v>1094517</v>
      </c>
      <c r="D344" s="10" t="s">
        <v>807</v>
      </c>
      <c r="E344" s="32">
        <v>-7152.7</v>
      </c>
      <c r="F344" s="32">
        <v>1881.05</v>
      </c>
      <c r="G344" s="69">
        <f t="shared" si="83"/>
        <v>1316.7349999999999</v>
      </c>
      <c r="H344" s="70">
        <v>0.20080300000000001</v>
      </c>
      <c r="I344" s="69">
        <f t="shared" si="84"/>
        <v>-1171.8792798950001</v>
      </c>
      <c r="J344" s="79" t="s">
        <v>468</v>
      </c>
      <c r="K344" s="61">
        <v>0</v>
      </c>
      <c r="L344" s="58">
        <f t="shared" si="85"/>
        <v>18.886024157500003</v>
      </c>
      <c r="M344" s="58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 t="s">
        <v>370</v>
      </c>
      <c r="B345" s="2" t="s">
        <v>10</v>
      </c>
      <c r="C345" s="10">
        <v>1099057</v>
      </c>
      <c r="D345" s="10" t="s">
        <v>816</v>
      </c>
      <c r="E345" s="32">
        <v>-203.85</v>
      </c>
      <c r="F345" s="32">
        <v>68.849999999999994</v>
      </c>
      <c r="G345" s="69">
        <f t="shared" si="83"/>
        <v>48.194999999999993</v>
      </c>
      <c r="H345" s="70">
        <v>0.20080300000000001</v>
      </c>
      <c r="I345" s="69">
        <f t="shared" si="84"/>
        <v>-31.255990965000002</v>
      </c>
      <c r="J345" s="79" t="s">
        <v>468</v>
      </c>
      <c r="K345" s="61">
        <v>0</v>
      </c>
      <c r="L345" s="58">
        <f t="shared" si="85"/>
        <v>0.6912643275</v>
      </c>
      <c r="M345" s="58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 t="s">
        <v>370</v>
      </c>
      <c r="B346" s="2" t="s">
        <v>10</v>
      </c>
      <c r="C346" s="10">
        <v>1099078</v>
      </c>
      <c r="D346" s="10" t="s">
        <v>817</v>
      </c>
      <c r="E346" s="32">
        <v>-60.8</v>
      </c>
      <c r="F346" s="32">
        <v>10.199999999999999</v>
      </c>
      <c r="G346" s="69">
        <f t="shared" si="83"/>
        <v>7.1399999999999988</v>
      </c>
      <c r="H346" s="70">
        <v>0.20080300000000001</v>
      </c>
      <c r="I346" s="69">
        <f t="shared" si="84"/>
        <v>-10.77508898</v>
      </c>
      <c r="J346" s="79" t="s">
        <v>468</v>
      </c>
      <c r="K346" s="61">
        <v>0</v>
      </c>
      <c r="L346" s="58">
        <f t="shared" si="85"/>
        <v>0.10240953000000001</v>
      </c>
      <c r="M346" s="58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 t="s">
        <v>370</v>
      </c>
      <c r="B347" s="2" t="s">
        <v>10</v>
      </c>
      <c r="C347" s="10">
        <v>1099704</v>
      </c>
      <c r="D347" s="10" t="s">
        <v>818</v>
      </c>
      <c r="E347" s="32">
        <v>-65</v>
      </c>
      <c r="F347" s="32">
        <v>5.35</v>
      </c>
      <c r="G347" s="69">
        <f t="shared" si="83"/>
        <v>3.7449999999999997</v>
      </c>
      <c r="H347" s="70">
        <v>0.20080300000000001</v>
      </c>
      <c r="I347" s="69">
        <f t="shared" si="84"/>
        <v>-12.300187765</v>
      </c>
      <c r="J347" s="79" t="s">
        <v>468</v>
      </c>
      <c r="K347" s="61">
        <v>0</v>
      </c>
      <c r="L347" s="58">
        <f t="shared" si="85"/>
        <v>5.3714802500000006E-2</v>
      </c>
      <c r="M347" s="58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 t="s">
        <v>370</v>
      </c>
      <c r="B348" s="2" t="s">
        <v>10</v>
      </c>
      <c r="C348" s="10">
        <v>1100406</v>
      </c>
      <c r="D348" s="10" t="s">
        <v>819</v>
      </c>
      <c r="E348" s="32">
        <v>-59</v>
      </c>
      <c r="F348" s="32">
        <v>12.1</v>
      </c>
      <c r="G348" s="69">
        <f t="shared" si="83"/>
        <v>8.4699999999999989</v>
      </c>
      <c r="H348" s="70">
        <v>0.20080300000000001</v>
      </c>
      <c r="I348" s="69">
        <f t="shared" si="84"/>
        <v>-10.146575590000001</v>
      </c>
      <c r="J348" s="79" t="s">
        <v>468</v>
      </c>
      <c r="K348" s="61">
        <v>0</v>
      </c>
      <c r="L348" s="58">
        <f t="shared" si="85"/>
        <v>0.121485815</v>
      </c>
      <c r="M348" s="58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 t="s">
        <v>370</v>
      </c>
      <c r="B349" s="2" t="s">
        <v>10</v>
      </c>
      <c r="C349" s="10">
        <v>1101415</v>
      </c>
      <c r="D349" s="10" t="s">
        <v>820</v>
      </c>
      <c r="E349" s="32">
        <v>-89.65</v>
      </c>
      <c r="F349" s="32">
        <v>41.65</v>
      </c>
      <c r="G349" s="69">
        <f t="shared" si="83"/>
        <v>29.154999999999998</v>
      </c>
      <c r="H349" s="70">
        <v>0.20080300000000001</v>
      </c>
      <c r="I349" s="69">
        <f t="shared" si="84"/>
        <v>-12.147577485000001</v>
      </c>
      <c r="J349" s="79" t="s">
        <v>468</v>
      </c>
      <c r="K349" s="61">
        <v>0</v>
      </c>
      <c r="L349" s="58">
        <f t="shared" si="85"/>
        <v>0.41817224750000004</v>
      </c>
      <c r="M349" s="58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 t="s">
        <v>370</v>
      </c>
      <c r="B350" s="2" t="s">
        <v>10</v>
      </c>
      <c r="C350" s="10">
        <v>1102218</v>
      </c>
      <c r="D350" s="10" t="s">
        <v>821</v>
      </c>
      <c r="E350" s="32">
        <v>-203.3</v>
      </c>
      <c r="F350" s="32">
        <v>11.65</v>
      </c>
      <c r="G350" s="69">
        <f t="shared" si="83"/>
        <v>8.1549999999999994</v>
      </c>
      <c r="H350" s="70">
        <v>0.20080300000000001</v>
      </c>
      <c r="I350" s="69">
        <f t="shared" si="84"/>
        <v>-39.185701435000006</v>
      </c>
      <c r="J350" s="79" t="s">
        <v>468</v>
      </c>
      <c r="K350" s="61">
        <v>0</v>
      </c>
      <c r="L350" s="58">
        <f t="shared" si="85"/>
        <v>0.11696774750000001</v>
      </c>
      <c r="M350" s="58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 t="s">
        <v>370</v>
      </c>
      <c r="B351" s="2" t="s">
        <v>10</v>
      </c>
      <c r="C351" s="10">
        <v>1102314</v>
      </c>
      <c r="D351" s="10" t="s">
        <v>822</v>
      </c>
      <c r="E351" s="32">
        <v>-97.2</v>
      </c>
      <c r="F351" s="32">
        <v>6.95</v>
      </c>
      <c r="G351" s="69">
        <f t="shared" si="83"/>
        <v>4.8650000000000002</v>
      </c>
      <c r="H351" s="70">
        <v>0.20080300000000001</v>
      </c>
      <c r="I351" s="69">
        <f t="shared" si="84"/>
        <v>-18.541145005000004</v>
      </c>
      <c r="J351" s="79" t="s">
        <v>468</v>
      </c>
      <c r="K351" s="61">
        <v>0</v>
      </c>
      <c r="L351" s="58">
        <f t="shared" si="85"/>
        <v>6.9779042500000013E-2</v>
      </c>
      <c r="M351" s="58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 t="s">
        <v>370</v>
      </c>
      <c r="B352" s="2" t="s">
        <v>10</v>
      </c>
      <c r="C352" s="10">
        <v>915274</v>
      </c>
      <c r="D352" s="10" t="s">
        <v>701</v>
      </c>
      <c r="E352" s="32">
        <v>-353.4</v>
      </c>
      <c r="F352" s="32">
        <v>90.75</v>
      </c>
      <c r="G352" s="69">
        <f t="shared" si="83"/>
        <v>63.524999999999999</v>
      </c>
      <c r="H352" s="70">
        <v>0.20080300000000001</v>
      </c>
      <c r="I352" s="69">
        <f t="shared" si="84"/>
        <v>-58.207769625000005</v>
      </c>
      <c r="J352" s="79" t="s">
        <v>468</v>
      </c>
      <c r="K352" s="61">
        <v>0</v>
      </c>
      <c r="L352" s="58">
        <f t="shared" si="85"/>
        <v>0.9111436125000002</v>
      </c>
      <c r="M352" s="58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 t="s">
        <v>370</v>
      </c>
      <c r="B353" s="2" t="s">
        <v>10</v>
      </c>
      <c r="C353" s="10">
        <v>939806</v>
      </c>
      <c r="D353" s="10" t="s">
        <v>823</v>
      </c>
      <c r="E353" s="32">
        <v>-302.5</v>
      </c>
      <c r="F353" s="32">
        <v>61.4</v>
      </c>
      <c r="G353" s="69">
        <f t="shared" si="83"/>
        <v>42.98</v>
      </c>
      <c r="H353" s="70">
        <v>0.20080300000000001</v>
      </c>
      <c r="I353" s="69">
        <f t="shared" si="84"/>
        <v>-52.112394559999998</v>
      </c>
      <c r="J353" s="79" t="s">
        <v>468</v>
      </c>
      <c r="K353" s="61">
        <v>0</v>
      </c>
      <c r="L353" s="58">
        <f t="shared" si="85"/>
        <v>0.6164652100000001</v>
      </c>
      <c r="M353" s="58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 t="s">
        <v>372</v>
      </c>
      <c r="B354" s="32" t="s">
        <v>54</v>
      </c>
      <c r="C354" s="10" t="s">
        <v>623</v>
      </c>
      <c r="D354" s="10">
        <v>727727</v>
      </c>
      <c r="E354" s="32">
        <v>16666.05</v>
      </c>
      <c r="F354" s="32">
        <v>7357.17</v>
      </c>
      <c r="G354" s="69">
        <f t="shared" ref="G354:G368" si="86">F354*0.75</f>
        <v>5517.8775000000005</v>
      </c>
      <c r="H354" s="75">
        <v>0.27928999999999998</v>
      </c>
      <c r="I354" s="69">
        <f t="shared" si="84"/>
        <v>6195.7491114749992</v>
      </c>
      <c r="J354" s="78">
        <f t="shared" ref="J354:J368" si="87">F354*0.05*H354</f>
        <v>102.73920046500001</v>
      </c>
      <c r="K354" s="61">
        <v>0</v>
      </c>
      <c r="L354" s="61">
        <f t="shared" ref="L354:L368" si="88">F354*0.08*H354</f>
        <v>164.38272074400001</v>
      </c>
      <c r="M354" s="58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 t="s">
        <v>372</v>
      </c>
      <c r="B355" s="32" t="s">
        <v>54</v>
      </c>
      <c r="C355" s="10" t="s">
        <v>624</v>
      </c>
      <c r="D355" s="10" t="s">
        <v>625</v>
      </c>
      <c r="E355" s="32">
        <v>4571.6899999999996</v>
      </c>
      <c r="F355" s="32">
        <v>214.15</v>
      </c>
      <c r="G355" s="69">
        <f t="shared" si="86"/>
        <v>160.61250000000001</v>
      </c>
      <c r="H355" s="75">
        <v>0.27928999999999998</v>
      </c>
      <c r="I355" s="69">
        <f t="shared" si="84"/>
        <v>1321.6847652249999</v>
      </c>
      <c r="J355" s="78">
        <f t="shared" si="87"/>
        <v>2.9904976750000003</v>
      </c>
      <c r="K355" s="61">
        <v>0</v>
      </c>
      <c r="L355" s="61">
        <f t="shared" si="88"/>
        <v>4.7847962800000001</v>
      </c>
      <c r="M355" s="58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 t="s">
        <v>372</v>
      </c>
      <c r="B356" s="32" t="s">
        <v>54</v>
      </c>
      <c r="C356" s="10" t="s">
        <v>627</v>
      </c>
      <c r="D356" s="10" t="s">
        <v>628</v>
      </c>
      <c r="E356" s="32">
        <v>8793.2000000000007</v>
      </c>
      <c r="F356" s="32">
        <v>1398.46</v>
      </c>
      <c r="G356" s="69">
        <f t="shared" si="86"/>
        <v>1048.845</v>
      </c>
      <c r="H356" s="75">
        <v>0.27928999999999998</v>
      </c>
      <c r="I356" s="69">
        <f t="shared" si="84"/>
        <v>2748.78474805</v>
      </c>
      <c r="J356" s="78">
        <f t="shared" si="87"/>
        <v>19.52879467</v>
      </c>
      <c r="K356" s="61">
        <v>0</v>
      </c>
      <c r="L356" s="61">
        <f t="shared" si="88"/>
        <v>31.246071472000001</v>
      </c>
      <c r="M356" s="58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 t="s">
        <v>372</v>
      </c>
      <c r="B357" s="32" t="s">
        <v>54</v>
      </c>
      <c r="C357" s="10" t="s">
        <v>630</v>
      </c>
      <c r="D357" s="10" t="s">
        <v>631</v>
      </c>
      <c r="E357" s="32">
        <v>-1690.74</v>
      </c>
      <c r="F357" s="32">
        <v>287.98</v>
      </c>
      <c r="G357" s="69">
        <f t="shared" si="86"/>
        <v>215.98500000000001</v>
      </c>
      <c r="H357" s="75">
        <v>0.27928999999999998</v>
      </c>
      <c r="I357" s="69">
        <f t="shared" si="84"/>
        <v>-411.88432395000001</v>
      </c>
      <c r="J357" s="78">
        <f t="shared" si="87"/>
        <v>4.0214967100000001</v>
      </c>
      <c r="K357" s="61">
        <v>0</v>
      </c>
      <c r="L357" s="61">
        <f t="shared" si="88"/>
        <v>6.4343947360000007</v>
      </c>
      <c r="M357" s="58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 t="s">
        <v>372</v>
      </c>
      <c r="B358" s="32" t="s">
        <v>54</v>
      </c>
      <c r="C358" s="10" t="s">
        <v>633</v>
      </c>
      <c r="D358" s="10" t="s">
        <v>634</v>
      </c>
      <c r="E358" s="32">
        <v>-84.41</v>
      </c>
      <c r="F358" s="32">
        <v>85.28</v>
      </c>
      <c r="G358" s="69">
        <f t="shared" si="86"/>
        <v>63.96</v>
      </c>
      <c r="H358" s="75">
        <v>0.27928999999999998</v>
      </c>
      <c r="I358" s="69">
        <f t="shared" si="84"/>
        <v>-5.7114804999999986</v>
      </c>
      <c r="J358" s="78">
        <f t="shared" si="87"/>
        <v>1.19089256</v>
      </c>
      <c r="K358" s="61">
        <v>0</v>
      </c>
      <c r="L358" s="61">
        <f t="shared" si="88"/>
        <v>1.9054280959999998</v>
      </c>
      <c r="M358" s="58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 t="s">
        <v>372</v>
      </c>
      <c r="B359" s="32" t="s">
        <v>54</v>
      </c>
      <c r="C359" s="10" t="s">
        <v>636</v>
      </c>
      <c r="D359" s="10" t="s">
        <v>637</v>
      </c>
      <c r="E359" s="32">
        <v>31560.23</v>
      </c>
      <c r="F359" s="32">
        <v>5051.22</v>
      </c>
      <c r="G359" s="69">
        <f t="shared" si="86"/>
        <v>3788.415</v>
      </c>
      <c r="H359" s="75">
        <v>0.27928999999999998</v>
      </c>
      <c r="I359" s="69">
        <f t="shared" si="84"/>
        <v>9872.5230620499988</v>
      </c>
      <c r="J359" s="78">
        <f t="shared" si="87"/>
        <v>70.537761690000011</v>
      </c>
      <c r="K359" s="61">
        <v>0</v>
      </c>
      <c r="L359" s="61">
        <f t="shared" si="88"/>
        <v>112.86041870400001</v>
      </c>
      <c r="M359" s="58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 t="s">
        <v>372</v>
      </c>
      <c r="B360" s="32" t="s">
        <v>54</v>
      </c>
      <c r="C360" s="10" t="s">
        <v>638</v>
      </c>
      <c r="D360" s="10" t="s">
        <v>639</v>
      </c>
      <c r="E360" s="32">
        <v>-669.28</v>
      </c>
      <c r="F360" s="32">
        <v>521.05999999999995</v>
      </c>
      <c r="G360" s="69">
        <f t="shared" si="86"/>
        <v>390.79499999999996</v>
      </c>
      <c r="H360" s="75">
        <v>0.27928999999999998</v>
      </c>
      <c r="I360" s="69">
        <f t="shared" si="84"/>
        <v>-77.778075650000005</v>
      </c>
      <c r="J360" s="78">
        <f t="shared" si="87"/>
        <v>7.2763423699999992</v>
      </c>
      <c r="K360" s="61">
        <v>0</v>
      </c>
      <c r="L360" s="61">
        <f t="shared" si="88"/>
        <v>11.642147791999998</v>
      </c>
      <c r="M360" s="58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 t="s">
        <v>372</v>
      </c>
      <c r="B361" s="32" t="s">
        <v>54</v>
      </c>
      <c r="C361" s="10" t="s">
        <v>641</v>
      </c>
      <c r="D361" s="10" t="s">
        <v>642</v>
      </c>
      <c r="E361" s="32">
        <v>2599.23</v>
      </c>
      <c r="F361" s="32">
        <v>7617.29</v>
      </c>
      <c r="G361" s="69">
        <f t="shared" si="86"/>
        <v>5712.9674999999997</v>
      </c>
      <c r="H361" s="75">
        <v>0.27928999999999998</v>
      </c>
      <c r="I361" s="69">
        <f t="shared" si="84"/>
        <v>2321.5136397749998</v>
      </c>
      <c r="J361" s="78">
        <f t="shared" si="87"/>
        <v>106.371646205</v>
      </c>
      <c r="K361" s="61">
        <v>0</v>
      </c>
      <c r="L361" s="61">
        <f t="shared" si="88"/>
        <v>170.19463392799997</v>
      </c>
      <c r="M361" s="58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 t="s">
        <v>372</v>
      </c>
      <c r="B362" s="32" t="s">
        <v>54</v>
      </c>
      <c r="C362" s="10" t="s">
        <v>779</v>
      </c>
      <c r="D362" s="10" t="s">
        <v>780</v>
      </c>
      <c r="E362" s="32">
        <v>1105</v>
      </c>
      <c r="F362" s="32">
        <v>177</v>
      </c>
      <c r="G362" s="69">
        <f t="shared" si="86"/>
        <v>132.75</v>
      </c>
      <c r="H362" s="75">
        <v>0.27928999999999998</v>
      </c>
      <c r="I362" s="69">
        <f t="shared" si="84"/>
        <v>345.69119749999999</v>
      </c>
      <c r="J362" s="78">
        <f t="shared" si="87"/>
        <v>2.4717164999999999</v>
      </c>
      <c r="K362" s="61">
        <v>0</v>
      </c>
      <c r="L362" s="61">
        <f t="shared" si="88"/>
        <v>3.9547463999999999</v>
      </c>
      <c r="M362" s="58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 t="s">
        <v>372</v>
      </c>
      <c r="B363" s="32" t="s">
        <v>54</v>
      </c>
      <c r="C363" s="10" t="s">
        <v>728</v>
      </c>
      <c r="D363" s="10" t="s">
        <v>729</v>
      </c>
      <c r="E363" s="32">
        <v>-879.54</v>
      </c>
      <c r="F363" s="32">
        <v>881.57</v>
      </c>
      <c r="G363" s="69">
        <f t="shared" si="86"/>
        <v>661.17750000000001</v>
      </c>
      <c r="H363" s="75">
        <v>0.27928999999999998</v>
      </c>
      <c r="I363" s="69">
        <f t="shared" si="84"/>
        <v>-60.98646262499998</v>
      </c>
      <c r="J363" s="78">
        <f t="shared" si="87"/>
        <v>12.310684265000001</v>
      </c>
      <c r="K363" s="61">
        <v>0</v>
      </c>
      <c r="L363" s="61">
        <f t="shared" si="88"/>
        <v>19.697094824000001</v>
      </c>
      <c r="M363" s="58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 t="s">
        <v>372</v>
      </c>
      <c r="B364" s="32" t="s">
        <v>54</v>
      </c>
      <c r="C364" s="10" t="s">
        <v>759</v>
      </c>
      <c r="D364" s="10" t="s">
        <v>760</v>
      </c>
      <c r="E364" s="32">
        <v>1806.28</v>
      </c>
      <c r="F364" s="32">
        <v>1360.24</v>
      </c>
      <c r="G364" s="69">
        <f t="shared" si="86"/>
        <v>1020.1800000000001</v>
      </c>
      <c r="H364" s="75">
        <v>0.27928999999999998</v>
      </c>
      <c r="I364" s="69">
        <f t="shared" si="84"/>
        <v>789.40201339999999</v>
      </c>
      <c r="J364" s="78">
        <f t="shared" si="87"/>
        <v>18.99507148</v>
      </c>
      <c r="K364" s="61">
        <v>0</v>
      </c>
      <c r="L364" s="61">
        <f t="shared" si="88"/>
        <v>30.392114368000001</v>
      </c>
      <c r="M364" s="58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 t="s">
        <v>372</v>
      </c>
      <c r="B365" s="32" t="s">
        <v>54</v>
      </c>
      <c r="C365" s="10" t="s">
        <v>824</v>
      </c>
      <c r="D365" s="10" t="s">
        <v>825</v>
      </c>
      <c r="E365" s="32">
        <v>-50</v>
      </c>
      <c r="F365" s="32">
        <v>0</v>
      </c>
      <c r="G365" s="69">
        <f t="shared" si="86"/>
        <v>0</v>
      </c>
      <c r="H365" s="75">
        <v>0.27928999999999998</v>
      </c>
      <c r="I365" s="69">
        <f t="shared" si="84"/>
        <v>-13.964499999999999</v>
      </c>
      <c r="J365" s="78">
        <f t="shared" si="87"/>
        <v>0</v>
      </c>
      <c r="K365" s="61">
        <v>0</v>
      </c>
      <c r="L365" s="61">
        <f t="shared" si="88"/>
        <v>0</v>
      </c>
      <c r="M365" s="58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 t="s">
        <v>372</v>
      </c>
      <c r="B366" s="32" t="s">
        <v>54</v>
      </c>
      <c r="C366" s="10" t="s">
        <v>708</v>
      </c>
      <c r="D366" s="10" t="s">
        <v>709</v>
      </c>
      <c r="E366" s="32">
        <v>50</v>
      </c>
      <c r="F366" s="32">
        <v>0</v>
      </c>
      <c r="G366" s="69">
        <f t="shared" si="86"/>
        <v>0</v>
      </c>
      <c r="H366" s="75">
        <v>0.27928999999999998</v>
      </c>
      <c r="I366" s="69">
        <f t="shared" si="84"/>
        <v>13.964499999999999</v>
      </c>
      <c r="J366" s="78">
        <f t="shared" si="87"/>
        <v>0</v>
      </c>
      <c r="K366" s="61">
        <v>0</v>
      </c>
      <c r="L366" s="61">
        <f t="shared" si="88"/>
        <v>0</v>
      </c>
      <c r="M366" s="58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 t="s">
        <v>372</v>
      </c>
      <c r="B367" s="29" t="s">
        <v>35</v>
      </c>
      <c r="C367" s="10" t="s">
        <v>647</v>
      </c>
      <c r="D367" s="10" t="s">
        <v>648</v>
      </c>
      <c r="E367" s="32">
        <v>1010.59</v>
      </c>
      <c r="F367" s="32">
        <v>715.41</v>
      </c>
      <c r="G367" s="69">
        <f t="shared" si="86"/>
        <v>536.5575</v>
      </c>
      <c r="H367" s="75">
        <v>0.27928999999999998</v>
      </c>
      <c r="I367" s="69">
        <f t="shared" si="84"/>
        <v>432.10282527499999</v>
      </c>
      <c r="J367" s="78">
        <f t="shared" si="87"/>
        <v>9.9903429449999983</v>
      </c>
      <c r="K367" s="61">
        <v>0</v>
      </c>
      <c r="L367" s="61">
        <f t="shared" si="88"/>
        <v>15.984548711999999</v>
      </c>
      <c r="M367" s="58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 t="s">
        <v>372</v>
      </c>
      <c r="B368" s="29" t="s">
        <v>35</v>
      </c>
      <c r="C368" s="10" t="s">
        <v>650</v>
      </c>
      <c r="D368" s="10" t="s">
        <v>651</v>
      </c>
      <c r="E368" s="32">
        <v>2390.2800000000002</v>
      </c>
      <c r="F368" s="32">
        <v>5601.58</v>
      </c>
      <c r="G368" s="69">
        <f t="shared" si="86"/>
        <v>4201.1849999999995</v>
      </c>
      <c r="H368" s="75">
        <v>0.27928999999999998</v>
      </c>
      <c r="I368" s="69">
        <f t="shared" si="84"/>
        <v>1840.9302598499999</v>
      </c>
      <c r="J368" s="78">
        <f t="shared" si="87"/>
        <v>78.22326391</v>
      </c>
      <c r="K368" s="61">
        <v>0</v>
      </c>
      <c r="L368" s="61">
        <f t="shared" si="88"/>
        <v>125.15722225599998</v>
      </c>
      <c r="M368" s="58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 t="s">
        <v>372</v>
      </c>
      <c r="B369" s="32" t="s">
        <v>140</v>
      </c>
      <c r="C369" s="10">
        <v>9423640</v>
      </c>
      <c r="D369" s="10" t="s">
        <v>730</v>
      </c>
      <c r="E369" s="32">
        <v>40</v>
      </c>
      <c r="F369" s="32">
        <v>0</v>
      </c>
      <c r="G369" s="69">
        <f>F369*0.6</f>
        <v>0</v>
      </c>
      <c r="H369" s="70">
        <v>0.65454480000000004</v>
      </c>
      <c r="I369" s="69">
        <f>((E369+G369)*0.9)*H369</f>
        <v>23.563612800000001</v>
      </c>
      <c r="J369" s="79" t="s">
        <v>468</v>
      </c>
      <c r="K369" s="61">
        <v>0</v>
      </c>
      <c r="L369" s="61">
        <f>F369*0.1*H369*0.9</f>
        <v>0</v>
      </c>
      <c r="M369" s="58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 t="s">
        <v>372</v>
      </c>
      <c r="B370" s="2" t="s">
        <v>10</v>
      </c>
      <c r="C370" s="10">
        <v>875937</v>
      </c>
      <c r="D370" s="10" t="s">
        <v>826</v>
      </c>
      <c r="E370" s="32">
        <v>-7660</v>
      </c>
      <c r="F370" s="32">
        <v>518.35</v>
      </c>
      <c r="G370" s="69">
        <f t="shared" ref="G370:G397" si="89">F370*0.7</f>
        <v>362.84499999999997</v>
      </c>
      <c r="H370" s="70">
        <v>0.20202000000000001</v>
      </c>
      <c r="I370" s="69">
        <f t="shared" ref="I370:I411" si="90">(E370+G370)*H370</f>
        <v>-1474.1712531000001</v>
      </c>
      <c r="J370" s="79" t="s">
        <v>468</v>
      </c>
      <c r="K370" s="61">
        <v>0</v>
      </c>
      <c r="L370" s="58">
        <f t="shared" ref="L370:L398" si="91">F370*0.05*H370</f>
        <v>5.2358533500000011</v>
      </c>
      <c r="M370" s="58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 t="s">
        <v>372</v>
      </c>
      <c r="B371" s="2" t="s">
        <v>10</v>
      </c>
      <c r="C371" s="10">
        <v>1077627</v>
      </c>
      <c r="D371" s="10" t="s">
        <v>763</v>
      </c>
      <c r="E371" s="32">
        <v>232.5</v>
      </c>
      <c r="F371" s="32">
        <v>169.4</v>
      </c>
      <c r="G371" s="69">
        <f t="shared" si="89"/>
        <v>118.58</v>
      </c>
      <c r="H371" s="70">
        <v>0.20202000000000001</v>
      </c>
      <c r="I371" s="69">
        <f t="shared" si="90"/>
        <v>70.925181600000002</v>
      </c>
      <c r="J371" s="79" t="s">
        <v>468</v>
      </c>
      <c r="K371" s="61">
        <v>0</v>
      </c>
      <c r="L371" s="58">
        <f t="shared" si="91"/>
        <v>1.7111094000000002</v>
      </c>
      <c r="M371" s="58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 t="s">
        <v>372</v>
      </c>
      <c r="B372" s="2" t="s">
        <v>10</v>
      </c>
      <c r="C372" s="10">
        <v>1077632</v>
      </c>
      <c r="D372" s="10" t="s">
        <v>813</v>
      </c>
      <c r="E372" s="32">
        <v>2187.35</v>
      </c>
      <c r="F372" s="32">
        <v>128.75</v>
      </c>
      <c r="G372" s="69">
        <f t="shared" si="89"/>
        <v>90.125</v>
      </c>
      <c r="H372" s="70">
        <v>0.20202000000000001</v>
      </c>
      <c r="I372" s="69">
        <f t="shared" si="90"/>
        <v>460.09549950000002</v>
      </c>
      <c r="J372" s="79" t="s">
        <v>468</v>
      </c>
      <c r="K372" s="61">
        <v>0</v>
      </c>
      <c r="L372" s="58">
        <f t="shared" si="91"/>
        <v>1.3005037500000001</v>
      </c>
      <c r="M372" s="58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 t="s">
        <v>372</v>
      </c>
      <c r="B373" s="2" t="s">
        <v>10</v>
      </c>
      <c r="C373" s="10">
        <v>1077635</v>
      </c>
      <c r="D373" s="10" t="s">
        <v>814</v>
      </c>
      <c r="E373" s="32">
        <v>-30</v>
      </c>
      <c r="F373" s="32">
        <v>0</v>
      </c>
      <c r="G373" s="69">
        <f t="shared" si="89"/>
        <v>0</v>
      </c>
      <c r="H373" s="70">
        <v>0.20202000000000001</v>
      </c>
      <c r="I373" s="69">
        <f t="shared" si="90"/>
        <v>-6.0606</v>
      </c>
      <c r="J373" s="79" t="s">
        <v>468</v>
      </c>
      <c r="K373" s="61">
        <v>0</v>
      </c>
      <c r="L373" s="58">
        <f t="shared" si="91"/>
        <v>0</v>
      </c>
      <c r="M373" s="58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 t="s">
        <v>372</v>
      </c>
      <c r="B374" s="2" t="s">
        <v>10</v>
      </c>
      <c r="C374" s="10">
        <v>1077641</v>
      </c>
      <c r="D374" s="10" t="s">
        <v>789</v>
      </c>
      <c r="E374" s="32">
        <v>361.95</v>
      </c>
      <c r="F374" s="32">
        <v>22.45</v>
      </c>
      <c r="G374" s="69">
        <f t="shared" si="89"/>
        <v>15.714999999999998</v>
      </c>
      <c r="H374" s="70">
        <v>0.20202000000000001</v>
      </c>
      <c r="I374" s="69">
        <f t="shared" si="90"/>
        <v>76.2958833</v>
      </c>
      <c r="J374" s="79" t="s">
        <v>468</v>
      </c>
      <c r="K374" s="61">
        <v>0</v>
      </c>
      <c r="L374" s="58">
        <f t="shared" si="91"/>
        <v>0.22676745000000001</v>
      </c>
      <c r="M374" s="58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 t="s">
        <v>372</v>
      </c>
      <c r="B375" s="2" t="s">
        <v>10</v>
      </c>
      <c r="C375" s="10">
        <v>1077644</v>
      </c>
      <c r="D375" s="10" t="s">
        <v>764</v>
      </c>
      <c r="E375" s="32">
        <v>465.3</v>
      </c>
      <c r="F375" s="32">
        <v>10.4</v>
      </c>
      <c r="G375" s="69">
        <f t="shared" si="89"/>
        <v>7.2799999999999994</v>
      </c>
      <c r="H375" s="70">
        <v>0.20202000000000001</v>
      </c>
      <c r="I375" s="69">
        <f t="shared" si="90"/>
        <v>95.470611599999998</v>
      </c>
      <c r="J375" s="79" t="s">
        <v>468</v>
      </c>
      <c r="K375" s="61">
        <v>0</v>
      </c>
      <c r="L375" s="58">
        <f t="shared" si="91"/>
        <v>0.1050504</v>
      </c>
      <c r="M375" s="58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 t="s">
        <v>372</v>
      </c>
      <c r="B376" s="2" t="s">
        <v>10</v>
      </c>
      <c r="C376" s="10">
        <v>1079123</v>
      </c>
      <c r="D376" s="10" t="s">
        <v>827</v>
      </c>
      <c r="E376" s="32">
        <v>-4200.7</v>
      </c>
      <c r="F376" s="32">
        <v>185.45</v>
      </c>
      <c r="G376" s="69">
        <f t="shared" si="89"/>
        <v>129.815</v>
      </c>
      <c r="H376" s="70">
        <v>0.20202000000000001</v>
      </c>
      <c r="I376" s="69">
        <f t="shared" si="90"/>
        <v>-822.40018769999995</v>
      </c>
      <c r="J376" s="79" t="s">
        <v>468</v>
      </c>
      <c r="K376" s="61">
        <v>0</v>
      </c>
      <c r="L376" s="58">
        <f t="shared" si="91"/>
        <v>1.8732304499999999</v>
      </c>
      <c r="M376" s="58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 t="s">
        <v>372</v>
      </c>
      <c r="B377" s="2" t="s">
        <v>10</v>
      </c>
      <c r="C377" s="10">
        <v>1024127</v>
      </c>
      <c r="D377" s="10" t="s">
        <v>766</v>
      </c>
      <c r="E377" s="32">
        <v>-246.55</v>
      </c>
      <c r="F377" s="32">
        <v>19.399999999999999</v>
      </c>
      <c r="G377" s="69">
        <f t="shared" si="89"/>
        <v>13.579999999999998</v>
      </c>
      <c r="H377" s="70">
        <v>0.20202000000000001</v>
      </c>
      <c r="I377" s="69">
        <f t="shared" si="90"/>
        <v>-47.064599400000006</v>
      </c>
      <c r="J377" s="79" t="s">
        <v>468</v>
      </c>
      <c r="K377" s="61">
        <v>0</v>
      </c>
      <c r="L377" s="58">
        <f t="shared" si="91"/>
        <v>0.19595940000000001</v>
      </c>
      <c r="M377" s="58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 t="s">
        <v>372</v>
      </c>
      <c r="B378" s="2" t="s">
        <v>10</v>
      </c>
      <c r="C378" s="10">
        <v>963076</v>
      </c>
      <c r="D378" s="10" t="s">
        <v>662</v>
      </c>
      <c r="E378" s="32">
        <v>-28.25</v>
      </c>
      <c r="F378" s="32">
        <v>26.8</v>
      </c>
      <c r="G378" s="69">
        <f t="shared" si="89"/>
        <v>18.759999999999998</v>
      </c>
      <c r="H378" s="70">
        <v>0.20202000000000001</v>
      </c>
      <c r="I378" s="69">
        <f t="shared" si="90"/>
        <v>-1.9171698000000004</v>
      </c>
      <c r="J378" s="79" t="s">
        <v>468</v>
      </c>
      <c r="K378" s="61">
        <v>0</v>
      </c>
      <c r="L378" s="58">
        <f t="shared" si="91"/>
        <v>0.27070680000000003</v>
      </c>
      <c r="M378" s="58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 t="s">
        <v>372</v>
      </c>
      <c r="B379" s="2" t="s">
        <v>10</v>
      </c>
      <c r="C379" s="10">
        <v>1009846</v>
      </c>
      <c r="D379" s="10" t="s">
        <v>666</v>
      </c>
      <c r="E379" s="32">
        <v>15.1</v>
      </c>
      <c r="F379" s="32">
        <v>6.95</v>
      </c>
      <c r="G379" s="69">
        <f t="shared" si="89"/>
        <v>4.8650000000000002</v>
      </c>
      <c r="H379" s="70">
        <v>0.20202000000000001</v>
      </c>
      <c r="I379" s="69">
        <f t="shared" si="90"/>
        <v>4.0333293000000001</v>
      </c>
      <c r="J379" s="79" t="s">
        <v>468</v>
      </c>
      <c r="K379" s="61">
        <v>0</v>
      </c>
      <c r="L379" s="58">
        <f t="shared" si="91"/>
        <v>7.0201950000000013E-2</v>
      </c>
      <c r="M379" s="58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 t="s">
        <v>372</v>
      </c>
      <c r="B380" s="2" t="s">
        <v>10</v>
      </c>
      <c r="C380" s="10">
        <v>1024209</v>
      </c>
      <c r="D380" s="10" t="s">
        <v>828</v>
      </c>
      <c r="E380" s="32">
        <v>-17</v>
      </c>
      <c r="F380" s="32">
        <v>4.95</v>
      </c>
      <c r="G380" s="69">
        <f t="shared" si="89"/>
        <v>3.4649999999999999</v>
      </c>
      <c r="H380" s="70">
        <v>0.20202000000000001</v>
      </c>
      <c r="I380" s="69">
        <f t="shared" si="90"/>
        <v>-2.7343407000000002</v>
      </c>
      <c r="J380" s="79" t="s">
        <v>468</v>
      </c>
      <c r="K380" s="61">
        <v>0</v>
      </c>
      <c r="L380" s="58">
        <f t="shared" si="91"/>
        <v>4.9999950000000008E-2</v>
      </c>
      <c r="M380" s="58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 t="s">
        <v>372</v>
      </c>
      <c r="B381" s="2" t="s">
        <v>10</v>
      </c>
      <c r="C381" s="10">
        <v>1058484</v>
      </c>
      <c r="D381" s="10" t="s">
        <v>805</v>
      </c>
      <c r="E381" s="32">
        <v>-280.75</v>
      </c>
      <c r="F381" s="32">
        <v>47.45</v>
      </c>
      <c r="G381" s="69">
        <f t="shared" si="89"/>
        <v>33.215000000000003</v>
      </c>
      <c r="H381" s="70">
        <v>0.20202000000000001</v>
      </c>
      <c r="I381" s="69">
        <f t="shared" si="90"/>
        <v>-50.007020699999998</v>
      </c>
      <c r="J381" s="79" t="s">
        <v>468</v>
      </c>
      <c r="K381" s="61">
        <v>0</v>
      </c>
      <c r="L381" s="58">
        <f t="shared" si="91"/>
        <v>0.47929245000000004</v>
      </c>
      <c r="M381" s="58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 t="s">
        <v>372</v>
      </c>
      <c r="B382" s="2" t="s">
        <v>10</v>
      </c>
      <c r="C382" s="10">
        <v>1058488</v>
      </c>
      <c r="D382" s="10" t="s">
        <v>784</v>
      </c>
      <c r="E382" s="32">
        <v>-98</v>
      </c>
      <c r="F382" s="32">
        <v>7.65</v>
      </c>
      <c r="G382" s="69">
        <f t="shared" si="89"/>
        <v>5.3549999999999995</v>
      </c>
      <c r="H382" s="70">
        <v>0.20202000000000001</v>
      </c>
      <c r="I382" s="69">
        <f t="shared" si="90"/>
        <v>-18.716142900000001</v>
      </c>
      <c r="J382" s="79" t="s">
        <v>468</v>
      </c>
      <c r="K382" s="61">
        <v>0</v>
      </c>
      <c r="L382" s="58">
        <f t="shared" si="91"/>
        <v>7.7272650000000012E-2</v>
      </c>
      <c r="M382" s="58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 t="s">
        <v>372</v>
      </c>
      <c r="B383" s="2" t="s">
        <v>10</v>
      </c>
      <c r="C383" s="10">
        <v>1058491</v>
      </c>
      <c r="D383" s="10" t="s">
        <v>712</v>
      </c>
      <c r="E383" s="32">
        <v>-96.25</v>
      </c>
      <c r="F383" s="32">
        <v>45.5</v>
      </c>
      <c r="G383" s="69">
        <f t="shared" si="89"/>
        <v>31.849999999999998</v>
      </c>
      <c r="H383" s="70">
        <v>0.20202000000000001</v>
      </c>
      <c r="I383" s="69">
        <f t="shared" si="90"/>
        <v>-13.010088000000001</v>
      </c>
      <c r="J383" s="79" t="s">
        <v>468</v>
      </c>
      <c r="K383" s="61">
        <v>0</v>
      </c>
      <c r="L383" s="58">
        <f t="shared" si="91"/>
        <v>0.45959549999999999</v>
      </c>
      <c r="M383" s="58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 t="s">
        <v>372</v>
      </c>
      <c r="B384" s="2" t="s">
        <v>10</v>
      </c>
      <c r="C384" s="10">
        <v>1058947</v>
      </c>
      <c r="D384" s="10" t="s">
        <v>681</v>
      </c>
      <c r="E384" s="32">
        <v>-120.7</v>
      </c>
      <c r="F384" s="32">
        <v>45.6</v>
      </c>
      <c r="G384" s="69">
        <f t="shared" si="89"/>
        <v>31.919999999999998</v>
      </c>
      <c r="H384" s="70">
        <v>0.20202000000000001</v>
      </c>
      <c r="I384" s="69">
        <f t="shared" si="90"/>
        <v>-17.935335600000002</v>
      </c>
      <c r="J384" s="79" t="s">
        <v>468</v>
      </c>
      <c r="K384" s="61">
        <v>0</v>
      </c>
      <c r="L384" s="58">
        <f t="shared" si="91"/>
        <v>0.46060560000000006</v>
      </c>
      <c r="M384" s="58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 t="s">
        <v>372</v>
      </c>
      <c r="B385" s="2" t="s">
        <v>10</v>
      </c>
      <c r="C385" s="10">
        <v>1067198</v>
      </c>
      <c r="D385" s="10" t="s">
        <v>700</v>
      </c>
      <c r="E385" s="32">
        <v>-447.05</v>
      </c>
      <c r="F385" s="32">
        <v>200.95</v>
      </c>
      <c r="G385" s="69">
        <f t="shared" si="89"/>
        <v>140.66499999999999</v>
      </c>
      <c r="H385" s="70">
        <v>0.20202000000000001</v>
      </c>
      <c r="I385" s="69">
        <f t="shared" si="90"/>
        <v>-61.895897699999999</v>
      </c>
      <c r="J385" s="79" t="s">
        <v>468</v>
      </c>
      <c r="K385" s="61">
        <v>0</v>
      </c>
      <c r="L385" s="58">
        <f t="shared" si="91"/>
        <v>2.02979595</v>
      </c>
      <c r="M385" s="58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 t="s">
        <v>372</v>
      </c>
      <c r="B386" s="2" t="s">
        <v>10</v>
      </c>
      <c r="C386" s="10">
        <v>1072699</v>
      </c>
      <c r="D386" s="10" t="s">
        <v>726</v>
      </c>
      <c r="E386" s="32">
        <v>1.5</v>
      </c>
      <c r="F386" s="32">
        <v>0.55000000000000004</v>
      </c>
      <c r="G386" s="69">
        <f t="shared" si="89"/>
        <v>0.38500000000000001</v>
      </c>
      <c r="H386" s="70">
        <v>0.20202000000000001</v>
      </c>
      <c r="I386" s="69">
        <f t="shared" si="90"/>
        <v>0.38080770000000003</v>
      </c>
      <c r="J386" s="79" t="s">
        <v>468</v>
      </c>
      <c r="K386" s="61">
        <v>0</v>
      </c>
      <c r="L386" s="58">
        <f t="shared" si="91"/>
        <v>5.5555500000000011E-3</v>
      </c>
      <c r="M386" s="58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 t="s">
        <v>372</v>
      </c>
      <c r="B387" s="2" t="s">
        <v>10</v>
      </c>
      <c r="C387" s="10">
        <v>1093482</v>
      </c>
      <c r="D387" s="10" t="s">
        <v>795</v>
      </c>
      <c r="E387" s="32">
        <v>-161.6</v>
      </c>
      <c r="F387" s="32">
        <v>53.6</v>
      </c>
      <c r="G387" s="69">
        <f t="shared" si="89"/>
        <v>37.519999999999996</v>
      </c>
      <c r="H387" s="70">
        <v>0.20202000000000001</v>
      </c>
      <c r="I387" s="69">
        <f t="shared" si="90"/>
        <v>-25.066641600000001</v>
      </c>
      <c r="J387" s="79" t="s">
        <v>468</v>
      </c>
      <c r="K387" s="61">
        <v>0</v>
      </c>
      <c r="L387" s="58">
        <f t="shared" si="91"/>
        <v>0.54141360000000005</v>
      </c>
      <c r="M387" s="58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 t="s">
        <v>372</v>
      </c>
      <c r="B388" s="2" t="s">
        <v>10</v>
      </c>
      <c r="C388" s="10">
        <v>1094517</v>
      </c>
      <c r="D388" s="10" t="s">
        <v>807</v>
      </c>
      <c r="E388" s="32">
        <v>-9053.9</v>
      </c>
      <c r="F388" s="32">
        <v>1934.5</v>
      </c>
      <c r="G388" s="69">
        <f t="shared" si="89"/>
        <v>1354.1499999999999</v>
      </c>
      <c r="H388" s="70">
        <v>0.20202000000000001</v>
      </c>
      <c r="I388" s="69">
        <f t="shared" si="90"/>
        <v>-1555.5034949999999</v>
      </c>
      <c r="J388" s="79" t="s">
        <v>468</v>
      </c>
      <c r="K388" s="61">
        <v>0</v>
      </c>
      <c r="L388" s="58">
        <f t="shared" si="91"/>
        <v>19.540384500000002</v>
      </c>
      <c r="M388" s="58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 t="s">
        <v>372</v>
      </c>
      <c r="B389" s="2" t="s">
        <v>10</v>
      </c>
      <c r="C389" s="10">
        <v>1101415</v>
      </c>
      <c r="D389" s="10" t="s">
        <v>820</v>
      </c>
      <c r="E389" s="32">
        <v>-144</v>
      </c>
      <c r="F389" s="32">
        <v>10.7</v>
      </c>
      <c r="G389" s="69">
        <f t="shared" si="89"/>
        <v>7.4899999999999993</v>
      </c>
      <c r="H389" s="70">
        <v>0.20202000000000001</v>
      </c>
      <c r="I389" s="69">
        <f t="shared" si="90"/>
        <v>-27.577750200000001</v>
      </c>
      <c r="J389" s="79" t="s">
        <v>468</v>
      </c>
      <c r="K389" s="61">
        <v>0</v>
      </c>
      <c r="L389" s="58">
        <f t="shared" si="91"/>
        <v>0.10808070000000002</v>
      </c>
      <c r="M389" s="58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 t="s">
        <v>372</v>
      </c>
      <c r="B390" s="2" t="s">
        <v>10</v>
      </c>
      <c r="C390" s="10">
        <v>1106523</v>
      </c>
      <c r="D390" s="10" t="s">
        <v>829</v>
      </c>
      <c r="E390" s="32">
        <v>-170.15</v>
      </c>
      <c r="F390" s="32">
        <v>106.75</v>
      </c>
      <c r="G390" s="69">
        <f t="shared" si="89"/>
        <v>74.724999999999994</v>
      </c>
      <c r="H390" s="70">
        <v>0.20202000000000001</v>
      </c>
      <c r="I390" s="69">
        <f t="shared" si="90"/>
        <v>-19.277758500000004</v>
      </c>
      <c r="J390" s="79" t="s">
        <v>468</v>
      </c>
      <c r="K390" s="61">
        <v>0</v>
      </c>
      <c r="L390" s="58">
        <f t="shared" si="91"/>
        <v>1.0782817500000001</v>
      </c>
      <c r="M390" s="58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 t="s">
        <v>372</v>
      </c>
      <c r="B391" s="2" t="s">
        <v>10</v>
      </c>
      <c r="C391" s="10">
        <v>1106710</v>
      </c>
      <c r="D391" s="10" t="s">
        <v>830</v>
      </c>
      <c r="E391" s="32">
        <v>-13.15</v>
      </c>
      <c r="F391" s="32">
        <v>2</v>
      </c>
      <c r="G391" s="69">
        <f t="shared" si="89"/>
        <v>1.4</v>
      </c>
      <c r="H391" s="70">
        <v>0.20202000000000001</v>
      </c>
      <c r="I391" s="69">
        <f t="shared" si="90"/>
        <v>-2.3737349999999999</v>
      </c>
      <c r="J391" s="79" t="s">
        <v>468</v>
      </c>
      <c r="K391" s="61">
        <v>0</v>
      </c>
      <c r="L391" s="58">
        <f t="shared" si="91"/>
        <v>2.0202000000000001E-2</v>
      </c>
      <c r="M391" s="58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 t="s">
        <v>372</v>
      </c>
      <c r="B392" s="2" t="s">
        <v>10</v>
      </c>
      <c r="C392" s="10">
        <v>1107314</v>
      </c>
      <c r="D392" s="10" t="s">
        <v>831</v>
      </c>
      <c r="E392" s="32">
        <v>-1028.7</v>
      </c>
      <c r="F392" s="32">
        <v>181.9</v>
      </c>
      <c r="G392" s="69">
        <f t="shared" si="89"/>
        <v>127.33</v>
      </c>
      <c r="H392" s="70">
        <v>0.20202000000000001</v>
      </c>
      <c r="I392" s="69">
        <f t="shared" si="90"/>
        <v>-182.09476739999999</v>
      </c>
      <c r="J392" s="79" t="s">
        <v>468</v>
      </c>
      <c r="K392" s="61">
        <v>0</v>
      </c>
      <c r="L392" s="58">
        <f t="shared" si="91"/>
        <v>1.8373719000000002</v>
      </c>
      <c r="M392" s="58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 t="s">
        <v>372</v>
      </c>
      <c r="B393" s="2" t="s">
        <v>10</v>
      </c>
      <c r="C393" s="10">
        <v>1108309</v>
      </c>
      <c r="D393" s="10" t="s">
        <v>832</v>
      </c>
      <c r="E393" s="32">
        <v>0.3</v>
      </c>
      <c r="F393" s="32">
        <v>6</v>
      </c>
      <c r="G393" s="69">
        <f t="shared" si="89"/>
        <v>4.1999999999999993</v>
      </c>
      <c r="H393" s="70">
        <v>0.20202000000000001</v>
      </c>
      <c r="I393" s="69">
        <f t="shared" si="90"/>
        <v>0.90908999999999984</v>
      </c>
      <c r="J393" s="79" t="s">
        <v>468</v>
      </c>
      <c r="K393" s="61">
        <v>0</v>
      </c>
      <c r="L393" s="58">
        <f t="shared" si="91"/>
        <v>6.0606000000000007E-2</v>
      </c>
      <c r="M393" s="58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 t="s">
        <v>372</v>
      </c>
      <c r="B394" s="2" t="s">
        <v>10</v>
      </c>
      <c r="C394" s="10">
        <v>1108679</v>
      </c>
      <c r="D394" s="10" t="s">
        <v>833</v>
      </c>
      <c r="E394" s="32">
        <v>-420</v>
      </c>
      <c r="F394" s="32">
        <v>82</v>
      </c>
      <c r="G394" s="69">
        <f t="shared" si="89"/>
        <v>57.4</v>
      </c>
      <c r="H394" s="70">
        <v>0.20202000000000001</v>
      </c>
      <c r="I394" s="69">
        <f t="shared" si="90"/>
        <v>-73.252452000000005</v>
      </c>
      <c r="J394" s="79" t="s">
        <v>468</v>
      </c>
      <c r="K394" s="61">
        <v>0</v>
      </c>
      <c r="L394" s="58">
        <f t="shared" si="91"/>
        <v>0.82828200000000007</v>
      </c>
      <c r="M394" s="58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 t="s">
        <v>372</v>
      </c>
      <c r="B395" s="2" t="s">
        <v>10</v>
      </c>
      <c r="C395" s="10">
        <v>1108750</v>
      </c>
      <c r="D395" s="10" t="s">
        <v>834</v>
      </c>
      <c r="E395" s="32">
        <v>-154.44999999999999</v>
      </c>
      <c r="F395" s="32">
        <v>18.649999999999999</v>
      </c>
      <c r="G395" s="69">
        <f t="shared" si="89"/>
        <v>13.054999999999998</v>
      </c>
      <c r="H395" s="70">
        <v>0.20202000000000001</v>
      </c>
      <c r="I395" s="69">
        <f t="shared" si="90"/>
        <v>-28.564617899999998</v>
      </c>
      <c r="J395" s="79" t="s">
        <v>468</v>
      </c>
      <c r="K395" s="61">
        <v>0</v>
      </c>
      <c r="L395" s="58">
        <f t="shared" si="91"/>
        <v>0.18838365000000001</v>
      </c>
      <c r="M395" s="58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 t="s">
        <v>372</v>
      </c>
      <c r="B396" s="2" t="s">
        <v>10</v>
      </c>
      <c r="C396" s="10">
        <v>915274</v>
      </c>
      <c r="D396" s="10" t="s">
        <v>701</v>
      </c>
      <c r="E396" s="32">
        <v>-1238.45</v>
      </c>
      <c r="F396" s="32">
        <v>220.2</v>
      </c>
      <c r="G396" s="69">
        <f t="shared" si="89"/>
        <v>154.13999999999999</v>
      </c>
      <c r="H396" s="70">
        <v>0.20202000000000001</v>
      </c>
      <c r="I396" s="69">
        <f t="shared" si="90"/>
        <v>-219.0523062</v>
      </c>
      <c r="J396" s="79" t="s">
        <v>468</v>
      </c>
      <c r="K396" s="61">
        <v>0</v>
      </c>
      <c r="L396" s="58">
        <f t="shared" si="91"/>
        <v>2.2242402000000001</v>
      </c>
      <c r="M396" s="58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 t="s">
        <v>372</v>
      </c>
      <c r="B397" s="2" t="s">
        <v>10</v>
      </c>
      <c r="C397" s="10">
        <v>939806</v>
      </c>
      <c r="D397" s="10" t="s">
        <v>823</v>
      </c>
      <c r="E397" s="32">
        <v>-298.55</v>
      </c>
      <c r="F397" s="32">
        <v>102.9</v>
      </c>
      <c r="G397" s="69">
        <f t="shared" si="89"/>
        <v>72.03</v>
      </c>
      <c r="H397" s="70">
        <v>0.20202000000000001</v>
      </c>
      <c r="I397" s="69">
        <f t="shared" si="90"/>
        <v>-45.761570400000004</v>
      </c>
      <c r="J397" s="79" t="s">
        <v>468</v>
      </c>
      <c r="K397" s="61">
        <v>0</v>
      </c>
      <c r="L397" s="58">
        <f t="shared" si="91"/>
        <v>1.0393929000000002</v>
      </c>
      <c r="M397" s="58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 t="s">
        <v>372</v>
      </c>
      <c r="B398" s="10" t="s">
        <v>762</v>
      </c>
      <c r="C398" s="10" t="s">
        <v>781</v>
      </c>
      <c r="D398" s="10" t="s">
        <v>782</v>
      </c>
      <c r="E398" s="32">
        <v>-2117</v>
      </c>
      <c r="F398" s="32">
        <v>15.69</v>
      </c>
      <c r="G398" s="69">
        <f>F398*0.3</f>
        <v>4.7069999999999999</v>
      </c>
      <c r="H398" s="70">
        <v>1</v>
      </c>
      <c r="I398" s="69">
        <f t="shared" si="90"/>
        <v>-2112.2930000000001</v>
      </c>
      <c r="J398" s="79" t="s">
        <v>468</v>
      </c>
      <c r="K398" s="61">
        <v>0</v>
      </c>
      <c r="L398" s="58">
        <f t="shared" si="91"/>
        <v>0.78449999999999998</v>
      </c>
      <c r="M398" s="58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 t="s">
        <v>377</v>
      </c>
      <c r="B399" s="32" t="s">
        <v>54</v>
      </c>
      <c r="C399" s="10" t="s">
        <v>623</v>
      </c>
      <c r="D399" s="10">
        <v>727727</v>
      </c>
      <c r="E399" s="32">
        <v>231.88</v>
      </c>
      <c r="F399" s="32">
        <v>202.49</v>
      </c>
      <c r="G399" s="69">
        <f t="shared" ref="G399:G411" si="92">F399*0.75</f>
        <v>151.86750000000001</v>
      </c>
      <c r="H399" s="75">
        <v>0.27564</v>
      </c>
      <c r="I399" s="69">
        <f t="shared" si="90"/>
        <v>105.77616089999999</v>
      </c>
      <c r="J399" s="78">
        <f t="shared" ref="J399:J411" si="93">F399*0.05*H399</f>
        <v>2.7907171800000001</v>
      </c>
      <c r="K399" s="61">
        <v>0</v>
      </c>
      <c r="L399" s="61">
        <f t="shared" ref="L399:L411" si="94">F399*0.08*H399</f>
        <v>4.4651474880000004</v>
      </c>
      <c r="M399" s="58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 t="s">
        <v>377</v>
      </c>
      <c r="B400" s="32" t="s">
        <v>54</v>
      </c>
      <c r="C400" s="10" t="s">
        <v>627</v>
      </c>
      <c r="D400" s="10" t="s">
        <v>628</v>
      </c>
      <c r="E400" s="32">
        <v>-5753.76</v>
      </c>
      <c r="F400" s="32">
        <v>555.04</v>
      </c>
      <c r="G400" s="69">
        <f t="shared" si="92"/>
        <v>416.28</v>
      </c>
      <c r="H400" s="75">
        <v>0.27564</v>
      </c>
      <c r="I400" s="69">
        <f t="shared" si="90"/>
        <v>-1471.2229872</v>
      </c>
      <c r="J400" s="78">
        <f t="shared" si="93"/>
        <v>7.6495612799999995</v>
      </c>
      <c r="K400" s="61">
        <v>0</v>
      </c>
      <c r="L400" s="61">
        <f t="shared" si="94"/>
        <v>12.239298048</v>
      </c>
      <c r="M400" s="58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 t="s">
        <v>377</v>
      </c>
      <c r="B401" s="32" t="s">
        <v>54</v>
      </c>
      <c r="C401" s="10" t="s">
        <v>799</v>
      </c>
      <c r="D401" s="10" t="s">
        <v>800</v>
      </c>
      <c r="E401" s="32">
        <v>4336.04</v>
      </c>
      <c r="F401" s="32">
        <v>2599.4499999999998</v>
      </c>
      <c r="G401" s="69">
        <f t="shared" si="92"/>
        <v>1949.5874999999999</v>
      </c>
      <c r="H401" s="75">
        <v>0.27564</v>
      </c>
      <c r="I401" s="69">
        <f t="shared" si="90"/>
        <v>1732.5703640999998</v>
      </c>
      <c r="J401" s="78">
        <f t="shared" si="93"/>
        <v>35.8256199</v>
      </c>
      <c r="K401" s="61">
        <v>0</v>
      </c>
      <c r="L401" s="61">
        <f t="shared" si="94"/>
        <v>57.320991839999998</v>
      </c>
      <c r="M401" s="58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 t="s">
        <v>377</v>
      </c>
      <c r="B402" s="32" t="s">
        <v>54</v>
      </c>
      <c r="C402" s="10" t="s">
        <v>630</v>
      </c>
      <c r="D402" s="10" t="s">
        <v>631</v>
      </c>
      <c r="E402" s="32">
        <v>3987.13</v>
      </c>
      <c r="F402" s="32">
        <v>466.83</v>
      </c>
      <c r="G402" s="69">
        <f t="shared" si="92"/>
        <v>350.1225</v>
      </c>
      <c r="H402" s="75">
        <v>0.27564</v>
      </c>
      <c r="I402" s="69">
        <f t="shared" si="90"/>
        <v>1195.5202791000002</v>
      </c>
      <c r="J402" s="78">
        <f t="shared" si="93"/>
        <v>6.4338510600000003</v>
      </c>
      <c r="K402" s="61">
        <v>0</v>
      </c>
      <c r="L402" s="61">
        <f t="shared" si="94"/>
        <v>10.294161696</v>
      </c>
      <c r="M402" s="58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 t="s">
        <v>377</v>
      </c>
      <c r="B403" s="32" t="s">
        <v>54</v>
      </c>
      <c r="C403" s="10" t="s">
        <v>801</v>
      </c>
      <c r="D403" s="10" t="s">
        <v>802</v>
      </c>
      <c r="E403" s="32">
        <v>7903.23</v>
      </c>
      <c r="F403" s="32">
        <v>6001.84</v>
      </c>
      <c r="G403" s="69">
        <f t="shared" si="92"/>
        <v>4501.38</v>
      </c>
      <c r="H403" s="75">
        <v>0.27564</v>
      </c>
      <c r="I403" s="69">
        <f t="shared" si="90"/>
        <v>3419.2067004</v>
      </c>
      <c r="J403" s="78">
        <f t="shared" si="93"/>
        <v>82.717358880000006</v>
      </c>
      <c r="K403" s="61">
        <v>0</v>
      </c>
      <c r="L403" s="61">
        <f t="shared" si="94"/>
        <v>132.347774208</v>
      </c>
      <c r="M403" s="58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 t="s">
        <v>377</v>
      </c>
      <c r="B404" s="32" t="s">
        <v>54</v>
      </c>
      <c r="C404" s="10" t="s">
        <v>633</v>
      </c>
      <c r="D404" s="10" t="s">
        <v>634</v>
      </c>
      <c r="E404" s="32">
        <v>94</v>
      </c>
      <c r="F404" s="32">
        <v>8</v>
      </c>
      <c r="G404" s="69">
        <f t="shared" si="92"/>
        <v>6</v>
      </c>
      <c r="H404" s="75">
        <v>0.27564</v>
      </c>
      <c r="I404" s="69">
        <f t="shared" si="90"/>
        <v>27.564</v>
      </c>
      <c r="J404" s="78">
        <f t="shared" si="93"/>
        <v>0.11025600000000001</v>
      </c>
      <c r="K404" s="61">
        <v>0</v>
      </c>
      <c r="L404" s="61">
        <f t="shared" si="94"/>
        <v>0.1764096</v>
      </c>
      <c r="M404" s="58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 t="s">
        <v>377</v>
      </c>
      <c r="B405" s="32" t="s">
        <v>54</v>
      </c>
      <c r="C405" s="10" t="s">
        <v>636</v>
      </c>
      <c r="D405" s="10" t="s">
        <v>637</v>
      </c>
      <c r="E405" s="32">
        <v>-1781.51</v>
      </c>
      <c r="F405" s="32">
        <v>1264.0999999999999</v>
      </c>
      <c r="G405" s="69">
        <f t="shared" si="92"/>
        <v>948.07499999999993</v>
      </c>
      <c r="H405" s="75">
        <v>0.27564</v>
      </c>
      <c r="I405" s="69">
        <f t="shared" si="90"/>
        <v>-229.72802340000001</v>
      </c>
      <c r="J405" s="78">
        <f t="shared" si="93"/>
        <v>17.421826199999998</v>
      </c>
      <c r="K405" s="61">
        <v>0</v>
      </c>
      <c r="L405" s="61">
        <f t="shared" si="94"/>
        <v>27.874921919999998</v>
      </c>
      <c r="M405" s="58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 t="s">
        <v>377</v>
      </c>
      <c r="B406" s="32" t="s">
        <v>54</v>
      </c>
      <c r="C406" s="10" t="s">
        <v>638</v>
      </c>
      <c r="D406" s="10" t="s">
        <v>639</v>
      </c>
      <c r="E406" s="32">
        <v>4669.0200000000004</v>
      </c>
      <c r="F406" s="32">
        <v>115.48</v>
      </c>
      <c r="G406" s="69">
        <f t="shared" si="92"/>
        <v>86.61</v>
      </c>
      <c r="H406" s="75">
        <v>0.27564</v>
      </c>
      <c r="I406" s="69">
        <f t="shared" si="90"/>
        <v>1310.8418532000001</v>
      </c>
      <c r="J406" s="78">
        <f t="shared" si="93"/>
        <v>1.5915453600000002</v>
      </c>
      <c r="K406" s="61">
        <v>0</v>
      </c>
      <c r="L406" s="61">
        <f t="shared" si="94"/>
        <v>2.5464725760000002</v>
      </c>
      <c r="M406" s="58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 t="s">
        <v>377</v>
      </c>
      <c r="B407" s="32" t="s">
        <v>54</v>
      </c>
      <c r="C407" s="10" t="s">
        <v>641</v>
      </c>
      <c r="D407" s="10" t="s">
        <v>642</v>
      </c>
      <c r="E407" s="32">
        <v>2006.52</v>
      </c>
      <c r="F407" s="32">
        <v>472.24</v>
      </c>
      <c r="G407" s="69">
        <f t="shared" si="92"/>
        <v>354.18</v>
      </c>
      <c r="H407" s="75">
        <v>0.27564</v>
      </c>
      <c r="I407" s="69">
        <f t="shared" si="90"/>
        <v>650.70334799999989</v>
      </c>
      <c r="J407" s="78">
        <f t="shared" si="93"/>
        <v>6.50841168</v>
      </c>
      <c r="K407" s="61">
        <v>0</v>
      </c>
      <c r="L407" s="61">
        <f t="shared" si="94"/>
        <v>10.413458688</v>
      </c>
      <c r="M407" s="58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 t="s">
        <v>377</v>
      </c>
      <c r="B408" s="32" t="s">
        <v>54</v>
      </c>
      <c r="C408" s="10" t="s">
        <v>779</v>
      </c>
      <c r="D408" s="10" t="s">
        <v>780</v>
      </c>
      <c r="E408" s="32">
        <v>-16494.400000000001</v>
      </c>
      <c r="F408" s="32">
        <v>1553.06</v>
      </c>
      <c r="G408" s="69">
        <f t="shared" si="92"/>
        <v>1164.7950000000001</v>
      </c>
      <c r="H408" s="75">
        <v>0.27564</v>
      </c>
      <c r="I408" s="69">
        <f t="shared" si="90"/>
        <v>-4225.4523222000007</v>
      </c>
      <c r="J408" s="78">
        <f t="shared" si="93"/>
        <v>21.40427292</v>
      </c>
      <c r="K408" s="61">
        <v>0</v>
      </c>
      <c r="L408" s="61">
        <f t="shared" si="94"/>
        <v>34.246836672000001</v>
      </c>
      <c r="M408" s="58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 t="s">
        <v>377</v>
      </c>
      <c r="B409" s="32" t="s">
        <v>54</v>
      </c>
      <c r="C409" s="10" t="s">
        <v>759</v>
      </c>
      <c r="D409" s="10" t="s">
        <v>760</v>
      </c>
      <c r="E409" s="32">
        <v>182.64</v>
      </c>
      <c r="F409" s="32">
        <v>11.38</v>
      </c>
      <c r="G409" s="69">
        <f t="shared" si="92"/>
        <v>8.5350000000000001</v>
      </c>
      <c r="H409" s="75">
        <v>0.27564</v>
      </c>
      <c r="I409" s="69">
        <f t="shared" si="90"/>
        <v>52.695476999999997</v>
      </c>
      <c r="J409" s="78">
        <f t="shared" si="93"/>
        <v>0.15683916000000001</v>
      </c>
      <c r="K409" s="61">
        <v>0</v>
      </c>
      <c r="L409" s="61">
        <f t="shared" si="94"/>
        <v>0.25094265600000004</v>
      </c>
      <c r="M409" s="58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 t="s">
        <v>377</v>
      </c>
      <c r="B410" s="29" t="s">
        <v>35</v>
      </c>
      <c r="C410" s="10" t="s">
        <v>647</v>
      </c>
      <c r="D410" s="10" t="s">
        <v>648</v>
      </c>
      <c r="E410" s="32">
        <v>572</v>
      </c>
      <c r="F410" s="32">
        <v>43.4</v>
      </c>
      <c r="G410" s="69">
        <f t="shared" si="92"/>
        <v>32.549999999999997</v>
      </c>
      <c r="H410" s="75">
        <v>0.27564</v>
      </c>
      <c r="I410" s="69">
        <f t="shared" si="90"/>
        <v>166.63816199999999</v>
      </c>
      <c r="J410" s="78">
        <f t="shared" si="93"/>
        <v>0.59813879999999997</v>
      </c>
      <c r="K410" s="61">
        <v>0</v>
      </c>
      <c r="L410" s="61">
        <f t="shared" si="94"/>
        <v>0.95702208</v>
      </c>
      <c r="M410" s="58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 t="s">
        <v>377</v>
      </c>
      <c r="B411" s="29" t="s">
        <v>35</v>
      </c>
      <c r="C411" s="10" t="s">
        <v>650</v>
      </c>
      <c r="D411" s="10" t="s">
        <v>651</v>
      </c>
      <c r="E411" s="32">
        <v>866.06</v>
      </c>
      <c r="F411" s="32">
        <v>582.69000000000005</v>
      </c>
      <c r="G411" s="69">
        <f t="shared" si="92"/>
        <v>437.01750000000004</v>
      </c>
      <c r="H411" s="75">
        <v>0.27564</v>
      </c>
      <c r="I411" s="69">
        <f t="shared" si="90"/>
        <v>359.18028209999994</v>
      </c>
      <c r="J411" s="78">
        <f t="shared" si="93"/>
        <v>8.0306335799999999</v>
      </c>
      <c r="K411" s="61">
        <v>0</v>
      </c>
      <c r="L411" s="61">
        <f t="shared" si="94"/>
        <v>12.849013728000003</v>
      </c>
      <c r="M411" s="58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 t="s">
        <v>377</v>
      </c>
      <c r="B412" s="32" t="s">
        <v>140</v>
      </c>
      <c r="C412" s="10">
        <v>9423640</v>
      </c>
      <c r="D412" s="10" t="s">
        <v>730</v>
      </c>
      <c r="E412" s="32">
        <v>-270.5</v>
      </c>
      <c r="F412" s="32">
        <v>110.16</v>
      </c>
      <c r="G412" s="69">
        <f>F412*0.6</f>
        <v>66.095999999999989</v>
      </c>
      <c r="H412" s="70">
        <v>0.66465792999999995</v>
      </c>
      <c r="I412" s="69">
        <f>((E412+G412)*0.9)*H412</f>
        <v>-122.27286557134801</v>
      </c>
      <c r="J412" s="79" t="s">
        <v>468</v>
      </c>
      <c r="K412" s="61">
        <v>0</v>
      </c>
      <c r="L412" s="61">
        <f>F412*0.1*H412*0.9</f>
        <v>6.5896845811919995</v>
      </c>
      <c r="M412" s="58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 t="s">
        <v>377</v>
      </c>
      <c r="B413" s="2" t="s">
        <v>10</v>
      </c>
      <c r="C413" s="10">
        <v>1111643</v>
      </c>
      <c r="D413" s="10" t="s">
        <v>835</v>
      </c>
      <c r="E413" s="32">
        <v>-138.4</v>
      </c>
      <c r="F413" s="32">
        <v>34.9</v>
      </c>
      <c r="G413" s="69">
        <f t="shared" ref="G413:G438" si="95">F413*0.7</f>
        <v>24.429999999999996</v>
      </c>
      <c r="H413" s="70">
        <v>0.20080300000000001</v>
      </c>
      <c r="I413" s="69">
        <f t="shared" ref="I413:I449" si="96">(E413+G413)*H413</f>
        <v>-22.885517910000004</v>
      </c>
      <c r="J413" s="79" t="s">
        <v>468</v>
      </c>
      <c r="K413" s="61">
        <v>0</v>
      </c>
      <c r="L413" s="58">
        <f t="shared" ref="L413:L438" si="97">F413*0.05*H413</f>
        <v>0.35040123500000003</v>
      </c>
      <c r="M413" s="58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 t="s">
        <v>377</v>
      </c>
      <c r="B414" s="2" t="s">
        <v>10</v>
      </c>
      <c r="C414" s="10">
        <v>1077632</v>
      </c>
      <c r="D414" s="10" t="s">
        <v>813</v>
      </c>
      <c r="E414" s="32">
        <v>-5000</v>
      </c>
      <c r="F414" s="32">
        <v>97.5</v>
      </c>
      <c r="G414" s="69">
        <f t="shared" si="95"/>
        <v>68.25</v>
      </c>
      <c r="H414" s="70">
        <v>0.20080300000000001</v>
      </c>
      <c r="I414" s="69">
        <f t="shared" si="96"/>
        <v>-990.31019524999999</v>
      </c>
      <c r="J414" s="79" t="s">
        <v>468</v>
      </c>
      <c r="K414" s="61">
        <v>0</v>
      </c>
      <c r="L414" s="58">
        <f t="shared" si="97"/>
        <v>0.97891462500000004</v>
      </c>
      <c r="M414" s="58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 t="s">
        <v>377</v>
      </c>
      <c r="B415" s="2" t="s">
        <v>10</v>
      </c>
      <c r="C415" s="10">
        <v>1077644</v>
      </c>
      <c r="D415" s="10" t="s">
        <v>764</v>
      </c>
      <c r="E415" s="32">
        <v>-922.4</v>
      </c>
      <c r="F415" s="32">
        <v>97.85</v>
      </c>
      <c r="G415" s="69">
        <f t="shared" si="95"/>
        <v>68.49499999999999</v>
      </c>
      <c r="H415" s="70">
        <v>0.20080300000000001</v>
      </c>
      <c r="I415" s="69">
        <f t="shared" si="96"/>
        <v>-171.46668571500001</v>
      </c>
      <c r="J415" s="79" t="s">
        <v>468</v>
      </c>
      <c r="K415" s="61">
        <v>0</v>
      </c>
      <c r="L415" s="58">
        <f t="shared" si="97"/>
        <v>0.98242867750000007</v>
      </c>
      <c r="M415" s="58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 t="s">
        <v>377</v>
      </c>
      <c r="B416" s="2" t="s">
        <v>10</v>
      </c>
      <c r="C416" s="10">
        <v>919711</v>
      </c>
      <c r="D416" s="10" t="s">
        <v>710</v>
      </c>
      <c r="E416" s="32">
        <v>168.4</v>
      </c>
      <c r="F416" s="32">
        <v>11.2</v>
      </c>
      <c r="G416" s="69">
        <f t="shared" si="95"/>
        <v>7.839999999999999</v>
      </c>
      <c r="H416" s="70">
        <v>0.20080300000000001</v>
      </c>
      <c r="I416" s="69">
        <f t="shared" si="96"/>
        <v>35.38952072</v>
      </c>
      <c r="J416" s="79" t="s">
        <v>468</v>
      </c>
      <c r="K416" s="61">
        <v>0</v>
      </c>
      <c r="L416" s="58">
        <f t="shared" si="97"/>
        <v>0.11244968</v>
      </c>
      <c r="M416" s="58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 t="s">
        <v>377</v>
      </c>
      <c r="B417" s="2" t="s">
        <v>10</v>
      </c>
      <c r="C417" s="10">
        <v>963076</v>
      </c>
      <c r="D417" s="10" t="s">
        <v>662</v>
      </c>
      <c r="E417" s="32">
        <v>-45.35</v>
      </c>
      <c r="F417" s="32">
        <v>104.8</v>
      </c>
      <c r="G417" s="69">
        <f t="shared" si="95"/>
        <v>73.36</v>
      </c>
      <c r="H417" s="70">
        <v>0.20080300000000001</v>
      </c>
      <c r="I417" s="69">
        <f t="shared" si="96"/>
        <v>5.6244920299999999</v>
      </c>
      <c r="J417" s="79" t="s">
        <v>468</v>
      </c>
      <c r="K417" s="61">
        <v>0</v>
      </c>
      <c r="L417" s="58">
        <f t="shared" si="97"/>
        <v>1.0522077200000002</v>
      </c>
      <c r="M417" s="58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 t="s">
        <v>377</v>
      </c>
      <c r="B418" s="2" t="s">
        <v>10</v>
      </c>
      <c r="C418" s="10">
        <v>1009846</v>
      </c>
      <c r="D418" s="10" t="s">
        <v>666</v>
      </c>
      <c r="E418" s="32">
        <v>-29</v>
      </c>
      <c r="F418" s="32">
        <v>18.8</v>
      </c>
      <c r="G418" s="69">
        <f t="shared" si="95"/>
        <v>13.16</v>
      </c>
      <c r="H418" s="70">
        <v>0.20080300000000001</v>
      </c>
      <c r="I418" s="69">
        <f t="shared" si="96"/>
        <v>-3.1807195200000002</v>
      </c>
      <c r="J418" s="79" t="s">
        <v>468</v>
      </c>
      <c r="K418" s="61">
        <v>0</v>
      </c>
      <c r="L418" s="58">
        <f t="shared" si="97"/>
        <v>0.18875482000000002</v>
      </c>
      <c r="M418" s="58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 t="s">
        <v>377</v>
      </c>
      <c r="B419" s="2" t="s">
        <v>10</v>
      </c>
      <c r="C419" s="10">
        <v>1024209</v>
      </c>
      <c r="D419" s="10" t="s">
        <v>828</v>
      </c>
      <c r="E419" s="32">
        <v>-73.95</v>
      </c>
      <c r="F419" s="32">
        <v>126.9</v>
      </c>
      <c r="G419" s="69">
        <f t="shared" si="95"/>
        <v>88.83</v>
      </c>
      <c r="H419" s="70">
        <v>0.20080300000000001</v>
      </c>
      <c r="I419" s="69">
        <f t="shared" si="96"/>
        <v>2.987948639999999</v>
      </c>
      <c r="J419" s="79" t="s">
        <v>468</v>
      </c>
      <c r="K419" s="61">
        <v>0</v>
      </c>
      <c r="L419" s="58">
        <f t="shared" si="97"/>
        <v>1.2740950350000002</v>
      </c>
      <c r="M419" s="58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 t="s">
        <v>377</v>
      </c>
      <c r="B420" s="2" t="s">
        <v>10</v>
      </c>
      <c r="C420" s="10">
        <v>1054937</v>
      </c>
      <c r="D420" s="10" t="s">
        <v>671</v>
      </c>
      <c r="E420" s="32">
        <v>44.6</v>
      </c>
      <c r="F420" s="32">
        <v>3.15</v>
      </c>
      <c r="G420" s="69">
        <f t="shared" si="95"/>
        <v>2.2049999999999996</v>
      </c>
      <c r="H420" s="70">
        <v>0.20080300000000001</v>
      </c>
      <c r="I420" s="69">
        <f t="shared" si="96"/>
        <v>9.3985844150000002</v>
      </c>
      <c r="J420" s="79" t="s">
        <v>468</v>
      </c>
      <c r="K420" s="61">
        <v>0</v>
      </c>
      <c r="L420" s="58">
        <f t="shared" si="97"/>
        <v>3.1626472500000002E-2</v>
      </c>
      <c r="M420" s="58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 t="s">
        <v>377</v>
      </c>
      <c r="B421" s="2" t="s">
        <v>10</v>
      </c>
      <c r="C421" s="10">
        <v>1058480</v>
      </c>
      <c r="D421" s="10" t="s">
        <v>675</v>
      </c>
      <c r="E421" s="32">
        <v>-970.2</v>
      </c>
      <c r="F421" s="32">
        <v>232.7</v>
      </c>
      <c r="G421" s="69">
        <f t="shared" si="95"/>
        <v>162.88999999999999</v>
      </c>
      <c r="H421" s="70">
        <v>0.20080300000000001</v>
      </c>
      <c r="I421" s="69">
        <f t="shared" si="96"/>
        <v>-162.11026993000002</v>
      </c>
      <c r="J421" s="79" t="s">
        <v>468</v>
      </c>
      <c r="K421" s="61">
        <v>0</v>
      </c>
      <c r="L421" s="58">
        <f t="shared" si="97"/>
        <v>2.336342905</v>
      </c>
      <c r="M421" s="58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 t="s">
        <v>377</v>
      </c>
      <c r="B422" s="2" t="s">
        <v>10</v>
      </c>
      <c r="C422" s="10">
        <v>1058488</v>
      </c>
      <c r="D422" s="10" t="s">
        <v>784</v>
      </c>
      <c r="E422" s="32">
        <v>-243.1</v>
      </c>
      <c r="F422" s="32">
        <v>41.6</v>
      </c>
      <c r="G422" s="69">
        <f t="shared" si="95"/>
        <v>29.119999999999997</v>
      </c>
      <c r="H422" s="70">
        <v>0.20080300000000001</v>
      </c>
      <c r="I422" s="69">
        <f t="shared" si="96"/>
        <v>-42.967825939999997</v>
      </c>
      <c r="J422" s="79" t="s">
        <v>468</v>
      </c>
      <c r="K422" s="61">
        <v>0</v>
      </c>
      <c r="L422" s="58">
        <f t="shared" si="97"/>
        <v>0.41767024000000003</v>
      </c>
      <c r="M422" s="58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 t="s">
        <v>377</v>
      </c>
      <c r="B423" s="2" t="s">
        <v>10</v>
      </c>
      <c r="C423" s="10">
        <v>1060012</v>
      </c>
      <c r="D423" s="10" t="s">
        <v>684</v>
      </c>
      <c r="E423" s="32">
        <v>-60</v>
      </c>
      <c r="F423" s="32">
        <v>6</v>
      </c>
      <c r="G423" s="69">
        <f t="shared" si="95"/>
        <v>4.1999999999999993</v>
      </c>
      <c r="H423" s="70">
        <v>0.20080300000000001</v>
      </c>
      <c r="I423" s="69">
        <f t="shared" si="96"/>
        <v>-11.2048074</v>
      </c>
      <c r="J423" s="79" t="s">
        <v>468</v>
      </c>
      <c r="K423" s="61">
        <v>0</v>
      </c>
      <c r="L423" s="58">
        <f t="shared" si="97"/>
        <v>6.0240900000000014E-2</v>
      </c>
      <c r="M423" s="58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 t="s">
        <v>377</v>
      </c>
      <c r="B424" s="2" t="s">
        <v>10</v>
      </c>
      <c r="C424" s="10">
        <v>1067198</v>
      </c>
      <c r="D424" s="10" t="s">
        <v>700</v>
      </c>
      <c r="E424" s="32">
        <v>-192.15</v>
      </c>
      <c r="F424" s="32">
        <v>203.25</v>
      </c>
      <c r="G424" s="69">
        <f t="shared" si="95"/>
        <v>142.27499999999998</v>
      </c>
      <c r="H424" s="70">
        <v>0.20080300000000001</v>
      </c>
      <c r="I424" s="69">
        <f t="shared" si="96"/>
        <v>-10.015049625000007</v>
      </c>
      <c r="J424" s="79" t="s">
        <v>468</v>
      </c>
      <c r="K424" s="61">
        <v>0</v>
      </c>
      <c r="L424" s="58">
        <f t="shared" si="97"/>
        <v>2.0406604875000003</v>
      </c>
      <c r="M424" s="58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 t="s">
        <v>377</v>
      </c>
      <c r="B425" s="2" t="s">
        <v>10</v>
      </c>
      <c r="C425" s="10">
        <v>1072699</v>
      </c>
      <c r="D425" s="10" t="s">
        <v>726</v>
      </c>
      <c r="E425" s="32">
        <v>-5.35</v>
      </c>
      <c r="F425" s="32">
        <v>1.1499999999999999</v>
      </c>
      <c r="G425" s="69">
        <f t="shared" si="95"/>
        <v>0.80499999999999994</v>
      </c>
      <c r="H425" s="70">
        <v>0.20080300000000001</v>
      </c>
      <c r="I425" s="69">
        <f t="shared" si="96"/>
        <v>-0.91264963500000007</v>
      </c>
      <c r="J425" s="79" t="s">
        <v>468</v>
      </c>
      <c r="K425" s="61">
        <v>0</v>
      </c>
      <c r="L425" s="58">
        <f t="shared" si="97"/>
        <v>1.15461725E-2</v>
      </c>
      <c r="M425" s="58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 t="s">
        <v>377</v>
      </c>
      <c r="B426" s="2" t="s">
        <v>10</v>
      </c>
      <c r="C426" s="10">
        <v>1075888</v>
      </c>
      <c r="D426" s="10" t="s">
        <v>739</v>
      </c>
      <c r="E426" s="32">
        <v>-14.15</v>
      </c>
      <c r="F426" s="32">
        <v>194.4</v>
      </c>
      <c r="G426" s="69">
        <f t="shared" si="95"/>
        <v>136.07999999999998</v>
      </c>
      <c r="H426" s="70">
        <v>0.20080300000000001</v>
      </c>
      <c r="I426" s="69">
        <f t="shared" si="96"/>
        <v>24.483909789999998</v>
      </c>
      <c r="J426" s="79" t="s">
        <v>468</v>
      </c>
      <c r="K426" s="61">
        <v>0</v>
      </c>
      <c r="L426" s="58">
        <f t="shared" si="97"/>
        <v>1.9518051600000001</v>
      </c>
      <c r="M426" s="58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 t="s">
        <v>377</v>
      </c>
      <c r="B427" s="2" t="s">
        <v>10</v>
      </c>
      <c r="C427" s="10">
        <v>1093482</v>
      </c>
      <c r="D427" s="10" t="s">
        <v>795</v>
      </c>
      <c r="E427" s="32">
        <v>-91.3</v>
      </c>
      <c r="F427" s="32">
        <v>48.5</v>
      </c>
      <c r="G427" s="69">
        <f t="shared" si="95"/>
        <v>33.949999999999996</v>
      </c>
      <c r="H427" s="70">
        <v>0.20080300000000001</v>
      </c>
      <c r="I427" s="69">
        <f t="shared" si="96"/>
        <v>-11.516052050000001</v>
      </c>
      <c r="J427" s="79" t="s">
        <v>468</v>
      </c>
      <c r="K427" s="61">
        <v>0</v>
      </c>
      <c r="L427" s="58">
        <f t="shared" si="97"/>
        <v>0.48694727500000007</v>
      </c>
      <c r="M427" s="58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 t="s">
        <v>377</v>
      </c>
      <c r="B428" s="2" t="s">
        <v>10</v>
      </c>
      <c r="C428" s="10">
        <v>1094517</v>
      </c>
      <c r="D428" s="10" t="s">
        <v>807</v>
      </c>
      <c r="E428" s="32">
        <v>-4278.1000000000004</v>
      </c>
      <c r="F428" s="32">
        <v>1133.0999999999999</v>
      </c>
      <c r="G428" s="69">
        <f t="shared" si="95"/>
        <v>793.16999999999985</v>
      </c>
      <c r="H428" s="70">
        <v>0.20080300000000001</v>
      </c>
      <c r="I428" s="69">
        <f t="shared" si="96"/>
        <v>-699.78439879000007</v>
      </c>
      <c r="J428" s="79" t="s">
        <v>468</v>
      </c>
      <c r="K428" s="61">
        <v>0</v>
      </c>
      <c r="L428" s="58">
        <f t="shared" si="97"/>
        <v>11.376493965</v>
      </c>
      <c r="M428" s="58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 t="s">
        <v>377</v>
      </c>
      <c r="B429" s="2" t="s">
        <v>10</v>
      </c>
      <c r="C429" s="10">
        <v>1101415</v>
      </c>
      <c r="D429" s="10" t="s">
        <v>820</v>
      </c>
      <c r="E429" s="32">
        <v>-45</v>
      </c>
      <c r="F429" s="32">
        <v>11.2</v>
      </c>
      <c r="G429" s="69">
        <f t="shared" si="95"/>
        <v>7.839999999999999</v>
      </c>
      <c r="H429" s="70">
        <v>0.20080300000000001</v>
      </c>
      <c r="I429" s="69">
        <f t="shared" si="96"/>
        <v>-7.461839480000001</v>
      </c>
      <c r="J429" s="79" t="s">
        <v>468</v>
      </c>
      <c r="K429" s="61">
        <v>0</v>
      </c>
      <c r="L429" s="58">
        <f t="shared" si="97"/>
        <v>0.11244968</v>
      </c>
      <c r="M429" s="58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 t="s">
        <v>377</v>
      </c>
      <c r="B430" s="2" t="s">
        <v>10</v>
      </c>
      <c r="C430" s="10">
        <v>1106523</v>
      </c>
      <c r="D430" s="10" t="s">
        <v>829</v>
      </c>
      <c r="E430" s="32">
        <v>-10.95</v>
      </c>
      <c r="F430" s="32">
        <v>2.0499999999999998</v>
      </c>
      <c r="G430" s="69">
        <f t="shared" si="95"/>
        <v>1.4349999999999998</v>
      </c>
      <c r="H430" s="70">
        <v>0.20080300000000001</v>
      </c>
      <c r="I430" s="69">
        <f t="shared" si="96"/>
        <v>-1.9106405449999999</v>
      </c>
      <c r="J430" s="79" t="s">
        <v>468</v>
      </c>
      <c r="K430" s="61">
        <v>0</v>
      </c>
      <c r="L430" s="58">
        <f t="shared" si="97"/>
        <v>2.0582307500000001E-2</v>
      </c>
      <c r="M430" s="58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 t="s">
        <v>377</v>
      </c>
      <c r="B431" s="2" t="s">
        <v>10</v>
      </c>
      <c r="C431" s="10">
        <v>1108309</v>
      </c>
      <c r="D431" s="10" t="s">
        <v>832</v>
      </c>
      <c r="E431" s="32">
        <v>-150.80000000000001</v>
      </c>
      <c r="F431" s="32">
        <v>20.399999999999999</v>
      </c>
      <c r="G431" s="69">
        <f t="shared" si="95"/>
        <v>14.279999999999998</v>
      </c>
      <c r="H431" s="70">
        <v>0.20080300000000001</v>
      </c>
      <c r="I431" s="69">
        <f t="shared" si="96"/>
        <v>-27.413625560000003</v>
      </c>
      <c r="J431" s="79" t="s">
        <v>468</v>
      </c>
      <c r="K431" s="61">
        <v>0</v>
      </c>
      <c r="L431" s="58">
        <f t="shared" si="97"/>
        <v>0.20481906000000002</v>
      </c>
      <c r="M431" s="58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 t="s">
        <v>377</v>
      </c>
      <c r="B432" s="2" t="s">
        <v>10</v>
      </c>
      <c r="C432" s="10">
        <v>1109538</v>
      </c>
      <c r="D432" s="10" t="s">
        <v>836</v>
      </c>
      <c r="E432" s="32">
        <v>-86.8</v>
      </c>
      <c r="F432" s="32">
        <v>12.75</v>
      </c>
      <c r="G432" s="69">
        <f t="shared" si="95"/>
        <v>8.9249999999999989</v>
      </c>
      <c r="H432" s="70">
        <v>0.20080300000000001</v>
      </c>
      <c r="I432" s="69">
        <f t="shared" si="96"/>
        <v>-15.637533625000001</v>
      </c>
      <c r="J432" s="79" t="s">
        <v>468</v>
      </c>
      <c r="K432" s="61">
        <v>0</v>
      </c>
      <c r="L432" s="58">
        <f t="shared" si="97"/>
        <v>0.12801191250000002</v>
      </c>
      <c r="M432" s="58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 t="s">
        <v>377</v>
      </c>
      <c r="B433" s="2" t="s">
        <v>10</v>
      </c>
      <c r="C433" s="10">
        <v>1112294</v>
      </c>
      <c r="D433" s="10" t="s">
        <v>837</v>
      </c>
      <c r="E433" s="32">
        <v>-192</v>
      </c>
      <c r="F433" s="32">
        <v>58.75</v>
      </c>
      <c r="G433" s="69">
        <f t="shared" si="95"/>
        <v>41.125</v>
      </c>
      <c r="H433" s="70">
        <v>0.20080300000000001</v>
      </c>
      <c r="I433" s="69">
        <f t="shared" si="96"/>
        <v>-30.296152625000001</v>
      </c>
      <c r="J433" s="79" t="s">
        <v>468</v>
      </c>
      <c r="K433" s="61">
        <v>0</v>
      </c>
      <c r="L433" s="58">
        <f t="shared" si="97"/>
        <v>0.58985881250000005</v>
      </c>
      <c r="M433" s="58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 t="s">
        <v>377</v>
      </c>
      <c r="B434" s="2" t="s">
        <v>10</v>
      </c>
      <c r="C434" s="10">
        <v>1112593</v>
      </c>
      <c r="D434" s="10" t="s">
        <v>838</v>
      </c>
      <c r="E434" s="32">
        <v>-88.3</v>
      </c>
      <c r="F434" s="32">
        <v>12.35</v>
      </c>
      <c r="G434" s="69">
        <f t="shared" si="95"/>
        <v>8.6449999999999996</v>
      </c>
      <c r="H434" s="70">
        <v>0.20080300000000001</v>
      </c>
      <c r="I434" s="69">
        <f t="shared" si="96"/>
        <v>-15.994962965000001</v>
      </c>
      <c r="J434" s="79" t="s">
        <v>468</v>
      </c>
      <c r="K434" s="61">
        <v>0</v>
      </c>
      <c r="L434" s="58">
        <f t="shared" si="97"/>
        <v>0.12399585250000002</v>
      </c>
      <c r="M434" s="58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 t="s">
        <v>377</v>
      </c>
      <c r="B435" s="2" t="s">
        <v>10</v>
      </c>
      <c r="C435" s="10">
        <v>1113733</v>
      </c>
      <c r="D435" s="10" t="s">
        <v>839</v>
      </c>
      <c r="E435" s="32">
        <v>-9.3000000000000007</v>
      </c>
      <c r="F435" s="32">
        <v>2.75</v>
      </c>
      <c r="G435" s="69">
        <f t="shared" si="95"/>
        <v>1.9249999999999998</v>
      </c>
      <c r="H435" s="70">
        <v>0.20080300000000001</v>
      </c>
      <c r="I435" s="69">
        <f t="shared" si="96"/>
        <v>-1.4809221250000002</v>
      </c>
      <c r="J435" s="79" t="s">
        <v>468</v>
      </c>
      <c r="K435" s="61">
        <v>0</v>
      </c>
      <c r="L435" s="58">
        <f t="shared" si="97"/>
        <v>2.7610412500000004E-2</v>
      </c>
      <c r="M435" s="58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 t="s">
        <v>377</v>
      </c>
      <c r="B436" s="2" t="s">
        <v>10</v>
      </c>
      <c r="C436" s="10">
        <v>915274</v>
      </c>
      <c r="D436" s="10" t="s">
        <v>701</v>
      </c>
      <c r="E436" s="32">
        <v>-556.65</v>
      </c>
      <c r="F436" s="32">
        <v>91.8</v>
      </c>
      <c r="G436" s="69">
        <f t="shared" si="95"/>
        <v>64.259999999999991</v>
      </c>
      <c r="H436" s="70">
        <v>0.20080300000000001</v>
      </c>
      <c r="I436" s="69">
        <f t="shared" si="96"/>
        <v>-98.873389169999996</v>
      </c>
      <c r="J436" s="79" t="s">
        <v>468</v>
      </c>
      <c r="K436" s="61">
        <v>0</v>
      </c>
      <c r="L436" s="58">
        <f t="shared" si="97"/>
        <v>0.92168576999999996</v>
      </c>
      <c r="M436" s="58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 t="s">
        <v>377</v>
      </c>
      <c r="B437" s="2" t="s">
        <v>10</v>
      </c>
      <c r="C437" s="10">
        <v>930887</v>
      </c>
      <c r="D437" s="10" t="s">
        <v>840</v>
      </c>
      <c r="E437" s="32">
        <v>0</v>
      </c>
      <c r="F437" s="32">
        <v>0</v>
      </c>
      <c r="G437" s="69">
        <f t="shared" si="95"/>
        <v>0</v>
      </c>
      <c r="H437" s="70">
        <v>0.20080300000000001</v>
      </c>
      <c r="I437" s="69">
        <f t="shared" si="96"/>
        <v>0</v>
      </c>
      <c r="J437" s="79" t="s">
        <v>468</v>
      </c>
      <c r="K437" s="61">
        <v>0</v>
      </c>
      <c r="L437" s="58">
        <f t="shared" si="97"/>
        <v>0</v>
      </c>
      <c r="M437" s="58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 t="s">
        <v>377</v>
      </c>
      <c r="B438" s="2" t="s">
        <v>10</v>
      </c>
      <c r="C438" s="10">
        <v>939806</v>
      </c>
      <c r="D438" s="10" t="s">
        <v>823</v>
      </c>
      <c r="E438" s="32">
        <v>-599.29999999999995</v>
      </c>
      <c r="F438" s="32">
        <v>123.4</v>
      </c>
      <c r="G438" s="69">
        <f t="shared" si="95"/>
        <v>86.38</v>
      </c>
      <c r="H438" s="70">
        <v>0.20080300000000001</v>
      </c>
      <c r="I438" s="69">
        <f t="shared" si="96"/>
        <v>-102.99587475999999</v>
      </c>
      <c r="J438" s="79" t="s">
        <v>468</v>
      </c>
      <c r="K438" s="61">
        <v>0</v>
      </c>
      <c r="L438" s="58">
        <f t="shared" si="97"/>
        <v>1.2389545100000001</v>
      </c>
      <c r="M438" s="58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 t="s">
        <v>379</v>
      </c>
      <c r="B439" s="32" t="s">
        <v>54</v>
      </c>
      <c r="C439" s="10" t="s">
        <v>623</v>
      </c>
      <c r="D439" s="10">
        <v>727727</v>
      </c>
      <c r="E439" s="32">
        <v>-100</v>
      </c>
      <c r="F439" s="32">
        <v>5</v>
      </c>
      <c r="G439" s="69">
        <f t="shared" ref="G439:G449" si="98">F439*0.75</f>
        <v>3.75</v>
      </c>
      <c r="H439" s="75">
        <v>0.27393000000000001</v>
      </c>
      <c r="I439" s="69">
        <f t="shared" si="96"/>
        <v>-26.365762500000002</v>
      </c>
      <c r="J439" s="78">
        <f t="shared" ref="J439:J449" si="99">F439*0.05*H439</f>
        <v>6.8482500000000002E-2</v>
      </c>
      <c r="K439" s="61">
        <v>0</v>
      </c>
      <c r="L439" s="61">
        <f t="shared" ref="L439:L449" si="100">F439*0.08*H439</f>
        <v>0.109572</v>
      </c>
      <c r="M439" s="58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 t="s">
        <v>379</v>
      </c>
      <c r="B440" s="32" t="s">
        <v>54</v>
      </c>
      <c r="C440" s="10" t="s">
        <v>624</v>
      </c>
      <c r="D440" s="10" t="s">
        <v>625</v>
      </c>
      <c r="E440" s="32">
        <v>16500.689999999999</v>
      </c>
      <c r="F440" s="32">
        <v>1824.65</v>
      </c>
      <c r="G440" s="69">
        <f t="shared" si="98"/>
        <v>1368.4875000000002</v>
      </c>
      <c r="H440" s="75">
        <v>0.27393000000000001</v>
      </c>
      <c r="I440" s="69">
        <f t="shared" si="96"/>
        <v>4894.9037925749999</v>
      </c>
      <c r="J440" s="78">
        <f t="shared" si="99"/>
        <v>24.991318725000006</v>
      </c>
      <c r="K440" s="61">
        <v>0</v>
      </c>
      <c r="L440" s="61">
        <f t="shared" si="100"/>
        <v>39.98610996</v>
      </c>
      <c r="M440" s="58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 t="s">
        <v>379</v>
      </c>
      <c r="B441" s="32" t="s">
        <v>54</v>
      </c>
      <c r="C441" s="10" t="s">
        <v>627</v>
      </c>
      <c r="D441" s="10" t="s">
        <v>628</v>
      </c>
      <c r="E441" s="32">
        <v>-4102.68</v>
      </c>
      <c r="F441" s="32">
        <v>1776.3</v>
      </c>
      <c r="G441" s="69">
        <f t="shared" si="98"/>
        <v>1332.2249999999999</v>
      </c>
      <c r="H441" s="75">
        <v>0.27393000000000001</v>
      </c>
      <c r="I441" s="69">
        <f t="shared" si="96"/>
        <v>-758.91073815000016</v>
      </c>
      <c r="J441" s="78">
        <f t="shared" si="99"/>
        <v>24.32909295</v>
      </c>
      <c r="K441" s="61">
        <v>0</v>
      </c>
      <c r="L441" s="61">
        <f t="shared" si="100"/>
        <v>38.926548720000007</v>
      </c>
      <c r="M441" s="58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 t="s">
        <v>379</v>
      </c>
      <c r="B442" s="32" t="s">
        <v>54</v>
      </c>
      <c r="C442" s="10" t="s">
        <v>799</v>
      </c>
      <c r="D442" s="10" t="s">
        <v>800</v>
      </c>
      <c r="E442" s="32">
        <v>220.32</v>
      </c>
      <c r="F442" s="32">
        <v>12.24</v>
      </c>
      <c r="G442" s="69">
        <f t="shared" si="98"/>
        <v>9.18</v>
      </c>
      <c r="H442" s="75">
        <v>0.27393000000000001</v>
      </c>
      <c r="I442" s="69">
        <f t="shared" si="96"/>
        <v>62.866934999999998</v>
      </c>
      <c r="J442" s="78">
        <f t="shared" si="99"/>
        <v>0.16764516000000004</v>
      </c>
      <c r="K442" s="61">
        <v>0</v>
      </c>
      <c r="L442" s="61">
        <f t="shared" si="100"/>
        <v>0.268232256</v>
      </c>
      <c r="M442" s="58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 t="s">
        <v>379</v>
      </c>
      <c r="B443" s="32" t="s">
        <v>54</v>
      </c>
      <c r="C443" s="10" t="s">
        <v>630</v>
      </c>
      <c r="D443" s="10" t="s">
        <v>631</v>
      </c>
      <c r="E443" s="32">
        <v>3771.5</v>
      </c>
      <c r="F443" s="32">
        <v>1112.9100000000001</v>
      </c>
      <c r="G443" s="69">
        <f t="shared" si="98"/>
        <v>834.68250000000012</v>
      </c>
      <c r="H443" s="75">
        <v>0.27393000000000001</v>
      </c>
      <c r="I443" s="69">
        <f t="shared" si="96"/>
        <v>1261.771572225</v>
      </c>
      <c r="J443" s="78">
        <f t="shared" si="99"/>
        <v>15.242971815000002</v>
      </c>
      <c r="K443" s="61">
        <v>0</v>
      </c>
      <c r="L443" s="61">
        <f t="shared" si="100"/>
        <v>24.388754904000002</v>
      </c>
      <c r="M443" s="58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 t="s">
        <v>379</v>
      </c>
      <c r="B444" s="32" t="s">
        <v>54</v>
      </c>
      <c r="C444" s="10" t="s">
        <v>801</v>
      </c>
      <c r="D444" s="10" t="s">
        <v>802</v>
      </c>
      <c r="E444" s="32">
        <v>270</v>
      </c>
      <c r="F444" s="32">
        <v>15</v>
      </c>
      <c r="G444" s="69">
        <f t="shared" si="98"/>
        <v>11.25</v>
      </c>
      <c r="H444" s="75">
        <v>0.27393000000000001</v>
      </c>
      <c r="I444" s="69">
        <f t="shared" si="96"/>
        <v>77.042812499999997</v>
      </c>
      <c r="J444" s="78">
        <f t="shared" si="99"/>
        <v>0.20544750000000001</v>
      </c>
      <c r="K444" s="61">
        <v>0</v>
      </c>
      <c r="L444" s="61">
        <f t="shared" si="100"/>
        <v>0.32871600000000001</v>
      </c>
      <c r="M444" s="58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 t="s">
        <v>379</v>
      </c>
      <c r="B445" s="32" t="s">
        <v>54</v>
      </c>
      <c r="C445" s="10" t="s">
        <v>633</v>
      </c>
      <c r="D445" s="10" t="s">
        <v>634</v>
      </c>
      <c r="E445" s="32">
        <v>541.5</v>
      </c>
      <c r="F445" s="32">
        <v>182.67</v>
      </c>
      <c r="G445" s="69">
        <f t="shared" si="98"/>
        <v>137.0025</v>
      </c>
      <c r="H445" s="75">
        <v>0.27393000000000001</v>
      </c>
      <c r="I445" s="69">
        <f t="shared" si="96"/>
        <v>185.86218982500003</v>
      </c>
      <c r="J445" s="78">
        <f t="shared" si="99"/>
        <v>2.5019396550000002</v>
      </c>
      <c r="K445" s="61">
        <v>0</v>
      </c>
      <c r="L445" s="61">
        <f t="shared" si="100"/>
        <v>4.0031034480000001</v>
      </c>
      <c r="M445" s="58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 t="s">
        <v>379</v>
      </c>
      <c r="B446" s="32" t="s">
        <v>54</v>
      </c>
      <c r="C446" s="10" t="s">
        <v>638</v>
      </c>
      <c r="D446" s="10" t="s">
        <v>639</v>
      </c>
      <c r="E446" s="32">
        <v>-184.95</v>
      </c>
      <c r="F446" s="32">
        <v>132.12</v>
      </c>
      <c r="G446" s="69">
        <f t="shared" si="98"/>
        <v>99.09</v>
      </c>
      <c r="H446" s="75">
        <v>0.27393000000000001</v>
      </c>
      <c r="I446" s="69">
        <f t="shared" si="96"/>
        <v>-23.519629799999997</v>
      </c>
      <c r="J446" s="78">
        <f t="shared" si="99"/>
        <v>1.8095815800000004</v>
      </c>
      <c r="K446" s="61">
        <v>0</v>
      </c>
      <c r="L446" s="61">
        <f t="shared" si="100"/>
        <v>2.8953305280000006</v>
      </c>
      <c r="M446" s="58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 t="s">
        <v>379</v>
      </c>
      <c r="B447" s="32" t="s">
        <v>54</v>
      </c>
      <c r="C447" s="10" t="s">
        <v>641</v>
      </c>
      <c r="D447" s="10" t="s">
        <v>642</v>
      </c>
      <c r="E447" s="32">
        <v>-13104.86</v>
      </c>
      <c r="F447" s="32">
        <v>3036.2</v>
      </c>
      <c r="G447" s="69">
        <f t="shared" si="98"/>
        <v>2277.1499999999996</v>
      </c>
      <c r="H447" s="75">
        <v>0.27393000000000001</v>
      </c>
      <c r="I447" s="69">
        <f t="shared" si="96"/>
        <v>-2966.0346003000004</v>
      </c>
      <c r="J447" s="78">
        <f t="shared" si="99"/>
        <v>41.585313300000003</v>
      </c>
      <c r="K447" s="61">
        <v>0</v>
      </c>
      <c r="L447" s="61">
        <f t="shared" si="100"/>
        <v>66.536501279999996</v>
      </c>
      <c r="M447" s="58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 t="s">
        <v>379</v>
      </c>
      <c r="B448" s="32" t="s">
        <v>54</v>
      </c>
      <c r="C448" s="10" t="s">
        <v>779</v>
      </c>
      <c r="D448" s="10" t="s">
        <v>780</v>
      </c>
      <c r="E448" s="32">
        <v>-1508.5</v>
      </c>
      <c r="F448" s="32">
        <v>81.12</v>
      </c>
      <c r="G448" s="69">
        <f t="shared" si="98"/>
        <v>60.84</v>
      </c>
      <c r="H448" s="75">
        <v>0.27393000000000001</v>
      </c>
      <c r="I448" s="69">
        <f t="shared" si="96"/>
        <v>-396.55750380000001</v>
      </c>
      <c r="J448" s="78">
        <f t="shared" si="99"/>
        <v>1.1110600800000001</v>
      </c>
      <c r="K448" s="61">
        <v>0</v>
      </c>
      <c r="L448" s="61">
        <f t="shared" si="100"/>
        <v>1.7776961280000001</v>
      </c>
      <c r="M448" s="58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 t="s">
        <v>379</v>
      </c>
      <c r="B449" s="32" t="s">
        <v>54</v>
      </c>
      <c r="C449" s="10" t="s">
        <v>728</v>
      </c>
      <c r="D449" s="10" t="s">
        <v>729</v>
      </c>
      <c r="E449" s="32">
        <v>-25</v>
      </c>
      <c r="F449" s="32">
        <v>0</v>
      </c>
      <c r="G449" s="69">
        <f t="shared" si="98"/>
        <v>0</v>
      </c>
      <c r="H449" s="75">
        <v>0.27393000000000001</v>
      </c>
      <c r="I449" s="69">
        <f t="shared" si="96"/>
        <v>-6.8482500000000002</v>
      </c>
      <c r="J449" s="78">
        <f t="shared" si="99"/>
        <v>0</v>
      </c>
      <c r="K449" s="61">
        <v>0</v>
      </c>
      <c r="L449" s="61">
        <f t="shared" si="100"/>
        <v>0</v>
      </c>
      <c r="M449" s="58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 t="s">
        <v>379</v>
      </c>
      <c r="B450" s="32" t="s">
        <v>140</v>
      </c>
      <c r="C450" s="10">
        <v>9423640</v>
      </c>
      <c r="D450" s="10" t="s">
        <v>730</v>
      </c>
      <c r="E450" s="32">
        <v>-294</v>
      </c>
      <c r="F450" s="32">
        <v>6.61</v>
      </c>
      <c r="G450" s="69">
        <f>F450*0.6</f>
        <v>3.9660000000000002</v>
      </c>
      <c r="H450" s="70">
        <v>0.65338584</v>
      </c>
      <c r="I450" s="69">
        <f>((E450+G450)*0.9)*H450</f>
        <v>-170.55369784670398</v>
      </c>
      <c r="J450" s="79" t="s">
        <v>468</v>
      </c>
      <c r="K450" s="61">
        <v>0</v>
      </c>
      <c r="L450" s="61">
        <f>F450*0.1*H450*0.9</f>
        <v>0.388699236216</v>
      </c>
      <c r="M450" s="58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 t="s">
        <v>379</v>
      </c>
      <c r="B451" s="2" t="s">
        <v>10</v>
      </c>
      <c r="C451" s="10">
        <v>1077637</v>
      </c>
      <c r="D451" s="10" t="s">
        <v>731</v>
      </c>
      <c r="E451" s="32">
        <v>-1982.5</v>
      </c>
      <c r="F451" s="32">
        <v>89.5</v>
      </c>
      <c r="G451" s="69">
        <f t="shared" ref="G451:G481" si="101">F451*0.7</f>
        <v>62.65</v>
      </c>
      <c r="H451" s="70">
        <v>0.19920299999999999</v>
      </c>
      <c r="I451" s="69">
        <f t="shared" ref="I451:I491" si="102">(E451+G451)*H451</f>
        <v>-382.43987954999994</v>
      </c>
      <c r="J451" s="79" t="s">
        <v>468</v>
      </c>
      <c r="K451" s="61">
        <v>0</v>
      </c>
      <c r="L451" s="58">
        <f t="shared" ref="L451:L481" si="103">F451*0.05*H451</f>
        <v>0.89143342500000011</v>
      </c>
      <c r="M451" s="58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 t="s">
        <v>379</v>
      </c>
      <c r="B452" s="2" t="s">
        <v>10</v>
      </c>
      <c r="C452" s="10">
        <v>1077641</v>
      </c>
      <c r="D452" s="10" t="s">
        <v>789</v>
      </c>
      <c r="E452" s="32">
        <v>3466.45</v>
      </c>
      <c r="F452" s="32">
        <v>307.85000000000002</v>
      </c>
      <c r="G452" s="69">
        <f t="shared" si="101"/>
        <v>215.495</v>
      </c>
      <c r="H452" s="70">
        <v>0.19920299999999999</v>
      </c>
      <c r="I452" s="69">
        <f t="shared" si="102"/>
        <v>733.45448983499989</v>
      </c>
      <c r="J452" s="79" t="s">
        <v>468</v>
      </c>
      <c r="K452" s="61">
        <v>0</v>
      </c>
      <c r="L452" s="58">
        <f t="shared" si="103"/>
        <v>3.0662321775000003</v>
      </c>
      <c r="M452" s="58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 t="s">
        <v>379</v>
      </c>
      <c r="B453" s="2" t="s">
        <v>10</v>
      </c>
      <c r="C453" s="10">
        <v>1077644</v>
      </c>
      <c r="D453" s="10" t="s">
        <v>764</v>
      </c>
      <c r="E453" s="32">
        <v>-1974.9</v>
      </c>
      <c r="F453" s="32">
        <v>1430.15</v>
      </c>
      <c r="G453" s="69">
        <f t="shared" si="101"/>
        <v>1001.105</v>
      </c>
      <c r="H453" s="70">
        <v>0.19920299999999999</v>
      </c>
      <c r="I453" s="69">
        <f t="shared" si="102"/>
        <v>-193.982885385</v>
      </c>
      <c r="J453" s="79" t="s">
        <v>468</v>
      </c>
      <c r="K453" s="61">
        <v>0</v>
      </c>
      <c r="L453" s="58">
        <f t="shared" si="103"/>
        <v>14.2445085225</v>
      </c>
      <c r="M453" s="58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 t="s">
        <v>379</v>
      </c>
      <c r="B454" s="2" t="s">
        <v>10</v>
      </c>
      <c r="C454" s="10">
        <v>1079123</v>
      </c>
      <c r="D454" s="10" t="s">
        <v>827</v>
      </c>
      <c r="E454" s="32">
        <v>-630.95000000000005</v>
      </c>
      <c r="F454" s="32">
        <v>770.45</v>
      </c>
      <c r="G454" s="69">
        <f t="shared" si="101"/>
        <v>539.31499999999994</v>
      </c>
      <c r="H454" s="70">
        <v>0.19920299999999999</v>
      </c>
      <c r="I454" s="69">
        <f t="shared" si="102"/>
        <v>-18.25396690500002</v>
      </c>
      <c r="J454" s="79" t="s">
        <v>468</v>
      </c>
      <c r="K454" s="61">
        <v>0</v>
      </c>
      <c r="L454" s="58">
        <f t="shared" si="103"/>
        <v>7.6737975675000012</v>
      </c>
      <c r="M454" s="58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 t="s">
        <v>379</v>
      </c>
      <c r="B455" s="2" t="s">
        <v>10</v>
      </c>
      <c r="C455" s="10">
        <v>1079125</v>
      </c>
      <c r="D455" s="10" t="s">
        <v>765</v>
      </c>
      <c r="E455" s="32">
        <v>-327.7</v>
      </c>
      <c r="F455" s="32">
        <v>315.5</v>
      </c>
      <c r="G455" s="69">
        <f t="shared" si="101"/>
        <v>220.85</v>
      </c>
      <c r="H455" s="70">
        <v>0.19920299999999999</v>
      </c>
      <c r="I455" s="69">
        <f t="shared" si="102"/>
        <v>-21.284840549999998</v>
      </c>
      <c r="J455" s="79" t="s">
        <v>468</v>
      </c>
      <c r="K455" s="61">
        <v>0</v>
      </c>
      <c r="L455" s="58">
        <f t="shared" si="103"/>
        <v>3.1424273249999999</v>
      </c>
      <c r="M455" s="58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 t="s">
        <v>379</v>
      </c>
      <c r="B456" s="2" t="s">
        <v>10</v>
      </c>
      <c r="C456" s="10">
        <v>1111643</v>
      </c>
      <c r="D456" s="10" t="s">
        <v>835</v>
      </c>
      <c r="E456" s="32">
        <v>-40</v>
      </c>
      <c r="F456" s="32">
        <v>2.85</v>
      </c>
      <c r="G456" s="69">
        <f t="shared" si="101"/>
        <v>1.9949999999999999</v>
      </c>
      <c r="H456" s="70">
        <v>0.19920299999999999</v>
      </c>
      <c r="I456" s="69">
        <f t="shared" si="102"/>
        <v>-7.5707100150000004</v>
      </c>
      <c r="J456" s="79" t="s">
        <v>468</v>
      </c>
      <c r="K456" s="61">
        <v>0</v>
      </c>
      <c r="L456" s="58">
        <f t="shared" si="103"/>
        <v>2.8386427500000002E-2</v>
      </c>
      <c r="M456" s="58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 t="s">
        <v>379</v>
      </c>
      <c r="B457" s="2" t="s">
        <v>10</v>
      </c>
      <c r="C457" s="10">
        <v>1114950</v>
      </c>
      <c r="D457" s="10" t="s">
        <v>841</v>
      </c>
      <c r="E457" s="32">
        <v>-194.1</v>
      </c>
      <c r="F457" s="32">
        <v>147.65</v>
      </c>
      <c r="G457" s="69">
        <f t="shared" si="101"/>
        <v>103.355</v>
      </c>
      <c r="H457" s="70">
        <v>0.19920299999999999</v>
      </c>
      <c r="I457" s="69">
        <f t="shared" si="102"/>
        <v>-18.076676234999997</v>
      </c>
      <c r="J457" s="79" t="s">
        <v>468</v>
      </c>
      <c r="K457" s="61">
        <v>0</v>
      </c>
      <c r="L457" s="58">
        <f t="shared" si="103"/>
        <v>1.4706161474999999</v>
      </c>
      <c r="M457" s="58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 t="s">
        <v>379</v>
      </c>
      <c r="B458" s="2" t="s">
        <v>10</v>
      </c>
      <c r="C458" s="10">
        <v>919711</v>
      </c>
      <c r="D458" s="10" t="s">
        <v>710</v>
      </c>
      <c r="E458" s="32">
        <v>66.400000000000006</v>
      </c>
      <c r="F458" s="32">
        <v>6.1</v>
      </c>
      <c r="G458" s="69">
        <f t="shared" si="101"/>
        <v>4.2699999999999996</v>
      </c>
      <c r="H458" s="70">
        <v>0.19920299999999999</v>
      </c>
      <c r="I458" s="69">
        <f t="shared" si="102"/>
        <v>14.077676009999999</v>
      </c>
      <c r="J458" s="79" t="s">
        <v>468</v>
      </c>
      <c r="K458" s="61">
        <v>0</v>
      </c>
      <c r="L458" s="58">
        <f t="shared" si="103"/>
        <v>6.0756914999999995E-2</v>
      </c>
      <c r="M458" s="58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 t="s">
        <v>379</v>
      </c>
      <c r="B459" s="2" t="s">
        <v>10</v>
      </c>
      <c r="C459" s="10">
        <v>963076</v>
      </c>
      <c r="D459" s="10" t="s">
        <v>662</v>
      </c>
      <c r="E459" s="32">
        <v>-1549.1</v>
      </c>
      <c r="F459" s="32">
        <v>196.6</v>
      </c>
      <c r="G459" s="69">
        <f t="shared" si="101"/>
        <v>137.61999999999998</v>
      </c>
      <c r="H459" s="70">
        <v>0.19920299999999999</v>
      </c>
      <c r="I459" s="69">
        <f t="shared" si="102"/>
        <v>-281.17105043999999</v>
      </c>
      <c r="J459" s="79" t="s">
        <v>468</v>
      </c>
      <c r="K459" s="61">
        <v>0</v>
      </c>
      <c r="L459" s="58">
        <f t="shared" si="103"/>
        <v>1.9581654899999998</v>
      </c>
      <c r="M459" s="58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 t="s">
        <v>379</v>
      </c>
      <c r="B460" s="2" t="s">
        <v>10</v>
      </c>
      <c r="C460" s="10">
        <v>1009846</v>
      </c>
      <c r="D460" s="10" t="s">
        <v>666</v>
      </c>
      <c r="E460" s="32">
        <v>142.44999999999999</v>
      </c>
      <c r="F460" s="32">
        <v>8.4</v>
      </c>
      <c r="G460" s="69">
        <f t="shared" si="101"/>
        <v>5.88</v>
      </c>
      <c r="H460" s="70">
        <v>0.19920299999999999</v>
      </c>
      <c r="I460" s="69">
        <f t="shared" si="102"/>
        <v>29.547780989999996</v>
      </c>
      <c r="J460" s="79" t="s">
        <v>468</v>
      </c>
      <c r="K460" s="61">
        <v>0</v>
      </c>
      <c r="L460" s="58">
        <f t="shared" si="103"/>
        <v>8.3665260000000005E-2</v>
      </c>
      <c r="M460" s="58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 t="s">
        <v>379</v>
      </c>
      <c r="B461" s="2" t="s">
        <v>10</v>
      </c>
      <c r="C461" s="10">
        <v>1054937</v>
      </c>
      <c r="D461" s="10" t="s">
        <v>671</v>
      </c>
      <c r="E461" s="32">
        <v>-130</v>
      </c>
      <c r="F461" s="32">
        <v>23.7</v>
      </c>
      <c r="G461" s="69">
        <f t="shared" si="101"/>
        <v>16.59</v>
      </c>
      <c r="H461" s="70">
        <v>0.19920299999999999</v>
      </c>
      <c r="I461" s="69">
        <f t="shared" si="102"/>
        <v>-22.591612229999999</v>
      </c>
      <c r="J461" s="79" t="s">
        <v>468</v>
      </c>
      <c r="K461" s="61">
        <v>0</v>
      </c>
      <c r="L461" s="58">
        <f t="shared" si="103"/>
        <v>0.236055555</v>
      </c>
      <c r="M461" s="58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 t="s">
        <v>379</v>
      </c>
      <c r="B462" s="2" t="s">
        <v>10</v>
      </c>
      <c r="C462" s="10">
        <v>1058488</v>
      </c>
      <c r="D462" s="10" t="s">
        <v>784</v>
      </c>
      <c r="E462" s="32">
        <v>-252.85</v>
      </c>
      <c r="F462" s="32">
        <v>57.3</v>
      </c>
      <c r="G462" s="69">
        <f t="shared" si="101"/>
        <v>40.109999999999992</v>
      </c>
      <c r="H462" s="70">
        <v>0.19920299999999999</v>
      </c>
      <c r="I462" s="69">
        <f t="shared" si="102"/>
        <v>-42.378446220000001</v>
      </c>
      <c r="J462" s="79" t="s">
        <v>468</v>
      </c>
      <c r="K462" s="61">
        <v>0</v>
      </c>
      <c r="L462" s="58">
        <f t="shared" si="103"/>
        <v>0.57071659500000005</v>
      </c>
      <c r="M462" s="58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 t="s">
        <v>379</v>
      </c>
      <c r="B463" s="2" t="s">
        <v>10</v>
      </c>
      <c r="C463" s="10">
        <v>1058492</v>
      </c>
      <c r="D463" s="10" t="s">
        <v>842</v>
      </c>
      <c r="E463" s="32">
        <v>-181.8</v>
      </c>
      <c r="F463" s="32">
        <v>32.450000000000003</v>
      </c>
      <c r="G463" s="69">
        <f t="shared" si="101"/>
        <v>22.715</v>
      </c>
      <c r="H463" s="70">
        <v>0.19920299999999999</v>
      </c>
      <c r="I463" s="69">
        <f t="shared" si="102"/>
        <v>-31.690209254999999</v>
      </c>
      <c r="J463" s="79" t="s">
        <v>468</v>
      </c>
      <c r="K463" s="61">
        <v>0</v>
      </c>
      <c r="L463" s="58">
        <f t="shared" si="103"/>
        <v>0.32320686750000005</v>
      </c>
      <c r="M463" s="58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 t="s">
        <v>379</v>
      </c>
      <c r="B464" s="2" t="s">
        <v>10</v>
      </c>
      <c r="C464" s="10">
        <v>1058947</v>
      </c>
      <c r="D464" s="10" t="s">
        <v>681</v>
      </c>
      <c r="E464" s="32">
        <v>-118.95</v>
      </c>
      <c r="F464" s="32">
        <v>34.25</v>
      </c>
      <c r="G464" s="69">
        <f t="shared" si="101"/>
        <v>23.974999999999998</v>
      </c>
      <c r="H464" s="70">
        <v>0.19920299999999999</v>
      </c>
      <c r="I464" s="69">
        <f t="shared" si="102"/>
        <v>-18.919304925000002</v>
      </c>
      <c r="J464" s="79" t="s">
        <v>468</v>
      </c>
      <c r="K464" s="61">
        <v>0</v>
      </c>
      <c r="L464" s="58">
        <f t="shared" si="103"/>
        <v>0.34113513750000002</v>
      </c>
      <c r="M464" s="58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 t="s">
        <v>379</v>
      </c>
      <c r="B465" s="2" t="s">
        <v>10</v>
      </c>
      <c r="C465" s="10">
        <v>1067198</v>
      </c>
      <c r="D465" s="10" t="s">
        <v>700</v>
      </c>
      <c r="E465" s="32">
        <v>377.35</v>
      </c>
      <c r="F465" s="32">
        <v>105.6</v>
      </c>
      <c r="G465" s="69">
        <f t="shared" si="101"/>
        <v>73.919999999999987</v>
      </c>
      <c r="H465" s="70">
        <v>0.19920299999999999</v>
      </c>
      <c r="I465" s="69">
        <f t="shared" si="102"/>
        <v>89.894337809999996</v>
      </c>
      <c r="J465" s="79" t="s">
        <v>468</v>
      </c>
      <c r="K465" s="61">
        <v>0</v>
      </c>
      <c r="L465" s="58">
        <f t="shared" si="103"/>
        <v>1.0517918399999999</v>
      </c>
      <c r="M465" s="58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 t="s">
        <v>379</v>
      </c>
      <c r="B466" s="2" t="s">
        <v>10</v>
      </c>
      <c r="C466" s="10">
        <v>1075888</v>
      </c>
      <c r="D466" s="10" t="s">
        <v>739</v>
      </c>
      <c r="E466" s="32">
        <v>-157.5</v>
      </c>
      <c r="F466" s="32">
        <v>161.1</v>
      </c>
      <c r="G466" s="69">
        <f t="shared" si="101"/>
        <v>112.76999999999998</v>
      </c>
      <c r="H466" s="70">
        <v>0.19920299999999999</v>
      </c>
      <c r="I466" s="69">
        <f t="shared" si="102"/>
        <v>-8.9103501900000026</v>
      </c>
      <c r="J466" s="79" t="s">
        <v>468</v>
      </c>
      <c r="K466" s="61">
        <v>0</v>
      </c>
      <c r="L466" s="58">
        <f t="shared" si="103"/>
        <v>1.6045801649999998</v>
      </c>
      <c r="M466" s="58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 t="s">
        <v>379</v>
      </c>
      <c r="B467" s="2" t="s">
        <v>10</v>
      </c>
      <c r="C467" s="10">
        <v>1093482</v>
      </c>
      <c r="D467" s="10" t="s">
        <v>795</v>
      </c>
      <c r="E467" s="32">
        <v>-17.95</v>
      </c>
      <c r="F467" s="32">
        <v>4.7</v>
      </c>
      <c r="G467" s="69">
        <f t="shared" si="101"/>
        <v>3.29</v>
      </c>
      <c r="H467" s="70">
        <v>0.19920299999999999</v>
      </c>
      <c r="I467" s="69">
        <f t="shared" si="102"/>
        <v>-2.9203159799999998</v>
      </c>
      <c r="J467" s="79" t="s">
        <v>468</v>
      </c>
      <c r="K467" s="61">
        <v>0</v>
      </c>
      <c r="L467" s="58">
        <f t="shared" si="103"/>
        <v>4.6812705000000003E-2</v>
      </c>
      <c r="M467" s="58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 t="s">
        <v>379</v>
      </c>
      <c r="B468" s="2" t="s">
        <v>10</v>
      </c>
      <c r="C468" s="10">
        <v>1094517</v>
      </c>
      <c r="D468" s="10" t="s">
        <v>807</v>
      </c>
      <c r="E468" s="32">
        <v>-7419.65</v>
      </c>
      <c r="F468" s="32">
        <v>1644.65</v>
      </c>
      <c r="G468" s="69">
        <f t="shared" si="101"/>
        <v>1151.2549999999999</v>
      </c>
      <c r="H468" s="70">
        <v>0.19920299999999999</v>
      </c>
      <c r="I468" s="69">
        <f t="shared" si="102"/>
        <v>-1248.6830891849997</v>
      </c>
      <c r="J468" s="79" t="s">
        <v>468</v>
      </c>
      <c r="K468" s="61">
        <v>0</v>
      </c>
      <c r="L468" s="58">
        <f t="shared" si="103"/>
        <v>16.380960697500001</v>
      </c>
      <c r="M468" s="58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 t="s">
        <v>379</v>
      </c>
      <c r="B469" s="2" t="s">
        <v>10</v>
      </c>
      <c r="C469" s="10">
        <v>1108309</v>
      </c>
      <c r="D469" s="10" t="s">
        <v>832</v>
      </c>
      <c r="E469" s="32">
        <v>-58.65</v>
      </c>
      <c r="F469" s="32">
        <v>8.25</v>
      </c>
      <c r="G469" s="69">
        <f t="shared" si="101"/>
        <v>5.7749999999999995</v>
      </c>
      <c r="H469" s="70">
        <v>0.19920299999999999</v>
      </c>
      <c r="I469" s="69">
        <f t="shared" si="102"/>
        <v>-10.532858624999999</v>
      </c>
      <c r="J469" s="79" t="s">
        <v>468</v>
      </c>
      <c r="K469" s="61">
        <v>0</v>
      </c>
      <c r="L469" s="58">
        <f t="shared" si="103"/>
        <v>8.2171237500000008E-2</v>
      </c>
      <c r="M469" s="58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 t="s">
        <v>379</v>
      </c>
      <c r="B470" s="2" t="s">
        <v>10</v>
      </c>
      <c r="C470" s="10">
        <v>1113733</v>
      </c>
      <c r="D470" s="10" t="s">
        <v>839</v>
      </c>
      <c r="E470" s="32">
        <v>-87.6</v>
      </c>
      <c r="F470" s="32">
        <v>9.9</v>
      </c>
      <c r="G470" s="69">
        <f t="shared" si="101"/>
        <v>6.93</v>
      </c>
      <c r="H470" s="70">
        <v>0.19920299999999999</v>
      </c>
      <c r="I470" s="69">
        <f t="shared" si="102"/>
        <v>-16.069706009999997</v>
      </c>
      <c r="J470" s="79" t="s">
        <v>468</v>
      </c>
      <c r="K470" s="61">
        <v>0</v>
      </c>
      <c r="L470" s="58">
        <f t="shared" si="103"/>
        <v>9.8605485000000007E-2</v>
      </c>
      <c r="M470" s="58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 t="s">
        <v>379</v>
      </c>
      <c r="B471" s="2" t="s">
        <v>10</v>
      </c>
      <c r="C471" s="10">
        <v>1114464</v>
      </c>
      <c r="D471" s="10" t="s">
        <v>843</v>
      </c>
      <c r="E471" s="32">
        <v>-163.30000000000001</v>
      </c>
      <c r="F471" s="32">
        <v>28.1</v>
      </c>
      <c r="G471" s="69">
        <f t="shared" si="101"/>
        <v>19.669999999999998</v>
      </c>
      <c r="H471" s="70">
        <v>0.19920299999999999</v>
      </c>
      <c r="I471" s="69">
        <f t="shared" si="102"/>
        <v>-28.611526890000004</v>
      </c>
      <c r="J471" s="79" t="s">
        <v>468</v>
      </c>
      <c r="K471" s="61">
        <v>0</v>
      </c>
      <c r="L471" s="58">
        <f t="shared" si="103"/>
        <v>0.27988021500000004</v>
      </c>
      <c r="M471" s="58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 t="s">
        <v>379</v>
      </c>
      <c r="B472" s="2" t="s">
        <v>10</v>
      </c>
      <c r="C472" s="10">
        <v>1115846</v>
      </c>
      <c r="D472" s="10" t="s">
        <v>844</v>
      </c>
      <c r="E472" s="32">
        <v>-357.6</v>
      </c>
      <c r="F472" s="32">
        <v>52.65</v>
      </c>
      <c r="G472" s="69">
        <f t="shared" si="101"/>
        <v>36.854999999999997</v>
      </c>
      <c r="H472" s="70">
        <v>0.19920299999999999</v>
      </c>
      <c r="I472" s="69">
        <f t="shared" si="102"/>
        <v>-63.893366234999995</v>
      </c>
      <c r="J472" s="79" t="s">
        <v>468</v>
      </c>
      <c r="K472" s="61">
        <v>0</v>
      </c>
      <c r="L472" s="58">
        <f t="shared" si="103"/>
        <v>0.52440189749999999</v>
      </c>
      <c r="M472" s="58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 t="s">
        <v>379</v>
      </c>
      <c r="B473" s="2" t="s">
        <v>10</v>
      </c>
      <c r="C473" s="10">
        <v>1116450</v>
      </c>
      <c r="D473" s="10" t="s">
        <v>845</v>
      </c>
      <c r="E473" s="32">
        <v>-98.55</v>
      </c>
      <c r="F473" s="32">
        <v>19.350000000000001</v>
      </c>
      <c r="G473" s="69">
        <f t="shared" si="101"/>
        <v>13.545</v>
      </c>
      <c r="H473" s="70">
        <v>0.19920299999999999</v>
      </c>
      <c r="I473" s="69">
        <f t="shared" si="102"/>
        <v>-16.933251015</v>
      </c>
      <c r="J473" s="79" t="s">
        <v>468</v>
      </c>
      <c r="K473" s="61">
        <v>0</v>
      </c>
      <c r="L473" s="58">
        <f t="shared" si="103"/>
        <v>0.19272890250000002</v>
      </c>
      <c r="M473" s="58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 t="s">
        <v>379</v>
      </c>
      <c r="B474" s="2" t="s">
        <v>10</v>
      </c>
      <c r="C474" s="10">
        <v>1116941</v>
      </c>
      <c r="D474" s="10" t="s">
        <v>846</v>
      </c>
      <c r="E474" s="32">
        <v>-99</v>
      </c>
      <c r="F474" s="32">
        <v>46.65</v>
      </c>
      <c r="G474" s="69">
        <f t="shared" si="101"/>
        <v>32.654999999999994</v>
      </c>
      <c r="H474" s="70">
        <v>0.19920299999999999</v>
      </c>
      <c r="I474" s="69">
        <f t="shared" si="102"/>
        <v>-13.216123034999999</v>
      </c>
      <c r="J474" s="79" t="s">
        <v>468</v>
      </c>
      <c r="K474" s="61">
        <v>0</v>
      </c>
      <c r="L474" s="58">
        <f t="shared" si="103"/>
        <v>0.46464099749999999</v>
      </c>
      <c r="M474" s="58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 t="s">
        <v>379</v>
      </c>
      <c r="B475" s="2" t="s">
        <v>10</v>
      </c>
      <c r="C475" s="10">
        <v>1117806</v>
      </c>
      <c r="D475" s="10" t="s">
        <v>847</v>
      </c>
      <c r="E475" s="32">
        <v>-88.8</v>
      </c>
      <c r="F475" s="32">
        <v>45.55</v>
      </c>
      <c r="G475" s="69">
        <f t="shared" si="101"/>
        <v>31.884999999999994</v>
      </c>
      <c r="H475" s="70">
        <v>0.19920299999999999</v>
      </c>
      <c r="I475" s="69">
        <f t="shared" si="102"/>
        <v>-11.337638745000001</v>
      </c>
      <c r="J475" s="79" t="s">
        <v>468</v>
      </c>
      <c r="K475" s="61">
        <v>0</v>
      </c>
      <c r="L475" s="58">
        <f t="shared" si="103"/>
        <v>0.45368483249999997</v>
      </c>
      <c r="M475" s="58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 t="s">
        <v>379</v>
      </c>
      <c r="B476" s="2" t="s">
        <v>10</v>
      </c>
      <c r="C476" s="10">
        <v>1117809</v>
      </c>
      <c r="D476" s="10" t="s">
        <v>848</v>
      </c>
      <c r="E476" s="32">
        <v>-95.6</v>
      </c>
      <c r="F476" s="32">
        <v>134.75</v>
      </c>
      <c r="G476" s="69">
        <f t="shared" si="101"/>
        <v>94.324999999999989</v>
      </c>
      <c r="H476" s="70">
        <v>0.19920299999999999</v>
      </c>
      <c r="I476" s="69">
        <f t="shared" si="102"/>
        <v>-0.25398382500000111</v>
      </c>
      <c r="J476" s="79" t="s">
        <v>468</v>
      </c>
      <c r="K476" s="61">
        <v>0</v>
      </c>
      <c r="L476" s="58">
        <f t="shared" si="103"/>
        <v>1.3421302125000001</v>
      </c>
      <c r="M476" s="58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 t="s">
        <v>379</v>
      </c>
      <c r="B477" s="2" t="s">
        <v>10</v>
      </c>
      <c r="C477" s="10">
        <v>1117817</v>
      </c>
      <c r="D477" s="10" t="s">
        <v>849</v>
      </c>
      <c r="E477" s="32">
        <v>-202.25</v>
      </c>
      <c r="F477" s="32">
        <v>22.85</v>
      </c>
      <c r="G477" s="69">
        <f t="shared" si="101"/>
        <v>15.994999999999999</v>
      </c>
      <c r="H477" s="70">
        <v>0.19920299999999999</v>
      </c>
      <c r="I477" s="69">
        <f t="shared" si="102"/>
        <v>-37.102554765000001</v>
      </c>
      <c r="J477" s="79" t="s">
        <v>468</v>
      </c>
      <c r="K477" s="61">
        <v>0</v>
      </c>
      <c r="L477" s="58">
        <f t="shared" si="103"/>
        <v>0.2275894275</v>
      </c>
      <c r="M477" s="58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 t="s">
        <v>379</v>
      </c>
      <c r="B478" s="2" t="s">
        <v>10</v>
      </c>
      <c r="C478" s="10">
        <v>1118229</v>
      </c>
      <c r="D478" s="10" t="s">
        <v>850</v>
      </c>
      <c r="E478" s="32">
        <v>-711</v>
      </c>
      <c r="F478" s="32">
        <v>121.7</v>
      </c>
      <c r="G478" s="69">
        <f t="shared" si="101"/>
        <v>85.19</v>
      </c>
      <c r="H478" s="70">
        <v>0.19920299999999999</v>
      </c>
      <c r="I478" s="69">
        <f t="shared" si="102"/>
        <v>-124.66322942999999</v>
      </c>
      <c r="J478" s="79" t="s">
        <v>468</v>
      </c>
      <c r="K478" s="61">
        <v>0</v>
      </c>
      <c r="L478" s="58">
        <f t="shared" si="103"/>
        <v>1.2121502550000001</v>
      </c>
      <c r="M478" s="58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 t="s">
        <v>379</v>
      </c>
      <c r="B479" s="2" t="s">
        <v>10</v>
      </c>
      <c r="C479" s="10">
        <v>1118443</v>
      </c>
      <c r="D479" s="10" t="s">
        <v>851</v>
      </c>
      <c r="E479" s="32">
        <v>-599.54999999999995</v>
      </c>
      <c r="F479" s="32">
        <v>24.95</v>
      </c>
      <c r="G479" s="69">
        <f t="shared" si="101"/>
        <v>17.465</v>
      </c>
      <c r="H479" s="70">
        <v>0.19920299999999999</v>
      </c>
      <c r="I479" s="69">
        <f t="shared" si="102"/>
        <v>-115.95307825499998</v>
      </c>
      <c r="J479" s="79" t="s">
        <v>468</v>
      </c>
      <c r="K479" s="61">
        <v>0</v>
      </c>
      <c r="L479" s="58">
        <f t="shared" si="103"/>
        <v>0.24850574249999999</v>
      </c>
      <c r="M479" s="58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 t="s">
        <v>379</v>
      </c>
      <c r="B480" s="2" t="s">
        <v>10</v>
      </c>
      <c r="C480" s="10">
        <v>915274</v>
      </c>
      <c r="D480" s="10" t="s">
        <v>701</v>
      </c>
      <c r="E480" s="32">
        <v>-634.25</v>
      </c>
      <c r="F480" s="32">
        <v>116.4</v>
      </c>
      <c r="G480" s="69">
        <f t="shared" si="101"/>
        <v>81.48</v>
      </c>
      <c r="H480" s="70">
        <v>0.19920299999999999</v>
      </c>
      <c r="I480" s="69">
        <f t="shared" si="102"/>
        <v>-110.11344231</v>
      </c>
      <c r="J480" s="79" t="s">
        <v>468</v>
      </c>
      <c r="K480" s="61">
        <v>0</v>
      </c>
      <c r="L480" s="58">
        <f t="shared" si="103"/>
        <v>1.15936146</v>
      </c>
      <c r="M480" s="58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 t="s">
        <v>379</v>
      </c>
      <c r="B481" s="2" t="s">
        <v>10</v>
      </c>
      <c r="C481" s="10">
        <v>939806</v>
      </c>
      <c r="D481" s="10" t="s">
        <v>823</v>
      </c>
      <c r="E481" s="32">
        <v>-209.6</v>
      </c>
      <c r="F481" s="32">
        <v>130.6</v>
      </c>
      <c r="G481" s="69">
        <f t="shared" si="101"/>
        <v>91.419999999999987</v>
      </c>
      <c r="H481" s="70">
        <v>0.19920299999999999</v>
      </c>
      <c r="I481" s="69">
        <f t="shared" si="102"/>
        <v>-23.54181054</v>
      </c>
      <c r="J481" s="79" t="s">
        <v>468</v>
      </c>
      <c r="K481" s="61">
        <v>0</v>
      </c>
      <c r="L481" s="58">
        <f t="shared" si="103"/>
        <v>1.3007955899999999</v>
      </c>
      <c r="M481" s="58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32" t="s">
        <v>380</v>
      </c>
      <c r="B482" s="32" t="s">
        <v>54</v>
      </c>
      <c r="C482" s="10" t="s">
        <v>623</v>
      </c>
      <c r="D482" s="10">
        <v>727727</v>
      </c>
      <c r="E482" s="32">
        <v>12264.24</v>
      </c>
      <c r="F482" s="32">
        <v>983.04</v>
      </c>
      <c r="G482" s="69">
        <f t="shared" ref="G482:G491" si="104">F482*0.75</f>
        <v>737.28</v>
      </c>
      <c r="H482" s="75">
        <v>0.27349000000000001</v>
      </c>
      <c r="I482" s="69">
        <f t="shared" si="102"/>
        <v>3555.7857048000001</v>
      </c>
      <c r="J482" s="78">
        <f t="shared" ref="J482:J491" si="105">F482*0.05*H482</f>
        <v>13.44258048</v>
      </c>
      <c r="K482" s="61">
        <v>0</v>
      </c>
      <c r="L482" s="61">
        <f t="shared" ref="L482:L491" si="106">F482*0.08*H482</f>
        <v>21.508128767999999</v>
      </c>
      <c r="M482" s="58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32" t="s">
        <v>380</v>
      </c>
      <c r="B483" s="32" t="s">
        <v>54</v>
      </c>
      <c r="C483" s="10" t="s">
        <v>627</v>
      </c>
      <c r="D483" s="10" t="s">
        <v>628</v>
      </c>
      <c r="E483" s="32">
        <v>-3717.71</v>
      </c>
      <c r="F483" s="32">
        <v>688.64</v>
      </c>
      <c r="G483" s="69">
        <f t="shared" si="104"/>
        <v>516.48</v>
      </c>
      <c r="H483" s="75">
        <v>0.27349000000000001</v>
      </c>
      <c r="I483" s="69">
        <f t="shared" si="102"/>
        <v>-875.50439270000004</v>
      </c>
      <c r="J483" s="78">
        <f t="shared" si="105"/>
        <v>9.4168076800000016</v>
      </c>
      <c r="K483" s="61">
        <v>0</v>
      </c>
      <c r="L483" s="61">
        <f t="shared" si="106"/>
        <v>15.066892288</v>
      </c>
      <c r="M483" s="58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32" t="s">
        <v>380</v>
      </c>
      <c r="B484" s="32" t="s">
        <v>54</v>
      </c>
      <c r="C484" s="10" t="s">
        <v>799</v>
      </c>
      <c r="D484" s="10" t="s">
        <v>800</v>
      </c>
      <c r="E484" s="32">
        <v>-1971.15</v>
      </c>
      <c r="F484" s="32">
        <v>1773.04</v>
      </c>
      <c r="G484" s="69">
        <f t="shared" si="104"/>
        <v>1329.78</v>
      </c>
      <c r="H484" s="75">
        <v>0.27349000000000001</v>
      </c>
      <c r="I484" s="69">
        <f t="shared" si="102"/>
        <v>-175.40828130000003</v>
      </c>
      <c r="J484" s="78">
        <f t="shared" si="105"/>
        <v>24.245435480000001</v>
      </c>
      <c r="K484" s="61">
        <v>0</v>
      </c>
      <c r="L484" s="61">
        <f t="shared" si="106"/>
        <v>38.792696767999999</v>
      </c>
      <c r="M484" s="58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32" t="s">
        <v>380</v>
      </c>
      <c r="B485" s="32" t="s">
        <v>54</v>
      </c>
      <c r="C485" s="10" t="s">
        <v>630</v>
      </c>
      <c r="D485" s="10" t="s">
        <v>631</v>
      </c>
      <c r="E485" s="32">
        <v>7511.71</v>
      </c>
      <c r="F485" s="32">
        <v>1616.59</v>
      </c>
      <c r="G485" s="69">
        <f t="shared" si="104"/>
        <v>1212.4424999999999</v>
      </c>
      <c r="H485" s="75">
        <v>0.27349000000000001</v>
      </c>
      <c r="I485" s="69">
        <f t="shared" si="102"/>
        <v>2385.968467225</v>
      </c>
      <c r="J485" s="78">
        <f t="shared" si="105"/>
        <v>22.106059954999999</v>
      </c>
      <c r="K485" s="61">
        <v>0</v>
      </c>
      <c r="L485" s="61">
        <f t="shared" si="106"/>
        <v>35.369695928000006</v>
      </c>
      <c r="M485" s="58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32" t="s">
        <v>380</v>
      </c>
      <c r="B486" s="32" t="s">
        <v>54</v>
      </c>
      <c r="C486" s="10" t="s">
        <v>801</v>
      </c>
      <c r="D486" s="10" t="s">
        <v>802</v>
      </c>
      <c r="E486" s="32">
        <v>17179.47</v>
      </c>
      <c r="F486" s="32">
        <v>6747.78</v>
      </c>
      <c r="G486" s="69">
        <f t="shared" si="104"/>
        <v>5060.835</v>
      </c>
      <c r="H486" s="75">
        <v>0.27349000000000001</v>
      </c>
      <c r="I486" s="69">
        <f t="shared" si="102"/>
        <v>6082.5010144500002</v>
      </c>
      <c r="J486" s="78">
        <f t="shared" si="105"/>
        <v>92.272517610000008</v>
      </c>
      <c r="K486" s="61">
        <v>0</v>
      </c>
      <c r="L486" s="61">
        <f t="shared" si="106"/>
        <v>147.636028176</v>
      </c>
      <c r="M486" s="58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32" t="s">
        <v>380</v>
      </c>
      <c r="B487" s="32" t="s">
        <v>54</v>
      </c>
      <c r="C487" s="10" t="s">
        <v>633</v>
      </c>
      <c r="D487" s="10" t="s">
        <v>634</v>
      </c>
      <c r="E487" s="32">
        <v>634.9</v>
      </c>
      <c r="F487" s="32">
        <v>69.05</v>
      </c>
      <c r="G487" s="69">
        <f t="shared" si="104"/>
        <v>51.787499999999994</v>
      </c>
      <c r="H487" s="75">
        <v>0.27349000000000001</v>
      </c>
      <c r="I487" s="69">
        <f t="shared" si="102"/>
        <v>187.80216437500002</v>
      </c>
      <c r="J487" s="78">
        <f t="shared" si="105"/>
        <v>0.94422422500000003</v>
      </c>
      <c r="K487" s="61">
        <v>0</v>
      </c>
      <c r="L487" s="61">
        <f t="shared" si="106"/>
        <v>1.5107587600000001</v>
      </c>
      <c r="M487" s="58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32" t="s">
        <v>380</v>
      </c>
      <c r="B488" s="32" t="s">
        <v>54</v>
      </c>
      <c r="C488" s="10" t="s">
        <v>638</v>
      </c>
      <c r="D488" s="10" t="s">
        <v>639</v>
      </c>
      <c r="E488" s="32">
        <v>823.45</v>
      </c>
      <c r="F488" s="32">
        <v>302.77</v>
      </c>
      <c r="G488" s="69">
        <f t="shared" si="104"/>
        <v>227.07749999999999</v>
      </c>
      <c r="H488" s="75">
        <v>0.27349000000000001</v>
      </c>
      <c r="I488" s="69">
        <f t="shared" si="102"/>
        <v>287.30876597500003</v>
      </c>
      <c r="J488" s="78">
        <f t="shared" si="105"/>
        <v>4.1402283650000005</v>
      </c>
      <c r="K488" s="61">
        <v>0</v>
      </c>
      <c r="L488" s="61">
        <f t="shared" si="106"/>
        <v>6.6243653839999999</v>
      </c>
      <c r="M488" s="58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32" t="s">
        <v>380</v>
      </c>
      <c r="B489" s="32" t="s">
        <v>54</v>
      </c>
      <c r="C489" s="10" t="s">
        <v>641</v>
      </c>
      <c r="D489" s="10" t="s">
        <v>642</v>
      </c>
      <c r="E489" s="32">
        <v>-15628.72</v>
      </c>
      <c r="F489" s="32">
        <v>3024.59</v>
      </c>
      <c r="G489" s="69">
        <f t="shared" si="104"/>
        <v>2268.4425000000001</v>
      </c>
      <c r="H489" s="75">
        <v>0.27349000000000001</v>
      </c>
      <c r="I489" s="69">
        <f t="shared" si="102"/>
        <v>-3653.9022934750001</v>
      </c>
      <c r="J489" s="78">
        <f t="shared" si="105"/>
        <v>41.359755955000004</v>
      </c>
      <c r="K489" s="61">
        <v>0</v>
      </c>
      <c r="L489" s="61">
        <f t="shared" si="106"/>
        <v>66.17560952800001</v>
      </c>
      <c r="M489" s="58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32" t="s">
        <v>380</v>
      </c>
      <c r="B490" s="32" t="s">
        <v>54</v>
      </c>
      <c r="C490" s="10" t="s">
        <v>779</v>
      </c>
      <c r="D490" s="10" t="s">
        <v>780</v>
      </c>
      <c r="E490" s="32">
        <v>-41871.800000000003</v>
      </c>
      <c r="F490" s="32">
        <v>1596.1</v>
      </c>
      <c r="G490" s="69">
        <f t="shared" si="104"/>
        <v>1197.0749999999998</v>
      </c>
      <c r="H490" s="75">
        <v>0.27349000000000001</v>
      </c>
      <c r="I490" s="69">
        <f t="shared" si="102"/>
        <v>-11124.130540250002</v>
      </c>
      <c r="J490" s="78">
        <f t="shared" si="105"/>
        <v>21.825869450000003</v>
      </c>
      <c r="K490" s="61">
        <v>0</v>
      </c>
      <c r="L490" s="61">
        <f t="shared" si="106"/>
        <v>34.921391120000003</v>
      </c>
      <c r="M490" s="58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32" t="s">
        <v>380</v>
      </c>
      <c r="B491" s="32" t="s">
        <v>54</v>
      </c>
      <c r="C491" s="10" t="s">
        <v>759</v>
      </c>
      <c r="D491" s="10" t="s">
        <v>760</v>
      </c>
      <c r="E491" s="32">
        <v>-1096</v>
      </c>
      <c r="F491" s="32">
        <v>37.799999999999997</v>
      </c>
      <c r="G491" s="69">
        <f t="shared" si="104"/>
        <v>28.349999999999998</v>
      </c>
      <c r="H491" s="75">
        <v>0.27349000000000001</v>
      </c>
      <c r="I491" s="69">
        <f t="shared" si="102"/>
        <v>-291.99159850000001</v>
      </c>
      <c r="J491" s="78">
        <f t="shared" si="105"/>
        <v>0.51689609999999997</v>
      </c>
      <c r="K491" s="61">
        <v>0</v>
      </c>
      <c r="L491" s="61">
        <f t="shared" si="106"/>
        <v>0.82703376000000006</v>
      </c>
      <c r="M491" s="58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32" t="s">
        <v>380</v>
      </c>
      <c r="B492" s="32" t="s">
        <v>140</v>
      </c>
      <c r="C492" s="10">
        <v>9423640</v>
      </c>
      <c r="D492" s="10" t="s">
        <v>730</v>
      </c>
      <c r="E492" s="32">
        <v>863.47</v>
      </c>
      <c r="F492" s="32">
        <v>54.72</v>
      </c>
      <c r="G492" s="69">
        <f>F492*0.6</f>
        <v>32.832000000000001</v>
      </c>
      <c r="H492" s="70">
        <v>0.65593482000000003</v>
      </c>
      <c r="I492" s="69">
        <f>((E492+G492)*0.9)*H492</f>
        <v>529.12412193207604</v>
      </c>
      <c r="J492" s="79" t="s">
        <v>468</v>
      </c>
      <c r="K492" s="61">
        <v>0</v>
      </c>
      <c r="L492" s="61">
        <f>F492*0.1*H492*0.9</f>
        <v>3.2303478015360003</v>
      </c>
      <c r="M492" s="58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32" t="s">
        <v>380</v>
      </c>
      <c r="B493" s="2" t="s">
        <v>10</v>
      </c>
      <c r="C493" s="10">
        <v>1077627</v>
      </c>
      <c r="D493" s="10" t="s">
        <v>763</v>
      </c>
      <c r="E493" s="32">
        <v>1966.8</v>
      </c>
      <c r="F493" s="32">
        <v>243.3</v>
      </c>
      <c r="G493" s="69">
        <f t="shared" ref="G493:G519" si="107">F493*0.7</f>
        <v>170.31</v>
      </c>
      <c r="H493" s="70">
        <v>0.201207</v>
      </c>
      <c r="I493" s="69">
        <f t="shared" ref="I493:I532" si="108">(E493+G493)*H493</f>
        <v>430.00149177000003</v>
      </c>
      <c r="J493" s="79" t="s">
        <v>468</v>
      </c>
      <c r="K493" s="61">
        <v>0</v>
      </c>
      <c r="L493" s="58">
        <f t="shared" ref="L493:L521" si="109">F493*0.05*H493</f>
        <v>2.447683155</v>
      </c>
      <c r="M493" s="58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32" t="s">
        <v>380</v>
      </c>
      <c r="B494" s="2" t="s">
        <v>10</v>
      </c>
      <c r="C494" s="10">
        <v>1077632</v>
      </c>
      <c r="D494" s="10" t="s">
        <v>813</v>
      </c>
      <c r="E494" s="32">
        <v>-786.8</v>
      </c>
      <c r="F494" s="32">
        <v>143.75</v>
      </c>
      <c r="G494" s="69">
        <f t="shared" si="107"/>
        <v>100.625</v>
      </c>
      <c r="H494" s="70">
        <v>0.201207</v>
      </c>
      <c r="I494" s="69">
        <f t="shared" si="108"/>
        <v>-138.063213225</v>
      </c>
      <c r="J494" s="79" t="s">
        <v>468</v>
      </c>
      <c r="K494" s="61">
        <v>0</v>
      </c>
      <c r="L494" s="58">
        <f t="shared" si="109"/>
        <v>1.4461753125000001</v>
      </c>
      <c r="M494" s="58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32" t="s">
        <v>380</v>
      </c>
      <c r="B495" s="2" t="s">
        <v>10</v>
      </c>
      <c r="C495" s="10">
        <v>1077635</v>
      </c>
      <c r="D495" s="10" t="s">
        <v>814</v>
      </c>
      <c r="E495" s="32">
        <v>-4330.3999999999996</v>
      </c>
      <c r="F495" s="32">
        <v>267.39999999999998</v>
      </c>
      <c r="G495" s="69">
        <f t="shared" si="107"/>
        <v>187.17999999999998</v>
      </c>
      <c r="H495" s="70">
        <v>0.201207</v>
      </c>
      <c r="I495" s="69">
        <f t="shared" si="108"/>
        <v>-833.64486653999984</v>
      </c>
      <c r="J495" s="79" t="s">
        <v>468</v>
      </c>
      <c r="K495" s="61">
        <v>0</v>
      </c>
      <c r="L495" s="58">
        <f t="shared" si="109"/>
        <v>2.69013759</v>
      </c>
      <c r="M495" s="58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32" t="s">
        <v>380</v>
      </c>
      <c r="B496" s="2" t="s">
        <v>10</v>
      </c>
      <c r="C496" s="10">
        <v>1077641</v>
      </c>
      <c r="D496" s="10" t="s">
        <v>789</v>
      </c>
      <c r="E496" s="32">
        <v>-1143.7</v>
      </c>
      <c r="F496" s="32">
        <v>197.3</v>
      </c>
      <c r="G496" s="69">
        <f t="shared" si="107"/>
        <v>138.10999999999999</v>
      </c>
      <c r="H496" s="70">
        <v>0.201207</v>
      </c>
      <c r="I496" s="69">
        <f t="shared" si="108"/>
        <v>-202.33174713</v>
      </c>
      <c r="J496" s="79" t="s">
        <v>468</v>
      </c>
      <c r="K496" s="61">
        <v>0</v>
      </c>
      <c r="L496" s="58">
        <f t="shared" si="109"/>
        <v>1.9849070550000003</v>
      </c>
      <c r="M496" s="58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32" t="s">
        <v>380</v>
      </c>
      <c r="B497" s="2" t="s">
        <v>10</v>
      </c>
      <c r="C497" s="10">
        <v>1079121</v>
      </c>
      <c r="D497" s="10" t="s">
        <v>790</v>
      </c>
      <c r="E497" s="32">
        <v>392.5</v>
      </c>
      <c r="F497" s="32">
        <v>8.5</v>
      </c>
      <c r="G497" s="69">
        <f t="shared" si="107"/>
        <v>5.9499999999999993</v>
      </c>
      <c r="H497" s="70">
        <v>0.201207</v>
      </c>
      <c r="I497" s="69">
        <f t="shared" si="108"/>
        <v>80.170929149999992</v>
      </c>
      <c r="J497" s="79" t="s">
        <v>468</v>
      </c>
      <c r="K497" s="61">
        <v>0</v>
      </c>
      <c r="L497" s="58">
        <f t="shared" si="109"/>
        <v>8.5512975000000005E-2</v>
      </c>
      <c r="M497" s="58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32" t="s">
        <v>380</v>
      </c>
      <c r="B498" s="2" t="s">
        <v>10</v>
      </c>
      <c r="C498" s="10">
        <v>1114950</v>
      </c>
      <c r="D498" s="10" t="s">
        <v>841</v>
      </c>
      <c r="E498" s="32">
        <v>-115.65</v>
      </c>
      <c r="F498" s="32">
        <v>68.75</v>
      </c>
      <c r="G498" s="69">
        <f t="shared" si="107"/>
        <v>48.125</v>
      </c>
      <c r="H498" s="70">
        <v>0.201207</v>
      </c>
      <c r="I498" s="69">
        <f t="shared" si="108"/>
        <v>-13.586502675</v>
      </c>
      <c r="J498" s="79" t="s">
        <v>468</v>
      </c>
      <c r="K498" s="61">
        <v>0</v>
      </c>
      <c r="L498" s="58">
        <f t="shared" si="109"/>
        <v>0.69164906250000002</v>
      </c>
      <c r="M498" s="58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32" t="s">
        <v>380</v>
      </c>
      <c r="B499" s="2" t="s">
        <v>10</v>
      </c>
      <c r="C499" s="10">
        <v>1119139</v>
      </c>
      <c r="D499" s="10" t="s">
        <v>852</v>
      </c>
      <c r="E499" s="32">
        <v>-61.25</v>
      </c>
      <c r="F499" s="32">
        <v>8.8000000000000007</v>
      </c>
      <c r="G499" s="69">
        <f t="shared" si="107"/>
        <v>6.16</v>
      </c>
      <c r="H499" s="70">
        <v>0.201207</v>
      </c>
      <c r="I499" s="69">
        <f t="shared" si="108"/>
        <v>-11.084493630000001</v>
      </c>
      <c r="J499" s="79" t="s">
        <v>468</v>
      </c>
      <c r="K499" s="61">
        <v>0</v>
      </c>
      <c r="L499" s="58">
        <f t="shared" si="109"/>
        <v>8.8531080000000012E-2</v>
      </c>
      <c r="M499" s="58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32" t="s">
        <v>380</v>
      </c>
      <c r="B500" s="2" t="s">
        <v>10</v>
      </c>
      <c r="C500" s="10">
        <v>919711</v>
      </c>
      <c r="D500" s="10" t="s">
        <v>710</v>
      </c>
      <c r="E500" s="32">
        <v>-143.25</v>
      </c>
      <c r="F500" s="32">
        <v>34.299999999999997</v>
      </c>
      <c r="G500" s="69">
        <f t="shared" si="107"/>
        <v>24.009999999999998</v>
      </c>
      <c r="H500" s="70">
        <v>0.201207</v>
      </c>
      <c r="I500" s="69">
        <f t="shared" si="108"/>
        <v>-23.991922680000002</v>
      </c>
      <c r="J500" s="79" t="s">
        <v>468</v>
      </c>
      <c r="K500" s="61">
        <v>0</v>
      </c>
      <c r="L500" s="58">
        <f t="shared" si="109"/>
        <v>0.34507000499999996</v>
      </c>
      <c r="M500" s="58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32" t="s">
        <v>380</v>
      </c>
      <c r="B501" s="2" t="s">
        <v>10</v>
      </c>
      <c r="C501" s="10">
        <v>923286</v>
      </c>
      <c r="D501" s="10" t="s">
        <v>654</v>
      </c>
      <c r="E501" s="32">
        <v>-124.65</v>
      </c>
      <c r="F501" s="32">
        <v>11.35</v>
      </c>
      <c r="G501" s="69">
        <f t="shared" si="107"/>
        <v>7.9449999999999994</v>
      </c>
      <c r="H501" s="70">
        <v>0.201207</v>
      </c>
      <c r="I501" s="69">
        <f t="shared" si="108"/>
        <v>-23.481862935000002</v>
      </c>
      <c r="J501" s="79" t="s">
        <v>468</v>
      </c>
      <c r="K501" s="61">
        <v>0</v>
      </c>
      <c r="L501" s="58">
        <f t="shared" si="109"/>
        <v>0.1141849725</v>
      </c>
      <c r="M501" s="58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32" t="s">
        <v>380</v>
      </c>
      <c r="B502" s="2" t="s">
        <v>10</v>
      </c>
      <c r="C502" s="10">
        <v>963076</v>
      </c>
      <c r="D502" s="10" t="s">
        <v>662</v>
      </c>
      <c r="E502" s="32">
        <v>-61.45</v>
      </c>
      <c r="F502" s="32">
        <v>3.95</v>
      </c>
      <c r="G502" s="69">
        <f t="shared" si="107"/>
        <v>2.7650000000000001</v>
      </c>
      <c r="H502" s="70">
        <v>0.201207</v>
      </c>
      <c r="I502" s="69">
        <f t="shared" si="108"/>
        <v>-11.807832794999999</v>
      </c>
      <c r="J502" s="79" t="s">
        <v>468</v>
      </c>
      <c r="K502" s="61">
        <v>0</v>
      </c>
      <c r="L502" s="58">
        <f t="shared" si="109"/>
        <v>3.9738382500000002E-2</v>
      </c>
      <c r="M502" s="58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32" t="s">
        <v>380</v>
      </c>
      <c r="B503" s="2" t="s">
        <v>10</v>
      </c>
      <c r="C503" s="10">
        <v>1009846</v>
      </c>
      <c r="D503" s="10" t="s">
        <v>666</v>
      </c>
      <c r="E503" s="32">
        <v>1.35</v>
      </c>
      <c r="F503" s="32">
        <v>2.75</v>
      </c>
      <c r="G503" s="69">
        <f t="shared" si="107"/>
        <v>1.9249999999999998</v>
      </c>
      <c r="H503" s="70">
        <v>0.201207</v>
      </c>
      <c r="I503" s="69">
        <f t="shared" si="108"/>
        <v>0.65895292500000002</v>
      </c>
      <c r="J503" s="79" t="s">
        <v>468</v>
      </c>
      <c r="K503" s="61">
        <v>0</v>
      </c>
      <c r="L503" s="58">
        <f t="shared" si="109"/>
        <v>2.7665962500000002E-2</v>
      </c>
      <c r="M503" s="58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32" t="s">
        <v>380</v>
      </c>
      <c r="B504" s="2" t="s">
        <v>10</v>
      </c>
      <c r="C504" s="10">
        <v>1058488</v>
      </c>
      <c r="D504" s="10" t="s">
        <v>784</v>
      </c>
      <c r="E504" s="32">
        <v>-101.6</v>
      </c>
      <c r="F504" s="32">
        <v>67.650000000000006</v>
      </c>
      <c r="G504" s="69">
        <f t="shared" si="107"/>
        <v>47.355000000000004</v>
      </c>
      <c r="H504" s="70">
        <v>0.201207</v>
      </c>
      <c r="I504" s="69">
        <f t="shared" si="108"/>
        <v>-10.914473714999998</v>
      </c>
      <c r="J504" s="79" t="s">
        <v>468</v>
      </c>
      <c r="K504" s="61">
        <v>0</v>
      </c>
      <c r="L504" s="58">
        <f t="shared" si="109"/>
        <v>0.68058267750000001</v>
      </c>
      <c r="M504" s="58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32" t="s">
        <v>380</v>
      </c>
      <c r="B505" s="2" t="s">
        <v>10</v>
      </c>
      <c r="C505" s="10">
        <v>1058947</v>
      </c>
      <c r="D505" s="10" t="s">
        <v>681</v>
      </c>
      <c r="E505" s="32">
        <v>-484</v>
      </c>
      <c r="F505" s="32">
        <v>50.9</v>
      </c>
      <c r="G505" s="69">
        <f t="shared" si="107"/>
        <v>35.629999999999995</v>
      </c>
      <c r="H505" s="70">
        <v>0.201207</v>
      </c>
      <c r="I505" s="69">
        <f t="shared" si="108"/>
        <v>-90.215182589999998</v>
      </c>
      <c r="J505" s="79" t="s">
        <v>468</v>
      </c>
      <c r="K505" s="61">
        <v>0</v>
      </c>
      <c r="L505" s="58">
        <f t="shared" si="109"/>
        <v>0.51207181499999999</v>
      </c>
      <c r="M505" s="58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32" t="s">
        <v>380</v>
      </c>
      <c r="B506" s="2" t="s">
        <v>10</v>
      </c>
      <c r="C506" s="10">
        <v>1067198</v>
      </c>
      <c r="D506" s="10" t="s">
        <v>700</v>
      </c>
      <c r="E506" s="32">
        <v>-417.1</v>
      </c>
      <c r="F506" s="32">
        <v>143.80000000000001</v>
      </c>
      <c r="G506" s="69">
        <f t="shared" si="107"/>
        <v>100.66</v>
      </c>
      <c r="H506" s="70">
        <v>0.201207</v>
      </c>
      <c r="I506" s="69">
        <f t="shared" si="108"/>
        <v>-63.66994308000001</v>
      </c>
      <c r="J506" s="79" t="s">
        <v>468</v>
      </c>
      <c r="K506" s="61">
        <v>0</v>
      </c>
      <c r="L506" s="58">
        <f t="shared" si="109"/>
        <v>1.4466783300000003</v>
      </c>
      <c r="M506" s="58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32" t="s">
        <v>380</v>
      </c>
      <c r="B507" s="2" t="s">
        <v>10</v>
      </c>
      <c r="C507" s="10">
        <v>1072699</v>
      </c>
      <c r="D507" s="10" t="s">
        <v>726</v>
      </c>
      <c r="E507" s="32">
        <v>4.5</v>
      </c>
      <c r="F507" s="32">
        <v>0.25</v>
      </c>
      <c r="G507" s="69">
        <f t="shared" si="107"/>
        <v>0.17499999999999999</v>
      </c>
      <c r="H507" s="70">
        <v>0.201207</v>
      </c>
      <c r="I507" s="69">
        <f t="shared" si="108"/>
        <v>0.9406427249999999</v>
      </c>
      <c r="J507" s="79" t="s">
        <v>468</v>
      </c>
      <c r="K507" s="61">
        <v>0</v>
      </c>
      <c r="L507" s="58">
        <f t="shared" si="109"/>
        <v>2.5150875000000002E-3</v>
      </c>
      <c r="M507" s="58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32" t="s">
        <v>380</v>
      </c>
      <c r="B508" s="2" t="s">
        <v>10</v>
      </c>
      <c r="C508" s="10">
        <v>1075888</v>
      </c>
      <c r="D508" s="10" t="s">
        <v>739</v>
      </c>
      <c r="E508" s="32">
        <v>-178.45</v>
      </c>
      <c r="F508" s="32">
        <v>55.25</v>
      </c>
      <c r="G508" s="69">
        <f t="shared" si="107"/>
        <v>38.674999999999997</v>
      </c>
      <c r="H508" s="70">
        <v>0.201207</v>
      </c>
      <c r="I508" s="69">
        <f t="shared" si="108"/>
        <v>-28.123708424999997</v>
      </c>
      <c r="J508" s="79" t="s">
        <v>468</v>
      </c>
      <c r="K508" s="61">
        <v>0</v>
      </c>
      <c r="L508" s="58">
        <f t="shared" si="109"/>
        <v>0.5558343375</v>
      </c>
      <c r="M508" s="58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32" t="s">
        <v>380</v>
      </c>
      <c r="B509" s="2" t="s">
        <v>10</v>
      </c>
      <c r="C509" s="10">
        <v>1093482</v>
      </c>
      <c r="D509" s="10" t="s">
        <v>795</v>
      </c>
      <c r="E509" s="32">
        <v>-25.15</v>
      </c>
      <c r="F509" s="32">
        <v>6.95</v>
      </c>
      <c r="G509" s="69">
        <f t="shared" si="107"/>
        <v>4.8650000000000002</v>
      </c>
      <c r="H509" s="70">
        <v>0.201207</v>
      </c>
      <c r="I509" s="69">
        <f t="shared" si="108"/>
        <v>-4.0814839949999993</v>
      </c>
      <c r="J509" s="79" t="s">
        <v>468</v>
      </c>
      <c r="K509" s="61">
        <v>0</v>
      </c>
      <c r="L509" s="58">
        <f t="shared" si="109"/>
        <v>6.9919432500000003E-2</v>
      </c>
      <c r="M509" s="58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32" t="s">
        <v>380</v>
      </c>
      <c r="B510" s="2" t="s">
        <v>10</v>
      </c>
      <c r="C510" s="10">
        <v>1106523</v>
      </c>
      <c r="D510" s="10" t="s">
        <v>829</v>
      </c>
      <c r="E510" s="32">
        <v>-119.7</v>
      </c>
      <c r="F510" s="32">
        <v>63.7</v>
      </c>
      <c r="G510" s="69">
        <f t="shared" si="107"/>
        <v>44.589999999999996</v>
      </c>
      <c r="H510" s="70">
        <v>0.201207</v>
      </c>
      <c r="I510" s="69">
        <f t="shared" si="108"/>
        <v>-15.112657770000002</v>
      </c>
      <c r="J510" s="79" t="s">
        <v>468</v>
      </c>
      <c r="K510" s="61">
        <v>0</v>
      </c>
      <c r="L510" s="58">
        <f t="shared" si="109"/>
        <v>0.64084429500000006</v>
      </c>
      <c r="M510" s="58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32" t="s">
        <v>380</v>
      </c>
      <c r="B511" s="2" t="s">
        <v>10</v>
      </c>
      <c r="C511" s="10">
        <v>1115846</v>
      </c>
      <c r="D511" s="10" t="s">
        <v>844</v>
      </c>
      <c r="E511" s="32">
        <v>-408.6</v>
      </c>
      <c r="F511" s="32">
        <v>45.1</v>
      </c>
      <c r="G511" s="69">
        <f t="shared" si="107"/>
        <v>31.57</v>
      </c>
      <c r="H511" s="70">
        <v>0.201207</v>
      </c>
      <c r="I511" s="69">
        <f t="shared" si="108"/>
        <v>-75.86107521000001</v>
      </c>
      <c r="J511" s="79" t="s">
        <v>468</v>
      </c>
      <c r="K511" s="61">
        <v>0</v>
      </c>
      <c r="L511" s="58">
        <f t="shared" si="109"/>
        <v>0.45372178500000004</v>
      </c>
      <c r="M511" s="58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32" t="s">
        <v>380</v>
      </c>
      <c r="B512" s="2" t="s">
        <v>10</v>
      </c>
      <c r="C512" s="10">
        <v>1116450</v>
      </c>
      <c r="D512" s="10" t="s">
        <v>845</v>
      </c>
      <c r="E512" s="32">
        <v>-1</v>
      </c>
      <c r="F512" s="32">
        <v>0.1</v>
      </c>
      <c r="G512" s="69">
        <f t="shared" si="107"/>
        <v>6.9999999999999993E-2</v>
      </c>
      <c r="H512" s="70">
        <v>0.201207</v>
      </c>
      <c r="I512" s="69">
        <f t="shared" si="108"/>
        <v>-0.18712251000000002</v>
      </c>
      <c r="J512" s="79" t="s">
        <v>468</v>
      </c>
      <c r="K512" s="61">
        <v>0</v>
      </c>
      <c r="L512" s="58">
        <f t="shared" si="109"/>
        <v>1.0060350000000002E-3</v>
      </c>
      <c r="M512" s="58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32" t="s">
        <v>380</v>
      </c>
      <c r="B513" s="2" t="s">
        <v>10</v>
      </c>
      <c r="C513" s="10">
        <v>1118910</v>
      </c>
      <c r="D513" s="10" t="s">
        <v>853</v>
      </c>
      <c r="E513" s="32">
        <v>-891.65</v>
      </c>
      <c r="F513" s="32">
        <v>296.89999999999998</v>
      </c>
      <c r="G513" s="69">
        <f t="shared" si="107"/>
        <v>207.82999999999998</v>
      </c>
      <c r="H513" s="70">
        <v>0.201207</v>
      </c>
      <c r="I513" s="69">
        <f t="shared" si="108"/>
        <v>-137.58937073999999</v>
      </c>
      <c r="J513" s="79" t="s">
        <v>468</v>
      </c>
      <c r="K513" s="61">
        <v>0</v>
      </c>
      <c r="L513" s="58">
        <f t="shared" si="109"/>
        <v>2.9869179149999998</v>
      </c>
      <c r="M513" s="58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32" t="s">
        <v>380</v>
      </c>
      <c r="B514" s="2" t="s">
        <v>10</v>
      </c>
      <c r="C514" s="10">
        <v>1118920</v>
      </c>
      <c r="D514" s="10" t="s">
        <v>854</v>
      </c>
      <c r="E514" s="32">
        <v>-189.35</v>
      </c>
      <c r="F514" s="32">
        <v>77.599999999999994</v>
      </c>
      <c r="G514" s="69">
        <f t="shared" si="107"/>
        <v>54.319999999999993</v>
      </c>
      <c r="H514" s="70">
        <v>0.201207</v>
      </c>
      <c r="I514" s="69">
        <f t="shared" si="108"/>
        <v>-27.168981209999998</v>
      </c>
      <c r="J514" s="79" t="s">
        <v>468</v>
      </c>
      <c r="K514" s="61">
        <v>0</v>
      </c>
      <c r="L514" s="58">
        <f t="shared" si="109"/>
        <v>0.78068315999999993</v>
      </c>
      <c r="M514" s="58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32" t="s">
        <v>380</v>
      </c>
      <c r="B515" s="2" t="s">
        <v>10</v>
      </c>
      <c r="C515" s="10">
        <v>1119435</v>
      </c>
      <c r="D515" s="10" t="s">
        <v>855</v>
      </c>
      <c r="E515" s="32">
        <v>-205</v>
      </c>
      <c r="F515" s="32">
        <v>14.5</v>
      </c>
      <c r="G515" s="69">
        <f t="shared" si="107"/>
        <v>10.149999999999999</v>
      </c>
      <c r="H515" s="70">
        <v>0.201207</v>
      </c>
      <c r="I515" s="69">
        <f t="shared" si="108"/>
        <v>-39.205183949999999</v>
      </c>
      <c r="J515" s="79" t="s">
        <v>468</v>
      </c>
      <c r="K515" s="61">
        <v>0</v>
      </c>
      <c r="L515" s="58">
        <f t="shared" si="109"/>
        <v>0.14587507500000002</v>
      </c>
      <c r="M515" s="58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32" t="s">
        <v>380</v>
      </c>
      <c r="B516" s="2" t="s">
        <v>10</v>
      </c>
      <c r="C516" s="10">
        <v>1119564</v>
      </c>
      <c r="D516" s="10" t="s">
        <v>856</v>
      </c>
      <c r="E516" s="32">
        <v>-83.7</v>
      </c>
      <c r="F516" s="32">
        <v>43.2</v>
      </c>
      <c r="G516" s="69">
        <f t="shared" si="107"/>
        <v>30.24</v>
      </c>
      <c r="H516" s="70">
        <v>0.201207</v>
      </c>
      <c r="I516" s="69">
        <f t="shared" si="108"/>
        <v>-10.756526220000001</v>
      </c>
      <c r="J516" s="79" t="s">
        <v>468</v>
      </c>
      <c r="K516" s="61">
        <v>0</v>
      </c>
      <c r="L516" s="58">
        <f t="shared" si="109"/>
        <v>0.43460712000000001</v>
      </c>
      <c r="M516" s="58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32" t="s">
        <v>380</v>
      </c>
      <c r="B517" s="2" t="s">
        <v>10</v>
      </c>
      <c r="C517" s="10">
        <v>915274</v>
      </c>
      <c r="D517" s="10" t="s">
        <v>701</v>
      </c>
      <c r="E517" s="32">
        <v>-277.05</v>
      </c>
      <c r="F517" s="32">
        <v>61.35</v>
      </c>
      <c r="G517" s="69">
        <f t="shared" si="107"/>
        <v>42.945</v>
      </c>
      <c r="H517" s="70">
        <v>0.201207</v>
      </c>
      <c r="I517" s="69">
        <f t="shared" si="108"/>
        <v>-47.103564735000006</v>
      </c>
      <c r="J517" s="79" t="s">
        <v>468</v>
      </c>
      <c r="K517" s="61">
        <v>0</v>
      </c>
      <c r="L517" s="58">
        <f t="shared" si="109"/>
        <v>0.61720247250000004</v>
      </c>
      <c r="M517" s="58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32" t="s">
        <v>380</v>
      </c>
      <c r="B518" s="2" t="s">
        <v>10</v>
      </c>
      <c r="C518" s="10">
        <v>939806</v>
      </c>
      <c r="D518" s="10" t="s">
        <v>823</v>
      </c>
      <c r="E518" s="32">
        <v>-127.75</v>
      </c>
      <c r="F518" s="32">
        <v>129</v>
      </c>
      <c r="G518" s="69">
        <f t="shared" si="107"/>
        <v>90.3</v>
      </c>
      <c r="H518" s="70">
        <v>0.201207</v>
      </c>
      <c r="I518" s="69">
        <f t="shared" si="108"/>
        <v>-7.5352021500000008</v>
      </c>
      <c r="J518" s="79" t="s">
        <v>468</v>
      </c>
      <c r="K518" s="61">
        <v>0</v>
      </c>
      <c r="L518" s="58">
        <f t="shared" si="109"/>
        <v>1.2977851499999999</v>
      </c>
      <c r="M518" s="58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32" t="s">
        <v>380</v>
      </c>
      <c r="B519" s="2" t="s">
        <v>10</v>
      </c>
      <c r="C519" s="10">
        <v>1122522</v>
      </c>
      <c r="D519" s="10" t="s">
        <v>857</v>
      </c>
      <c r="E519" s="32">
        <v>-274.05</v>
      </c>
      <c r="F519" s="32">
        <v>58.3</v>
      </c>
      <c r="G519" s="69">
        <f t="shared" si="107"/>
        <v>40.809999999999995</v>
      </c>
      <c r="H519" s="70">
        <v>0.201207</v>
      </c>
      <c r="I519" s="69">
        <f t="shared" si="108"/>
        <v>-46.929520680000003</v>
      </c>
      <c r="J519" s="79" t="s">
        <v>468</v>
      </c>
      <c r="K519" s="61">
        <v>0</v>
      </c>
      <c r="L519" s="58">
        <f t="shared" si="109"/>
        <v>0.58651840499999996</v>
      </c>
      <c r="M519" s="58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32" t="s">
        <v>380</v>
      </c>
      <c r="B520" s="32" t="s">
        <v>753</v>
      </c>
      <c r="C520" s="32" t="s">
        <v>754</v>
      </c>
      <c r="D520" s="32" t="s">
        <v>755</v>
      </c>
      <c r="E520" s="32">
        <v>42.63</v>
      </c>
      <c r="F520" s="32">
        <v>26.7</v>
      </c>
      <c r="G520" s="69">
        <f t="shared" ref="G520:G521" si="110">F520*0.3</f>
        <v>8.01</v>
      </c>
      <c r="H520" s="70">
        <v>1</v>
      </c>
      <c r="I520" s="69">
        <f t="shared" si="108"/>
        <v>50.64</v>
      </c>
      <c r="J520" s="79" t="s">
        <v>468</v>
      </c>
      <c r="K520" s="61">
        <v>0</v>
      </c>
      <c r="L520" s="58">
        <f t="shared" si="109"/>
        <v>1.335</v>
      </c>
      <c r="M520" s="58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32" t="s">
        <v>380</v>
      </c>
      <c r="B521" s="32" t="s">
        <v>753</v>
      </c>
      <c r="C521" s="32" t="s">
        <v>757</v>
      </c>
      <c r="D521" s="32" t="s">
        <v>761</v>
      </c>
      <c r="E521" s="32">
        <v>-467.7</v>
      </c>
      <c r="F521" s="32">
        <v>55.48</v>
      </c>
      <c r="G521" s="69">
        <f t="shared" si="110"/>
        <v>16.643999999999998</v>
      </c>
      <c r="H521" s="70">
        <v>1</v>
      </c>
      <c r="I521" s="69">
        <f t="shared" si="108"/>
        <v>-451.05599999999998</v>
      </c>
      <c r="J521" s="79" t="s">
        <v>468</v>
      </c>
      <c r="K521" s="61">
        <v>0</v>
      </c>
      <c r="L521" s="58">
        <f t="shared" si="109"/>
        <v>2.774</v>
      </c>
      <c r="M521" s="58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32" t="s">
        <v>381</v>
      </c>
      <c r="B522" s="32" t="s">
        <v>54</v>
      </c>
      <c r="C522" s="10" t="s">
        <v>624</v>
      </c>
      <c r="D522" s="10" t="s">
        <v>625</v>
      </c>
      <c r="E522" s="32">
        <v>25</v>
      </c>
      <c r="F522" s="32">
        <v>0</v>
      </c>
      <c r="G522" s="69">
        <f t="shared" ref="G522:G532" si="111">F522*0.75</f>
        <v>0</v>
      </c>
      <c r="H522" s="75">
        <v>0.27132000000000001</v>
      </c>
      <c r="I522" s="69">
        <f t="shared" si="108"/>
        <v>6.7830000000000004</v>
      </c>
      <c r="J522" s="78">
        <f t="shared" ref="J522:J532" si="112">F522*0.05*H522</f>
        <v>0</v>
      </c>
      <c r="K522" s="61">
        <v>0</v>
      </c>
      <c r="L522" s="61">
        <f t="shared" ref="L522:L532" si="113">F522*0.08*H522</f>
        <v>0</v>
      </c>
      <c r="M522" s="58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32" t="s">
        <v>381</v>
      </c>
      <c r="B523" s="32" t="s">
        <v>54</v>
      </c>
      <c r="C523" s="10" t="s">
        <v>627</v>
      </c>
      <c r="D523" s="10" t="s">
        <v>628</v>
      </c>
      <c r="E523" s="32">
        <v>367.48</v>
      </c>
      <c r="F523" s="32">
        <v>566.32000000000005</v>
      </c>
      <c r="G523" s="69">
        <f t="shared" si="111"/>
        <v>424.74</v>
      </c>
      <c r="H523" s="75">
        <v>0.27132000000000001</v>
      </c>
      <c r="I523" s="69">
        <f t="shared" si="108"/>
        <v>214.94513040000001</v>
      </c>
      <c r="J523" s="78">
        <f t="shared" si="112"/>
        <v>7.6826971200000012</v>
      </c>
      <c r="K523" s="61">
        <v>0</v>
      </c>
      <c r="L523" s="61">
        <f t="shared" si="113"/>
        <v>12.292315392000003</v>
      </c>
      <c r="M523" s="58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32" t="s">
        <v>381</v>
      </c>
      <c r="B524" s="32" t="s">
        <v>54</v>
      </c>
      <c r="C524" s="10" t="s">
        <v>630</v>
      </c>
      <c r="D524" s="10" t="s">
        <v>631</v>
      </c>
      <c r="E524" s="32">
        <v>4487.95</v>
      </c>
      <c r="F524" s="32">
        <v>459.63</v>
      </c>
      <c r="G524" s="69">
        <f t="shared" si="111"/>
        <v>344.72249999999997</v>
      </c>
      <c r="H524" s="75">
        <v>0.27132000000000001</v>
      </c>
      <c r="I524" s="69">
        <f t="shared" si="108"/>
        <v>1311.2007027</v>
      </c>
      <c r="J524" s="78">
        <f t="shared" si="112"/>
        <v>6.2353405799999999</v>
      </c>
      <c r="K524" s="61">
        <v>0</v>
      </c>
      <c r="L524" s="61">
        <f t="shared" si="113"/>
        <v>9.9765449280000009</v>
      </c>
      <c r="M524" s="58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32" t="s">
        <v>381</v>
      </c>
      <c r="B525" s="32" t="s">
        <v>54</v>
      </c>
      <c r="C525" s="10" t="s">
        <v>801</v>
      </c>
      <c r="D525" s="10" t="s">
        <v>802</v>
      </c>
      <c r="E525" s="32">
        <v>-200</v>
      </c>
      <c r="F525" s="32">
        <v>10</v>
      </c>
      <c r="G525" s="69">
        <f t="shared" si="111"/>
        <v>7.5</v>
      </c>
      <c r="H525" s="75">
        <v>0.27132000000000001</v>
      </c>
      <c r="I525" s="69">
        <f t="shared" si="108"/>
        <v>-52.229100000000003</v>
      </c>
      <c r="J525" s="78">
        <f t="shared" si="112"/>
        <v>0.13566</v>
      </c>
      <c r="K525" s="61">
        <v>0</v>
      </c>
      <c r="L525" s="61">
        <f t="shared" si="113"/>
        <v>0.21705600000000003</v>
      </c>
      <c r="M525" s="58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32" t="s">
        <v>381</v>
      </c>
      <c r="B526" s="32" t="s">
        <v>54</v>
      </c>
      <c r="C526" s="10" t="s">
        <v>633</v>
      </c>
      <c r="D526" s="10" t="s">
        <v>634</v>
      </c>
      <c r="E526" s="32">
        <v>-130</v>
      </c>
      <c r="F526" s="32">
        <v>5</v>
      </c>
      <c r="G526" s="69">
        <f t="shared" si="111"/>
        <v>3.75</v>
      </c>
      <c r="H526" s="75">
        <v>0.27132000000000001</v>
      </c>
      <c r="I526" s="69">
        <f t="shared" si="108"/>
        <v>-34.254150000000003</v>
      </c>
      <c r="J526" s="78">
        <f t="shared" si="112"/>
        <v>6.7830000000000001E-2</v>
      </c>
      <c r="K526" s="61">
        <v>0</v>
      </c>
      <c r="L526" s="61">
        <f t="shared" si="113"/>
        <v>0.10852800000000001</v>
      </c>
      <c r="M526" s="58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32" t="s">
        <v>381</v>
      </c>
      <c r="B527" s="32" t="s">
        <v>54</v>
      </c>
      <c r="C527" s="10" t="s">
        <v>638</v>
      </c>
      <c r="D527" s="10" t="s">
        <v>639</v>
      </c>
      <c r="E527" s="32">
        <v>64</v>
      </c>
      <c r="F527" s="32">
        <v>3</v>
      </c>
      <c r="G527" s="69">
        <f t="shared" si="111"/>
        <v>2.25</v>
      </c>
      <c r="H527" s="75">
        <v>0.27132000000000001</v>
      </c>
      <c r="I527" s="69">
        <f t="shared" si="108"/>
        <v>17.97495</v>
      </c>
      <c r="J527" s="78">
        <f t="shared" si="112"/>
        <v>4.0698000000000005E-2</v>
      </c>
      <c r="K527" s="61">
        <v>0</v>
      </c>
      <c r="L527" s="61">
        <f t="shared" si="113"/>
        <v>6.5116800000000002E-2</v>
      </c>
      <c r="M527" s="58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32" t="s">
        <v>381</v>
      </c>
      <c r="B528" s="32" t="s">
        <v>54</v>
      </c>
      <c r="C528" s="10" t="s">
        <v>641</v>
      </c>
      <c r="D528" s="10" t="s">
        <v>642</v>
      </c>
      <c r="E528" s="32">
        <v>4540.3599999999997</v>
      </c>
      <c r="F528" s="32">
        <v>3563.85</v>
      </c>
      <c r="G528" s="69">
        <f t="shared" si="111"/>
        <v>2672.8874999999998</v>
      </c>
      <c r="H528" s="75">
        <v>0.27132000000000001</v>
      </c>
      <c r="I528" s="69">
        <f t="shared" si="108"/>
        <v>1957.0983116999998</v>
      </c>
      <c r="J528" s="78">
        <f t="shared" si="112"/>
        <v>48.347189100000001</v>
      </c>
      <c r="K528" s="61">
        <v>0</v>
      </c>
      <c r="L528" s="61">
        <f t="shared" si="113"/>
        <v>77.355502560000005</v>
      </c>
      <c r="M528" s="58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32" t="s">
        <v>381</v>
      </c>
      <c r="B529" s="32" t="s">
        <v>54</v>
      </c>
      <c r="C529" s="10" t="s">
        <v>779</v>
      </c>
      <c r="D529" s="10" t="s">
        <v>780</v>
      </c>
      <c r="E529" s="32">
        <v>-1269.28</v>
      </c>
      <c r="F529" s="32">
        <v>63.46</v>
      </c>
      <c r="G529" s="69">
        <f t="shared" si="111"/>
        <v>47.594999999999999</v>
      </c>
      <c r="H529" s="75">
        <v>0.27132000000000001</v>
      </c>
      <c r="I529" s="69">
        <f t="shared" si="108"/>
        <v>-331.4675742</v>
      </c>
      <c r="J529" s="78">
        <f t="shared" si="112"/>
        <v>0.86089836000000008</v>
      </c>
      <c r="K529" s="61">
        <v>0</v>
      </c>
      <c r="L529" s="61">
        <f t="shared" si="113"/>
        <v>1.377437376</v>
      </c>
      <c r="M529" s="58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32" t="s">
        <v>381</v>
      </c>
      <c r="B530" s="32" t="s">
        <v>54</v>
      </c>
      <c r="C530" s="10" t="s">
        <v>728</v>
      </c>
      <c r="D530" s="10" t="s">
        <v>729</v>
      </c>
      <c r="E530" s="32">
        <v>-8356.51</v>
      </c>
      <c r="F530" s="32">
        <v>1252.1199999999999</v>
      </c>
      <c r="G530" s="69">
        <f t="shared" si="111"/>
        <v>939.08999999999992</v>
      </c>
      <c r="H530" s="75">
        <v>0.27132000000000001</v>
      </c>
      <c r="I530" s="69">
        <f t="shared" si="108"/>
        <v>-2012.4943944000001</v>
      </c>
      <c r="J530" s="78">
        <f t="shared" si="112"/>
        <v>16.986259919999998</v>
      </c>
      <c r="K530" s="61">
        <v>0</v>
      </c>
      <c r="L530" s="61">
        <f t="shared" si="113"/>
        <v>27.178015871999996</v>
      </c>
      <c r="M530" s="58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32" t="s">
        <v>381</v>
      </c>
      <c r="B531" s="29" t="s">
        <v>35</v>
      </c>
      <c r="C531" s="10" t="s">
        <v>647</v>
      </c>
      <c r="D531" s="10" t="s">
        <v>648</v>
      </c>
      <c r="E531" s="32">
        <v>2036.2</v>
      </c>
      <c r="F531" s="32">
        <v>239.4</v>
      </c>
      <c r="G531" s="69">
        <f t="shared" si="111"/>
        <v>179.55</v>
      </c>
      <c r="H531" s="75">
        <v>0.27132000000000001</v>
      </c>
      <c r="I531" s="69">
        <f t="shared" si="108"/>
        <v>601.17728999999997</v>
      </c>
      <c r="J531" s="78">
        <f t="shared" si="112"/>
        <v>3.2477004000000003</v>
      </c>
      <c r="K531" s="61">
        <v>0</v>
      </c>
      <c r="L531" s="61">
        <f t="shared" si="113"/>
        <v>5.1963206400000006</v>
      </c>
      <c r="M531" s="58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32" t="s">
        <v>381</v>
      </c>
      <c r="B532" s="29" t="s">
        <v>35</v>
      </c>
      <c r="C532" s="10" t="s">
        <v>650</v>
      </c>
      <c r="D532" s="10" t="s">
        <v>651</v>
      </c>
      <c r="E532" s="32">
        <v>7517.69</v>
      </c>
      <c r="F532" s="32">
        <v>1925.56</v>
      </c>
      <c r="G532" s="69">
        <f t="shared" si="111"/>
        <v>1444.17</v>
      </c>
      <c r="H532" s="75">
        <v>0.27132000000000001</v>
      </c>
      <c r="I532" s="69">
        <f t="shared" si="108"/>
        <v>2431.5318552000003</v>
      </c>
      <c r="J532" s="78">
        <f t="shared" si="112"/>
        <v>26.122146960000002</v>
      </c>
      <c r="K532" s="61">
        <v>0</v>
      </c>
      <c r="L532" s="61">
        <f t="shared" si="113"/>
        <v>41.795435136000002</v>
      </c>
      <c r="M532" s="58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32" t="s">
        <v>381</v>
      </c>
      <c r="B533" s="32" t="s">
        <v>140</v>
      </c>
      <c r="C533" s="10">
        <v>9423640</v>
      </c>
      <c r="D533" s="10" t="s">
        <v>730</v>
      </c>
      <c r="E533" s="32">
        <v>4085</v>
      </c>
      <c r="F533" s="32">
        <v>108.65</v>
      </c>
      <c r="G533" s="69">
        <f>F533*0.6</f>
        <v>65.19</v>
      </c>
      <c r="H533" s="70">
        <v>0.64624356000000005</v>
      </c>
      <c r="I533" s="69">
        <f>((E533+G533)*0.9)*H533</f>
        <v>2413.8302042487599</v>
      </c>
      <c r="J533" s="79" t="s">
        <v>468</v>
      </c>
      <c r="K533" s="61">
        <v>0</v>
      </c>
      <c r="L533" s="61">
        <f>F533*0.1*H533*0.9</f>
        <v>6.3192926514600023</v>
      </c>
      <c r="M533" s="58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32" t="s">
        <v>381</v>
      </c>
      <c r="B534" s="2" t="s">
        <v>10</v>
      </c>
      <c r="C534" s="10">
        <v>923286</v>
      </c>
      <c r="D534" s="10" t="s">
        <v>654</v>
      </c>
      <c r="E534" s="32">
        <v>-297.39999999999998</v>
      </c>
      <c r="F534" s="32">
        <v>79.45</v>
      </c>
      <c r="G534" s="69">
        <f t="shared" ref="G534:G546" si="114">F534*0.7</f>
        <v>55.615000000000002</v>
      </c>
      <c r="H534" s="70">
        <v>0.197628</v>
      </c>
      <c r="I534" s="69">
        <f t="shared" ref="I534:I552" si="115">(E534+G534)*H534</f>
        <v>-47.783485979999995</v>
      </c>
      <c r="J534" s="79" t="s">
        <v>468</v>
      </c>
      <c r="K534" s="61">
        <v>0</v>
      </c>
      <c r="L534" s="58">
        <f t="shared" ref="L534:L546" si="116">F534*0.05*H534</f>
        <v>0.78507723000000007</v>
      </c>
      <c r="M534" s="58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32" t="s">
        <v>381</v>
      </c>
      <c r="B535" s="2" t="s">
        <v>10</v>
      </c>
      <c r="C535" s="10">
        <v>1009846</v>
      </c>
      <c r="D535" s="10" t="s">
        <v>666</v>
      </c>
      <c r="E535" s="32">
        <v>-24.5</v>
      </c>
      <c r="F535" s="32">
        <v>1.6</v>
      </c>
      <c r="G535" s="69">
        <f t="shared" si="114"/>
        <v>1.1199999999999999</v>
      </c>
      <c r="H535" s="70">
        <v>0.197628</v>
      </c>
      <c r="I535" s="69">
        <f t="shared" si="115"/>
        <v>-4.62054264</v>
      </c>
      <c r="J535" s="79" t="s">
        <v>468</v>
      </c>
      <c r="K535" s="61">
        <v>0</v>
      </c>
      <c r="L535" s="58">
        <f t="shared" si="116"/>
        <v>1.5810240000000003E-2</v>
      </c>
      <c r="M535" s="58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32" t="s">
        <v>381</v>
      </c>
      <c r="B536" s="2" t="s">
        <v>10</v>
      </c>
      <c r="C536" s="10">
        <v>1058488</v>
      </c>
      <c r="D536" s="10" t="s">
        <v>784</v>
      </c>
      <c r="E536" s="32">
        <v>-163.85</v>
      </c>
      <c r="F536" s="32">
        <v>37</v>
      </c>
      <c r="G536" s="69">
        <f t="shared" si="114"/>
        <v>25.9</v>
      </c>
      <c r="H536" s="70">
        <v>0.197628</v>
      </c>
      <c r="I536" s="69">
        <f t="shared" si="115"/>
        <v>-27.262782599999998</v>
      </c>
      <c r="J536" s="79" t="s">
        <v>468</v>
      </c>
      <c r="K536" s="61">
        <v>0</v>
      </c>
      <c r="L536" s="58">
        <f t="shared" si="116"/>
        <v>0.36561179999999999</v>
      </c>
      <c r="M536" s="58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32" t="s">
        <v>381</v>
      </c>
      <c r="B537" s="2" t="s">
        <v>10</v>
      </c>
      <c r="C537" s="10">
        <v>1067198</v>
      </c>
      <c r="D537" s="10" t="s">
        <v>700</v>
      </c>
      <c r="E537" s="32">
        <v>-207.95</v>
      </c>
      <c r="F537" s="32">
        <v>91.25</v>
      </c>
      <c r="G537" s="69">
        <f t="shared" si="114"/>
        <v>63.874999999999993</v>
      </c>
      <c r="H537" s="70">
        <v>0.197628</v>
      </c>
      <c r="I537" s="69">
        <f t="shared" si="115"/>
        <v>-28.473254099999998</v>
      </c>
      <c r="J537" s="79" t="s">
        <v>468</v>
      </c>
      <c r="K537" s="61">
        <v>0</v>
      </c>
      <c r="L537" s="58">
        <f t="shared" si="116"/>
        <v>0.90167774999999994</v>
      </c>
      <c r="M537" s="58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32" t="s">
        <v>381</v>
      </c>
      <c r="B538" s="2" t="s">
        <v>10</v>
      </c>
      <c r="C538" s="10">
        <v>1072699</v>
      </c>
      <c r="D538" s="10" t="s">
        <v>726</v>
      </c>
      <c r="E538" s="32">
        <v>-5</v>
      </c>
      <c r="F538" s="32">
        <v>0.5</v>
      </c>
      <c r="G538" s="69">
        <f t="shared" si="114"/>
        <v>0.35</v>
      </c>
      <c r="H538" s="70">
        <v>0.197628</v>
      </c>
      <c r="I538" s="69">
        <f t="shared" si="115"/>
        <v>-0.91897020000000007</v>
      </c>
      <c r="J538" s="79" t="s">
        <v>468</v>
      </c>
      <c r="K538" s="61">
        <v>0</v>
      </c>
      <c r="L538" s="58">
        <f t="shared" si="116"/>
        <v>4.9407000000000001E-3</v>
      </c>
      <c r="M538" s="58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32" t="s">
        <v>381</v>
      </c>
      <c r="B539" s="2" t="s">
        <v>10</v>
      </c>
      <c r="C539" s="10">
        <v>1084523</v>
      </c>
      <c r="D539" s="10" t="s">
        <v>858</v>
      </c>
      <c r="E539" s="32">
        <v>-96.3</v>
      </c>
      <c r="F539" s="32">
        <v>14.35</v>
      </c>
      <c r="G539" s="69">
        <f t="shared" si="114"/>
        <v>10.045</v>
      </c>
      <c r="H539" s="70">
        <v>0.197628</v>
      </c>
      <c r="I539" s="69">
        <f t="shared" si="115"/>
        <v>-17.046403139999999</v>
      </c>
      <c r="J539" s="79" t="s">
        <v>468</v>
      </c>
      <c r="K539" s="61">
        <v>0</v>
      </c>
      <c r="L539" s="58">
        <f t="shared" si="116"/>
        <v>0.14179809000000002</v>
      </c>
      <c r="M539" s="58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32" t="s">
        <v>381</v>
      </c>
      <c r="B540" s="2" t="s">
        <v>10</v>
      </c>
      <c r="C540" s="10">
        <v>1093482</v>
      </c>
      <c r="D540" s="10" t="s">
        <v>795</v>
      </c>
      <c r="E540" s="32">
        <v>-46.5</v>
      </c>
      <c r="F540" s="32">
        <v>53.05</v>
      </c>
      <c r="G540" s="69">
        <f t="shared" si="114"/>
        <v>37.134999999999998</v>
      </c>
      <c r="H540" s="70">
        <v>0.197628</v>
      </c>
      <c r="I540" s="69">
        <f t="shared" si="115"/>
        <v>-1.8507862200000005</v>
      </c>
      <c r="J540" s="79" t="s">
        <v>468</v>
      </c>
      <c r="K540" s="61">
        <v>0</v>
      </c>
      <c r="L540" s="58">
        <f t="shared" si="116"/>
        <v>0.52420826999999992</v>
      </c>
      <c r="M540" s="58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32" t="s">
        <v>381</v>
      </c>
      <c r="B541" s="2" t="s">
        <v>10</v>
      </c>
      <c r="C541" s="10">
        <v>1106523</v>
      </c>
      <c r="D541" s="10" t="s">
        <v>829</v>
      </c>
      <c r="E541" s="32">
        <v>-3</v>
      </c>
      <c r="F541" s="32">
        <v>0.3</v>
      </c>
      <c r="G541" s="69">
        <f t="shared" si="114"/>
        <v>0.21</v>
      </c>
      <c r="H541" s="70">
        <v>0.197628</v>
      </c>
      <c r="I541" s="69">
        <f t="shared" si="115"/>
        <v>-0.55138211999999998</v>
      </c>
      <c r="J541" s="79" t="s">
        <v>468</v>
      </c>
      <c r="K541" s="61">
        <v>0</v>
      </c>
      <c r="L541" s="58">
        <f t="shared" si="116"/>
        <v>2.9644199999999997E-3</v>
      </c>
      <c r="M541" s="58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32" t="s">
        <v>381</v>
      </c>
      <c r="B542" s="2" t="s">
        <v>10</v>
      </c>
      <c r="C542" s="10">
        <v>1118910</v>
      </c>
      <c r="D542" s="10" t="s">
        <v>853</v>
      </c>
      <c r="E542" s="32">
        <v>-638.75</v>
      </c>
      <c r="F542" s="32">
        <v>197.8</v>
      </c>
      <c r="G542" s="69">
        <f t="shared" si="114"/>
        <v>138.46</v>
      </c>
      <c r="H542" s="70">
        <v>0.197628</v>
      </c>
      <c r="I542" s="69">
        <f t="shared" si="115"/>
        <v>-98.871312119999999</v>
      </c>
      <c r="J542" s="79" t="s">
        <v>468</v>
      </c>
      <c r="K542" s="61">
        <v>0</v>
      </c>
      <c r="L542" s="58">
        <f t="shared" si="116"/>
        <v>1.9545409200000001</v>
      </c>
      <c r="M542" s="58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32" t="s">
        <v>381</v>
      </c>
      <c r="B543" s="2" t="s">
        <v>10</v>
      </c>
      <c r="C543" s="10">
        <v>1126818</v>
      </c>
      <c r="D543" s="10" t="s">
        <v>859</v>
      </c>
      <c r="E543" s="32">
        <v>-39.15</v>
      </c>
      <c r="F543" s="32">
        <v>6.45</v>
      </c>
      <c r="G543" s="69">
        <f t="shared" si="114"/>
        <v>4.5149999999999997</v>
      </c>
      <c r="H543" s="70">
        <v>0.197628</v>
      </c>
      <c r="I543" s="69">
        <f t="shared" si="115"/>
        <v>-6.8448457799999991</v>
      </c>
      <c r="J543" s="79" t="s">
        <v>468</v>
      </c>
      <c r="K543" s="61">
        <v>0</v>
      </c>
      <c r="L543" s="58">
        <f t="shared" si="116"/>
        <v>6.3735029999999998E-2</v>
      </c>
      <c r="M543" s="58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32" t="s">
        <v>381</v>
      </c>
      <c r="B544" s="2" t="s">
        <v>10</v>
      </c>
      <c r="C544" s="10">
        <v>915274</v>
      </c>
      <c r="D544" s="10" t="s">
        <v>701</v>
      </c>
      <c r="E544" s="32">
        <v>-221.45</v>
      </c>
      <c r="F544" s="32">
        <v>43.2</v>
      </c>
      <c r="G544" s="69">
        <f t="shared" si="114"/>
        <v>30.24</v>
      </c>
      <c r="H544" s="70">
        <v>0.197628</v>
      </c>
      <c r="I544" s="69">
        <f t="shared" si="115"/>
        <v>-37.788449879999995</v>
      </c>
      <c r="J544" s="79" t="s">
        <v>468</v>
      </c>
      <c r="K544" s="61">
        <v>0</v>
      </c>
      <c r="L544" s="58">
        <f t="shared" si="116"/>
        <v>0.42687648</v>
      </c>
      <c r="M544" s="58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32" t="s">
        <v>381</v>
      </c>
      <c r="B545" s="2" t="s">
        <v>10</v>
      </c>
      <c r="C545" s="10">
        <v>939806</v>
      </c>
      <c r="D545" s="10" t="s">
        <v>823</v>
      </c>
      <c r="E545" s="32">
        <v>-56.15</v>
      </c>
      <c r="F545" s="32">
        <v>58.6</v>
      </c>
      <c r="G545" s="69">
        <f t="shared" si="114"/>
        <v>41.019999999999996</v>
      </c>
      <c r="H545" s="70">
        <v>0.197628</v>
      </c>
      <c r="I545" s="69">
        <f t="shared" si="115"/>
        <v>-2.9901116400000003</v>
      </c>
      <c r="J545" s="79" t="s">
        <v>468</v>
      </c>
      <c r="K545" s="61">
        <v>0</v>
      </c>
      <c r="L545" s="58">
        <f t="shared" si="116"/>
        <v>0.57905004000000004</v>
      </c>
      <c r="M545" s="58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32" t="s">
        <v>381</v>
      </c>
      <c r="B546" s="2" t="s">
        <v>10</v>
      </c>
      <c r="C546" s="10">
        <v>1122522</v>
      </c>
      <c r="D546" s="10" t="s">
        <v>857</v>
      </c>
      <c r="E546" s="32">
        <v>-273.5</v>
      </c>
      <c r="F546" s="32">
        <v>197.35</v>
      </c>
      <c r="G546" s="69">
        <f t="shared" si="114"/>
        <v>138.14499999999998</v>
      </c>
      <c r="H546" s="70">
        <v>0.197628</v>
      </c>
      <c r="I546" s="69">
        <f t="shared" si="115"/>
        <v>-26.749937940000002</v>
      </c>
      <c r="J546" s="79" t="s">
        <v>468</v>
      </c>
      <c r="K546" s="61">
        <v>0</v>
      </c>
      <c r="L546" s="58">
        <f t="shared" si="116"/>
        <v>1.95009429</v>
      </c>
      <c r="M546" s="58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32" t="s">
        <v>382</v>
      </c>
      <c r="B547" s="32" t="s">
        <v>54</v>
      </c>
      <c r="C547" s="10" t="s">
        <v>623</v>
      </c>
      <c r="D547" s="10">
        <v>727727</v>
      </c>
      <c r="E547" s="32">
        <v>-1208.6099999999999</v>
      </c>
      <c r="F547" s="32">
        <v>574.23</v>
      </c>
      <c r="G547" s="69">
        <f t="shared" ref="G547:G552" si="117">F547*0.75</f>
        <v>430.67250000000001</v>
      </c>
      <c r="H547" s="75">
        <v>0.27182000000000001</v>
      </c>
      <c r="I547" s="69">
        <f t="shared" si="115"/>
        <v>-211.45897124999996</v>
      </c>
      <c r="J547" s="78">
        <f t="shared" ref="J547:J552" si="118">F547*0.05*H547</f>
        <v>7.8043599300000004</v>
      </c>
      <c r="K547" s="61">
        <v>0</v>
      </c>
      <c r="L547" s="61">
        <f t="shared" ref="L547:L552" si="119">F547*0.08*H547</f>
        <v>12.486975888</v>
      </c>
      <c r="M547" s="58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32" t="s">
        <v>382</v>
      </c>
      <c r="B548" s="32" t="s">
        <v>54</v>
      </c>
      <c r="C548" s="10" t="s">
        <v>627</v>
      </c>
      <c r="D548" s="10" t="s">
        <v>628</v>
      </c>
      <c r="E548" s="32">
        <v>33</v>
      </c>
      <c r="F548" s="32">
        <v>16.600000000000001</v>
      </c>
      <c r="G548" s="69">
        <f t="shared" si="117"/>
        <v>12.450000000000001</v>
      </c>
      <c r="H548" s="75">
        <v>0.27182000000000001</v>
      </c>
      <c r="I548" s="69">
        <f t="shared" si="115"/>
        <v>12.354219000000001</v>
      </c>
      <c r="J548" s="78">
        <f t="shared" si="118"/>
        <v>0.22561060000000002</v>
      </c>
      <c r="K548" s="61">
        <v>0</v>
      </c>
      <c r="L548" s="61">
        <f t="shared" si="119"/>
        <v>0.36097696000000001</v>
      </c>
      <c r="M548" s="58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32" t="s">
        <v>382</v>
      </c>
      <c r="B549" s="32" t="s">
        <v>54</v>
      </c>
      <c r="C549" s="10" t="s">
        <v>630</v>
      </c>
      <c r="D549" s="10" t="s">
        <v>631</v>
      </c>
      <c r="E549" s="32">
        <v>521.62</v>
      </c>
      <c r="F549" s="32">
        <v>216.69</v>
      </c>
      <c r="G549" s="69">
        <f t="shared" si="117"/>
        <v>162.51749999999998</v>
      </c>
      <c r="H549" s="75">
        <v>0.27182000000000001</v>
      </c>
      <c r="I549" s="69">
        <f t="shared" si="115"/>
        <v>185.96225525000003</v>
      </c>
      <c r="J549" s="78">
        <f t="shared" si="118"/>
        <v>2.9450337900000001</v>
      </c>
      <c r="K549" s="61">
        <v>0</v>
      </c>
      <c r="L549" s="61">
        <f t="shared" si="119"/>
        <v>4.7120540640000002</v>
      </c>
      <c r="M549" s="58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32" t="s">
        <v>382</v>
      </c>
      <c r="B550" s="32" t="s">
        <v>54</v>
      </c>
      <c r="C550" s="10" t="s">
        <v>633</v>
      </c>
      <c r="D550" s="10" t="s">
        <v>634</v>
      </c>
      <c r="E550" s="32">
        <v>-458</v>
      </c>
      <c r="F550" s="32">
        <v>59.55</v>
      </c>
      <c r="G550" s="69">
        <f t="shared" si="117"/>
        <v>44.662499999999994</v>
      </c>
      <c r="H550" s="75">
        <v>0.27182000000000001</v>
      </c>
      <c r="I550" s="69">
        <f t="shared" si="115"/>
        <v>-112.35339925</v>
      </c>
      <c r="J550" s="78">
        <f t="shared" si="118"/>
        <v>0.80934404999999998</v>
      </c>
      <c r="K550" s="61">
        <v>0</v>
      </c>
      <c r="L550" s="61">
        <f t="shared" si="119"/>
        <v>1.29495048</v>
      </c>
      <c r="M550" s="58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32" t="s">
        <v>382</v>
      </c>
      <c r="B551" s="29" t="s">
        <v>35</v>
      </c>
      <c r="C551" s="10" t="s">
        <v>647</v>
      </c>
      <c r="D551" s="10" t="s">
        <v>648</v>
      </c>
      <c r="E551" s="32">
        <v>994.44</v>
      </c>
      <c r="F551" s="32">
        <v>107.47</v>
      </c>
      <c r="G551" s="69">
        <f t="shared" si="117"/>
        <v>80.602499999999992</v>
      </c>
      <c r="H551" s="75">
        <v>0.27182000000000001</v>
      </c>
      <c r="I551" s="69">
        <f t="shared" si="115"/>
        <v>292.21805234999999</v>
      </c>
      <c r="J551" s="78">
        <f t="shared" si="118"/>
        <v>1.4606247700000001</v>
      </c>
      <c r="K551" s="61">
        <v>0</v>
      </c>
      <c r="L551" s="61">
        <f t="shared" si="119"/>
        <v>2.3369996319999999</v>
      </c>
      <c r="M551" s="58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32" t="s">
        <v>382</v>
      </c>
      <c r="B552" s="29" t="s">
        <v>35</v>
      </c>
      <c r="C552" s="10" t="s">
        <v>650</v>
      </c>
      <c r="D552" s="10" t="s">
        <v>651</v>
      </c>
      <c r="E552" s="32">
        <v>-10</v>
      </c>
      <c r="F552" s="32">
        <v>15.5</v>
      </c>
      <c r="G552" s="69">
        <f t="shared" si="117"/>
        <v>11.625</v>
      </c>
      <c r="H552" s="75">
        <v>0.27182000000000001</v>
      </c>
      <c r="I552" s="69">
        <f t="shared" si="115"/>
        <v>0.44170750000000003</v>
      </c>
      <c r="J552" s="78">
        <f t="shared" si="118"/>
        <v>0.2106605</v>
      </c>
      <c r="K552" s="61">
        <v>0</v>
      </c>
      <c r="L552" s="61">
        <f t="shared" si="119"/>
        <v>0.33705679999999999</v>
      </c>
      <c r="M552" s="58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32" t="s">
        <v>382</v>
      </c>
      <c r="B553" s="32" t="s">
        <v>140</v>
      </c>
      <c r="C553" s="10">
        <v>10123095</v>
      </c>
      <c r="D553" s="10" t="s">
        <v>860</v>
      </c>
      <c r="E553" s="32">
        <v>2427.9499999999998</v>
      </c>
      <c r="F553" s="32">
        <v>350.3</v>
      </c>
      <c r="G553" s="69">
        <f>F553*0.6</f>
        <v>210.18</v>
      </c>
      <c r="H553" s="70">
        <v>0.66203730000000005</v>
      </c>
      <c r="I553" s="69">
        <f>((E553+G553)*0.9-24.2)*H553</f>
        <v>1555.8651133640999</v>
      </c>
      <c r="J553" s="79" t="s">
        <v>468</v>
      </c>
      <c r="K553" s="61">
        <v>0</v>
      </c>
      <c r="L553" s="61">
        <f>F553*0.1*H553*0.9</f>
        <v>20.872049957100003</v>
      </c>
      <c r="M553" s="58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32" t="s">
        <v>382</v>
      </c>
      <c r="B554" s="10" t="s">
        <v>861</v>
      </c>
      <c r="C554" s="10" t="s">
        <v>862</v>
      </c>
      <c r="D554" s="10" t="s">
        <v>863</v>
      </c>
      <c r="E554" s="32">
        <v>-62.99</v>
      </c>
      <c r="F554" s="32">
        <v>10.119999999999999</v>
      </c>
      <c r="G554" s="69">
        <f t="shared" ref="G554:G555" si="120">F554*0.3</f>
        <v>3.0359999999999996</v>
      </c>
      <c r="H554" s="70">
        <v>1</v>
      </c>
      <c r="I554" s="69">
        <f t="shared" ref="I554:I573" si="121">(E554+G554)*H554</f>
        <v>-59.954000000000001</v>
      </c>
      <c r="J554" s="79" t="s">
        <v>468</v>
      </c>
      <c r="K554" s="61">
        <v>0</v>
      </c>
      <c r="L554" s="58">
        <f t="shared" ref="L554:L573" si="122">F554*0.05*H554</f>
        <v>0.50600000000000001</v>
      </c>
      <c r="M554" s="58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32" t="s">
        <v>382</v>
      </c>
      <c r="B555" s="10" t="s">
        <v>810</v>
      </c>
      <c r="C555" s="10" t="s">
        <v>811</v>
      </c>
      <c r="D555" s="10" t="s">
        <v>812</v>
      </c>
      <c r="E555" s="32">
        <v>-40.32</v>
      </c>
      <c r="F555" s="32">
        <v>3.36</v>
      </c>
      <c r="G555" s="69">
        <f t="shared" si="120"/>
        <v>1.008</v>
      </c>
      <c r="H555" s="70">
        <v>1</v>
      </c>
      <c r="I555" s="69">
        <f t="shared" si="121"/>
        <v>-39.311999999999998</v>
      </c>
      <c r="J555" s="79" t="s">
        <v>468</v>
      </c>
      <c r="K555" s="61">
        <v>0</v>
      </c>
      <c r="L555" s="58">
        <f t="shared" si="122"/>
        <v>0.16800000000000001</v>
      </c>
      <c r="M555" s="58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32" t="s">
        <v>382</v>
      </c>
      <c r="B556" s="2" t="s">
        <v>10</v>
      </c>
      <c r="C556" s="10">
        <v>923286</v>
      </c>
      <c r="D556" s="10" t="s">
        <v>654</v>
      </c>
      <c r="E556" s="32">
        <v>-115</v>
      </c>
      <c r="F556" s="32">
        <v>7.7</v>
      </c>
      <c r="G556" s="69">
        <f t="shared" ref="G556:G573" si="123">F556*0.7</f>
        <v>5.39</v>
      </c>
      <c r="H556" s="70">
        <v>0.19880999999999999</v>
      </c>
      <c r="I556" s="69">
        <f t="shared" si="121"/>
        <v>-21.791564099999999</v>
      </c>
      <c r="J556" s="79" t="s">
        <v>468</v>
      </c>
      <c r="K556" s="61">
        <v>0</v>
      </c>
      <c r="L556" s="58">
        <f t="shared" si="122"/>
        <v>7.6541849999999995E-2</v>
      </c>
      <c r="M556" s="58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32" t="s">
        <v>382</v>
      </c>
      <c r="B557" s="2" t="s">
        <v>10</v>
      </c>
      <c r="C557" s="10">
        <v>1058488</v>
      </c>
      <c r="D557" s="10" t="s">
        <v>784</v>
      </c>
      <c r="E557" s="32">
        <v>-92.45</v>
      </c>
      <c r="F557" s="32">
        <v>11</v>
      </c>
      <c r="G557" s="69">
        <f t="shared" si="123"/>
        <v>7.6999999999999993</v>
      </c>
      <c r="H557" s="70">
        <v>0.19880999999999999</v>
      </c>
      <c r="I557" s="69">
        <f t="shared" si="121"/>
        <v>-16.849147499999997</v>
      </c>
      <c r="J557" s="79" t="s">
        <v>468</v>
      </c>
      <c r="K557" s="61">
        <v>0</v>
      </c>
      <c r="L557" s="58">
        <f t="shared" si="122"/>
        <v>0.1093455</v>
      </c>
      <c r="M557" s="58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32" t="s">
        <v>382</v>
      </c>
      <c r="B558" s="2" t="s">
        <v>10</v>
      </c>
      <c r="C558" s="10">
        <v>1067198</v>
      </c>
      <c r="D558" s="10" t="s">
        <v>700</v>
      </c>
      <c r="E558" s="32">
        <v>-148.5</v>
      </c>
      <c r="F558" s="32">
        <v>59.31</v>
      </c>
      <c r="G558" s="69">
        <f t="shared" si="123"/>
        <v>41.516999999999996</v>
      </c>
      <c r="H558" s="70">
        <v>0.19880999999999999</v>
      </c>
      <c r="I558" s="69">
        <f t="shared" si="121"/>
        <v>-21.269290229999999</v>
      </c>
      <c r="J558" s="79" t="s">
        <v>468</v>
      </c>
      <c r="K558" s="61">
        <v>0</v>
      </c>
      <c r="L558" s="58">
        <f t="shared" si="122"/>
        <v>0.58957105500000007</v>
      </c>
      <c r="M558" s="58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32" t="s">
        <v>382</v>
      </c>
      <c r="B559" s="2" t="s">
        <v>10</v>
      </c>
      <c r="C559" s="10">
        <v>1072699</v>
      </c>
      <c r="D559" s="10" t="s">
        <v>726</v>
      </c>
      <c r="E559" s="32">
        <v>8.8000000000000007</v>
      </c>
      <c r="F559" s="32">
        <v>1.6</v>
      </c>
      <c r="G559" s="69">
        <f t="shared" si="123"/>
        <v>1.1199999999999999</v>
      </c>
      <c r="H559" s="70">
        <v>0.19880999999999999</v>
      </c>
      <c r="I559" s="69">
        <f t="shared" si="121"/>
        <v>1.9721951999999998</v>
      </c>
      <c r="J559" s="79" t="s">
        <v>468</v>
      </c>
      <c r="K559" s="61">
        <v>0</v>
      </c>
      <c r="L559" s="58">
        <f t="shared" si="122"/>
        <v>1.5904800000000004E-2</v>
      </c>
      <c r="M559" s="58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32" t="s">
        <v>382</v>
      </c>
      <c r="B560" s="2" t="s">
        <v>10</v>
      </c>
      <c r="C560" s="10">
        <v>1093482</v>
      </c>
      <c r="D560" s="10" t="s">
        <v>795</v>
      </c>
      <c r="E560" s="32">
        <v>-138.30000000000001</v>
      </c>
      <c r="F560" s="32">
        <v>27.35</v>
      </c>
      <c r="G560" s="69">
        <f t="shared" si="123"/>
        <v>19.145</v>
      </c>
      <c r="H560" s="70">
        <v>0.19880999999999999</v>
      </c>
      <c r="I560" s="69">
        <f t="shared" si="121"/>
        <v>-23.68920555</v>
      </c>
      <c r="J560" s="79" t="s">
        <v>468</v>
      </c>
      <c r="K560" s="61">
        <v>0</v>
      </c>
      <c r="L560" s="58">
        <f t="shared" si="122"/>
        <v>0.27187267500000001</v>
      </c>
      <c r="M560" s="58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32" t="s">
        <v>382</v>
      </c>
      <c r="B561" s="2" t="s">
        <v>10</v>
      </c>
      <c r="C561" s="10">
        <v>1106523</v>
      </c>
      <c r="D561" s="10" t="s">
        <v>829</v>
      </c>
      <c r="E561" s="32">
        <v>-120.1</v>
      </c>
      <c r="F561" s="32">
        <v>12.8</v>
      </c>
      <c r="G561" s="69">
        <f t="shared" si="123"/>
        <v>8.9599999999999991</v>
      </c>
      <c r="H561" s="70">
        <v>0.19880999999999999</v>
      </c>
      <c r="I561" s="69">
        <f t="shared" si="121"/>
        <v>-22.0957434</v>
      </c>
      <c r="J561" s="79" t="s">
        <v>468</v>
      </c>
      <c r="K561" s="61">
        <v>0</v>
      </c>
      <c r="L561" s="58">
        <f t="shared" si="122"/>
        <v>0.12723840000000003</v>
      </c>
      <c r="M561" s="58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32" t="s">
        <v>382</v>
      </c>
      <c r="B562" s="2" t="s">
        <v>10</v>
      </c>
      <c r="C562" s="10">
        <v>1118910</v>
      </c>
      <c r="D562" s="10" t="s">
        <v>853</v>
      </c>
      <c r="E562" s="32">
        <v>-297.85000000000002</v>
      </c>
      <c r="F562" s="32">
        <v>30.5</v>
      </c>
      <c r="G562" s="69">
        <f t="shared" si="123"/>
        <v>21.349999999999998</v>
      </c>
      <c r="H562" s="70">
        <v>0.19880999999999999</v>
      </c>
      <c r="I562" s="69">
        <f t="shared" si="121"/>
        <v>-54.970965</v>
      </c>
      <c r="J562" s="79" t="s">
        <v>468</v>
      </c>
      <c r="K562" s="61">
        <v>0</v>
      </c>
      <c r="L562" s="58">
        <f t="shared" si="122"/>
        <v>0.30318525000000002</v>
      </c>
      <c r="M562" s="58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32" t="s">
        <v>382</v>
      </c>
      <c r="B563" s="2" t="s">
        <v>10</v>
      </c>
      <c r="C563" s="10">
        <v>1128610</v>
      </c>
      <c r="D563" s="10" t="s">
        <v>864</v>
      </c>
      <c r="E563" s="32">
        <v>-86.1</v>
      </c>
      <c r="F563" s="32">
        <v>12.05</v>
      </c>
      <c r="G563" s="69">
        <f t="shared" si="123"/>
        <v>8.4350000000000005</v>
      </c>
      <c r="H563" s="70">
        <v>0.19880999999999999</v>
      </c>
      <c r="I563" s="69">
        <f t="shared" si="121"/>
        <v>-15.440578649999997</v>
      </c>
      <c r="J563" s="79" t="s">
        <v>468</v>
      </c>
      <c r="K563" s="61">
        <v>0</v>
      </c>
      <c r="L563" s="58">
        <f t="shared" si="122"/>
        <v>0.119783025</v>
      </c>
      <c r="M563" s="58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32" t="s">
        <v>382</v>
      </c>
      <c r="B564" s="2" t="s">
        <v>10</v>
      </c>
      <c r="C564" s="10">
        <v>1129413</v>
      </c>
      <c r="D564" s="10" t="s">
        <v>865</v>
      </c>
      <c r="E564" s="32">
        <v>538.70000000000005</v>
      </c>
      <c r="F564" s="32">
        <v>166.35</v>
      </c>
      <c r="G564" s="69">
        <f t="shared" si="123"/>
        <v>116.44499999999999</v>
      </c>
      <c r="H564" s="70">
        <v>0.19880999999999999</v>
      </c>
      <c r="I564" s="69">
        <f t="shared" si="121"/>
        <v>130.24937745</v>
      </c>
      <c r="J564" s="79" t="s">
        <v>468</v>
      </c>
      <c r="K564" s="61">
        <v>0</v>
      </c>
      <c r="L564" s="58">
        <f t="shared" si="122"/>
        <v>1.6536021750000001</v>
      </c>
      <c r="M564" s="58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32" t="s">
        <v>382</v>
      </c>
      <c r="B565" s="2" t="s">
        <v>10</v>
      </c>
      <c r="C565" s="10">
        <v>1130772</v>
      </c>
      <c r="D565" s="10" t="s">
        <v>866</v>
      </c>
      <c r="E565" s="32">
        <v>1579.15</v>
      </c>
      <c r="F565" s="32">
        <v>234.95</v>
      </c>
      <c r="G565" s="69">
        <f t="shared" si="123"/>
        <v>164.46499999999997</v>
      </c>
      <c r="H565" s="70">
        <v>0.19880999999999999</v>
      </c>
      <c r="I565" s="69">
        <f t="shared" si="121"/>
        <v>346.64809814999995</v>
      </c>
      <c r="J565" s="79" t="s">
        <v>468</v>
      </c>
      <c r="K565" s="61">
        <v>0</v>
      </c>
      <c r="L565" s="58">
        <f t="shared" si="122"/>
        <v>2.335520475</v>
      </c>
      <c r="M565" s="58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32" t="s">
        <v>382</v>
      </c>
      <c r="B566" s="2" t="s">
        <v>10</v>
      </c>
      <c r="C566" s="10">
        <v>1132025</v>
      </c>
      <c r="D566" s="10" t="s">
        <v>867</v>
      </c>
      <c r="E566" s="32">
        <v>-340.15</v>
      </c>
      <c r="F566" s="32">
        <v>84.7</v>
      </c>
      <c r="G566" s="69">
        <f t="shared" si="123"/>
        <v>59.29</v>
      </c>
      <c r="H566" s="70">
        <v>0.19880999999999999</v>
      </c>
      <c r="I566" s="69">
        <f t="shared" si="121"/>
        <v>-55.837776599999991</v>
      </c>
      <c r="J566" s="79" t="s">
        <v>468</v>
      </c>
      <c r="K566" s="61">
        <v>0</v>
      </c>
      <c r="L566" s="58">
        <f t="shared" si="122"/>
        <v>0.84196035000000002</v>
      </c>
      <c r="M566" s="58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32" t="s">
        <v>382</v>
      </c>
      <c r="B567" s="2" t="s">
        <v>10</v>
      </c>
      <c r="C567" s="10">
        <v>915274</v>
      </c>
      <c r="D567" s="10" t="s">
        <v>701</v>
      </c>
      <c r="E567" s="32">
        <v>-591.35</v>
      </c>
      <c r="F567" s="32">
        <v>122.1</v>
      </c>
      <c r="G567" s="69">
        <f t="shared" si="123"/>
        <v>85.469999999999985</v>
      </c>
      <c r="H567" s="70">
        <v>0.19880999999999999</v>
      </c>
      <c r="I567" s="69">
        <f t="shared" si="121"/>
        <v>-100.5740028</v>
      </c>
      <c r="J567" s="79" t="s">
        <v>468</v>
      </c>
      <c r="K567" s="61">
        <v>0</v>
      </c>
      <c r="L567" s="58">
        <f t="shared" si="122"/>
        <v>1.2137350499999999</v>
      </c>
      <c r="M567" s="58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32" t="s">
        <v>382</v>
      </c>
      <c r="B568" s="2" t="s">
        <v>10</v>
      </c>
      <c r="C568" s="10">
        <v>939806</v>
      </c>
      <c r="D568" s="10" t="s">
        <v>823</v>
      </c>
      <c r="E568" s="32">
        <v>59.45</v>
      </c>
      <c r="F568" s="32">
        <v>115.05</v>
      </c>
      <c r="G568" s="69">
        <f t="shared" si="123"/>
        <v>80.534999999999997</v>
      </c>
      <c r="H568" s="70">
        <v>0.19880999999999999</v>
      </c>
      <c r="I568" s="69">
        <f t="shared" si="121"/>
        <v>27.83041785</v>
      </c>
      <c r="J568" s="79" t="s">
        <v>468</v>
      </c>
      <c r="K568" s="61">
        <v>0</v>
      </c>
      <c r="L568" s="58">
        <f t="shared" si="122"/>
        <v>1.1436545250000001</v>
      </c>
      <c r="M568" s="58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32" t="s">
        <v>382</v>
      </c>
      <c r="B569" s="2" t="s">
        <v>10</v>
      </c>
      <c r="C569" s="10">
        <v>1130253</v>
      </c>
      <c r="D569" s="10" t="s">
        <v>868</v>
      </c>
      <c r="E569" s="32">
        <v>-127.7</v>
      </c>
      <c r="F569" s="32">
        <v>25.85</v>
      </c>
      <c r="G569" s="69">
        <f t="shared" si="123"/>
        <v>18.094999999999999</v>
      </c>
      <c r="H569" s="70">
        <v>0.19880999999999999</v>
      </c>
      <c r="I569" s="69">
        <f t="shared" si="121"/>
        <v>-21.790570049999999</v>
      </c>
      <c r="J569" s="79" t="s">
        <v>468</v>
      </c>
      <c r="K569" s="61">
        <v>0</v>
      </c>
      <c r="L569" s="58">
        <f t="shared" si="122"/>
        <v>0.25696192500000004</v>
      </c>
      <c r="M569" s="58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32" t="s">
        <v>382</v>
      </c>
      <c r="B570" s="2" t="s">
        <v>10</v>
      </c>
      <c r="C570" s="10">
        <v>1130258</v>
      </c>
      <c r="D570" s="10" t="s">
        <v>869</v>
      </c>
      <c r="E570" s="32">
        <v>-67</v>
      </c>
      <c r="F570" s="32">
        <v>11.91</v>
      </c>
      <c r="G570" s="69">
        <f t="shared" si="123"/>
        <v>8.3369999999999997</v>
      </c>
      <c r="H570" s="70">
        <v>0.19880999999999999</v>
      </c>
      <c r="I570" s="69">
        <f t="shared" si="121"/>
        <v>-11.662791029999999</v>
      </c>
      <c r="J570" s="79" t="s">
        <v>468</v>
      </c>
      <c r="K570" s="61">
        <v>0</v>
      </c>
      <c r="L570" s="58">
        <f t="shared" si="122"/>
        <v>0.118391355</v>
      </c>
      <c r="M570" s="58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32" t="s">
        <v>382</v>
      </c>
      <c r="B571" s="2" t="s">
        <v>10</v>
      </c>
      <c r="C571" s="10">
        <v>1130298</v>
      </c>
      <c r="D571" s="10" t="s">
        <v>870</v>
      </c>
      <c r="E571" s="32">
        <v>-308.39999999999998</v>
      </c>
      <c r="F571" s="32">
        <v>20.95</v>
      </c>
      <c r="G571" s="69">
        <f t="shared" si="123"/>
        <v>14.664999999999999</v>
      </c>
      <c r="H571" s="70">
        <v>0.19880999999999999</v>
      </c>
      <c r="I571" s="69">
        <f t="shared" si="121"/>
        <v>-58.397455349999987</v>
      </c>
      <c r="J571" s="79" t="s">
        <v>468</v>
      </c>
      <c r="K571" s="61">
        <v>0</v>
      </c>
      <c r="L571" s="58">
        <f t="shared" si="122"/>
        <v>0.20825347499999999</v>
      </c>
      <c r="M571" s="58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32" t="s">
        <v>382</v>
      </c>
      <c r="B572" s="2" t="s">
        <v>10</v>
      </c>
      <c r="C572" s="10">
        <v>1130249</v>
      </c>
      <c r="D572" s="10" t="s">
        <v>871</v>
      </c>
      <c r="E572" s="32">
        <v>-134.75</v>
      </c>
      <c r="F572" s="32">
        <v>22.44</v>
      </c>
      <c r="G572" s="69">
        <f t="shared" si="123"/>
        <v>15.708</v>
      </c>
      <c r="H572" s="70">
        <v>0.19880999999999999</v>
      </c>
      <c r="I572" s="69">
        <f t="shared" si="121"/>
        <v>-23.666740019999999</v>
      </c>
      <c r="J572" s="79" t="s">
        <v>468</v>
      </c>
      <c r="K572" s="61">
        <v>0</v>
      </c>
      <c r="L572" s="58">
        <f t="shared" si="122"/>
        <v>0.22306482</v>
      </c>
      <c r="M572" s="58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32" t="s">
        <v>382</v>
      </c>
      <c r="B573" s="2" t="s">
        <v>10</v>
      </c>
      <c r="C573" s="10">
        <v>1130253</v>
      </c>
      <c r="D573" s="10" t="s">
        <v>868</v>
      </c>
      <c r="E573" s="32">
        <v>-113.3</v>
      </c>
      <c r="F573" s="32">
        <v>9.6999999999999993</v>
      </c>
      <c r="G573" s="69">
        <f t="shared" si="123"/>
        <v>6.7899999999999991</v>
      </c>
      <c r="H573" s="70">
        <v>0.19880999999999999</v>
      </c>
      <c r="I573" s="69">
        <f t="shared" si="121"/>
        <v>-21.175253099999995</v>
      </c>
      <c r="J573" s="79" t="s">
        <v>468</v>
      </c>
      <c r="K573" s="61">
        <v>0</v>
      </c>
      <c r="L573" s="58">
        <f t="shared" si="122"/>
        <v>9.6422849999999991E-2</v>
      </c>
      <c r="M573" s="58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32" t="s">
        <v>383</v>
      </c>
      <c r="B574" s="32" t="s">
        <v>54</v>
      </c>
      <c r="C574" s="10" t="s">
        <v>623</v>
      </c>
      <c r="D574" s="10">
        <v>727727</v>
      </c>
      <c r="E574" s="32">
        <v>-233.96</v>
      </c>
      <c r="F574" s="32">
        <v>12.94</v>
      </c>
      <c r="G574" s="69">
        <f t="shared" ref="G574:G583" si="124">F574*0.75</f>
        <v>9.7050000000000001</v>
      </c>
      <c r="H574" s="75">
        <v>0.26668999999999998</v>
      </c>
      <c r="I574" s="69">
        <f t="shared" ref="I574:I583" si="125">(E574+G574)*H574*0.87</f>
        <v>-52.031712376499996</v>
      </c>
      <c r="J574" s="78">
        <f t="shared" ref="J574:J583" si="126">F574*0.05*H574*0.87</f>
        <v>0.15011713409999999</v>
      </c>
      <c r="K574" s="61">
        <v>0</v>
      </c>
      <c r="L574" s="61">
        <f t="shared" ref="L574:L583" si="127">F574*0.08*H574*0.87</f>
        <v>0.24018741455999998</v>
      </c>
      <c r="M574" s="58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32" t="s">
        <v>383</v>
      </c>
      <c r="B575" s="32" t="s">
        <v>54</v>
      </c>
      <c r="C575" s="10" t="s">
        <v>627</v>
      </c>
      <c r="D575" s="10" t="s">
        <v>628</v>
      </c>
      <c r="E575" s="32">
        <v>-2549.84</v>
      </c>
      <c r="F575" s="32">
        <v>1024.8800000000001</v>
      </c>
      <c r="G575" s="69">
        <f t="shared" si="124"/>
        <v>768.66000000000008</v>
      </c>
      <c r="H575" s="75">
        <v>0.26668999999999998</v>
      </c>
      <c r="I575" s="69">
        <f t="shared" si="125"/>
        <v>-413.26991795399999</v>
      </c>
      <c r="J575" s="78">
        <f t="shared" si="126"/>
        <v>11.889648253200001</v>
      </c>
      <c r="K575" s="61">
        <v>0</v>
      </c>
      <c r="L575" s="61">
        <f t="shared" si="127"/>
        <v>19.02343720512</v>
      </c>
      <c r="M575" s="58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32" t="s">
        <v>383</v>
      </c>
      <c r="B576" s="32" t="s">
        <v>54</v>
      </c>
      <c r="C576" s="10" t="s">
        <v>630</v>
      </c>
      <c r="D576" s="10" t="s">
        <v>631</v>
      </c>
      <c r="E576" s="32">
        <v>463.01</v>
      </c>
      <c r="F576" s="32">
        <v>210.16</v>
      </c>
      <c r="G576" s="69">
        <f t="shared" si="124"/>
        <v>157.62</v>
      </c>
      <c r="H576" s="75">
        <v>0.26668999999999998</v>
      </c>
      <c r="I576" s="69">
        <f t="shared" si="125"/>
        <v>143.99875878899999</v>
      </c>
      <c r="J576" s="78">
        <f t="shared" si="126"/>
        <v>2.4380693124000001</v>
      </c>
      <c r="K576" s="61">
        <v>0</v>
      </c>
      <c r="L576" s="61">
        <f t="shared" si="127"/>
        <v>3.9009108998399995</v>
      </c>
      <c r="M576" s="58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32" t="s">
        <v>383</v>
      </c>
      <c r="B577" s="32" t="s">
        <v>54</v>
      </c>
      <c r="C577" s="10" t="s">
        <v>633</v>
      </c>
      <c r="D577" s="10" t="s">
        <v>634</v>
      </c>
      <c r="E577" s="32">
        <v>-40</v>
      </c>
      <c r="F577" s="32">
        <v>0</v>
      </c>
      <c r="G577" s="69">
        <f t="shared" si="124"/>
        <v>0</v>
      </c>
      <c r="H577" s="75">
        <v>0.26668999999999998</v>
      </c>
      <c r="I577" s="69">
        <f t="shared" si="125"/>
        <v>-9.2808120000000009</v>
      </c>
      <c r="J577" s="78">
        <f t="shared" si="126"/>
        <v>0</v>
      </c>
      <c r="K577" s="61">
        <v>0</v>
      </c>
      <c r="L577" s="61">
        <f t="shared" si="127"/>
        <v>0</v>
      </c>
      <c r="M577" s="58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32" t="s">
        <v>383</v>
      </c>
      <c r="B578" s="32" t="s">
        <v>54</v>
      </c>
      <c r="C578" s="10" t="s">
        <v>638</v>
      </c>
      <c r="D578" s="10" t="s">
        <v>639</v>
      </c>
      <c r="E578" s="32">
        <v>-1297.5</v>
      </c>
      <c r="F578" s="32">
        <v>214.83</v>
      </c>
      <c r="G578" s="69">
        <f t="shared" si="124"/>
        <v>161.1225</v>
      </c>
      <c r="H578" s="75">
        <v>0.26668999999999998</v>
      </c>
      <c r="I578" s="69">
        <f t="shared" si="125"/>
        <v>-263.66264846324998</v>
      </c>
      <c r="J578" s="78">
        <f t="shared" si="126"/>
        <v>2.4922460524500001</v>
      </c>
      <c r="K578" s="61">
        <v>0</v>
      </c>
      <c r="L578" s="61">
        <f t="shared" si="127"/>
        <v>3.9875936839200001</v>
      </c>
      <c r="M578" s="58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32" t="s">
        <v>383</v>
      </c>
      <c r="B579" s="32" t="s">
        <v>54</v>
      </c>
      <c r="C579" s="10" t="s">
        <v>641</v>
      </c>
      <c r="D579" s="10" t="s">
        <v>642</v>
      </c>
      <c r="E579" s="32">
        <v>99</v>
      </c>
      <c r="F579" s="32">
        <v>5.5</v>
      </c>
      <c r="G579" s="69">
        <f t="shared" si="124"/>
        <v>4.125</v>
      </c>
      <c r="H579" s="75">
        <v>0.26668999999999998</v>
      </c>
      <c r="I579" s="69">
        <f t="shared" si="125"/>
        <v>23.927093437499998</v>
      </c>
      <c r="J579" s="78">
        <f t="shared" si="126"/>
        <v>6.3805582499999999E-2</v>
      </c>
      <c r="K579" s="61">
        <v>0</v>
      </c>
      <c r="L579" s="61">
        <f t="shared" si="127"/>
        <v>0.10208893199999999</v>
      </c>
      <c r="M579" s="58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32" t="s">
        <v>383</v>
      </c>
      <c r="B580" s="32" t="s">
        <v>54</v>
      </c>
      <c r="C580" s="10" t="s">
        <v>824</v>
      </c>
      <c r="D580" s="10" t="s">
        <v>825</v>
      </c>
      <c r="E580" s="32">
        <v>-126.6</v>
      </c>
      <c r="F580" s="32">
        <v>7.08</v>
      </c>
      <c r="G580" s="69">
        <f t="shared" si="124"/>
        <v>5.3100000000000005</v>
      </c>
      <c r="H580" s="75">
        <v>0.26668999999999998</v>
      </c>
      <c r="I580" s="69">
        <f t="shared" si="125"/>
        <v>-28.141742186999998</v>
      </c>
      <c r="J580" s="78">
        <f t="shared" si="126"/>
        <v>8.2135186200000002E-2</v>
      </c>
      <c r="K580" s="61">
        <v>0</v>
      </c>
      <c r="L580" s="61">
        <f t="shared" si="127"/>
        <v>0.13141629791999998</v>
      </c>
      <c r="M580" s="58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32" t="s">
        <v>383</v>
      </c>
      <c r="B581" s="32" t="s">
        <v>54</v>
      </c>
      <c r="C581" s="10" t="s">
        <v>644</v>
      </c>
      <c r="D581" s="10" t="s">
        <v>645</v>
      </c>
      <c r="E581" s="32">
        <v>-204</v>
      </c>
      <c r="F581" s="32">
        <v>10.199999999999999</v>
      </c>
      <c r="G581" s="69">
        <f t="shared" si="124"/>
        <v>7.6499999999999995</v>
      </c>
      <c r="H581" s="75">
        <v>0.26668999999999998</v>
      </c>
      <c r="I581" s="69">
        <f t="shared" si="125"/>
        <v>-45.55718590499999</v>
      </c>
      <c r="J581" s="78">
        <f t="shared" si="126"/>
        <v>0.11833035299999999</v>
      </c>
      <c r="K581" s="61">
        <v>0</v>
      </c>
      <c r="L581" s="61">
        <f t="shared" si="127"/>
        <v>0.18932856479999996</v>
      </c>
      <c r="M581" s="58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32" t="s">
        <v>383</v>
      </c>
      <c r="B582" s="32" t="s">
        <v>35</v>
      </c>
      <c r="C582" s="10" t="s">
        <v>647</v>
      </c>
      <c r="D582" s="10" t="s">
        <v>648</v>
      </c>
      <c r="E582" s="32">
        <v>-4776.47</v>
      </c>
      <c r="F582" s="32">
        <v>926.05</v>
      </c>
      <c r="G582" s="69">
        <f t="shared" si="124"/>
        <v>694.53749999999991</v>
      </c>
      <c r="H582" s="75">
        <v>0.26668999999999998</v>
      </c>
      <c r="I582" s="69">
        <f t="shared" si="125"/>
        <v>-947.09120322975002</v>
      </c>
      <c r="J582" s="78">
        <f t="shared" si="126"/>
        <v>10.743119940750001</v>
      </c>
      <c r="K582" s="61">
        <v>0</v>
      </c>
      <c r="L582" s="61">
        <f t="shared" si="127"/>
        <v>17.188991905200002</v>
      </c>
      <c r="M582" s="58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32" t="s">
        <v>383</v>
      </c>
      <c r="B583" s="32" t="s">
        <v>35</v>
      </c>
      <c r="C583" s="10" t="s">
        <v>650</v>
      </c>
      <c r="D583" s="10" t="s">
        <v>651</v>
      </c>
      <c r="E583" s="32">
        <v>3068.05</v>
      </c>
      <c r="F583" s="32">
        <v>550.82000000000005</v>
      </c>
      <c r="G583" s="69">
        <f t="shared" si="124"/>
        <v>413.11500000000001</v>
      </c>
      <c r="H583" s="75">
        <v>0.26668999999999998</v>
      </c>
      <c r="I583" s="69">
        <f t="shared" si="125"/>
        <v>807.70094764949999</v>
      </c>
      <c r="J583" s="78">
        <f t="shared" si="126"/>
        <v>6.3900710823000004</v>
      </c>
      <c r="K583" s="61">
        <v>0</v>
      </c>
      <c r="L583" s="61">
        <f t="shared" si="127"/>
        <v>10.224113731680001</v>
      </c>
      <c r="M583" s="58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32" t="s">
        <v>383</v>
      </c>
      <c r="B584" s="32" t="s">
        <v>810</v>
      </c>
      <c r="C584" s="10" t="s">
        <v>872</v>
      </c>
      <c r="D584" s="10" t="s">
        <v>782</v>
      </c>
      <c r="E584" s="32">
        <v>129.53</v>
      </c>
      <c r="F584" s="32">
        <v>18.079999999999998</v>
      </c>
      <c r="G584" s="69">
        <f t="shared" ref="G584:G585" si="128">F584*0.3</f>
        <v>5.4239999999999995</v>
      </c>
      <c r="H584" s="70">
        <v>1</v>
      </c>
      <c r="I584" s="69">
        <f t="shared" ref="I584:I585" si="129">(E584+G584)*H584</f>
        <v>134.95400000000001</v>
      </c>
      <c r="J584" s="79" t="s">
        <v>468</v>
      </c>
      <c r="K584" s="61">
        <v>0</v>
      </c>
      <c r="L584" s="58">
        <f t="shared" ref="L584:L585" si="130">F584*0.05*H584</f>
        <v>0.90399999999999991</v>
      </c>
      <c r="M584" s="58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32" t="s">
        <v>383</v>
      </c>
      <c r="B585" s="32" t="s">
        <v>753</v>
      </c>
      <c r="C585" s="10" t="s">
        <v>754</v>
      </c>
      <c r="D585" s="10" t="s">
        <v>755</v>
      </c>
      <c r="E585" s="32">
        <v>-35.43</v>
      </c>
      <c r="F585" s="32">
        <v>3.96</v>
      </c>
      <c r="G585" s="69">
        <f t="shared" si="128"/>
        <v>1.1879999999999999</v>
      </c>
      <c r="H585" s="70">
        <v>1</v>
      </c>
      <c r="I585" s="69">
        <f t="shared" si="129"/>
        <v>-34.241999999999997</v>
      </c>
      <c r="J585" s="79" t="s">
        <v>468</v>
      </c>
      <c r="K585" s="61">
        <v>0</v>
      </c>
      <c r="L585" s="58">
        <f t="shared" si="130"/>
        <v>0.19800000000000001</v>
      </c>
      <c r="M585" s="58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32" t="s">
        <v>383</v>
      </c>
      <c r="B586" s="32" t="s">
        <v>140</v>
      </c>
      <c r="C586" s="10">
        <v>10123095</v>
      </c>
      <c r="D586" s="10" t="s">
        <v>860</v>
      </c>
      <c r="E586" s="32">
        <v>2938.75</v>
      </c>
      <c r="F586" s="32">
        <v>1062.4100000000001</v>
      </c>
      <c r="G586" s="69">
        <f>F586*0.6</f>
        <v>637.44600000000003</v>
      </c>
      <c r="H586" s="70">
        <v>0.640926</v>
      </c>
      <c r="I586" s="69">
        <f>((E586+G586)*0.9)*H586</f>
        <v>2062.8692977463998</v>
      </c>
      <c r="J586" s="79" t="s">
        <v>468</v>
      </c>
      <c r="K586" s="61">
        <v>0</v>
      </c>
      <c r="L586" s="61">
        <f>F586*0.1*H586*0.9</f>
        <v>61.283357249400005</v>
      </c>
      <c r="M586" s="58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32" t="s">
        <v>383</v>
      </c>
      <c r="B587" s="2" t="s">
        <v>10</v>
      </c>
      <c r="C587" s="10">
        <v>923286</v>
      </c>
      <c r="D587" s="10" t="s">
        <v>654</v>
      </c>
      <c r="E587" s="32">
        <v>-756.6</v>
      </c>
      <c r="F587" s="32">
        <v>280</v>
      </c>
      <c r="G587" s="69">
        <f t="shared" ref="G587:G601" si="131">F587*0.7</f>
        <v>196</v>
      </c>
      <c r="H587" s="70">
        <v>0.19305</v>
      </c>
      <c r="I587" s="69">
        <f t="shared" ref="I587:I601" si="132">(E587+G587)*H587</f>
        <v>-108.22383000000001</v>
      </c>
      <c r="J587" s="79" t="s">
        <v>468</v>
      </c>
      <c r="K587" s="61">
        <v>0</v>
      </c>
      <c r="L587" s="58">
        <f t="shared" ref="L587:L601" si="133">F587*0.05*H587</f>
        <v>2.7027000000000001</v>
      </c>
      <c r="M587" s="58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32" t="s">
        <v>383</v>
      </c>
      <c r="B588" s="2" t="s">
        <v>10</v>
      </c>
      <c r="C588" s="10">
        <v>1011126</v>
      </c>
      <c r="D588" s="10" t="s">
        <v>669</v>
      </c>
      <c r="E588" s="32">
        <v>-99</v>
      </c>
      <c r="F588" s="32">
        <v>12.75</v>
      </c>
      <c r="G588" s="69">
        <f t="shared" si="131"/>
        <v>8.9249999999999989</v>
      </c>
      <c r="H588" s="70">
        <v>0.19305</v>
      </c>
      <c r="I588" s="69">
        <f t="shared" si="132"/>
        <v>-17.38897875</v>
      </c>
      <c r="J588" s="79" t="s">
        <v>468</v>
      </c>
      <c r="K588" s="61">
        <v>0</v>
      </c>
      <c r="L588" s="58">
        <f t="shared" si="133"/>
        <v>0.12306937500000001</v>
      </c>
      <c r="M588" s="58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32" t="s">
        <v>383</v>
      </c>
      <c r="B589" s="2" t="s">
        <v>10</v>
      </c>
      <c r="C589" s="10">
        <v>1058488</v>
      </c>
      <c r="D589" s="10" t="s">
        <v>784</v>
      </c>
      <c r="E589" s="32">
        <v>-175.15</v>
      </c>
      <c r="F589" s="32">
        <v>57.59</v>
      </c>
      <c r="G589" s="69">
        <f t="shared" si="131"/>
        <v>40.313000000000002</v>
      </c>
      <c r="H589" s="70">
        <v>0.19305</v>
      </c>
      <c r="I589" s="69">
        <f t="shared" si="132"/>
        <v>-26.030282849999999</v>
      </c>
      <c r="J589" s="79" t="s">
        <v>468</v>
      </c>
      <c r="K589" s="61">
        <v>0</v>
      </c>
      <c r="L589" s="58">
        <f t="shared" si="133"/>
        <v>0.55588747500000002</v>
      </c>
      <c r="M589" s="58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32" t="s">
        <v>383</v>
      </c>
      <c r="B590" s="2" t="s">
        <v>10</v>
      </c>
      <c r="C590" s="10">
        <v>1067198</v>
      </c>
      <c r="D590" s="10" t="s">
        <v>700</v>
      </c>
      <c r="E590" s="32">
        <v>46.85</v>
      </c>
      <c r="F590" s="32">
        <v>81.5</v>
      </c>
      <c r="G590" s="69">
        <f t="shared" si="131"/>
        <v>57.05</v>
      </c>
      <c r="H590" s="70">
        <v>0.19305</v>
      </c>
      <c r="I590" s="69">
        <f t="shared" si="132"/>
        <v>20.057895000000002</v>
      </c>
      <c r="J590" s="79" t="s">
        <v>468</v>
      </c>
      <c r="K590" s="61">
        <v>0</v>
      </c>
      <c r="L590" s="58">
        <f t="shared" si="133"/>
        <v>0.78667874999999998</v>
      </c>
      <c r="M590" s="58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32" t="s">
        <v>383</v>
      </c>
      <c r="B591" s="2" t="s">
        <v>10</v>
      </c>
      <c r="C591" s="10">
        <v>1093482</v>
      </c>
      <c r="D591" s="10" t="s">
        <v>795</v>
      </c>
      <c r="E591" s="32">
        <v>-25</v>
      </c>
      <c r="F591" s="32">
        <v>2.5499999999999998</v>
      </c>
      <c r="G591" s="69">
        <f t="shared" si="131"/>
        <v>1.7849999999999997</v>
      </c>
      <c r="H591" s="70">
        <v>0.19305</v>
      </c>
      <c r="I591" s="69">
        <f t="shared" si="132"/>
        <v>-4.4816557499999998</v>
      </c>
      <c r="J591" s="79" t="s">
        <v>468</v>
      </c>
      <c r="K591" s="61">
        <v>0</v>
      </c>
      <c r="L591" s="58">
        <f t="shared" si="133"/>
        <v>2.4613875E-2</v>
      </c>
      <c r="M591" s="58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32" t="s">
        <v>383</v>
      </c>
      <c r="B592" s="2" t="s">
        <v>10</v>
      </c>
      <c r="C592" s="10">
        <v>1094517</v>
      </c>
      <c r="D592" s="10" t="s">
        <v>807</v>
      </c>
      <c r="E592" s="32">
        <v>-3070.65</v>
      </c>
      <c r="F592" s="32">
        <v>829.15</v>
      </c>
      <c r="G592" s="69">
        <f t="shared" si="131"/>
        <v>580.40499999999997</v>
      </c>
      <c r="H592" s="70">
        <v>0.19305</v>
      </c>
      <c r="I592" s="69">
        <f t="shared" si="132"/>
        <v>-480.74179724999999</v>
      </c>
      <c r="J592" s="79" t="s">
        <v>468</v>
      </c>
      <c r="K592" s="61">
        <v>0</v>
      </c>
      <c r="L592" s="58">
        <f t="shared" si="133"/>
        <v>8.0033703750000011</v>
      </c>
      <c r="M592" s="58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32" t="s">
        <v>383</v>
      </c>
      <c r="B593" s="2" t="s">
        <v>10</v>
      </c>
      <c r="C593" s="10">
        <v>1106523</v>
      </c>
      <c r="D593" s="10" t="s">
        <v>829</v>
      </c>
      <c r="E593" s="32">
        <v>-116.9</v>
      </c>
      <c r="F593" s="32">
        <v>63.21</v>
      </c>
      <c r="G593" s="69">
        <f t="shared" si="131"/>
        <v>44.247</v>
      </c>
      <c r="H593" s="70">
        <v>0.19305</v>
      </c>
      <c r="I593" s="69">
        <f t="shared" si="132"/>
        <v>-14.025661650000002</v>
      </c>
      <c r="J593" s="79" t="s">
        <v>468</v>
      </c>
      <c r="K593" s="61">
        <v>0</v>
      </c>
      <c r="L593" s="58">
        <f t="shared" si="133"/>
        <v>0.61013452500000009</v>
      </c>
      <c r="M593" s="58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32" t="s">
        <v>383</v>
      </c>
      <c r="B594" s="2" t="s">
        <v>10</v>
      </c>
      <c r="C594" s="10">
        <v>1133207</v>
      </c>
      <c r="D594" s="10" t="s">
        <v>873</v>
      </c>
      <c r="E594" s="32">
        <v>-535.5</v>
      </c>
      <c r="F594" s="32">
        <v>862.1</v>
      </c>
      <c r="G594" s="69">
        <f t="shared" si="131"/>
        <v>603.47</v>
      </c>
      <c r="H594" s="70">
        <v>0.19305</v>
      </c>
      <c r="I594" s="69">
        <f t="shared" si="132"/>
        <v>13.121608500000006</v>
      </c>
      <c r="J594" s="79" t="s">
        <v>468</v>
      </c>
      <c r="K594" s="61">
        <v>0</v>
      </c>
      <c r="L594" s="58">
        <f t="shared" si="133"/>
        <v>8.321420250000001</v>
      </c>
      <c r="M594" s="58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32" t="s">
        <v>383</v>
      </c>
      <c r="B595" s="2" t="s">
        <v>10</v>
      </c>
      <c r="C595" s="10">
        <v>1134602</v>
      </c>
      <c r="D595" s="10" t="s">
        <v>874</v>
      </c>
      <c r="E595" s="32">
        <v>-316.25</v>
      </c>
      <c r="F595" s="32">
        <v>64.25</v>
      </c>
      <c r="G595" s="69">
        <f t="shared" si="131"/>
        <v>44.974999999999994</v>
      </c>
      <c r="H595" s="70">
        <v>0.19305</v>
      </c>
      <c r="I595" s="69">
        <f t="shared" si="132"/>
        <v>-52.369638749999993</v>
      </c>
      <c r="J595" s="79" t="s">
        <v>468</v>
      </c>
      <c r="K595" s="61">
        <v>0</v>
      </c>
      <c r="L595" s="58">
        <f t="shared" si="133"/>
        <v>0.6201731250000001</v>
      </c>
      <c r="M595" s="58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32" t="s">
        <v>383</v>
      </c>
      <c r="B596" s="2" t="s">
        <v>10</v>
      </c>
      <c r="C596" s="10">
        <v>1134626</v>
      </c>
      <c r="D596" s="10" t="s">
        <v>875</v>
      </c>
      <c r="E596" s="32">
        <v>200.85</v>
      </c>
      <c r="F596" s="32">
        <v>176.55</v>
      </c>
      <c r="G596" s="69">
        <f t="shared" si="131"/>
        <v>123.58499999999999</v>
      </c>
      <c r="H596" s="70">
        <v>0.19305</v>
      </c>
      <c r="I596" s="69">
        <f t="shared" si="132"/>
        <v>62.632176749999999</v>
      </c>
      <c r="J596" s="79" t="s">
        <v>468</v>
      </c>
      <c r="K596" s="61">
        <v>0</v>
      </c>
      <c r="L596" s="58">
        <f t="shared" si="133"/>
        <v>1.704148875</v>
      </c>
      <c r="M596" s="58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32" t="s">
        <v>383</v>
      </c>
      <c r="B597" s="2" t="s">
        <v>10</v>
      </c>
      <c r="C597" s="10">
        <v>1135920</v>
      </c>
      <c r="D597" s="10" t="s">
        <v>876</v>
      </c>
      <c r="E597" s="32">
        <v>-221.75</v>
      </c>
      <c r="F597" s="32">
        <v>45.05</v>
      </c>
      <c r="G597" s="69">
        <f t="shared" si="131"/>
        <v>31.534999999999997</v>
      </c>
      <c r="H597" s="70">
        <v>0.19305</v>
      </c>
      <c r="I597" s="69">
        <f t="shared" si="132"/>
        <v>-36.721005750000003</v>
      </c>
      <c r="J597" s="79" t="s">
        <v>468</v>
      </c>
      <c r="K597" s="61">
        <v>0</v>
      </c>
      <c r="L597" s="58">
        <f t="shared" si="133"/>
        <v>0.434845125</v>
      </c>
      <c r="M597" s="58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32" t="s">
        <v>383</v>
      </c>
      <c r="B598" s="2" t="s">
        <v>10</v>
      </c>
      <c r="C598" s="10">
        <v>915274</v>
      </c>
      <c r="D598" s="10" t="s">
        <v>701</v>
      </c>
      <c r="E598" s="32">
        <v>-849.95</v>
      </c>
      <c r="F598" s="32">
        <v>146.05000000000001</v>
      </c>
      <c r="G598" s="69">
        <f t="shared" si="131"/>
        <v>102.235</v>
      </c>
      <c r="H598" s="70">
        <v>0.19305</v>
      </c>
      <c r="I598" s="69">
        <f t="shared" si="132"/>
        <v>-144.34638075000001</v>
      </c>
      <c r="J598" s="79" t="s">
        <v>468</v>
      </c>
      <c r="K598" s="61">
        <v>0</v>
      </c>
      <c r="L598" s="58">
        <f t="shared" si="133"/>
        <v>1.4097476250000003</v>
      </c>
      <c r="M598" s="58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32" t="s">
        <v>383</v>
      </c>
      <c r="B599" s="2" t="s">
        <v>10</v>
      </c>
      <c r="C599" s="10">
        <v>939806</v>
      </c>
      <c r="D599" s="10" t="s">
        <v>823</v>
      </c>
      <c r="E599" s="32">
        <v>-105.25</v>
      </c>
      <c r="F599" s="32">
        <v>46.2</v>
      </c>
      <c r="G599" s="69">
        <f t="shared" si="131"/>
        <v>32.340000000000003</v>
      </c>
      <c r="H599" s="70">
        <v>0.19305</v>
      </c>
      <c r="I599" s="69">
        <f t="shared" si="132"/>
        <v>-14.0752755</v>
      </c>
      <c r="J599" s="79" t="s">
        <v>468</v>
      </c>
      <c r="K599" s="61">
        <v>0</v>
      </c>
      <c r="L599" s="58">
        <f t="shared" si="133"/>
        <v>0.44594549999999999</v>
      </c>
      <c r="M599" s="58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32" t="s">
        <v>383</v>
      </c>
      <c r="B600" s="2" t="s">
        <v>10</v>
      </c>
      <c r="C600" s="10">
        <v>1097168</v>
      </c>
      <c r="D600" s="10" t="s">
        <v>877</v>
      </c>
      <c r="E600" s="32">
        <v>0</v>
      </c>
      <c r="F600" s="32">
        <v>0</v>
      </c>
      <c r="G600" s="69">
        <f t="shared" si="131"/>
        <v>0</v>
      </c>
      <c r="H600" s="70">
        <v>0.19305</v>
      </c>
      <c r="I600" s="69">
        <f t="shared" si="132"/>
        <v>0</v>
      </c>
      <c r="J600" s="79" t="s">
        <v>468</v>
      </c>
      <c r="K600" s="61">
        <v>0</v>
      </c>
      <c r="L600" s="58">
        <f t="shared" si="133"/>
        <v>0</v>
      </c>
      <c r="M600" s="58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32" t="s">
        <v>383</v>
      </c>
      <c r="B601" s="2" t="s">
        <v>10</v>
      </c>
      <c r="C601" s="10">
        <v>1130249</v>
      </c>
      <c r="D601" s="10" t="s">
        <v>871</v>
      </c>
      <c r="E601" s="32">
        <v>-17.100000000000001</v>
      </c>
      <c r="F601" s="32">
        <v>7.4</v>
      </c>
      <c r="G601" s="69">
        <f t="shared" si="131"/>
        <v>5.18</v>
      </c>
      <c r="H601" s="70">
        <v>0.19305</v>
      </c>
      <c r="I601" s="69">
        <f t="shared" si="132"/>
        <v>-2.3011560000000002</v>
      </c>
      <c r="J601" s="79" t="s">
        <v>468</v>
      </c>
      <c r="K601" s="61">
        <v>0</v>
      </c>
      <c r="L601" s="58">
        <f t="shared" si="133"/>
        <v>7.1428500000000006E-2</v>
      </c>
      <c r="M601" s="58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32" t="s">
        <v>384</v>
      </c>
      <c r="B602" s="32" t="s">
        <v>54</v>
      </c>
      <c r="C602" s="10" t="s">
        <v>623</v>
      </c>
      <c r="D602" s="10">
        <v>727727</v>
      </c>
      <c r="E602" s="32">
        <v>-1059.92</v>
      </c>
      <c r="F602" s="32">
        <v>102.88</v>
      </c>
      <c r="G602" s="69">
        <f t="shared" ref="G602:G608" si="134">F602*0.75</f>
        <v>77.16</v>
      </c>
      <c r="H602" s="75">
        <v>0.26494000000000001</v>
      </c>
      <c r="I602" s="69">
        <f t="shared" ref="I602:I608" si="135">(E602+G602)*H602*0.87</f>
        <v>-226.52401792800003</v>
      </c>
      <c r="J602" s="78">
        <f t="shared" ref="J602:J608" si="136">F602*0.05*H602*0.87</f>
        <v>1.1856806832</v>
      </c>
      <c r="K602" s="61">
        <v>0</v>
      </c>
      <c r="L602" s="61">
        <f t="shared" ref="L602:L608" si="137">F602*0.08*H602*0.87</f>
        <v>1.89708909312</v>
      </c>
      <c r="M602" s="58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32" t="s">
        <v>384</v>
      </c>
      <c r="B603" s="32" t="s">
        <v>54</v>
      </c>
      <c r="C603" s="10" t="s">
        <v>627</v>
      </c>
      <c r="D603" s="10" t="s">
        <v>628</v>
      </c>
      <c r="E603" s="32">
        <v>-526.98</v>
      </c>
      <c r="F603" s="32">
        <v>156.31</v>
      </c>
      <c r="G603" s="69">
        <f t="shared" si="134"/>
        <v>117.2325</v>
      </c>
      <c r="H603" s="75">
        <v>0.26494000000000001</v>
      </c>
      <c r="I603" s="69">
        <f t="shared" si="135"/>
        <v>-94.445897305500011</v>
      </c>
      <c r="J603" s="78">
        <f t="shared" si="136"/>
        <v>1.8014555559000003</v>
      </c>
      <c r="K603" s="61">
        <v>0</v>
      </c>
      <c r="L603" s="61">
        <f t="shared" si="137"/>
        <v>2.8823288894400001</v>
      </c>
      <c r="M603" s="58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32" t="s">
        <v>384</v>
      </c>
      <c r="B604" s="32" t="s">
        <v>54</v>
      </c>
      <c r="C604" s="10" t="s">
        <v>638</v>
      </c>
      <c r="D604" s="10" t="s">
        <v>639</v>
      </c>
      <c r="E604" s="32">
        <v>-2935.25</v>
      </c>
      <c r="F604" s="32">
        <v>290.87</v>
      </c>
      <c r="G604" s="69">
        <f t="shared" si="134"/>
        <v>218.1525</v>
      </c>
      <c r="H604" s="75">
        <v>0.26494000000000001</v>
      </c>
      <c r="I604" s="69">
        <f t="shared" si="135"/>
        <v>-626.28499613550002</v>
      </c>
      <c r="J604" s="78">
        <f t="shared" si="136"/>
        <v>3.3522447543000005</v>
      </c>
      <c r="K604" s="61">
        <v>0</v>
      </c>
      <c r="L604" s="61">
        <f t="shared" si="137"/>
        <v>5.36359160688</v>
      </c>
      <c r="M604" s="58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32" t="s">
        <v>384</v>
      </c>
      <c r="B605" s="32" t="s">
        <v>54</v>
      </c>
      <c r="C605" s="10" t="s">
        <v>824</v>
      </c>
      <c r="D605" s="10" t="s">
        <v>825</v>
      </c>
      <c r="E605" s="32">
        <v>226</v>
      </c>
      <c r="F605" s="32">
        <v>24.2</v>
      </c>
      <c r="G605" s="69">
        <f t="shared" si="134"/>
        <v>18.149999999999999</v>
      </c>
      <c r="H605" s="75">
        <v>0.26494000000000001</v>
      </c>
      <c r="I605" s="69">
        <f t="shared" si="135"/>
        <v>56.276037870000003</v>
      </c>
      <c r="J605" s="78">
        <f t="shared" si="136"/>
        <v>0.27890233800000003</v>
      </c>
      <c r="K605" s="61">
        <v>0</v>
      </c>
      <c r="L605" s="61">
        <f t="shared" si="137"/>
        <v>0.44624374080000001</v>
      </c>
      <c r="M605" s="58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32" t="s">
        <v>384</v>
      </c>
      <c r="B606" s="32" t="s">
        <v>54</v>
      </c>
      <c r="C606" s="10" t="s">
        <v>708</v>
      </c>
      <c r="D606" s="10" t="s">
        <v>709</v>
      </c>
      <c r="E606" s="32">
        <v>-135</v>
      </c>
      <c r="F606" s="32">
        <v>8</v>
      </c>
      <c r="G606" s="69">
        <f t="shared" si="134"/>
        <v>6</v>
      </c>
      <c r="H606" s="75">
        <v>0.26494000000000001</v>
      </c>
      <c r="I606" s="69">
        <f t="shared" si="135"/>
        <v>-29.734216200000002</v>
      </c>
      <c r="J606" s="78">
        <f t="shared" si="136"/>
        <v>9.2199120000000009E-2</v>
      </c>
      <c r="K606" s="61">
        <v>0</v>
      </c>
      <c r="L606" s="61">
        <f t="shared" si="137"/>
        <v>0.147518592</v>
      </c>
      <c r="M606" s="58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 t="s">
        <v>384</v>
      </c>
      <c r="B607" s="29" t="s">
        <v>35</v>
      </c>
      <c r="C607" s="10" t="s">
        <v>647</v>
      </c>
      <c r="D607" s="10" t="s">
        <v>648</v>
      </c>
      <c r="E607" s="32">
        <v>-38.74</v>
      </c>
      <c r="F607" s="32">
        <v>651.66999999999996</v>
      </c>
      <c r="G607" s="69">
        <f t="shared" si="134"/>
        <v>488.75249999999994</v>
      </c>
      <c r="H607" s="75">
        <v>0.26494000000000001</v>
      </c>
      <c r="I607" s="69">
        <f t="shared" si="135"/>
        <v>103.72689122249999</v>
      </c>
      <c r="J607" s="78">
        <f t="shared" si="136"/>
        <v>7.5104250663000007</v>
      </c>
      <c r="K607" s="61">
        <v>0</v>
      </c>
      <c r="L607" s="61">
        <f t="shared" si="137"/>
        <v>12.016680106080001</v>
      </c>
      <c r="M607" s="58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 t="s">
        <v>384</v>
      </c>
      <c r="B608" s="29" t="s">
        <v>35</v>
      </c>
      <c r="C608" s="10" t="s">
        <v>650</v>
      </c>
      <c r="D608" s="10" t="s">
        <v>651</v>
      </c>
      <c r="E608" s="32">
        <v>100</v>
      </c>
      <c r="F608" s="32">
        <v>0</v>
      </c>
      <c r="G608" s="69">
        <f t="shared" si="134"/>
        <v>0</v>
      </c>
      <c r="H608" s="75">
        <v>0.26494000000000001</v>
      </c>
      <c r="I608" s="69">
        <f t="shared" si="135"/>
        <v>23.049779999999998</v>
      </c>
      <c r="J608" s="78">
        <f t="shared" si="136"/>
        <v>0</v>
      </c>
      <c r="K608" s="61">
        <v>0</v>
      </c>
      <c r="L608" s="61">
        <f t="shared" si="137"/>
        <v>0</v>
      </c>
      <c r="M608" s="58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 t="s">
        <v>384</v>
      </c>
      <c r="B609" s="32" t="s">
        <v>140</v>
      </c>
      <c r="C609" s="10">
        <v>10123095</v>
      </c>
      <c r="D609" s="10" t="s">
        <v>860</v>
      </c>
      <c r="E609" s="32">
        <v>-11665.23</v>
      </c>
      <c r="F609" s="32">
        <v>2470.0100000000002</v>
      </c>
      <c r="G609" s="69">
        <f>F609*0.6</f>
        <v>1482.0060000000001</v>
      </c>
      <c r="H609" s="70">
        <v>0.64603615999999997</v>
      </c>
      <c r="I609" s="69">
        <f>((E609+G609)*0.9+154.56)*H609</f>
        <v>-5821.0064875522567</v>
      </c>
      <c r="J609" s="79" t="s">
        <v>468</v>
      </c>
      <c r="K609" s="61">
        <v>0</v>
      </c>
      <c r="L609" s="61">
        <f>F609*0.1*H609*0.9</f>
        <v>143.614419800544</v>
      </c>
      <c r="M609" s="58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32" t="s">
        <v>384</v>
      </c>
      <c r="B610" s="2" t="s">
        <v>10</v>
      </c>
      <c r="C610" s="10">
        <v>919711</v>
      </c>
      <c r="D610" s="10" t="s">
        <v>710</v>
      </c>
      <c r="E610" s="32">
        <v>-1340</v>
      </c>
      <c r="F610" s="32">
        <v>115.2</v>
      </c>
      <c r="G610" s="69">
        <f t="shared" ref="G610:G625" si="138">F610*0.7</f>
        <v>80.64</v>
      </c>
      <c r="H610" s="70">
        <v>0.19342400000000001</v>
      </c>
      <c r="I610" s="69">
        <f t="shared" ref="I610:I628" si="139">(E610+G610)*H610</f>
        <v>-243.59044864000001</v>
      </c>
      <c r="J610" s="79" t="s">
        <v>468</v>
      </c>
      <c r="K610" s="61">
        <v>0</v>
      </c>
      <c r="L610" s="58">
        <f t="shared" ref="L610:L628" si="140">F610*0.05*H610</f>
        <v>1.1141222400000002</v>
      </c>
      <c r="M610" s="58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32" t="s">
        <v>384</v>
      </c>
      <c r="B611" s="2" t="s">
        <v>10</v>
      </c>
      <c r="C611" s="10">
        <v>923286</v>
      </c>
      <c r="D611" s="10" t="s">
        <v>654</v>
      </c>
      <c r="E611" s="32">
        <v>-1316.85</v>
      </c>
      <c r="F611" s="32">
        <v>235.3</v>
      </c>
      <c r="G611" s="69">
        <f t="shared" si="138"/>
        <v>164.71</v>
      </c>
      <c r="H611" s="70">
        <v>0.19342400000000001</v>
      </c>
      <c r="I611" s="69">
        <f t="shared" si="139"/>
        <v>-222.85152735999998</v>
      </c>
      <c r="J611" s="79" t="s">
        <v>468</v>
      </c>
      <c r="K611" s="61">
        <v>0</v>
      </c>
      <c r="L611" s="58">
        <f t="shared" si="140"/>
        <v>2.27563336</v>
      </c>
      <c r="M611" s="58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32" t="s">
        <v>384</v>
      </c>
      <c r="B612" s="2" t="s">
        <v>10</v>
      </c>
      <c r="C612" s="10">
        <v>1011128</v>
      </c>
      <c r="D612" s="10" t="s">
        <v>878</v>
      </c>
      <c r="E612" s="32">
        <v>-13</v>
      </c>
      <c r="F612" s="32">
        <v>1.29</v>
      </c>
      <c r="G612" s="69">
        <f t="shared" si="138"/>
        <v>0.90299999999999991</v>
      </c>
      <c r="H612" s="70">
        <v>0.19342400000000001</v>
      </c>
      <c r="I612" s="69">
        <f t="shared" si="139"/>
        <v>-2.3398501280000001</v>
      </c>
      <c r="J612" s="79" t="s">
        <v>468</v>
      </c>
      <c r="K612" s="61">
        <v>0</v>
      </c>
      <c r="L612" s="58">
        <f t="shared" si="140"/>
        <v>1.2475848000000001E-2</v>
      </c>
      <c r="M612" s="58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32" t="s">
        <v>384</v>
      </c>
      <c r="B613" s="2" t="s">
        <v>10</v>
      </c>
      <c r="C613" s="10">
        <v>1058488</v>
      </c>
      <c r="D613" s="10" t="s">
        <v>784</v>
      </c>
      <c r="E613" s="32">
        <v>-251.95</v>
      </c>
      <c r="F613" s="32">
        <v>31</v>
      </c>
      <c r="G613" s="69">
        <f t="shared" si="138"/>
        <v>21.7</v>
      </c>
      <c r="H613" s="70">
        <v>0.19342400000000001</v>
      </c>
      <c r="I613" s="69">
        <f t="shared" si="139"/>
        <v>-44.535876000000002</v>
      </c>
      <c r="J613" s="79" t="s">
        <v>468</v>
      </c>
      <c r="K613" s="61">
        <v>0</v>
      </c>
      <c r="L613" s="58">
        <f t="shared" si="140"/>
        <v>0.29980720000000005</v>
      </c>
      <c r="M613" s="58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32" t="s">
        <v>384</v>
      </c>
      <c r="B614" s="2" t="s">
        <v>10</v>
      </c>
      <c r="C614" s="10">
        <v>1067198</v>
      </c>
      <c r="D614" s="10" t="s">
        <v>700</v>
      </c>
      <c r="E614" s="32">
        <v>-225.6</v>
      </c>
      <c r="F614" s="32">
        <v>75.72</v>
      </c>
      <c r="G614" s="69">
        <f t="shared" si="138"/>
        <v>53.003999999999998</v>
      </c>
      <c r="H614" s="70">
        <v>0.19342400000000001</v>
      </c>
      <c r="I614" s="69">
        <f t="shared" si="139"/>
        <v>-33.384208704000002</v>
      </c>
      <c r="J614" s="79" t="s">
        <v>468</v>
      </c>
      <c r="K614" s="61">
        <v>0</v>
      </c>
      <c r="L614" s="58">
        <f t="shared" si="140"/>
        <v>0.73230326400000001</v>
      </c>
      <c r="M614" s="58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32" t="s">
        <v>384</v>
      </c>
      <c r="B615" s="2" t="s">
        <v>10</v>
      </c>
      <c r="C615" s="10">
        <v>1078062</v>
      </c>
      <c r="D615" s="10" t="s">
        <v>749</v>
      </c>
      <c r="E615" s="32">
        <v>-135.85</v>
      </c>
      <c r="F615" s="32">
        <v>12.25</v>
      </c>
      <c r="G615" s="69">
        <f t="shared" si="138"/>
        <v>8.5749999999999993</v>
      </c>
      <c r="H615" s="70">
        <v>0.19342400000000001</v>
      </c>
      <c r="I615" s="69">
        <f t="shared" si="139"/>
        <v>-24.618039599999999</v>
      </c>
      <c r="J615" s="79" t="s">
        <v>468</v>
      </c>
      <c r="K615" s="61">
        <v>0</v>
      </c>
      <c r="L615" s="58">
        <f t="shared" si="140"/>
        <v>0.11847220000000001</v>
      </c>
      <c r="M615" s="58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32" t="s">
        <v>384</v>
      </c>
      <c r="B616" s="2" t="s">
        <v>10</v>
      </c>
      <c r="C616" s="10">
        <v>1094517</v>
      </c>
      <c r="D616" s="10" t="s">
        <v>807</v>
      </c>
      <c r="E616" s="32">
        <v>-2376.8000000000002</v>
      </c>
      <c r="F616" s="32">
        <v>505.65</v>
      </c>
      <c r="G616" s="69">
        <f t="shared" si="138"/>
        <v>353.95499999999998</v>
      </c>
      <c r="H616" s="70">
        <v>0.19342400000000001</v>
      </c>
      <c r="I616" s="69">
        <f t="shared" si="139"/>
        <v>-391.26677128000006</v>
      </c>
      <c r="J616" s="79" t="s">
        <v>468</v>
      </c>
      <c r="K616" s="61">
        <v>0</v>
      </c>
      <c r="L616" s="58">
        <f t="shared" si="140"/>
        <v>4.8902422799999998</v>
      </c>
      <c r="M616" s="58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32" t="s">
        <v>384</v>
      </c>
      <c r="B617" s="2" t="s">
        <v>10</v>
      </c>
      <c r="C617" s="10">
        <v>1133207</v>
      </c>
      <c r="D617" s="10" t="s">
        <v>873</v>
      </c>
      <c r="E617" s="32">
        <v>-1876.45</v>
      </c>
      <c r="F617" s="32">
        <v>691.25</v>
      </c>
      <c r="G617" s="69">
        <f t="shared" si="138"/>
        <v>483.87499999999994</v>
      </c>
      <c r="H617" s="70">
        <v>0.19342400000000001</v>
      </c>
      <c r="I617" s="69">
        <f t="shared" si="139"/>
        <v>-269.35742680000004</v>
      </c>
      <c r="J617" s="79" t="s">
        <v>468</v>
      </c>
      <c r="K617" s="61">
        <v>0</v>
      </c>
      <c r="L617" s="58">
        <f t="shared" si="140"/>
        <v>6.6852170000000006</v>
      </c>
      <c r="M617" s="58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32" t="s">
        <v>384</v>
      </c>
      <c r="B618" s="2" t="s">
        <v>10</v>
      </c>
      <c r="C618" s="10">
        <v>1134626</v>
      </c>
      <c r="D618" s="10" t="s">
        <v>875</v>
      </c>
      <c r="E618" s="32">
        <v>81</v>
      </c>
      <c r="F618" s="32">
        <v>17.100000000000001</v>
      </c>
      <c r="G618" s="69">
        <f t="shared" si="138"/>
        <v>11.97</v>
      </c>
      <c r="H618" s="70">
        <v>0.19342400000000001</v>
      </c>
      <c r="I618" s="69">
        <f t="shared" si="139"/>
        <v>17.982629280000001</v>
      </c>
      <c r="J618" s="79" t="s">
        <v>468</v>
      </c>
      <c r="K618" s="61">
        <v>0</v>
      </c>
      <c r="L618" s="58">
        <f t="shared" si="140"/>
        <v>0.16537752000000003</v>
      </c>
      <c r="M618" s="58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32" t="s">
        <v>384</v>
      </c>
      <c r="B619" s="2" t="s">
        <v>10</v>
      </c>
      <c r="C619" s="10">
        <v>1138748</v>
      </c>
      <c r="D619" s="10" t="s">
        <v>879</v>
      </c>
      <c r="E619" s="32">
        <v>-157.69999999999999</v>
      </c>
      <c r="F619" s="32">
        <v>26.85</v>
      </c>
      <c r="G619" s="69">
        <f t="shared" si="138"/>
        <v>18.794999999999998</v>
      </c>
      <c r="H619" s="70">
        <v>0.19342400000000001</v>
      </c>
      <c r="I619" s="69">
        <f t="shared" si="139"/>
        <v>-26.867560720000004</v>
      </c>
      <c r="J619" s="79" t="s">
        <v>468</v>
      </c>
      <c r="K619" s="61">
        <v>0</v>
      </c>
      <c r="L619" s="58">
        <f t="shared" si="140"/>
        <v>0.25967172000000005</v>
      </c>
      <c r="M619" s="58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32" t="s">
        <v>384</v>
      </c>
      <c r="B620" s="2" t="s">
        <v>10</v>
      </c>
      <c r="C620" s="10">
        <v>1139126</v>
      </c>
      <c r="D620" s="10" t="s">
        <v>880</v>
      </c>
      <c r="E620" s="32">
        <v>-887.35</v>
      </c>
      <c r="F620" s="32">
        <v>595.95000000000005</v>
      </c>
      <c r="G620" s="69">
        <f t="shared" si="138"/>
        <v>417.16500000000002</v>
      </c>
      <c r="H620" s="70">
        <v>0.19342400000000001</v>
      </c>
      <c r="I620" s="69">
        <f t="shared" si="139"/>
        <v>-90.945063440000013</v>
      </c>
      <c r="J620" s="79" t="s">
        <v>468</v>
      </c>
      <c r="K620" s="61">
        <v>0</v>
      </c>
      <c r="L620" s="58">
        <f t="shared" si="140"/>
        <v>5.7635516400000011</v>
      </c>
      <c r="M620" s="58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32" t="s">
        <v>384</v>
      </c>
      <c r="B621" s="2" t="s">
        <v>10</v>
      </c>
      <c r="C621" s="10">
        <v>915274</v>
      </c>
      <c r="D621" s="10" t="s">
        <v>701</v>
      </c>
      <c r="E621" s="32">
        <v>-714.6</v>
      </c>
      <c r="F621" s="32">
        <v>125.25</v>
      </c>
      <c r="G621" s="69">
        <f t="shared" si="138"/>
        <v>87.674999999999997</v>
      </c>
      <c r="H621" s="70">
        <v>0.19342400000000001</v>
      </c>
      <c r="I621" s="69">
        <f t="shared" si="139"/>
        <v>-121.26234120000002</v>
      </c>
      <c r="J621" s="79" t="s">
        <v>468</v>
      </c>
      <c r="K621" s="61">
        <v>0</v>
      </c>
      <c r="L621" s="58">
        <f t="shared" si="140"/>
        <v>1.2113178000000002</v>
      </c>
      <c r="M621" s="58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32" t="s">
        <v>384</v>
      </c>
      <c r="B622" s="2" t="s">
        <v>10</v>
      </c>
      <c r="C622" s="10">
        <v>939806</v>
      </c>
      <c r="D622" s="10" t="s">
        <v>823</v>
      </c>
      <c r="E622" s="32">
        <v>-510.95</v>
      </c>
      <c r="F622" s="32">
        <v>109.1</v>
      </c>
      <c r="G622" s="69">
        <f t="shared" si="138"/>
        <v>76.36999999999999</v>
      </c>
      <c r="H622" s="70">
        <v>0.19342400000000001</v>
      </c>
      <c r="I622" s="69">
        <f t="shared" si="139"/>
        <v>-84.058201920000002</v>
      </c>
      <c r="J622" s="79" t="s">
        <v>468</v>
      </c>
      <c r="K622" s="61">
        <v>0</v>
      </c>
      <c r="L622" s="58">
        <f t="shared" si="140"/>
        <v>1.0551279200000001</v>
      </c>
      <c r="M622" s="58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32" t="s">
        <v>384</v>
      </c>
      <c r="B623" s="2" t="s">
        <v>10</v>
      </c>
      <c r="C623" s="10">
        <v>1138957</v>
      </c>
      <c r="D623" s="10" t="s">
        <v>881</v>
      </c>
      <c r="E623" s="32">
        <v>-177.4</v>
      </c>
      <c r="F623" s="32">
        <v>25.9</v>
      </c>
      <c r="G623" s="69">
        <f t="shared" si="138"/>
        <v>18.13</v>
      </c>
      <c r="H623" s="70">
        <v>0.19342400000000001</v>
      </c>
      <c r="I623" s="69">
        <f t="shared" si="139"/>
        <v>-30.806640480000002</v>
      </c>
      <c r="J623" s="79" t="s">
        <v>468</v>
      </c>
      <c r="K623" s="61">
        <v>0</v>
      </c>
      <c r="L623" s="58">
        <f t="shared" si="140"/>
        <v>0.25048408</v>
      </c>
      <c r="M623" s="58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32" t="s">
        <v>384</v>
      </c>
      <c r="B624" s="2" t="s">
        <v>10</v>
      </c>
      <c r="C624" s="10">
        <v>1138981</v>
      </c>
      <c r="D624" s="10" t="s">
        <v>882</v>
      </c>
      <c r="E624" s="32">
        <v>6.15</v>
      </c>
      <c r="F624" s="32">
        <v>7.4</v>
      </c>
      <c r="G624" s="69">
        <f t="shared" si="138"/>
        <v>5.18</v>
      </c>
      <c r="H624" s="70">
        <v>0.19342400000000001</v>
      </c>
      <c r="I624" s="69">
        <f t="shared" si="139"/>
        <v>2.1914939200000001</v>
      </c>
      <c r="J624" s="79" t="s">
        <v>468</v>
      </c>
      <c r="K624" s="61">
        <v>0</v>
      </c>
      <c r="L624" s="58">
        <f t="shared" si="140"/>
        <v>7.1566880000000013E-2</v>
      </c>
      <c r="M624" s="58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32" t="s">
        <v>384</v>
      </c>
      <c r="B625" s="2" t="s">
        <v>10</v>
      </c>
      <c r="C625" s="10">
        <v>1140751</v>
      </c>
      <c r="D625" s="10" t="s">
        <v>883</v>
      </c>
      <c r="E625" s="32">
        <v>-313.05</v>
      </c>
      <c r="F625" s="32">
        <v>80.55</v>
      </c>
      <c r="G625" s="69">
        <f t="shared" si="138"/>
        <v>56.384999999999991</v>
      </c>
      <c r="H625" s="70">
        <v>0.19342400000000001</v>
      </c>
      <c r="I625" s="69">
        <f t="shared" si="139"/>
        <v>-49.645170960000009</v>
      </c>
      <c r="J625" s="79" t="s">
        <v>468</v>
      </c>
      <c r="K625" s="61">
        <v>0</v>
      </c>
      <c r="L625" s="58">
        <f t="shared" si="140"/>
        <v>0.77901516000000004</v>
      </c>
      <c r="M625" s="58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32" t="s">
        <v>384</v>
      </c>
      <c r="B626" s="10" t="s">
        <v>810</v>
      </c>
      <c r="C626" s="10" t="s">
        <v>811</v>
      </c>
      <c r="D626" s="10" t="s">
        <v>812</v>
      </c>
      <c r="E626" s="32">
        <v>6.54</v>
      </c>
      <c r="F626" s="32">
        <v>12.93</v>
      </c>
      <c r="G626" s="69">
        <f t="shared" ref="G626:G628" si="141">F626*0.3</f>
        <v>3.8789999999999996</v>
      </c>
      <c r="H626" s="70">
        <v>1</v>
      </c>
      <c r="I626" s="69">
        <f t="shared" si="139"/>
        <v>10.419</v>
      </c>
      <c r="J626" s="79" t="s">
        <v>468</v>
      </c>
      <c r="K626" s="61">
        <v>0</v>
      </c>
      <c r="L626" s="58">
        <f t="shared" si="140"/>
        <v>0.64650000000000007</v>
      </c>
      <c r="M626" s="58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32" t="s">
        <v>384</v>
      </c>
      <c r="B627" s="10" t="s">
        <v>810</v>
      </c>
      <c r="C627" s="10" t="s">
        <v>872</v>
      </c>
      <c r="D627" s="10" t="s">
        <v>782</v>
      </c>
      <c r="E627" s="32">
        <v>-76.45</v>
      </c>
      <c r="F627" s="32">
        <v>11.57</v>
      </c>
      <c r="G627" s="69">
        <f t="shared" si="141"/>
        <v>3.4710000000000001</v>
      </c>
      <c r="H627" s="70">
        <v>1</v>
      </c>
      <c r="I627" s="69">
        <f t="shared" si="139"/>
        <v>-72.978999999999999</v>
      </c>
      <c r="J627" s="79" t="s">
        <v>468</v>
      </c>
      <c r="K627" s="61">
        <v>0</v>
      </c>
      <c r="L627" s="58">
        <f t="shared" si="140"/>
        <v>0.57850000000000001</v>
      </c>
      <c r="M627" s="58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32" t="s">
        <v>384</v>
      </c>
      <c r="B628" s="10" t="s">
        <v>753</v>
      </c>
      <c r="C628" s="10" t="s">
        <v>754</v>
      </c>
      <c r="D628" s="10" t="s">
        <v>755</v>
      </c>
      <c r="E628" s="32">
        <v>-562.89</v>
      </c>
      <c r="F628" s="32">
        <v>39.340000000000003</v>
      </c>
      <c r="G628" s="69">
        <f t="shared" si="141"/>
        <v>11.802000000000001</v>
      </c>
      <c r="H628" s="70">
        <v>1</v>
      </c>
      <c r="I628" s="69">
        <f t="shared" si="139"/>
        <v>-551.08799999999997</v>
      </c>
      <c r="J628" s="79" t="s">
        <v>468</v>
      </c>
      <c r="K628" s="61">
        <v>0</v>
      </c>
      <c r="L628" s="58">
        <f t="shared" si="140"/>
        <v>1.9670000000000003</v>
      </c>
      <c r="M628" s="58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>
        <f>SUM(J2:J700)</f>
        <v>1862.3466100245994</v>
      </c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M2" sqref="M2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1427</v>
      </c>
      <c r="I1" s="62" t="s">
        <v>405</v>
      </c>
      <c r="J1" s="77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69</v>
      </c>
      <c r="C2" s="2" t="s">
        <v>884</v>
      </c>
      <c r="D2" s="32" t="s">
        <v>885</v>
      </c>
      <c r="E2" s="69">
        <v>-60</v>
      </c>
      <c r="F2" s="69">
        <v>3</v>
      </c>
      <c r="G2" s="69">
        <f>F2*0.75</f>
        <v>2.25</v>
      </c>
      <c r="H2" s="74">
        <v>1</v>
      </c>
      <c r="I2" s="69">
        <f t="shared" ref="I2:I8" si="0">(E2+G2)*H2*0.9</f>
        <v>-51.975000000000001</v>
      </c>
      <c r="J2" s="78">
        <f t="shared" ref="J2:J4" si="1">F2*0.05*H2</f>
        <v>0.15000000000000002</v>
      </c>
      <c r="K2" s="61">
        <f t="shared" ref="K2:K8" si="2">E2*0.1*H2</f>
        <v>-6</v>
      </c>
      <c r="L2" s="61">
        <f>(F2*0.05+G2*0.1)*H2</f>
        <v>0.375</v>
      </c>
      <c r="M2" s="58">
        <f>SUM(K:L)</f>
        <v>42417.206816355989</v>
      </c>
      <c r="N2" s="2" t="s">
        <v>412</v>
      </c>
      <c r="O2" s="2" t="s">
        <v>413</v>
      </c>
      <c r="P2" s="32">
        <v>196421.61</v>
      </c>
      <c r="Q2" s="32">
        <f>SUM(I:I)</f>
        <v>336746.85723099182</v>
      </c>
      <c r="R2" s="32">
        <f>SUM(P:P)</f>
        <v>-278738.80000000005</v>
      </c>
      <c r="S2" s="32">
        <f>Q2+R2</f>
        <v>58008.057230991777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32" t="s">
        <v>35</v>
      </c>
      <c r="C3" s="2" t="s">
        <v>886</v>
      </c>
      <c r="D3" s="32" t="s">
        <v>887</v>
      </c>
      <c r="E3" s="69">
        <v>40</v>
      </c>
      <c r="F3" s="69">
        <v>5</v>
      </c>
      <c r="G3" s="69">
        <f t="shared" ref="G3:G4" si="3">F3*0.82</f>
        <v>4.0999999999999996</v>
      </c>
      <c r="H3" s="75">
        <v>0.26985999999999999</v>
      </c>
      <c r="I3" s="69">
        <f t="shared" si="0"/>
        <v>10.7107434</v>
      </c>
      <c r="J3" s="78">
        <f t="shared" si="1"/>
        <v>6.7464999999999997E-2</v>
      </c>
      <c r="K3" s="61">
        <f t="shared" si="2"/>
        <v>1.07944</v>
      </c>
      <c r="L3" s="61">
        <f t="shared" ref="L3:L4" si="4">(F3*0.01+G3*0.1)*H3</f>
        <v>0.12413559999999998</v>
      </c>
      <c r="M3" s="58"/>
      <c r="N3" s="2" t="s">
        <v>312</v>
      </c>
      <c r="O3" s="2" t="s">
        <v>415</v>
      </c>
      <c r="P3" s="32">
        <v>46.08</v>
      </c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32" t="s">
        <v>35</v>
      </c>
      <c r="C4" s="10" t="s">
        <v>888</v>
      </c>
      <c r="D4" s="10" t="s">
        <v>889</v>
      </c>
      <c r="E4" s="69">
        <v>-5244</v>
      </c>
      <c r="F4" s="69">
        <v>333.2</v>
      </c>
      <c r="G4" s="69">
        <f t="shared" si="3"/>
        <v>273.22399999999999</v>
      </c>
      <c r="H4" s="75">
        <v>0.26985999999999999</v>
      </c>
      <c r="I4" s="69">
        <f t="shared" si="0"/>
        <v>-1207.2722502240001</v>
      </c>
      <c r="J4" s="78">
        <f t="shared" si="1"/>
        <v>4.4958675999999995</v>
      </c>
      <c r="K4" s="61">
        <f t="shared" si="2"/>
        <v>-141.51458399999999</v>
      </c>
      <c r="L4" s="61">
        <f t="shared" si="4"/>
        <v>8.2723963840000003</v>
      </c>
      <c r="M4" s="58"/>
      <c r="N4" s="2" t="s">
        <v>890</v>
      </c>
      <c r="O4" s="2" t="s">
        <v>891</v>
      </c>
      <c r="P4" s="32">
        <v>-102771.84</v>
      </c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32" t="s">
        <v>23</v>
      </c>
      <c r="C5" s="10">
        <v>9677734</v>
      </c>
      <c r="D5" s="2" t="s">
        <v>892</v>
      </c>
      <c r="E5" s="69">
        <v>-3273.75</v>
      </c>
      <c r="F5" s="69">
        <v>394.55</v>
      </c>
      <c r="G5" s="69">
        <f t="shared" ref="G5:G6" si="5">F5*0.7</f>
        <v>276.185</v>
      </c>
      <c r="H5" s="70">
        <v>0.20366600000000001</v>
      </c>
      <c r="I5" s="69">
        <f t="shared" si="0"/>
        <v>-549.45186596100007</v>
      </c>
      <c r="J5" s="79" t="s">
        <v>468</v>
      </c>
      <c r="K5" s="61">
        <f t="shared" si="2"/>
        <v>-66.675156749999999</v>
      </c>
      <c r="L5" s="61">
        <f t="shared" ref="L5:L6" si="6">G5*0.1*H5</f>
        <v>5.6249494210000002</v>
      </c>
      <c r="M5" s="58"/>
      <c r="N5" s="2" t="s">
        <v>295</v>
      </c>
      <c r="O5" s="2" t="s">
        <v>416</v>
      </c>
      <c r="P5" s="32">
        <v>-13.94</v>
      </c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296</v>
      </c>
      <c r="B6" s="32" t="s">
        <v>23</v>
      </c>
      <c r="C6" s="10">
        <v>9677947</v>
      </c>
      <c r="D6" s="2" t="s">
        <v>893</v>
      </c>
      <c r="E6" s="69">
        <v>-10253.9</v>
      </c>
      <c r="F6" s="69">
        <v>877.5</v>
      </c>
      <c r="G6" s="69">
        <f t="shared" si="5"/>
        <v>614.25</v>
      </c>
      <c r="H6" s="70">
        <v>0.20366600000000001</v>
      </c>
      <c r="I6" s="69">
        <f t="shared" si="0"/>
        <v>-1766.9420612100002</v>
      </c>
      <c r="J6" s="79" t="s">
        <v>468</v>
      </c>
      <c r="K6" s="61">
        <f t="shared" si="2"/>
        <v>-208.83707974000004</v>
      </c>
      <c r="L6" s="61">
        <f t="shared" si="6"/>
        <v>12.510184050000001</v>
      </c>
      <c r="M6" s="58"/>
      <c r="N6" s="2" t="s">
        <v>894</v>
      </c>
      <c r="O6" s="2" t="s">
        <v>895</v>
      </c>
      <c r="P6" s="32">
        <v>-71365</v>
      </c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296</v>
      </c>
      <c r="B7" s="2" t="s">
        <v>17</v>
      </c>
      <c r="C7" s="10">
        <v>9676837</v>
      </c>
      <c r="D7" s="32" t="s">
        <v>896</v>
      </c>
      <c r="E7" s="69">
        <v>-17304</v>
      </c>
      <c r="F7" s="69">
        <v>717.8</v>
      </c>
      <c r="G7" s="69">
        <f t="shared" ref="G7:G8" si="7">F7*0.65</f>
        <v>466.57</v>
      </c>
      <c r="H7" s="70">
        <v>0.20366600000000001</v>
      </c>
      <c r="I7" s="69">
        <f t="shared" si="0"/>
        <v>-3086.2908165420004</v>
      </c>
      <c r="J7" s="79" t="s">
        <v>468</v>
      </c>
      <c r="K7" s="61">
        <f t="shared" si="2"/>
        <v>-352.42364640000005</v>
      </c>
      <c r="L7" s="61">
        <f t="shared" ref="L7:L8" si="8">(F7*0.05+G7*0.1)*H7</f>
        <v>16.812017302000001</v>
      </c>
      <c r="M7" s="58"/>
      <c r="N7" s="2" t="s">
        <v>897</v>
      </c>
      <c r="O7" s="2" t="s">
        <v>473</v>
      </c>
      <c r="P7" s="32">
        <v>-16143.5</v>
      </c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2" t="s">
        <v>296</v>
      </c>
      <c r="B8" s="2" t="s">
        <v>17</v>
      </c>
      <c r="C8" s="10">
        <v>9677734</v>
      </c>
      <c r="D8" s="32" t="s">
        <v>892</v>
      </c>
      <c r="E8" s="69">
        <v>4288</v>
      </c>
      <c r="F8" s="69">
        <v>73</v>
      </c>
      <c r="G8" s="69">
        <f t="shared" si="7"/>
        <v>47.45</v>
      </c>
      <c r="H8" s="70">
        <v>0.20366600000000001</v>
      </c>
      <c r="I8" s="69">
        <f>(E8+G8)*H8*0.9</f>
        <v>794.68538373000013</v>
      </c>
      <c r="J8" s="79" t="s">
        <v>468</v>
      </c>
      <c r="K8" s="61">
        <f t="shared" si="2"/>
        <v>87.331980800000011</v>
      </c>
      <c r="L8" s="61">
        <f t="shared" si="8"/>
        <v>1.70977607</v>
      </c>
      <c r="M8" s="58"/>
      <c r="N8" s="2" t="s">
        <v>897</v>
      </c>
      <c r="O8" s="2" t="s">
        <v>473</v>
      </c>
      <c r="P8" s="32">
        <v>-16143.5</v>
      </c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 t="s">
        <v>296</v>
      </c>
      <c r="B9" s="2" t="s">
        <v>30</v>
      </c>
      <c r="C9" s="10">
        <v>9747484</v>
      </c>
      <c r="D9" s="10" t="s">
        <v>898</v>
      </c>
      <c r="E9" s="32">
        <v>2461.8000000000002</v>
      </c>
      <c r="F9" s="32">
        <v>25.4</v>
      </c>
      <c r="G9" s="69">
        <f t="shared" ref="G9:G10" si="9">F9*0.7</f>
        <v>17.779999999999998</v>
      </c>
      <c r="H9" s="70">
        <v>0.205041</v>
      </c>
      <c r="I9" s="69">
        <f>(E9+G9)*H9*0.93</f>
        <v>472.82647338540011</v>
      </c>
      <c r="J9" s="79" t="s">
        <v>468</v>
      </c>
      <c r="K9" s="61">
        <f>E9*0.07*H9</f>
        <v>35.333895366000007</v>
      </c>
      <c r="L9" s="61">
        <f>(F9*0.03+G9*0.07)*H9</f>
        <v>0.41143527059999996</v>
      </c>
      <c r="M9" s="58"/>
      <c r="N9" s="2" t="s">
        <v>299</v>
      </c>
      <c r="O9" s="2" t="s">
        <v>573</v>
      </c>
      <c r="P9" s="32">
        <v>-193.86</v>
      </c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296</v>
      </c>
      <c r="B10" s="2" t="s">
        <v>148</v>
      </c>
      <c r="C10" s="10">
        <v>9747484</v>
      </c>
      <c r="D10" s="32" t="s">
        <v>898</v>
      </c>
      <c r="E10" s="69">
        <v>-10426.6</v>
      </c>
      <c r="F10" s="69">
        <v>946.2</v>
      </c>
      <c r="G10" s="69">
        <f t="shared" si="9"/>
        <v>662.34</v>
      </c>
      <c r="H10" s="70">
        <v>0.20533899999999999</v>
      </c>
      <c r="I10" s="69">
        <f>(E10+G10)*H10*0.85</f>
        <v>-1704.2358765189999</v>
      </c>
      <c r="J10" s="79" t="s">
        <v>468</v>
      </c>
      <c r="K10" s="61">
        <f t="shared" ref="K10:K15" si="10">E10*0.1*H10</f>
        <v>-214.09876174000001</v>
      </c>
      <c r="L10" s="61">
        <f>(F10*0.05*0.95+G10*0.1)*H10</f>
        <v>22.829282011500002</v>
      </c>
      <c r="M10" s="58"/>
      <c r="N10" s="2" t="s">
        <v>299</v>
      </c>
      <c r="O10" s="2" t="s">
        <v>417</v>
      </c>
      <c r="P10" s="32">
        <v>-86.59</v>
      </c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296</v>
      </c>
      <c r="B11" s="32" t="s">
        <v>61</v>
      </c>
      <c r="C11" s="2" t="s">
        <v>886</v>
      </c>
      <c r="D11" s="32" t="s">
        <v>887</v>
      </c>
      <c r="E11" s="69">
        <v>-150</v>
      </c>
      <c r="F11" s="69">
        <v>401.45</v>
      </c>
      <c r="G11" s="69">
        <f>F11*0.6</f>
        <v>240.86999999999998</v>
      </c>
      <c r="H11" s="70">
        <v>1.17363</v>
      </c>
      <c r="I11" s="69">
        <f t="shared" ref="I11:I27" si="11">(E11+G11)*H11*0.9</f>
        <v>95.982982289999967</v>
      </c>
      <c r="J11" s="19" t="s">
        <v>468</v>
      </c>
      <c r="K11" s="61">
        <f t="shared" si="10"/>
        <v>-17.60445</v>
      </c>
      <c r="L11" s="61">
        <f t="shared" ref="L11:L15" si="12">(F11*0.05+G11*0.1)*H11</f>
        <v>51.826913984999997</v>
      </c>
      <c r="M11" s="58"/>
      <c r="N11" s="2" t="s">
        <v>334</v>
      </c>
      <c r="O11" s="2" t="s">
        <v>421</v>
      </c>
      <c r="P11" s="32">
        <v>-127.16</v>
      </c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296</v>
      </c>
      <c r="B12" s="32" t="s">
        <v>145</v>
      </c>
      <c r="C12" s="2" t="s">
        <v>884</v>
      </c>
      <c r="D12" s="32" t="s">
        <v>885</v>
      </c>
      <c r="E12" s="69">
        <v>934.88</v>
      </c>
      <c r="F12" s="69">
        <v>32.56</v>
      </c>
      <c r="G12" s="69">
        <f>F12*0.7</f>
        <v>22.792000000000002</v>
      </c>
      <c r="H12" s="70">
        <v>1.1773899999999999</v>
      </c>
      <c r="I12" s="69">
        <f t="shared" si="11"/>
        <v>1014.798092472</v>
      </c>
      <c r="J12" s="19" t="s">
        <v>468</v>
      </c>
      <c r="K12" s="61">
        <f t="shared" si="10"/>
        <v>110.07183631999999</v>
      </c>
      <c r="L12" s="61">
        <f t="shared" si="12"/>
        <v>4.6002982079999999</v>
      </c>
      <c r="M12" s="58"/>
      <c r="N12" s="2" t="s">
        <v>334</v>
      </c>
      <c r="O12" s="2" t="s">
        <v>422</v>
      </c>
      <c r="P12" s="32">
        <v>-32.729999999999997</v>
      </c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296</v>
      </c>
      <c r="B13" s="32" t="s">
        <v>147</v>
      </c>
      <c r="C13" s="2" t="s">
        <v>886</v>
      </c>
      <c r="D13" s="32" t="s">
        <v>887</v>
      </c>
      <c r="E13" s="69">
        <v>-9766</v>
      </c>
      <c r="F13" s="69">
        <v>1458</v>
      </c>
      <c r="G13" s="69">
        <f>F13*0.65</f>
        <v>947.7</v>
      </c>
      <c r="H13" s="74">
        <v>0.269542</v>
      </c>
      <c r="I13" s="69">
        <f>(E13+G13)*H13*0.9</f>
        <v>-2139.2119967399999</v>
      </c>
      <c r="J13" s="19" t="s">
        <v>468</v>
      </c>
      <c r="K13" s="61">
        <f t="shared" si="10"/>
        <v>-263.23471720000003</v>
      </c>
      <c r="L13" s="61">
        <f t="shared" si="12"/>
        <v>45.194107140000007</v>
      </c>
      <c r="M13" s="58"/>
      <c r="N13" s="2" t="s">
        <v>899</v>
      </c>
      <c r="O13" s="2" t="s">
        <v>473</v>
      </c>
      <c r="P13" s="32">
        <v>-30000</v>
      </c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 t="s">
        <v>296</v>
      </c>
      <c r="B14" s="32" t="s">
        <v>146</v>
      </c>
      <c r="C14" s="2" t="s">
        <v>884</v>
      </c>
      <c r="D14" s="32" t="s">
        <v>885</v>
      </c>
      <c r="E14" s="69">
        <v>153.62</v>
      </c>
      <c r="F14" s="69">
        <v>74.22</v>
      </c>
      <c r="G14" s="69">
        <f t="shared" ref="G14:G15" si="13">F14*0.7</f>
        <v>51.953999999999994</v>
      </c>
      <c r="H14" s="74">
        <v>1</v>
      </c>
      <c r="I14" s="69">
        <f t="shared" si="11"/>
        <v>185.01660000000001</v>
      </c>
      <c r="J14" s="19" t="s">
        <v>468</v>
      </c>
      <c r="K14" s="61">
        <f t="shared" si="10"/>
        <v>15.362000000000002</v>
      </c>
      <c r="L14" s="61">
        <f t="shared" si="12"/>
        <v>8.9063999999999997</v>
      </c>
      <c r="M14" s="58"/>
      <c r="N14" s="2" t="s">
        <v>899</v>
      </c>
      <c r="O14" s="2" t="s">
        <v>473</v>
      </c>
      <c r="P14" s="32">
        <v>-30000</v>
      </c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 t="s">
        <v>296</v>
      </c>
      <c r="B15" s="32" t="s">
        <v>146</v>
      </c>
      <c r="C15" s="2" t="s">
        <v>886</v>
      </c>
      <c r="D15" s="32" t="s">
        <v>887</v>
      </c>
      <c r="E15" s="69">
        <v>24873.31</v>
      </c>
      <c r="F15" s="69">
        <v>6184.11</v>
      </c>
      <c r="G15" s="69">
        <f t="shared" si="13"/>
        <v>4328.8769999999995</v>
      </c>
      <c r="H15" s="74">
        <v>1</v>
      </c>
      <c r="I15" s="69">
        <f t="shared" si="11"/>
        <v>26281.9683</v>
      </c>
      <c r="J15" s="19" t="s">
        <v>468</v>
      </c>
      <c r="K15" s="61">
        <f t="shared" si="10"/>
        <v>2487.3310000000001</v>
      </c>
      <c r="L15" s="61">
        <f t="shared" si="12"/>
        <v>742.09320000000002</v>
      </c>
      <c r="M15" s="58"/>
      <c r="N15" s="2" t="s">
        <v>303</v>
      </c>
      <c r="O15" s="2" t="s">
        <v>423</v>
      </c>
      <c r="P15" s="32">
        <v>-115.8</v>
      </c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 t="s">
        <v>296</v>
      </c>
      <c r="B16" s="46" t="s">
        <v>141</v>
      </c>
      <c r="C16" s="2" t="s">
        <v>884</v>
      </c>
      <c r="D16" s="32" t="s">
        <v>885</v>
      </c>
      <c r="E16" s="32">
        <v>6001.08</v>
      </c>
      <c r="F16" s="32">
        <v>1774.6</v>
      </c>
      <c r="G16" s="69">
        <f t="shared" ref="G16:G17" si="14">F16*0.6</f>
        <v>1064.76</v>
      </c>
      <c r="H16" s="74">
        <v>1</v>
      </c>
      <c r="I16" s="69">
        <f t="shared" si="11"/>
        <v>6359.2560000000003</v>
      </c>
      <c r="J16" s="19" t="s">
        <v>468</v>
      </c>
      <c r="K16" s="61">
        <f>E16*0.05*H16</f>
        <v>300.05400000000003</v>
      </c>
      <c r="L16" s="61">
        <f>(F16*0.1*0.95+G16*0.05)*H16</f>
        <v>221.82499999999999</v>
      </c>
      <c r="M16" s="58"/>
      <c r="N16" s="2" t="s">
        <v>607</v>
      </c>
      <c r="O16" s="2" t="s">
        <v>473</v>
      </c>
      <c r="P16" s="32">
        <v>-10000</v>
      </c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2" t="s">
        <v>296</v>
      </c>
      <c r="B17" s="32" t="s">
        <v>155</v>
      </c>
      <c r="C17" s="72" t="s">
        <v>900</v>
      </c>
      <c r="D17" s="72" t="s">
        <v>901</v>
      </c>
      <c r="E17" s="69">
        <v>24217.68</v>
      </c>
      <c r="F17" s="69">
        <v>900.13</v>
      </c>
      <c r="G17" s="69">
        <f t="shared" si="14"/>
        <v>540.07799999999997</v>
      </c>
      <c r="H17" s="70">
        <v>0.751776</v>
      </c>
      <c r="I17" s="69">
        <f t="shared" si="11"/>
        <v>16751.059450387202</v>
      </c>
      <c r="J17" s="19" t="s">
        <v>468</v>
      </c>
      <c r="K17" s="61">
        <v>0</v>
      </c>
      <c r="L17" s="61">
        <f>F17*0.1*H17*0.9</f>
        <v>60.902651779200006</v>
      </c>
      <c r="M17" s="58"/>
      <c r="N17" s="2" t="s">
        <v>306</v>
      </c>
      <c r="O17" s="2" t="s">
        <v>425</v>
      </c>
      <c r="P17" s="32">
        <v>166.17</v>
      </c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 t="s">
        <v>317</v>
      </c>
      <c r="B18" s="29" t="s">
        <v>35</v>
      </c>
      <c r="C18" s="10" t="s">
        <v>886</v>
      </c>
      <c r="D18" s="10" t="s">
        <v>887</v>
      </c>
      <c r="E18" s="32">
        <v>3492.37</v>
      </c>
      <c r="F18" s="32">
        <v>24778.93</v>
      </c>
      <c r="G18" s="69">
        <f t="shared" ref="G18:G19" si="15">F18*0.82</f>
        <v>20318.722599999997</v>
      </c>
      <c r="H18" s="75">
        <v>0.26644000000000001</v>
      </c>
      <c r="I18" s="69">
        <f t="shared" si="11"/>
        <v>5709.8047611095999</v>
      </c>
      <c r="J18" s="78">
        <f t="shared" ref="J18:J19" si="16">F18*0.05*H18</f>
        <v>330.10490546</v>
      </c>
      <c r="K18" s="61">
        <f t="shared" ref="K18:K26" si="17">E18*0.1*H18</f>
        <v>93.050706280000014</v>
      </c>
      <c r="L18" s="61">
        <f t="shared" ref="L18:L19" si="18">(F18*0.01+G18*0.1)*H18</f>
        <v>607.3930260464</v>
      </c>
      <c r="M18" s="58"/>
      <c r="N18" s="2" t="s">
        <v>367</v>
      </c>
      <c r="O18" s="2" t="s">
        <v>426</v>
      </c>
      <c r="P18" s="32">
        <v>-99.05</v>
      </c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 t="s">
        <v>317</v>
      </c>
      <c r="B19" s="29" t="s">
        <v>35</v>
      </c>
      <c r="C19" s="10" t="s">
        <v>888</v>
      </c>
      <c r="D19" s="10" t="s">
        <v>889</v>
      </c>
      <c r="E19" s="32">
        <v>-1660</v>
      </c>
      <c r="F19" s="32">
        <v>135</v>
      </c>
      <c r="G19" s="69">
        <f t="shared" si="15"/>
        <v>110.69999999999999</v>
      </c>
      <c r="H19" s="75">
        <v>0.26644000000000001</v>
      </c>
      <c r="I19" s="69">
        <f t="shared" si="11"/>
        <v>-371.5159428</v>
      </c>
      <c r="J19" s="78">
        <f t="shared" si="16"/>
        <v>1.79847</v>
      </c>
      <c r="K19" s="61">
        <f t="shared" si="17"/>
        <v>-44.229040000000005</v>
      </c>
      <c r="L19" s="61">
        <f t="shared" si="18"/>
        <v>3.3091848000000001</v>
      </c>
      <c r="M19" s="58"/>
      <c r="N19" s="2" t="s">
        <v>311</v>
      </c>
      <c r="O19" s="2" t="s">
        <v>428</v>
      </c>
      <c r="P19" s="32">
        <v>32.130000000000003</v>
      </c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32" t="s">
        <v>317</v>
      </c>
      <c r="B20" s="32" t="s">
        <v>23</v>
      </c>
      <c r="C20" s="10">
        <v>9677734</v>
      </c>
      <c r="D20" s="2" t="s">
        <v>892</v>
      </c>
      <c r="E20" s="69">
        <v>18542.3</v>
      </c>
      <c r="F20" s="69">
        <v>760.95</v>
      </c>
      <c r="G20" s="69">
        <f t="shared" ref="G20:G21" si="19">F20*0.7</f>
        <v>532.66499999999996</v>
      </c>
      <c r="H20" s="70">
        <v>0.20366600000000001</v>
      </c>
      <c r="I20" s="69">
        <f t="shared" si="11"/>
        <v>3496.4296395210004</v>
      </c>
      <c r="J20" s="79" t="s">
        <v>468</v>
      </c>
      <c r="K20" s="61">
        <f t="shared" si="17"/>
        <v>377.64360718</v>
      </c>
      <c r="L20" s="61">
        <f t="shared" ref="L20:L21" si="20">G20*0.1*H20</f>
        <v>10.848574989000001</v>
      </c>
      <c r="M20" s="58"/>
      <c r="N20" s="2" t="s">
        <v>480</v>
      </c>
      <c r="O20" s="2" t="s">
        <v>473</v>
      </c>
      <c r="P20" s="32">
        <v>-30000</v>
      </c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32" t="s">
        <v>317</v>
      </c>
      <c r="B21" s="32" t="s">
        <v>23</v>
      </c>
      <c r="C21" s="10">
        <v>9677947</v>
      </c>
      <c r="D21" s="2" t="s">
        <v>893</v>
      </c>
      <c r="E21" s="69">
        <v>-20658.900000000001</v>
      </c>
      <c r="F21" s="69">
        <v>1554.2</v>
      </c>
      <c r="G21" s="69">
        <f t="shared" si="19"/>
        <v>1087.94</v>
      </c>
      <c r="H21" s="70">
        <v>0.20366600000000001</v>
      </c>
      <c r="I21" s="69">
        <f t="shared" si="11"/>
        <v>-3587.345225424001</v>
      </c>
      <c r="J21" s="79" t="s">
        <v>468</v>
      </c>
      <c r="K21" s="61">
        <f t="shared" si="17"/>
        <v>-420.75155274000008</v>
      </c>
      <c r="L21" s="61">
        <f t="shared" si="20"/>
        <v>22.157638804000005</v>
      </c>
      <c r="M21" s="58"/>
      <c r="N21" s="2" t="s">
        <v>480</v>
      </c>
      <c r="O21" s="2" t="s">
        <v>473</v>
      </c>
      <c r="P21" s="32">
        <v>-30000</v>
      </c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32" t="s">
        <v>317</v>
      </c>
      <c r="B22" s="2" t="s">
        <v>17</v>
      </c>
      <c r="C22" s="10">
        <v>9676837</v>
      </c>
      <c r="D22" s="32" t="s">
        <v>896</v>
      </c>
      <c r="E22" s="69">
        <v>10669.45</v>
      </c>
      <c r="F22" s="69">
        <v>1473.25</v>
      </c>
      <c r="G22" s="69">
        <f t="shared" ref="G22:G24" si="21">F22*0.65</f>
        <v>957.61250000000007</v>
      </c>
      <c r="H22" s="70">
        <v>0.20366600000000001</v>
      </c>
      <c r="I22" s="69">
        <f t="shared" si="11"/>
        <v>2131.2335800125002</v>
      </c>
      <c r="J22" s="79" t="s">
        <v>468</v>
      </c>
      <c r="K22" s="61">
        <f t="shared" si="17"/>
        <v>217.30042037000004</v>
      </c>
      <c r="L22" s="61">
        <f t="shared" ref="L22:L26" si="22">(F22*0.05+G22*0.1)*H22</f>
        <v>34.505857467500007</v>
      </c>
      <c r="M22" s="58"/>
      <c r="N22" s="2" t="s">
        <v>314</v>
      </c>
      <c r="O22" s="2" t="s">
        <v>430</v>
      </c>
      <c r="P22" s="32">
        <v>-12.22</v>
      </c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32" t="s">
        <v>317</v>
      </c>
      <c r="B23" s="2" t="s">
        <v>17</v>
      </c>
      <c r="C23" s="10">
        <v>9677734</v>
      </c>
      <c r="D23" s="32" t="s">
        <v>892</v>
      </c>
      <c r="E23" s="69">
        <v>-4129.75</v>
      </c>
      <c r="F23" s="69">
        <v>928.85</v>
      </c>
      <c r="G23" s="69">
        <f t="shared" si="21"/>
        <v>603.75250000000005</v>
      </c>
      <c r="H23" s="70">
        <v>0.20366600000000001</v>
      </c>
      <c r="I23" s="69">
        <f t="shared" si="11"/>
        <v>-646.31322615150009</v>
      </c>
      <c r="J23" s="79" t="s">
        <v>468</v>
      </c>
      <c r="K23" s="61">
        <f t="shared" si="17"/>
        <v>-84.108966350000017</v>
      </c>
      <c r="L23" s="61">
        <f t="shared" si="22"/>
        <v>21.755143871500007</v>
      </c>
      <c r="M23" s="58"/>
      <c r="N23" s="2" t="s">
        <v>431</v>
      </c>
      <c r="O23" s="2" t="s">
        <v>902</v>
      </c>
      <c r="P23" s="32">
        <v>-55000</v>
      </c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32" t="s">
        <v>317</v>
      </c>
      <c r="B24" s="32" t="s">
        <v>147</v>
      </c>
      <c r="C24" s="2" t="s">
        <v>886</v>
      </c>
      <c r="D24" s="32" t="s">
        <v>887</v>
      </c>
      <c r="E24" s="69">
        <v>-19924</v>
      </c>
      <c r="F24" s="69">
        <v>6782</v>
      </c>
      <c r="G24" s="69">
        <f t="shared" si="21"/>
        <v>4408.3</v>
      </c>
      <c r="H24" s="74">
        <v>0.26666699999999999</v>
      </c>
      <c r="I24" s="69">
        <f t="shared" si="11"/>
        <v>-3723.7726547100001</v>
      </c>
      <c r="J24" s="19" t="s">
        <v>468</v>
      </c>
      <c r="K24" s="61">
        <f t="shared" si="17"/>
        <v>-531.30733080000005</v>
      </c>
      <c r="L24" s="61">
        <f t="shared" si="22"/>
        <v>207.98159330999999</v>
      </c>
      <c r="M24" s="58"/>
      <c r="N24" s="2" t="s">
        <v>431</v>
      </c>
      <c r="O24" s="2" t="s">
        <v>557</v>
      </c>
      <c r="P24" s="32">
        <v>-3.5</v>
      </c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32" t="s">
        <v>317</v>
      </c>
      <c r="B25" s="32" t="s">
        <v>146</v>
      </c>
      <c r="C25" s="2" t="s">
        <v>886</v>
      </c>
      <c r="D25" s="32" t="s">
        <v>887</v>
      </c>
      <c r="E25" s="69">
        <v>3096.6</v>
      </c>
      <c r="F25" s="69">
        <v>505.62</v>
      </c>
      <c r="G25" s="69">
        <f t="shared" ref="G25:G26" si="23">F25*0.7</f>
        <v>353.93399999999997</v>
      </c>
      <c r="H25" s="74">
        <v>1</v>
      </c>
      <c r="I25" s="69">
        <f t="shared" si="11"/>
        <v>3105.4805999999999</v>
      </c>
      <c r="J25" s="19" t="s">
        <v>468</v>
      </c>
      <c r="K25" s="61">
        <f t="shared" si="17"/>
        <v>309.66000000000003</v>
      </c>
      <c r="L25" s="61">
        <f t="shared" si="22"/>
        <v>60.674400000000006</v>
      </c>
      <c r="M25" s="58"/>
      <c r="N25" s="2" t="s">
        <v>389</v>
      </c>
      <c r="O25" s="2" t="s">
        <v>903</v>
      </c>
      <c r="P25" s="32">
        <v>-69.819999999999993</v>
      </c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32" t="s">
        <v>317</v>
      </c>
      <c r="B26" s="32" t="s">
        <v>146</v>
      </c>
      <c r="C26" s="2" t="s">
        <v>884</v>
      </c>
      <c r="D26" s="32" t="s">
        <v>885</v>
      </c>
      <c r="E26" s="69">
        <v>398.4</v>
      </c>
      <c r="F26" s="69">
        <v>32.4</v>
      </c>
      <c r="G26" s="69">
        <f t="shared" si="23"/>
        <v>22.679999999999996</v>
      </c>
      <c r="H26" s="74">
        <v>1</v>
      </c>
      <c r="I26" s="69">
        <f t="shared" si="11"/>
        <v>378.97199999999998</v>
      </c>
      <c r="J26" s="19" t="s">
        <v>468</v>
      </c>
      <c r="K26" s="61">
        <f t="shared" si="17"/>
        <v>39.840000000000003</v>
      </c>
      <c r="L26" s="61">
        <f t="shared" si="22"/>
        <v>3.8879999999999999</v>
      </c>
      <c r="M26" s="58"/>
      <c r="N26" s="2" t="s">
        <v>443</v>
      </c>
      <c r="O26" s="2" t="s">
        <v>444</v>
      </c>
      <c r="P26" s="32">
        <v>-226.28</v>
      </c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 t="s">
        <v>317</v>
      </c>
      <c r="B27" s="46" t="s">
        <v>141</v>
      </c>
      <c r="C27" s="2" t="s">
        <v>884</v>
      </c>
      <c r="D27" s="32" t="s">
        <v>885</v>
      </c>
      <c r="E27" s="32">
        <v>-744</v>
      </c>
      <c r="F27" s="32">
        <v>771.59</v>
      </c>
      <c r="G27" s="69">
        <f>F27*0.6</f>
        <v>462.95400000000001</v>
      </c>
      <c r="H27" s="74">
        <v>1</v>
      </c>
      <c r="I27" s="69">
        <f t="shared" si="11"/>
        <v>-252.94139999999999</v>
      </c>
      <c r="J27" s="19" t="s">
        <v>468</v>
      </c>
      <c r="K27" s="61">
        <f>E27*0.05*H27</f>
        <v>-37.200000000000003</v>
      </c>
      <c r="L27" s="61">
        <f>(F27*0.1*0.95+G27*0.05)*H27</f>
        <v>96.448750000000004</v>
      </c>
      <c r="M27" s="58"/>
      <c r="N27" s="2" t="s">
        <v>507</v>
      </c>
      <c r="O27" s="2" t="s">
        <v>902</v>
      </c>
      <c r="P27" s="32">
        <v>-23000</v>
      </c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 t="s">
        <v>317</v>
      </c>
      <c r="B28" s="32" t="s">
        <v>140</v>
      </c>
      <c r="C28" s="10">
        <v>9741825</v>
      </c>
      <c r="D28" s="32" t="s">
        <v>904</v>
      </c>
      <c r="E28" s="69">
        <v>-1757.5</v>
      </c>
      <c r="F28" s="69">
        <v>137.51</v>
      </c>
      <c r="G28" s="69">
        <f>F28*0.65</f>
        <v>89.381500000000003</v>
      </c>
      <c r="H28" s="70">
        <v>0.66871999999999998</v>
      </c>
      <c r="I28" s="69">
        <f>((E28+G28)*0.9+213.64)*H28</f>
        <v>-861.08844218800004</v>
      </c>
      <c r="J28" s="19" t="s">
        <v>468</v>
      </c>
      <c r="K28" s="61">
        <v>0</v>
      </c>
      <c r="L28" s="61">
        <f>F28*0.05*H28*0.9</f>
        <v>4.1380059239999998</v>
      </c>
      <c r="M28" s="58"/>
      <c r="N28" s="2" t="s">
        <v>905</v>
      </c>
      <c r="O28" s="2" t="s">
        <v>473</v>
      </c>
      <c r="P28" s="32">
        <v>-15000</v>
      </c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 t="s">
        <v>317</v>
      </c>
      <c r="B29" s="32" t="s">
        <v>61</v>
      </c>
      <c r="C29" s="2" t="s">
        <v>886</v>
      </c>
      <c r="D29" s="32" t="s">
        <v>887</v>
      </c>
      <c r="E29" s="69">
        <v>3356.07</v>
      </c>
      <c r="F29" s="69">
        <v>1446.04</v>
      </c>
      <c r="G29" s="69">
        <f>F29*0.6</f>
        <v>867.62399999999991</v>
      </c>
      <c r="H29" s="70">
        <v>1.16154</v>
      </c>
      <c r="I29" s="69">
        <f t="shared" ref="I29:I42" si="24">(E29+G29)*H29*0.9</f>
        <v>4415.3905758840001</v>
      </c>
      <c r="J29" s="19" t="s">
        <v>468</v>
      </c>
      <c r="K29" s="61">
        <f t="shared" ref="K29:K31" si="25">E29*0.1*H29</f>
        <v>389.82095478000002</v>
      </c>
      <c r="L29" s="61">
        <f t="shared" ref="L29:L31" si="26">(F29*0.05+G29*0.1)*H29</f>
        <v>184.759663176</v>
      </c>
      <c r="M29" s="58"/>
      <c r="N29" s="2" t="s">
        <v>905</v>
      </c>
      <c r="O29" s="2" t="s">
        <v>473</v>
      </c>
      <c r="P29" s="32">
        <v>-15000</v>
      </c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32" t="s">
        <v>317</v>
      </c>
      <c r="B30" s="32" t="s">
        <v>145</v>
      </c>
      <c r="C30" s="10" t="s">
        <v>888</v>
      </c>
      <c r="D30" s="10" t="s">
        <v>889</v>
      </c>
      <c r="E30" s="32">
        <v>-116.8</v>
      </c>
      <c r="F30" s="32">
        <v>105.69</v>
      </c>
      <c r="G30" s="69">
        <f t="shared" ref="G30:G31" si="27">F30*0.7</f>
        <v>73.98299999999999</v>
      </c>
      <c r="H30" s="70">
        <v>1.1693899999999999</v>
      </c>
      <c r="I30" s="69">
        <f t="shared" si="24"/>
        <v>-45.062794467000003</v>
      </c>
      <c r="J30" s="19" t="s">
        <v>468</v>
      </c>
      <c r="K30" s="61">
        <f t="shared" si="25"/>
        <v>-13.658475199999998</v>
      </c>
      <c r="L30" s="61">
        <f t="shared" si="26"/>
        <v>14.831139492</v>
      </c>
      <c r="M30" s="58"/>
      <c r="N30" s="2" t="s">
        <v>492</v>
      </c>
      <c r="O30" s="2" t="s">
        <v>473</v>
      </c>
      <c r="P30" s="32">
        <v>-15000</v>
      </c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32" t="s">
        <v>317</v>
      </c>
      <c r="B31" s="32" t="s">
        <v>145</v>
      </c>
      <c r="C31" s="2" t="s">
        <v>884</v>
      </c>
      <c r="D31" s="32" t="s">
        <v>885</v>
      </c>
      <c r="E31" s="32">
        <v>18342.939999999999</v>
      </c>
      <c r="F31" s="32">
        <v>3094.41</v>
      </c>
      <c r="G31" s="69">
        <f t="shared" si="27"/>
        <v>2166.0869999999995</v>
      </c>
      <c r="H31" s="70">
        <v>1.1693899999999999</v>
      </c>
      <c r="I31" s="69">
        <f t="shared" si="24"/>
        <v>21584.745975176997</v>
      </c>
      <c r="J31" s="19" t="s">
        <v>468</v>
      </c>
      <c r="K31" s="61">
        <f t="shared" si="25"/>
        <v>2145.0050606599998</v>
      </c>
      <c r="L31" s="61">
        <f t="shared" si="26"/>
        <v>434.22865318800001</v>
      </c>
      <c r="M31" s="58"/>
      <c r="N31" s="2" t="s">
        <v>492</v>
      </c>
      <c r="O31" s="2" t="s">
        <v>473</v>
      </c>
      <c r="P31" s="32">
        <v>-15000</v>
      </c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32" t="s">
        <v>317</v>
      </c>
      <c r="B32" s="32" t="s">
        <v>155</v>
      </c>
      <c r="C32" s="72" t="s">
        <v>900</v>
      </c>
      <c r="D32" s="72" t="s">
        <v>901</v>
      </c>
      <c r="E32" s="69">
        <v>10736.64</v>
      </c>
      <c r="F32" s="69">
        <v>3825.15</v>
      </c>
      <c r="G32" s="69">
        <f>F32*0.6</f>
        <v>2295.09</v>
      </c>
      <c r="H32" s="70">
        <v>0.74563800000000002</v>
      </c>
      <c r="I32" s="69">
        <f t="shared" si="24"/>
        <v>8745.2577843660001</v>
      </c>
      <c r="J32" s="19" t="s">
        <v>468</v>
      </c>
      <c r="K32" s="61">
        <v>0</v>
      </c>
      <c r="L32" s="61">
        <f>F32*0.1*H32*0.9</f>
        <v>256.69594761300004</v>
      </c>
      <c r="M32" s="58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32" t="s">
        <v>325</v>
      </c>
      <c r="B33" s="32" t="s">
        <v>23</v>
      </c>
      <c r="C33" s="10">
        <v>9677734</v>
      </c>
      <c r="D33" s="2" t="s">
        <v>892</v>
      </c>
      <c r="E33" s="69">
        <v>46143.4</v>
      </c>
      <c r="F33" s="69">
        <v>11140.65</v>
      </c>
      <c r="G33" s="69">
        <f t="shared" ref="G33:G34" si="28">F33*0.7</f>
        <v>7798.454999999999</v>
      </c>
      <c r="H33" s="70">
        <v>0.20449899999999999</v>
      </c>
      <c r="I33" s="69">
        <f t="shared" si="24"/>
        <v>9927.9498650804999</v>
      </c>
      <c r="J33" s="79" t="s">
        <v>468</v>
      </c>
      <c r="K33" s="61">
        <f t="shared" ref="K33:K42" si="29">E33*0.1*H33</f>
        <v>943.62791565999999</v>
      </c>
      <c r="L33" s="61">
        <f t="shared" ref="L33:L34" si="30">G33*0.1*H33</f>
        <v>159.47762490449998</v>
      </c>
      <c r="M33" s="58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32" t="s">
        <v>325</v>
      </c>
      <c r="B34" s="32" t="s">
        <v>23</v>
      </c>
      <c r="C34" s="10">
        <v>9677947</v>
      </c>
      <c r="D34" s="2" t="s">
        <v>893</v>
      </c>
      <c r="E34" s="69">
        <v>1941.7</v>
      </c>
      <c r="F34" s="69">
        <v>5479.7</v>
      </c>
      <c r="G34" s="69">
        <f t="shared" si="28"/>
        <v>3835.7899999999995</v>
      </c>
      <c r="H34" s="70">
        <v>0.20449899999999999</v>
      </c>
      <c r="I34" s="69">
        <f t="shared" si="24"/>
        <v>1063.341834759</v>
      </c>
      <c r="J34" s="79" t="s">
        <v>468</v>
      </c>
      <c r="K34" s="61">
        <f t="shared" si="29"/>
        <v>39.707570830000002</v>
      </c>
      <c r="L34" s="61">
        <f t="shared" si="30"/>
        <v>78.441521920999989</v>
      </c>
      <c r="M34" s="58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32" t="s">
        <v>325</v>
      </c>
      <c r="B35" s="2" t="s">
        <v>17</v>
      </c>
      <c r="C35" s="10">
        <v>9676837</v>
      </c>
      <c r="D35" s="32" t="s">
        <v>896</v>
      </c>
      <c r="E35" s="69">
        <v>-16110.95</v>
      </c>
      <c r="F35" s="69">
        <v>647.45000000000005</v>
      </c>
      <c r="G35" s="69">
        <f t="shared" ref="G35:G36" si="31">F35*0.65</f>
        <v>420.84250000000003</v>
      </c>
      <c r="H35" s="70">
        <v>0.20449899999999999</v>
      </c>
      <c r="I35" s="69">
        <f t="shared" si="24"/>
        <v>-2887.7501642782499</v>
      </c>
      <c r="J35" s="79" t="s">
        <v>468</v>
      </c>
      <c r="K35" s="61">
        <f t="shared" si="29"/>
        <v>-329.46731640500002</v>
      </c>
      <c r="L35" s="61">
        <f t="shared" ref="L35:L39" si="32">(F35*0.05+G35*0.1)*H35</f>
        <v>15.22633091825</v>
      </c>
      <c r="M35" s="58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32" t="s">
        <v>325</v>
      </c>
      <c r="B36" s="2" t="s">
        <v>17</v>
      </c>
      <c r="C36" s="10">
        <v>9677734</v>
      </c>
      <c r="D36" s="32" t="s">
        <v>892</v>
      </c>
      <c r="E36" s="69">
        <v>3669.25</v>
      </c>
      <c r="F36" s="69">
        <v>621.9</v>
      </c>
      <c r="G36" s="69">
        <f t="shared" si="31"/>
        <v>404.23500000000001</v>
      </c>
      <c r="H36" s="70">
        <v>0.20449899999999999</v>
      </c>
      <c r="I36" s="69">
        <f t="shared" si="24"/>
        <v>749.7212481135</v>
      </c>
      <c r="J36" s="79" t="s">
        <v>468</v>
      </c>
      <c r="K36" s="61">
        <f t="shared" si="29"/>
        <v>75.035795574999995</v>
      </c>
      <c r="L36" s="61">
        <f t="shared" si="32"/>
        <v>14.6254617315</v>
      </c>
      <c r="M36" s="58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32" t="s">
        <v>325</v>
      </c>
      <c r="B37" s="32" t="s">
        <v>69</v>
      </c>
      <c r="C37" s="10" t="s">
        <v>886</v>
      </c>
      <c r="D37" s="32" t="s">
        <v>887</v>
      </c>
      <c r="E37" s="69">
        <v>1806.85</v>
      </c>
      <c r="F37" s="69">
        <v>176.24</v>
      </c>
      <c r="G37" s="69">
        <f t="shared" ref="G37:G39" si="33">F37*0.75</f>
        <v>132.18</v>
      </c>
      <c r="H37" s="74">
        <v>1</v>
      </c>
      <c r="I37" s="69">
        <f t="shared" si="24"/>
        <v>1745.127</v>
      </c>
      <c r="J37" s="78">
        <f t="shared" ref="J37:J42" si="34">F37*0.05*H37</f>
        <v>8.8120000000000012</v>
      </c>
      <c r="K37" s="61">
        <f t="shared" si="29"/>
        <v>180.685</v>
      </c>
      <c r="L37" s="61">
        <f t="shared" si="32"/>
        <v>22.03</v>
      </c>
      <c r="M37" s="58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32" t="s">
        <v>325</v>
      </c>
      <c r="B38" s="32" t="s">
        <v>69</v>
      </c>
      <c r="C38" s="10" t="s">
        <v>884</v>
      </c>
      <c r="D38" s="10" t="s">
        <v>885</v>
      </c>
      <c r="E38" s="32">
        <v>810.2</v>
      </c>
      <c r="F38" s="32">
        <v>86.3</v>
      </c>
      <c r="G38" s="69">
        <f t="shared" si="33"/>
        <v>64.724999999999994</v>
      </c>
      <c r="H38" s="74">
        <v>1</v>
      </c>
      <c r="I38" s="69">
        <f t="shared" si="24"/>
        <v>787.43250000000012</v>
      </c>
      <c r="J38" s="78">
        <f t="shared" si="34"/>
        <v>4.3150000000000004</v>
      </c>
      <c r="K38" s="61">
        <f t="shared" si="29"/>
        <v>81.02000000000001</v>
      </c>
      <c r="L38" s="61">
        <f t="shared" si="32"/>
        <v>10.787500000000001</v>
      </c>
      <c r="M38" s="58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32" t="s">
        <v>325</v>
      </c>
      <c r="B39" s="32" t="s">
        <v>69</v>
      </c>
      <c r="C39" s="2" t="s">
        <v>888</v>
      </c>
      <c r="D39" s="32" t="s">
        <v>889</v>
      </c>
      <c r="E39" s="69">
        <v>3365.59</v>
      </c>
      <c r="F39" s="69">
        <v>389.69</v>
      </c>
      <c r="G39" s="69">
        <f t="shared" si="33"/>
        <v>292.26749999999998</v>
      </c>
      <c r="H39" s="74">
        <v>1</v>
      </c>
      <c r="I39" s="69">
        <f t="shared" si="24"/>
        <v>3292.0717500000001</v>
      </c>
      <c r="J39" s="78">
        <f t="shared" si="34"/>
        <v>19.484500000000001</v>
      </c>
      <c r="K39" s="61">
        <f t="shared" si="29"/>
        <v>336.55900000000003</v>
      </c>
      <c r="L39" s="61">
        <f t="shared" si="32"/>
        <v>48.71125</v>
      </c>
      <c r="M39" s="58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2" t="s">
        <v>325</v>
      </c>
      <c r="B40" s="29" t="s">
        <v>35</v>
      </c>
      <c r="C40" s="2" t="s">
        <v>906</v>
      </c>
      <c r="D40" s="32" t="s">
        <v>907</v>
      </c>
      <c r="E40" s="69">
        <v>6953.8</v>
      </c>
      <c r="F40" s="69">
        <v>1299</v>
      </c>
      <c r="G40" s="69">
        <f t="shared" ref="G40:G42" si="35">F40*0.82</f>
        <v>1065.1799999999998</v>
      </c>
      <c r="H40" s="75">
        <v>0.26577000000000001</v>
      </c>
      <c r="I40" s="69">
        <f t="shared" si="24"/>
        <v>1918.0838831400001</v>
      </c>
      <c r="J40" s="78">
        <f t="shared" si="34"/>
        <v>17.261761500000002</v>
      </c>
      <c r="K40" s="61">
        <f t="shared" si="29"/>
        <v>184.81114260000004</v>
      </c>
      <c r="L40" s="61">
        <f t="shared" ref="L40:L42" si="36">(F40*0.01+G40*0.1)*H40</f>
        <v>31.761641159999996</v>
      </c>
      <c r="M40" s="58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2" t="s">
        <v>325</v>
      </c>
      <c r="B41" s="29" t="s">
        <v>35</v>
      </c>
      <c r="C41" s="10" t="s">
        <v>886</v>
      </c>
      <c r="D41" s="10" t="s">
        <v>887</v>
      </c>
      <c r="E41" s="32">
        <v>-960</v>
      </c>
      <c r="F41" s="32">
        <v>48</v>
      </c>
      <c r="G41" s="69">
        <f t="shared" si="35"/>
        <v>39.36</v>
      </c>
      <c r="H41" s="75">
        <v>0.26577000000000001</v>
      </c>
      <c r="I41" s="69">
        <f t="shared" si="24"/>
        <v>-220.21064352000002</v>
      </c>
      <c r="J41" s="78">
        <f t="shared" si="34"/>
        <v>0.63784800000000008</v>
      </c>
      <c r="K41" s="61">
        <f t="shared" si="29"/>
        <v>-25.513919999999999</v>
      </c>
      <c r="L41" s="61">
        <f t="shared" si="36"/>
        <v>1.1736403200000001</v>
      </c>
      <c r="M41" s="58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2" t="s">
        <v>325</v>
      </c>
      <c r="B42" s="29" t="s">
        <v>35</v>
      </c>
      <c r="C42" s="10" t="s">
        <v>888</v>
      </c>
      <c r="D42" s="10" t="s">
        <v>889</v>
      </c>
      <c r="E42" s="32">
        <v>15251.6</v>
      </c>
      <c r="F42" s="32">
        <v>3918</v>
      </c>
      <c r="G42" s="69">
        <f t="shared" si="35"/>
        <v>3212.7599999999998</v>
      </c>
      <c r="H42" s="75">
        <v>0.26577000000000001</v>
      </c>
      <c r="I42" s="69">
        <f t="shared" si="24"/>
        <v>4416.5456614799996</v>
      </c>
      <c r="J42" s="78">
        <f t="shared" si="34"/>
        <v>52.064343000000001</v>
      </c>
      <c r="K42" s="61">
        <f t="shared" si="29"/>
        <v>405.34177320000003</v>
      </c>
      <c r="L42" s="61">
        <f t="shared" si="36"/>
        <v>95.798391120000005</v>
      </c>
      <c r="M42" s="58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32" t="s">
        <v>325</v>
      </c>
      <c r="B43" s="32" t="s">
        <v>140</v>
      </c>
      <c r="C43" s="10">
        <v>9741825</v>
      </c>
      <c r="D43" s="32" t="s">
        <v>904</v>
      </c>
      <c r="E43" s="69">
        <v>19192.54</v>
      </c>
      <c r="F43" s="69">
        <v>1033.77</v>
      </c>
      <c r="G43" s="69">
        <f>F43*0.65</f>
        <v>671.95050000000003</v>
      </c>
      <c r="H43" s="70">
        <v>0.65259999999999996</v>
      </c>
      <c r="I43" s="69">
        <f>((E43+G43)*0.9)*H43</f>
        <v>11667.209850269999</v>
      </c>
      <c r="J43" s="19" t="s">
        <v>468</v>
      </c>
      <c r="K43" s="61">
        <v>0</v>
      </c>
      <c r="L43" s="61">
        <f>F43*0.05*H43*0.9</f>
        <v>30.358723590000004</v>
      </c>
      <c r="M43" s="58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2" t="s">
        <v>325</v>
      </c>
      <c r="B44" s="2" t="s">
        <v>148</v>
      </c>
      <c r="C44" s="10">
        <v>9747484</v>
      </c>
      <c r="D44" s="32" t="s">
        <v>898</v>
      </c>
      <c r="E44" s="69">
        <v>1505</v>
      </c>
      <c r="F44" s="69">
        <v>15</v>
      </c>
      <c r="G44" s="69">
        <f>F44*0.7</f>
        <v>10.5</v>
      </c>
      <c r="H44" s="70">
        <v>0.20080000000000001</v>
      </c>
      <c r="I44" s="69">
        <f>(E44+G44)*H44*0.85</f>
        <v>258.66554000000002</v>
      </c>
      <c r="J44" s="79" t="s">
        <v>468</v>
      </c>
      <c r="K44" s="61">
        <f t="shared" ref="K44:K48" si="37">E44*0.1*H44</f>
        <v>30.220400000000001</v>
      </c>
      <c r="L44" s="61">
        <f>(F44*0.05*0.95+G44*0.1)*H44</f>
        <v>0.35391</v>
      </c>
      <c r="M44" s="58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2" t="s">
        <v>325</v>
      </c>
      <c r="B45" s="32" t="s">
        <v>61</v>
      </c>
      <c r="C45" s="2" t="s">
        <v>886</v>
      </c>
      <c r="D45" s="32" t="s">
        <v>887</v>
      </c>
      <c r="E45" s="69">
        <v>3063.42</v>
      </c>
      <c r="F45" s="69">
        <v>316.72000000000003</v>
      </c>
      <c r="G45" s="69">
        <f>F45*0.6</f>
        <v>190.03200000000001</v>
      </c>
      <c r="H45" s="70">
        <v>1.1501399999999999</v>
      </c>
      <c r="I45" s="69">
        <f t="shared" ref="I45:I59" si="38">(E45+G45)*H45*0.9</f>
        <v>3367.7327549520005</v>
      </c>
      <c r="J45" s="19" t="s">
        <v>468</v>
      </c>
      <c r="K45" s="61">
        <f t="shared" si="37"/>
        <v>352.33618788000001</v>
      </c>
      <c r="L45" s="61">
        <f t="shared" ref="L45:L48" si="39">(F45*0.05+G45*0.1)*H45</f>
        <v>40.069957488000007</v>
      </c>
      <c r="M45" s="58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2" t="s">
        <v>325</v>
      </c>
      <c r="B46" s="32" t="s">
        <v>147</v>
      </c>
      <c r="C46" s="2" t="s">
        <v>906</v>
      </c>
      <c r="D46" s="32" t="s">
        <v>907</v>
      </c>
      <c r="E46" s="32">
        <v>-6807</v>
      </c>
      <c r="F46" s="32">
        <v>1889</v>
      </c>
      <c r="G46" s="69">
        <f t="shared" ref="G46:G47" si="40">F46*0.65</f>
        <v>1227.8500000000001</v>
      </c>
      <c r="H46" s="74">
        <v>0.26525199999999999</v>
      </c>
      <c r="I46" s="69">
        <f t="shared" si="38"/>
        <v>-1331.8926262199998</v>
      </c>
      <c r="J46" s="19" t="s">
        <v>468</v>
      </c>
      <c r="K46" s="61">
        <f t="shared" si="37"/>
        <v>-180.55703640000002</v>
      </c>
      <c r="L46" s="61">
        <f t="shared" si="39"/>
        <v>57.622018220000001</v>
      </c>
      <c r="M46" s="58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2" t="s">
        <v>325</v>
      </c>
      <c r="B47" s="32" t="s">
        <v>147</v>
      </c>
      <c r="C47" s="10" t="s">
        <v>886</v>
      </c>
      <c r="D47" s="10" t="s">
        <v>887</v>
      </c>
      <c r="E47" s="32">
        <v>-5480</v>
      </c>
      <c r="F47" s="32">
        <v>399</v>
      </c>
      <c r="G47" s="69">
        <f t="shared" si="40"/>
        <v>259.35000000000002</v>
      </c>
      <c r="H47" s="74">
        <v>0.26525199999999999</v>
      </c>
      <c r="I47" s="69">
        <f t="shared" si="38"/>
        <v>-1246.3090684199999</v>
      </c>
      <c r="J47" s="19" t="s">
        <v>468</v>
      </c>
      <c r="K47" s="61">
        <f t="shared" si="37"/>
        <v>-145.35809599999999</v>
      </c>
      <c r="L47" s="61">
        <f t="shared" si="39"/>
        <v>12.171088020000001</v>
      </c>
      <c r="M47" s="58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2" t="s">
        <v>325</v>
      </c>
      <c r="B48" s="32" t="s">
        <v>146</v>
      </c>
      <c r="C48" s="2" t="s">
        <v>886</v>
      </c>
      <c r="D48" s="32" t="s">
        <v>887</v>
      </c>
      <c r="E48" s="69">
        <v>16751.61</v>
      </c>
      <c r="F48" s="69">
        <v>5073.51</v>
      </c>
      <c r="G48" s="69">
        <f>F48*0.7</f>
        <v>3551.4569999999999</v>
      </c>
      <c r="H48" s="74">
        <v>1</v>
      </c>
      <c r="I48" s="69">
        <f t="shared" si="38"/>
        <v>18272.760299999998</v>
      </c>
      <c r="J48" s="19" t="s">
        <v>468</v>
      </c>
      <c r="K48" s="61">
        <f t="shared" si="37"/>
        <v>1675.1610000000001</v>
      </c>
      <c r="L48" s="61">
        <f t="shared" si="39"/>
        <v>608.82120000000009</v>
      </c>
      <c r="M48" s="58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2" t="s">
        <v>325</v>
      </c>
      <c r="B49" s="46" t="s">
        <v>141</v>
      </c>
      <c r="C49" s="2" t="s">
        <v>884</v>
      </c>
      <c r="D49" s="32" t="s">
        <v>885</v>
      </c>
      <c r="E49" s="32">
        <v>-1650</v>
      </c>
      <c r="F49" s="32">
        <v>60</v>
      </c>
      <c r="G49" s="69">
        <f>F49*0.6</f>
        <v>36</v>
      </c>
      <c r="H49" s="74">
        <v>1</v>
      </c>
      <c r="I49" s="69">
        <f t="shared" si="38"/>
        <v>-1452.6000000000001</v>
      </c>
      <c r="J49" s="19" t="s">
        <v>468</v>
      </c>
      <c r="K49" s="61">
        <f>E49*0.05*H49</f>
        <v>-82.5</v>
      </c>
      <c r="L49" s="61">
        <f>(F49*0.1*0.95+G49*0.05)*H49</f>
        <v>7.4999999999999991</v>
      </c>
      <c r="M49" s="58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2" t="s">
        <v>325</v>
      </c>
      <c r="B50" s="32" t="s">
        <v>145</v>
      </c>
      <c r="C50" s="2" t="s">
        <v>884</v>
      </c>
      <c r="D50" s="32" t="s">
        <v>885</v>
      </c>
      <c r="E50" s="32">
        <v>-349</v>
      </c>
      <c r="F50" s="32">
        <v>11.52</v>
      </c>
      <c r="G50" s="69">
        <f>F50*0.7</f>
        <v>8.0640000000000001</v>
      </c>
      <c r="H50" s="70">
        <v>1.1517599999999999</v>
      </c>
      <c r="I50" s="69">
        <f t="shared" si="38"/>
        <v>-353.40880262399997</v>
      </c>
      <c r="J50" s="19" t="s">
        <v>468</v>
      </c>
      <c r="K50" s="61">
        <f t="shared" ref="K50:K59" si="41">E50*0.1*H50</f>
        <v>-40.196423999999993</v>
      </c>
      <c r="L50" s="61">
        <f t="shared" ref="L50:L54" si="42">(F50*0.05+G50*0.1)*H50</f>
        <v>1.592193024</v>
      </c>
      <c r="M50" s="58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2" t="s">
        <v>332</v>
      </c>
      <c r="B51" s="32" t="s">
        <v>69</v>
      </c>
      <c r="C51" s="10" t="s">
        <v>908</v>
      </c>
      <c r="D51" s="10" t="s">
        <v>909</v>
      </c>
      <c r="E51" s="32">
        <v>-209</v>
      </c>
      <c r="F51" s="32">
        <v>154.19999999999999</v>
      </c>
      <c r="G51" s="69">
        <f t="shared" ref="G51:G54" si="43">F51*0.75</f>
        <v>115.64999999999999</v>
      </c>
      <c r="H51" s="74">
        <v>1</v>
      </c>
      <c r="I51" s="69">
        <f t="shared" si="38"/>
        <v>-84.015000000000015</v>
      </c>
      <c r="J51" s="78">
        <f t="shared" ref="J51:J59" si="44">F51*0.05*H51</f>
        <v>7.71</v>
      </c>
      <c r="K51" s="61">
        <f t="shared" si="41"/>
        <v>-20.900000000000002</v>
      </c>
      <c r="L51" s="61">
        <f t="shared" si="42"/>
        <v>19.274999999999999</v>
      </c>
      <c r="M51" s="58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2" t="s">
        <v>332</v>
      </c>
      <c r="B52" s="32" t="s">
        <v>69</v>
      </c>
      <c r="C52" s="10" t="s">
        <v>910</v>
      </c>
      <c r="D52" s="32" t="s">
        <v>911</v>
      </c>
      <c r="E52" s="32">
        <v>50</v>
      </c>
      <c r="F52" s="32">
        <v>0</v>
      </c>
      <c r="G52" s="69">
        <f t="shared" si="43"/>
        <v>0</v>
      </c>
      <c r="H52" s="74">
        <v>1</v>
      </c>
      <c r="I52" s="69">
        <f t="shared" si="38"/>
        <v>45</v>
      </c>
      <c r="J52" s="78">
        <f t="shared" si="44"/>
        <v>0</v>
      </c>
      <c r="K52" s="61">
        <f t="shared" si="41"/>
        <v>5</v>
      </c>
      <c r="L52" s="61">
        <f t="shared" si="42"/>
        <v>0</v>
      </c>
      <c r="M52" s="58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2" t="s">
        <v>332</v>
      </c>
      <c r="B53" s="32" t="s">
        <v>69</v>
      </c>
      <c r="C53" s="10" t="s">
        <v>912</v>
      </c>
      <c r="D53" s="32" t="s">
        <v>913</v>
      </c>
      <c r="E53" s="69">
        <v>-528</v>
      </c>
      <c r="F53" s="69">
        <v>26.4</v>
      </c>
      <c r="G53" s="69">
        <f t="shared" si="43"/>
        <v>19.799999999999997</v>
      </c>
      <c r="H53" s="74">
        <v>1</v>
      </c>
      <c r="I53" s="69">
        <f t="shared" si="38"/>
        <v>-457.38</v>
      </c>
      <c r="J53" s="78">
        <f t="shared" si="44"/>
        <v>1.32</v>
      </c>
      <c r="K53" s="61">
        <f t="shared" si="41"/>
        <v>-52.800000000000004</v>
      </c>
      <c r="L53" s="61">
        <f t="shared" si="42"/>
        <v>3.3</v>
      </c>
      <c r="M53" s="58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2" t="s">
        <v>332</v>
      </c>
      <c r="B54" s="32" t="s">
        <v>69</v>
      </c>
      <c r="C54" s="2" t="s">
        <v>888</v>
      </c>
      <c r="D54" s="32" t="s">
        <v>889</v>
      </c>
      <c r="E54" s="69">
        <v>-50</v>
      </c>
      <c r="F54" s="69">
        <v>0</v>
      </c>
      <c r="G54" s="69">
        <f t="shared" si="43"/>
        <v>0</v>
      </c>
      <c r="H54" s="74">
        <v>1</v>
      </c>
      <c r="I54" s="69">
        <f t="shared" si="38"/>
        <v>-45</v>
      </c>
      <c r="J54" s="78">
        <f t="shared" si="44"/>
        <v>0</v>
      </c>
      <c r="K54" s="61">
        <f t="shared" si="41"/>
        <v>-5</v>
      </c>
      <c r="L54" s="61">
        <f t="shared" si="42"/>
        <v>0</v>
      </c>
      <c r="M54" s="58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2" t="s">
        <v>332</v>
      </c>
      <c r="B55" s="29" t="s">
        <v>35</v>
      </c>
      <c r="C55" s="10" t="s">
        <v>908</v>
      </c>
      <c r="D55" s="10" t="s">
        <v>909</v>
      </c>
      <c r="E55" s="32">
        <v>-300</v>
      </c>
      <c r="F55" s="32">
        <v>15</v>
      </c>
      <c r="G55" s="69">
        <f t="shared" ref="G55:G59" si="45">F55*0.82</f>
        <v>12.299999999999999</v>
      </c>
      <c r="H55" s="75">
        <v>0.27323999999999998</v>
      </c>
      <c r="I55" s="69">
        <f t="shared" si="38"/>
        <v>-70.75003319999999</v>
      </c>
      <c r="J55" s="78">
        <f t="shared" si="44"/>
        <v>0.20493</v>
      </c>
      <c r="K55" s="61">
        <f t="shared" si="41"/>
        <v>-8.1971999999999987</v>
      </c>
      <c r="L55" s="61">
        <f t="shared" ref="L55:L59" si="46">(F55*0.01+G55*0.1)*H55</f>
        <v>0.37707119999999994</v>
      </c>
      <c r="M55" s="58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2" t="s">
        <v>332</v>
      </c>
      <c r="B56" s="29" t="s">
        <v>35</v>
      </c>
      <c r="C56" s="2" t="s">
        <v>910</v>
      </c>
      <c r="D56" s="32" t="s">
        <v>911</v>
      </c>
      <c r="E56" s="69">
        <v>-15562</v>
      </c>
      <c r="F56" s="69">
        <v>1550.2</v>
      </c>
      <c r="G56" s="69">
        <f t="shared" si="45"/>
        <v>1271.164</v>
      </c>
      <c r="H56" s="75">
        <v>0.27323999999999998</v>
      </c>
      <c r="I56" s="69">
        <f t="shared" si="38"/>
        <v>-3514.3452257759996</v>
      </c>
      <c r="J56" s="78">
        <f t="shared" si="44"/>
        <v>21.178832400000001</v>
      </c>
      <c r="K56" s="61">
        <f t="shared" si="41"/>
        <v>-425.21608800000001</v>
      </c>
      <c r="L56" s="61">
        <f t="shared" si="46"/>
        <v>38.969051616000002</v>
      </c>
      <c r="M56" s="58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2" t="s">
        <v>332</v>
      </c>
      <c r="B57" s="29" t="s">
        <v>35</v>
      </c>
      <c r="C57" s="10" t="s">
        <v>906</v>
      </c>
      <c r="D57" s="10" t="s">
        <v>907</v>
      </c>
      <c r="E57" s="32">
        <v>7210.6</v>
      </c>
      <c r="F57" s="32">
        <v>1561.06</v>
      </c>
      <c r="G57" s="69">
        <f t="shared" si="45"/>
        <v>1280.0691999999999</v>
      </c>
      <c r="H57" s="75">
        <v>0.27323999999999998</v>
      </c>
      <c r="I57" s="69">
        <f t="shared" si="38"/>
        <v>2087.9914069872002</v>
      </c>
      <c r="J57" s="78">
        <f t="shared" si="44"/>
        <v>21.327201719999998</v>
      </c>
      <c r="K57" s="61">
        <f t="shared" si="41"/>
        <v>197.02243440000001</v>
      </c>
      <c r="L57" s="61">
        <f t="shared" si="46"/>
        <v>39.242051164800003</v>
      </c>
      <c r="M57" s="58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2" t="s">
        <v>332</v>
      </c>
      <c r="B58" s="29" t="s">
        <v>35</v>
      </c>
      <c r="C58" s="10" t="s">
        <v>912</v>
      </c>
      <c r="D58" s="10" t="s">
        <v>913</v>
      </c>
      <c r="E58" s="32">
        <v>-75268.63</v>
      </c>
      <c r="F58" s="32">
        <v>55458.73</v>
      </c>
      <c r="G58" s="69">
        <f t="shared" si="45"/>
        <v>45476.158600000002</v>
      </c>
      <c r="H58" s="75">
        <v>0.27323999999999998</v>
      </c>
      <c r="I58" s="69">
        <f t="shared" si="38"/>
        <v>-7326.4453968024</v>
      </c>
      <c r="J58" s="78">
        <f t="shared" si="44"/>
        <v>757.67716926000003</v>
      </c>
      <c r="K58" s="61">
        <f t="shared" si="41"/>
        <v>-2056.6400461200001</v>
      </c>
      <c r="L58" s="61">
        <f t="shared" si="46"/>
        <v>1394.1259914384002</v>
      </c>
      <c r="M58" s="58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2" t="s">
        <v>332</v>
      </c>
      <c r="B59" s="29" t="s">
        <v>35</v>
      </c>
      <c r="C59" s="10" t="s">
        <v>888</v>
      </c>
      <c r="D59" s="10" t="s">
        <v>889</v>
      </c>
      <c r="E59" s="32">
        <v>-1460</v>
      </c>
      <c r="F59" s="32">
        <v>120</v>
      </c>
      <c r="G59" s="69">
        <f t="shared" si="45"/>
        <v>98.399999999999991</v>
      </c>
      <c r="H59" s="75">
        <v>0.27323999999999998</v>
      </c>
      <c r="I59" s="69">
        <f t="shared" si="38"/>
        <v>-334.83922559999996</v>
      </c>
      <c r="J59" s="78">
        <f t="shared" si="44"/>
        <v>1.63944</v>
      </c>
      <c r="K59" s="61">
        <f t="shared" si="41"/>
        <v>-39.893039999999999</v>
      </c>
      <c r="L59" s="61">
        <f t="shared" si="46"/>
        <v>3.0165695999999995</v>
      </c>
      <c r="M59" s="58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2" t="s">
        <v>332</v>
      </c>
      <c r="B60" s="2" t="s">
        <v>30</v>
      </c>
      <c r="C60" s="10">
        <v>9880161</v>
      </c>
      <c r="D60" s="2" t="s">
        <v>914</v>
      </c>
      <c r="E60" s="69">
        <v>19828.699999999997</v>
      </c>
      <c r="F60" s="69">
        <v>1120.0999999999999</v>
      </c>
      <c r="G60" s="69">
        <f t="shared" ref="G60:G64" si="47">F60*0.7</f>
        <v>784.06999999999994</v>
      </c>
      <c r="H60" s="70">
        <v>0.203038</v>
      </c>
      <c r="I60" s="69">
        <f t="shared" ref="I60:I61" si="48">(E60+G60)*H60*0.93</f>
        <v>3892.2133035918</v>
      </c>
      <c r="J60" s="79" t="s">
        <v>468</v>
      </c>
      <c r="K60" s="61">
        <f t="shared" ref="K60:K61" si="49">E60*0.07*H60</f>
        <v>281.81857134199998</v>
      </c>
      <c r="L60" s="61">
        <f t="shared" ref="L60:L61" si="50">(F60*0.03+G60*0.07)*H60</f>
        <v>17.966406240199998</v>
      </c>
      <c r="M60" s="58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2" t="s">
        <v>332</v>
      </c>
      <c r="B61" s="2" t="s">
        <v>30</v>
      </c>
      <c r="C61" s="10">
        <v>9880626</v>
      </c>
      <c r="D61" s="10" t="s">
        <v>915</v>
      </c>
      <c r="E61" s="32">
        <v>-1609</v>
      </c>
      <c r="F61" s="32">
        <v>47</v>
      </c>
      <c r="G61" s="69">
        <f t="shared" si="47"/>
        <v>32.9</v>
      </c>
      <c r="H61" s="70">
        <v>0.203038</v>
      </c>
      <c r="I61" s="69">
        <f t="shared" si="48"/>
        <v>-297.60761837399997</v>
      </c>
      <c r="J61" s="79" t="s">
        <v>468</v>
      </c>
      <c r="K61" s="61">
        <f t="shared" si="49"/>
        <v>-22.868169940000001</v>
      </c>
      <c r="L61" s="61">
        <f t="shared" si="50"/>
        <v>0.753880094</v>
      </c>
      <c r="M61" s="58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2" t="s">
        <v>332</v>
      </c>
      <c r="B62" s="32" t="s">
        <v>23</v>
      </c>
      <c r="C62" s="10">
        <v>9880626</v>
      </c>
      <c r="D62" s="10" t="s">
        <v>915</v>
      </c>
      <c r="E62" s="32">
        <v>-204.2</v>
      </c>
      <c r="F62" s="32">
        <v>1190.0999999999999</v>
      </c>
      <c r="G62" s="69">
        <f t="shared" si="47"/>
        <v>833.06999999999994</v>
      </c>
      <c r="H62" s="70">
        <v>0.201207</v>
      </c>
      <c r="I62" s="69">
        <f t="shared" ref="I62:I64" si="51">(E62+G62)*H62*0.9</f>
        <v>113.87974148099998</v>
      </c>
      <c r="J62" s="79" t="s">
        <v>468</v>
      </c>
      <c r="K62" s="61">
        <f t="shared" ref="K62:K64" si="52">E62*0.1*H62</f>
        <v>-4.1086469399999999</v>
      </c>
      <c r="L62" s="61">
        <f t="shared" ref="L62:L64" si="53">G62*0.1*H62</f>
        <v>16.761951548999999</v>
      </c>
      <c r="M62" s="58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2" t="s">
        <v>332</v>
      </c>
      <c r="B63" s="32" t="s">
        <v>23</v>
      </c>
      <c r="C63" s="10">
        <v>9677947</v>
      </c>
      <c r="D63" s="2" t="s">
        <v>893</v>
      </c>
      <c r="E63" s="32">
        <v>12758.5</v>
      </c>
      <c r="F63" s="32">
        <v>305.5</v>
      </c>
      <c r="G63" s="69">
        <f t="shared" si="47"/>
        <v>213.85</v>
      </c>
      <c r="H63" s="70">
        <v>0.201207</v>
      </c>
      <c r="I63" s="69">
        <f t="shared" si="51"/>
        <v>2349.1148638050004</v>
      </c>
      <c r="J63" s="79" t="s">
        <v>468</v>
      </c>
      <c r="K63" s="61">
        <f t="shared" si="52"/>
        <v>256.70995095000001</v>
      </c>
      <c r="L63" s="61">
        <f t="shared" si="53"/>
        <v>4.3028116949999999</v>
      </c>
      <c r="M63" s="58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2" t="s">
        <v>332</v>
      </c>
      <c r="B64" s="32" t="s">
        <v>23</v>
      </c>
      <c r="C64" s="10">
        <v>9880767</v>
      </c>
      <c r="D64" s="10" t="s">
        <v>916</v>
      </c>
      <c r="E64" s="32">
        <v>5138.8</v>
      </c>
      <c r="F64" s="32">
        <v>50.4</v>
      </c>
      <c r="G64" s="69">
        <f t="shared" si="47"/>
        <v>35.279999999999994</v>
      </c>
      <c r="H64" s="70">
        <v>0.201207</v>
      </c>
      <c r="I64" s="69">
        <f t="shared" si="51"/>
        <v>936.95500310400007</v>
      </c>
      <c r="J64" s="79" t="s">
        <v>468</v>
      </c>
      <c r="K64" s="61">
        <f t="shared" si="52"/>
        <v>103.39625316</v>
      </c>
      <c r="L64" s="61">
        <f t="shared" si="53"/>
        <v>0.70985829599999994</v>
      </c>
      <c r="M64" s="58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2" t="s">
        <v>332</v>
      </c>
      <c r="B65" s="32" t="s">
        <v>140</v>
      </c>
      <c r="C65" s="10">
        <v>9741825</v>
      </c>
      <c r="D65" s="32" t="s">
        <v>904</v>
      </c>
      <c r="E65" s="69">
        <v>41192.69</v>
      </c>
      <c r="F65" s="69">
        <v>4315.1899999999996</v>
      </c>
      <c r="G65" s="69">
        <f>F65*0.65</f>
        <v>2804.8734999999997</v>
      </c>
      <c r="H65" s="70">
        <v>0.65252460000000001</v>
      </c>
      <c r="I65" s="69">
        <f>((E65+G65)*0.9-6826.18)*H65</f>
        <v>21384.292897402895</v>
      </c>
      <c r="J65" s="19" t="s">
        <v>468</v>
      </c>
      <c r="K65" s="61">
        <v>0</v>
      </c>
      <c r="L65" s="61">
        <f>F65*0.05*H65*0.9</f>
        <v>126.70954329033002</v>
      </c>
      <c r="M65" s="58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2" t="s">
        <v>332</v>
      </c>
      <c r="B66" s="32" t="s">
        <v>145</v>
      </c>
      <c r="C66" s="10" t="s">
        <v>908</v>
      </c>
      <c r="D66" s="10" t="s">
        <v>909</v>
      </c>
      <c r="E66" s="32">
        <v>-19902.419999999998</v>
      </c>
      <c r="F66" s="32">
        <v>1411.62</v>
      </c>
      <c r="G66" s="69">
        <f t="shared" ref="G66:G67" si="54">F66*0.7</f>
        <v>988.1339999999999</v>
      </c>
      <c r="H66" s="70">
        <v>1.15741</v>
      </c>
      <c r="I66" s="69">
        <f t="shared" ref="I66:I72" si="55">(E66+G66)*H66*0.9</f>
        <v>-19702.425383334001</v>
      </c>
      <c r="J66" s="19" t="s">
        <v>468</v>
      </c>
      <c r="K66" s="61">
        <f t="shared" ref="K66:K70" si="56">E66*0.1*H66</f>
        <v>-2303.5259932200001</v>
      </c>
      <c r="L66" s="61">
        <f t="shared" ref="L66:L70" si="57">(F66*0.05+G66*0.1)*H66</f>
        <v>196.05877250400002</v>
      </c>
      <c r="M66" s="58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2" t="s">
        <v>332</v>
      </c>
      <c r="B67" s="32" t="s">
        <v>145</v>
      </c>
      <c r="C67" s="10" t="s">
        <v>888</v>
      </c>
      <c r="D67" s="10" t="s">
        <v>889</v>
      </c>
      <c r="E67" s="32">
        <v>169.2</v>
      </c>
      <c r="F67" s="32">
        <v>5.4</v>
      </c>
      <c r="G67" s="69">
        <f t="shared" si="54"/>
        <v>3.78</v>
      </c>
      <c r="H67" s="70">
        <v>1.15741</v>
      </c>
      <c r="I67" s="69">
        <f t="shared" si="55"/>
        <v>180.18790362000001</v>
      </c>
      <c r="J67" s="19" t="s">
        <v>468</v>
      </c>
      <c r="K67" s="61">
        <f t="shared" si="56"/>
        <v>19.583377199999997</v>
      </c>
      <c r="L67" s="61">
        <f t="shared" si="57"/>
        <v>0.75000168</v>
      </c>
      <c r="M67" s="58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2" t="s">
        <v>332</v>
      </c>
      <c r="B68" s="32" t="s">
        <v>61</v>
      </c>
      <c r="C68" s="10" t="s">
        <v>906</v>
      </c>
      <c r="D68" s="10" t="s">
        <v>907</v>
      </c>
      <c r="E68" s="32">
        <v>7001.46</v>
      </c>
      <c r="F68" s="32">
        <v>1514.2</v>
      </c>
      <c r="G68" s="69">
        <f t="shared" ref="G68:G72" si="58">F68*0.6</f>
        <v>908.52</v>
      </c>
      <c r="H68" s="70">
        <v>1.15785</v>
      </c>
      <c r="I68" s="69">
        <f t="shared" si="55"/>
        <v>8242.7133087000002</v>
      </c>
      <c r="J68" s="19" t="s">
        <v>468</v>
      </c>
      <c r="K68" s="61">
        <f t="shared" si="56"/>
        <v>810.66404610000006</v>
      </c>
      <c r="L68" s="61">
        <f t="shared" si="57"/>
        <v>192.85381170000002</v>
      </c>
      <c r="M68" s="58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x14ac:dyDescent="0.3">
      <c r="A69" s="2" t="s">
        <v>332</v>
      </c>
      <c r="B69" s="32" t="s">
        <v>61</v>
      </c>
      <c r="C69" s="10" t="s">
        <v>886</v>
      </c>
      <c r="D69" s="10" t="s">
        <v>887</v>
      </c>
      <c r="E69" s="32">
        <v>245.76</v>
      </c>
      <c r="F69" s="32">
        <v>119.9</v>
      </c>
      <c r="G69" s="69">
        <f t="shared" si="58"/>
        <v>71.94</v>
      </c>
      <c r="H69" s="70">
        <v>1.15785</v>
      </c>
      <c r="I69" s="69">
        <f t="shared" si="55"/>
        <v>331.06405050000001</v>
      </c>
      <c r="J69" s="19" t="s">
        <v>468</v>
      </c>
      <c r="K69" s="61">
        <f t="shared" si="56"/>
        <v>28.455321600000001</v>
      </c>
      <c r="L69" s="61">
        <f t="shared" si="57"/>
        <v>15.27088365</v>
      </c>
      <c r="M69" s="58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x14ac:dyDescent="0.3">
      <c r="A70" s="2" t="s">
        <v>332</v>
      </c>
      <c r="B70" s="32" t="s">
        <v>61</v>
      </c>
      <c r="C70" s="10" t="s">
        <v>912</v>
      </c>
      <c r="D70" s="10" t="s">
        <v>913</v>
      </c>
      <c r="E70" s="32">
        <v>2756.29</v>
      </c>
      <c r="F70" s="32">
        <v>516.70000000000005</v>
      </c>
      <c r="G70" s="69">
        <f t="shared" si="58"/>
        <v>310.02000000000004</v>
      </c>
      <c r="H70" s="70">
        <v>1.15785</v>
      </c>
      <c r="I70" s="69">
        <f t="shared" si="55"/>
        <v>3195.2943301500004</v>
      </c>
      <c r="J70" s="19" t="s">
        <v>468</v>
      </c>
      <c r="K70" s="61">
        <f t="shared" si="56"/>
        <v>319.13703765000002</v>
      </c>
      <c r="L70" s="61">
        <f t="shared" si="57"/>
        <v>65.80872045000001</v>
      </c>
      <c r="M70" s="58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2" t="s">
        <v>332</v>
      </c>
      <c r="B71" s="46" t="s">
        <v>141</v>
      </c>
      <c r="C71" s="2" t="s">
        <v>884</v>
      </c>
      <c r="D71" s="32" t="s">
        <v>885</v>
      </c>
      <c r="E71" s="32">
        <v>-138</v>
      </c>
      <c r="F71" s="32">
        <v>42</v>
      </c>
      <c r="G71" s="69">
        <f t="shared" si="58"/>
        <v>25.2</v>
      </c>
      <c r="H71" s="74">
        <v>1</v>
      </c>
      <c r="I71" s="69">
        <f t="shared" si="55"/>
        <v>-101.52</v>
      </c>
      <c r="J71" s="19" t="s">
        <v>468</v>
      </c>
      <c r="K71" s="61">
        <f t="shared" ref="K71:K73" si="59">E71*0.05*H71</f>
        <v>-6.9</v>
      </c>
      <c r="L71" s="61">
        <f t="shared" ref="L71:L72" si="60">(F71*0.1*0.95+G71*0.05)*H71</f>
        <v>5.25</v>
      </c>
      <c r="M71" s="58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2" t="s">
        <v>332</v>
      </c>
      <c r="B72" s="46" t="s">
        <v>141</v>
      </c>
      <c r="C72" s="10" t="s">
        <v>906</v>
      </c>
      <c r="D72" s="10" t="s">
        <v>907</v>
      </c>
      <c r="E72" s="32">
        <v>525.36</v>
      </c>
      <c r="F72" s="32">
        <v>2117.4</v>
      </c>
      <c r="G72" s="69">
        <f t="shared" si="58"/>
        <v>1270.44</v>
      </c>
      <c r="H72" s="74">
        <v>1</v>
      </c>
      <c r="I72" s="69">
        <f t="shared" si="55"/>
        <v>1616.2200000000003</v>
      </c>
      <c r="J72" s="19" t="s">
        <v>468</v>
      </c>
      <c r="K72" s="61">
        <f t="shared" si="59"/>
        <v>26.268000000000001</v>
      </c>
      <c r="L72" s="61">
        <f t="shared" si="60"/>
        <v>264.67500000000001</v>
      </c>
      <c r="M72" s="58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2" t="s">
        <v>332</v>
      </c>
      <c r="B73" s="32" t="s">
        <v>43</v>
      </c>
      <c r="C73" s="10">
        <v>9741825</v>
      </c>
      <c r="D73" s="32" t="s">
        <v>904</v>
      </c>
      <c r="E73" s="69">
        <v>2761.4</v>
      </c>
      <c r="F73" s="69">
        <v>369.26</v>
      </c>
      <c r="G73" s="69">
        <f>F73*0.55</f>
        <v>203.09300000000002</v>
      </c>
      <c r="H73" s="74">
        <v>0.66124700000000003</v>
      </c>
      <c r="I73" s="69">
        <f t="shared" ref="I73:I74" si="61">(E73+G73)*H73*0.8</f>
        <v>1568.2096822168</v>
      </c>
      <c r="J73" s="19" t="s">
        <v>468</v>
      </c>
      <c r="K73" s="61">
        <f t="shared" si="59"/>
        <v>91.298373290000015</v>
      </c>
      <c r="L73" s="61">
        <f>(F73*0.05*0.85+G73*0.05)*H73</f>
        <v>17.092044705400003</v>
      </c>
      <c r="M73" s="58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2" t="s">
        <v>332</v>
      </c>
      <c r="B74" s="10" t="s">
        <v>31</v>
      </c>
      <c r="C74" s="10">
        <v>2503482</v>
      </c>
      <c r="D74" s="10" t="s">
        <v>917</v>
      </c>
      <c r="E74" s="32">
        <v>-35.28</v>
      </c>
      <c r="F74" s="32">
        <v>1301.6400000000001</v>
      </c>
      <c r="G74" s="32">
        <f>F74*0.7</f>
        <v>911.14800000000002</v>
      </c>
      <c r="H74" s="73">
        <v>0.74532600000000004</v>
      </c>
      <c r="I74" s="69">
        <f t="shared" si="61"/>
        <v>522.24575437440012</v>
      </c>
      <c r="J74" s="79" t="s">
        <v>468</v>
      </c>
      <c r="K74" s="61">
        <f t="shared" ref="K74:K81" si="62">E74*0.1*H74</f>
        <v>-2.6295101280000006</v>
      </c>
      <c r="L74" s="61">
        <f>G74*0.1*H74</f>
        <v>67.910229424800008</v>
      </c>
      <c r="M74" s="58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2" t="s">
        <v>340</v>
      </c>
      <c r="B75" s="10" t="s">
        <v>122</v>
      </c>
      <c r="C75" s="10" t="s">
        <v>906</v>
      </c>
      <c r="D75" s="10" t="s">
        <v>907</v>
      </c>
      <c r="E75" s="32">
        <v>-19494.47</v>
      </c>
      <c r="F75" s="32">
        <v>7584.74</v>
      </c>
      <c r="G75" s="32">
        <f t="shared" ref="G75:G76" si="63">F75*0.72</f>
        <v>5461.0127999999995</v>
      </c>
      <c r="H75" s="75">
        <v>0.27211000000000002</v>
      </c>
      <c r="I75" s="69">
        <f t="shared" ref="I75:I81" si="64">(E75+G75)*H75*0.9</f>
        <v>-3436.7796348228003</v>
      </c>
      <c r="J75" s="78">
        <f t="shared" ref="J75:J81" si="65">F75*0.05*H75</f>
        <v>103.19418007000002</v>
      </c>
      <c r="K75" s="61">
        <f t="shared" si="62"/>
        <v>-530.46402317000002</v>
      </c>
      <c r="L75" s="61">
        <f t="shared" ref="L75:L76" si="66">(F75*0.03+G75*0.1)*H75</f>
        <v>210.51612734279999</v>
      </c>
      <c r="M75" s="58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2" t="s">
        <v>340</v>
      </c>
      <c r="B76" s="10" t="s">
        <v>122</v>
      </c>
      <c r="C76" s="10" t="s">
        <v>886</v>
      </c>
      <c r="D76" s="10" t="s">
        <v>887</v>
      </c>
      <c r="E76" s="32">
        <v>-12974.74</v>
      </c>
      <c r="F76" s="32">
        <v>9028.0499999999993</v>
      </c>
      <c r="G76" s="32">
        <f t="shared" si="63"/>
        <v>6500.195999999999</v>
      </c>
      <c r="H76" s="75">
        <v>0.27211000000000002</v>
      </c>
      <c r="I76" s="69">
        <f t="shared" si="64"/>
        <v>-1585.6093510560004</v>
      </c>
      <c r="J76" s="78">
        <f t="shared" si="65"/>
        <v>122.831134275</v>
      </c>
      <c r="K76" s="61">
        <f t="shared" si="62"/>
        <v>-353.05565014000007</v>
      </c>
      <c r="L76" s="61">
        <f t="shared" si="66"/>
        <v>250.57551392100001</v>
      </c>
      <c r="M76" s="58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2" t="s">
        <v>340</v>
      </c>
      <c r="B77" s="32" t="s">
        <v>69</v>
      </c>
      <c r="C77" s="10" t="s">
        <v>908</v>
      </c>
      <c r="D77" s="10" t="s">
        <v>909</v>
      </c>
      <c r="E77" s="32">
        <v>135</v>
      </c>
      <c r="F77" s="32">
        <v>7.5</v>
      </c>
      <c r="G77" s="69">
        <f t="shared" ref="G77:G79" si="67">F77*0.75</f>
        <v>5.625</v>
      </c>
      <c r="H77" s="74">
        <v>1</v>
      </c>
      <c r="I77" s="69">
        <f t="shared" si="64"/>
        <v>126.5625</v>
      </c>
      <c r="J77" s="78">
        <f t="shared" si="65"/>
        <v>0.375</v>
      </c>
      <c r="K77" s="61">
        <f t="shared" si="62"/>
        <v>13.5</v>
      </c>
      <c r="L77" s="61">
        <f t="shared" ref="L77:L79" si="68">(F77*0.05+G77*0.1)*H77</f>
        <v>0.9375</v>
      </c>
      <c r="M77" s="58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2" t="s">
        <v>340</v>
      </c>
      <c r="B78" s="32" t="s">
        <v>69</v>
      </c>
      <c r="C78" s="10" t="s">
        <v>910</v>
      </c>
      <c r="D78" s="32" t="s">
        <v>911</v>
      </c>
      <c r="E78" s="32">
        <v>-444</v>
      </c>
      <c r="F78" s="32">
        <v>20.95</v>
      </c>
      <c r="G78" s="69">
        <f t="shared" si="67"/>
        <v>15.712499999999999</v>
      </c>
      <c r="H78" s="74">
        <v>1</v>
      </c>
      <c r="I78" s="69">
        <f t="shared" si="64"/>
        <v>-385.45875000000001</v>
      </c>
      <c r="J78" s="78">
        <f t="shared" si="65"/>
        <v>1.0475000000000001</v>
      </c>
      <c r="K78" s="61">
        <f t="shared" si="62"/>
        <v>-44.400000000000006</v>
      </c>
      <c r="L78" s="61">
        <f t="shared" si="68"/>
        <v>2.6187500000000004</v>
      </c>
      <c r="M78" s="58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2" t="s">
        <v>340</v>
      </c>
      <c r="B79" s="32" t="s">
        <v>69</v>
      </c>
      <c r="C79" s="10" t="s">
        <v>906</v>
      </c>
      <c r="D79" s="10" t="s">
        <v>907</v>
      </c>
      <c r="E79" s="32">
        <v>-98</v>
      </c>
      <c r="F79" s="32">
        <v>18</v>
      </c>
      <c r="G79" s="69">
        <f t="shared" si="67"/>
        <v>13.5</v>
      </c>
      <c r="H79" s="74">
        <v>1</v>
      </c>
      <c r="I79" s="69">
        <f t="shared" si="64"/>
        <v>-76.05</v>
      </c>
      <c r="J79" s="78">
        <f t="shared" si="65"/>
        <v>0.9</v>
      </c>
      <c r="K79" s="61">
        <f t="shared" si="62"/>
        <v>-9.8000000000000007</v>
      </c>
      <c r="L79" s="61">
        <f t="shared" si="68"/>
        <v>2.25</v>
      </c>
      <c r="M79" s="58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2" t="s">
        <v>340</v>
      </c>
      <c r="B80" s="29" t="s">
        <v>35</v>
      </c>
      <c r="C80" s="10" t="s">
        <v>910</v>
      </c>
      <c r="D80" s="10" t="s">
        <v>911</v>
      </c>
      <c r="E80" s="32">
        <v>-996</v>
      </c>
      <c r="F80" s="32">
        <v>49.8</v>
      </c>
      <c r="G80" s="69">
        <f t="shared" ref="G80:G81" si="69">F80*0.82</f>
        <v>40.835999999999999</v>
      </c>
      <c r="H80" s="75">
        <v>0.27211000000000002</v>
      </c>
      <c r="I80" s="69">
        <f t="shared" si="64"/>
        <v>-233.91870843600003</v>
      </c>
      <c r="J80" s="78">
        <f t="shared" si="65"/>
        <v>0.67755390000000015</v>
      </c>
      <c r="K80" s="61">
        <f t="shared" si="62"/>
        <v>-27.102156000000004</v>
      </c>
      <c r="L80" s="61">
        <f t="shared" ref="L80:L81" si="70">(F80*0.01+G80*0.1)*H80</f>
        <v>1.2466991760000001</v>
      </c>
      <c r="M80" s="58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2" t="s">
        <v>340</v>
      </c>
      <c r="B81" s="29" t="s">
        <v>35</v>
      </c>
      <c r="C81" s="2" t="s">
        <v>912</v>
      </c>
      <c r="D81" s="32" t="s">
        <v>913</v>
      </c>
      <c r="E81" s="69">
        <v>49842.38</v>
      </c>
      <c r="F81" s="69">
        <v>32634.79</v>
      </c>
      <c r="G81" s="69">
        <f t="shared" si="69"/>
        <v>26760.5278</v>
      </c>
      <c r="H81" s="75">
        <v>0.27211000000000002</v>
      </c>
      <c r="I81" s="69">
        <f t="shared" si="64"/>
        <v>18759.975517312203</v>
      </c>
      <c r="J81" s="78">
        <f t="shared" si="65"/>
        <v>444.01263534500009</v>
      </c>
      <c r="K81" s="61">
        <f t="shared" si="62"/>
        <v>1356.2610021800001</v>
      </c>
      <c r="L81" s="61">
        <f t="shared" si="70"/>
        <v>816.98324903480011</v>
      </c>
      <c r="M81" s="58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2" t="s">
        <v>340</v>
      </c>
      <c r="B82" s="2" t="s">
        <v>30</v>
      </c>
      <c r="C82" s="10">
        <v>9880626</v>
      </c>
      <c r="D82" s="10" t="s">
        <v>918</v>
      </c>
      <c r="E82" s="32">
        <v>-6618.5</v>
      </c>
      <c r="F82" s="32">
        <v>432.5</v>
      </c>
      <c r="G82" s="69">
        <f t="shared" ref="G82:G85" si="71">F82*0.7</f>
        <v>302.75</v>
      </c>
      <c r="H82" s="70">
        <v>0.19996900000000001</v>
      </c>
      <c r="I82" s="69">
        <f t="shared" ref="I82:I83" si="72">(E82+G82)*H82*0.93</f>
        <v>-1174.5474169275001</v>
      </c>
      <c r="J82" s="79" t="s">
        <v>468</v>
      </c>
      <c r="K82" s="61">
        <f t="shared" ref="K82:K83" si="73">E82*0.07*H82</f>
        <v>-92.644637855000013</v>
      </c>
      <c r="L82" s="61">
        <f t="shared" ref="L82:L83" si="74">(F82*0.03+G82*0.07)*H82</f>
        <v>6.8324408075000012</v>
      </c>
      <c r="M82" s="58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2" t="s">
        <v>340</v>
      </c>
      <c r="B83" s="2" t="s">
        <v>30</v>
      </c>
      <c r="C83" s="10">
        <v>9880161</v>
      </c>
      <c r="D83" s="10" t="s">
        <v>919</v>
      </c>
      <c r="E83" s="32">
        <v>-40904.15</v>
      </c>
      <c r="F83" s="32">
        <v>7818.7</v>
      </c>
      <c r="G83" s="69">
        <f t="shared" si="71"/>
        <v>5473.0899999999992</v>
      </c>
      <c r="H83" s="70">
        <v>0.19996900000000001</v>
      </c>
      <c r="I83" s="69">
        <f t="shared" si="72"/>
        <v>-6589.1556825402022</v>
      </c>
      <c r="J83" s="79" t="s">
        <v>468</v>
      </c>
      <c r="K83" s="61">
        <f t="shared" si="73"/>
        <v>-572.56933799450007</v>
      </c>
      <c r="L83" s="61">
        <f t="shared" si="74"/>
        <v>123.51631200369999</v>
      </c>
      <c r="M83" s="58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2" t="s">
        <v>340</v>
      </c>
      <c r="B84" s="32" t="s">
        <v>23</v>
      </c>
      <c r="C84" s="10">
        <v>9880626</v>
      </c>
      <c r="D84" s="10" t="s">
        <v>915</v>
      </c>
      <c r="E84" s="32">
        <v>77489.05</v>
      </c>
      <c r="F84" s="32">
        <v>7966.6</v>
      </c>
      <c r="G84" s="69">
        <f t="shared" si="71"/>
        <v>5576.62</v>
      </c>
      <c r="H84" s="70">
        <v>0.19841300000000001</v>
      </c>
      <c r="I84" s="69">
        <f t="shared" ref="I84:I86" si="75">(E84+G84)*H84*0.9</f>
        <v>14833.177903538999</v>
      </c>
      <c r="J84" s="79" t="s">
        <v>468</v>
      </c>
      <c r="K84" s="61">
        <f t="shared" ref="K84:K85" si="76">E84*0.1*H84</f>
        <v>1537.4834877650001</v>
      </c>
      <c r="L84" s="61">
        <f t="shared" ref="L84:L85" si="77">G84*0.1*H84</f>
        <v>110.64739040600001</v>
      </c>
      <c r="M84" s="58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2" t="s">
        <v>340</v>
      </c>
      <c r="B85" s="32" t="s">
        <v>23</v>
      </c>
      <c r="C85" s="10">
        <v>9880767</v>
      </c>
      <c r="D85" s="10" t="s">
        <v>916</v>
      </c>
      <c r="E85" s="69">
        <v>-18825</v>
      </c>
      <c r="F85" s="69">
        <v>871</v>
      </c>
      <c r="G85" s="69">
        <f t="shared" si="71"/>
        <v>609.69999999999993</v>
      </c>
      <c r="H85" s="70">
        <v>0.19841300000000001</v>
      </c>
      <c r="I85" s="69">
        <f t="shared" si="75"/>
        <v>-3252.7370870099999</v>
      </c>
      <c r="J85" s="79" t="s">
        <v>468</v>
      </c>
      <c r="K85" s="61">
        <f t="shared" si="76"/>
        <v>-373.5124725</v>
      </c>
      <c r="L85" s="61">
        <f t="shared" si="77"/>
        <v>12.09724061</v>
      </c>
      <c r="M85" s="58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2" t="s">
        <v>340</v>
      </c>
      <c r="B86" s="46" t="s">
        <v>141</v>
      </c>
      <c r="C86" s="10" t="s">
        <v>906</v>
      </c>
      <c r="D86" s="10" t="s">
        <v>907</v>
      </c>
      <c r="E86" s="32">
        <v>1090.22</v>
      </c>
      <c r="F86" s="32">
        <v>28.69</v>
      </c>
      <c r="G86" s="69">
        <f>F86*0.6</f>
        <v>17.213999999999999</v>
      </c>
      <c r="H86" s="74">
        <v>1</v>
      </c>
      <c r="I86" s="69">
        <f t="shared" si="75"/>
        <v>996.69060000000002</v>
      </c>
      <c r="J86" s="19" t="s">
        <v>468</v>
      </c>
      <c r="K86" s="61">
        <f>E86*0.05*H86</f>
        <v>54.511000000000003</v>
      </c>
      <c r="L86" s="61">
        <f>(F86*0.1*0.95+G86*0.05)*H86</f>
        <v>3.5862500000000002</v>
      </c>
      <c r="M86" s="58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2" t="s">
        <v>340</v>
      </c>
      <c r="B87" s="32" t="s">
        <v>140</v>
      </c>
      <c r="C87" s="10">
        <v>9741825</v>
      </c>
      <c r="D87" s="10" t="s">
        <v>904</v>
      </c>
      <c r="E87" s="32">
        <v>9096.23</v>
      </c>
      <c r="F87" s="32">
        <v>2748.37</v>
      </c>
      <c r="G87" s="69">
        <f>F87*0.65</f>
        <v>1786.4404999999999</v>
      </c>
      <c r="H87" s="70">
        <v>0.64929599999999998</v>
      </c>
      <c r="I87" s="69">
        <f>((E87+G87)*0.9-692.17)*H87</f>
        <v>5910.0437701512001</v>
      </c>
      <c r="J87" s="19" t="s">
        <v>468</v>
      </c>
      <c r="K87" s="61">
        <v>0</v>
      </c>
      <c r="L87" s="61">
        <f>F87*0.05*H87*0.9</f>
        <v>80.302754138400005</v>
      </c>
      <c r="M87" s="58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2" t="s">
        <v>340</v>
      </c>
      <c r="B88" s="32" t="s">
        <v>43</v>
      </c>
      <c r="C88" s="10">
        <v>9741825</v>
      </c>
      <c r="D88" s="32" t="s">
        <v>904</v>
      </c>
      <c r="E88" s="69">
        <v>441.6</v>
      </c>
      <c r="F88" s="69">
        <v>187.81</v>
      </c>
      <c r="G88" s="69">
        <f>F88*0.55</f>
        <v>103.2955</v>
      </c>
      <c r="H88" s="74">
        <v>0.65083199999999997</v>
      </c>
      <c r="I88" s="69">
        <f>(E88+G88)*H88*0.8</f>
        <v>283.70834244480005</v>
      </c>
      <c r="J88" s="19" t="s">
        <v>468</v>
      </c>
      <c r="K88" s="61">
        <f>E88*0.05*H88</f>
        <v>14.37037056</v>
      </c>
      <c r="L88" s="61">
        <f>(F88*0.05*0.85+G88*0.05)*H88</f>
        <v>8.5562930543999993</v>
      </c>
      <c r="M88" s="58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2" t="s">
        <v>340</v>
      </c>
      <c r="B89" s="46" t="s">
        <v>138</v>
      </c>
      <c r="C89" s="10">
        <v>1086324</v>
      </c>
      <c r="D89" s="32" t="s">
        <v>920</v>
      </c>
      <c r="E89" s="69">
        <v>-6199.9</v>
      </c>
      <c r="F89" s="69">
        <v>2279.35</v>
      </c>
      <c r="G89" s="32">
        <f>F89*0.66</f>
        <v>1504.3710000000001</v>
      </c>
      <c r="H89" s="73">
        <v>0.20152600000000001</v>
      </c>
      <c r="I89" s="69">
        <f>(E89+G89)*H89</f>
        <v>-946.27117725400001</v>
      </c>
      <c r="J89" s="79" t="s">
        <v>468</v>
      </c>
      <c r="K89" s="61">
        <v>0</v>
      </c>
      <c r="L89" s="61">
        <f>F89*0.09*H89</f>
        <v>41.341345928999999</v>
      </c>
      <c r="M89" s="58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2" t="s">
        <v>340</v>
      </c>
      <c r="B90" s="32" t="s">
        <v>145</v>
      </c>
      <c r="C90" s="10" t="s">
        <v>908</v>
      </c>
      <c r="D90" s="10" t="s">
        <v>909</v>
      </c>
      <c r="E90" s="32">
        <v>1769.68</v>
      </c>
      <c r="F90" s="32">
        <v>161.18</v>
      </c>
      <c r="G90" s="69">
        <f t="shared" ref="G90:G91" si="78">F90*0.7</f>
        <v>112.82599999999999</v>
      </c>
      <c r="H90" s="70">
        <v>1.1498299999999999</v>
      </c>
      <c r="I90" s="69">
        <f>(E90+G90)*H90*0.9</f>
        <v>1948.1056865819999</v>
      </c>
      <c r="J90" s="19" t="s">
        <v>468</v>
      </c>
      <c r="K90" s="61">
        <f t="shared" ref="K90:K91" si="79">E90*0.1*H90</f>
        <v>203.48311544000001</v>
      </c>
      <c r="L90" s="61">
        <f>(F90*0.05+G90*0.1)*H90</f>
        <v>22.239551927999997</v>
      </c>
      <c r="M90" s="58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2" t="s">
        <v>340</v>
      </c>
      <c r="B91" s="10" t="s">
        <v>31</v>
      </c>
      <c r="C91" s="10">
        <v>2503482</v>
      </c>
      <c r="D91" s="10" t="s">
        <v>917</v>
      </c>
      <c r="E91" s="32">
        <v>21119.49</v>
      </c>
      <c r="F91" s="32">
        <v>1698.43</v>
      </c>
      <c r="G91" s="32">
        <f t="shared" si="78"/>
        <v>1188.9010000000001</v>
      </c>
      <c r="H91" s="73">
        <v>0.74266500000000002</v>
      </c>
      <c r="I91" s="69">
        <f>(E91+G91)*H91*0.8</f>
        <v>13254.128961612003</v>
      </c>
      <c r="J91" s="79" t="s">
        <v>468</v>
      </c>
      <c r="K91" s="61">
        <f t="shared" si="79"/>
        <v>1568.4706040850001</v>
      </c>
      <c r="L91" s="61">
        <f>G91*0.1*H91</f>
        <v>88.295516116500011</v>
      </c>
      <c r="M91" s="58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32" t="s">
        <v>359</v>
      </c>
      <c r="B92" s="46" t="s">
        <v>138</v>
      </c>
      <c r="C92" s="10">
        <v>1086324</v>
      </c>
      <c r="D92" s="32" t="s">
        <v>920</v>
      </c>
      <c r="E92" s="69">
        <v>63506.45</v>
      </c>
      <c r="F92" s="69">
        <v>23123.200000000001</v>
      </c>
      <c r="G92" s="32">
        <f t="shared" ref="G92:G93" si="80">F92*0.66</f>
        <v>15261.312000000002</v>
      </c>
      <c r="H92" s="73">
        <v>0.20186899999999999</v>
      </c>
      <c r="I92" s="69">
        <f t="shared" ref="I92:I93" si="81">(E92+G92)*H92</f>
        <v>15900.769347178</v>
      </c>
      <c r="J92" s="79" t="s">
        <v>468</v>
      </c>
      <c r="K92" s="61">
        <v>0</v>
      </c>
      <c r="L92" s="61">
        <f t="shared" ref="L92:L93" si="82">F92*0.09*H92</f>
        <v>420.10715347200005</v>
      </c>
      <c r="M92" s="58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32" t="s">
        <v>359</v>
      </c>
      <c r="B93" s="46" t="s">
        <v>138</v>
      </c>
      <c r="C93" s="10">
        <v>1086327</v>
      </c>
      <c r="D93" s="10" t="s">
        <v>921</v>
      </c>
      <c r="E93" s="32">
        <v>-80773.95</v>
      </c>
      <c r="F93" s="32">
        <v>22124.35</v>
      </c>
      <c r="G93" s="32">
        <f t="shared" si="80"/>
        <v>14602.071</v>
      </c>
      <c r="H93" s="73">
        <v>0.20186899999999999</v>
      </c>
      <c r="I93" s="69">
        <f t="shared" si="81"/>
        <v>-13358.051041851</v>
      </c>
      <c r="J93" s="79" t="s">
        <v>468</v>
      </c>
      <c r="K93" s="61">
        <v>0</v>
      </c>
      <c r="L93" s="61">
        <f t="shared" si="82"/>
        <v>401.95983691349994</v>
      </c>
      <c r="M93" s="58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32" t="s">
        <v>359</v>
      </c>
      <c r="B94" s="32" t="s">
        <v>146</v>
      </c>
      <c r="C94" s="10" t="s">
        <v>908</v>
      </c>
      <c r="D94" s="10" t="s">
        <v>909</v>
      </c>
      <c r="E94" s="69">
        <v>10902.84</v>
      </c>
      <c r="F94" s="69">
        <v>1774.63</v>
      </c>
      <c r="G94" s="69">
        <f>F94*0.7</f>
        <v>1242.241</v>
      </c>
      <c r="H94" s="74">
        <v>1</v>
      </c>
      <c r="I94" s="69">
        <f t="shared" ref="I94:I96" si="83">(E94+G94)*H94*0.9</f>
        <v>10930.572900000001</v>
      </c>
      <c r="J94" s="19" t="s">
        <v>468</v>
      </c>
      <c r="K94" s="61">
        <f>E94*0.1*H94</f>
        <v>1090.2840000000001</v>
      </c>
      <c r="L94" s="61">
        <f>(F94*0.05+G94*0.1)*H94</f>
        <v>212.9556</v>
      </c>
      <c r="M94" s="58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32" t="s">
        <v>359</v>
      </c>
      <c r="B95" s="46" t="s">
        <v>141</v>
      </c>
      <c r="C95" s="10" t="s">
        <v>906</v>
      </c>
      <c r="D95" s="10" t="s">
        <v>907</v>
      </c>
      <c r="E95" s="32">
        <v>-6918.14</v>
      </c>
      <c r="F95" s="32">
        <v>684.33</v>
      </c>
      <c r="G95" s="69">
        <f t="shared" ref="G95:G96" si="84">F95*0.6</f>
        <v>410.59800000000001</v>
      </c>
      <c r="H95" s="74">
        <v>1</v>
      </c>
      <c r="I95" s="69">
        <f t="shared" si="83"/>
        <v>-5856.7878000000001</v>
      </c>
      <c r="J95" s="19" t="s">
        <v>468</v>
      </c>
      <c r="K95" s="61">
        <f t="shared" ref="K95:K96" si="85">E95*0.05*H95</f>
        <v>-345.90700000000004</v>
      </c>
      <c r="L95" s="61">
        <f t="shared" ref="L95:L96" si="86">(F95*0.05*0.95+G95*0.05)*H95</f>
        <v>53.035575000000009</v>
      </c>
      <c r="M95" s="58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32" t="s">
        <v>359</v>
      </c>
      <c r="B96" s="46" t="s">
        <v>141</v>
      </c>
      <c r="C96" s="10" t="s">
        <v>912</v>
      </c>
      <c r="D96" s="10" t="s">
        <v>913</v>
      </c>
      <c r="E96" s="32">
        <v>5134.4799999999996</v>
      </c>
      <c r="F96" s="32">
        <v>593.22</v>
      </c>
      <c r="G96" s="69">
        <f t="shared" si="84"/>
        <v>355.93200000000002</v>
      </c>
      <c r="H96" s="74">
        <v>1</v>
      </c>
      <c r="I96" s="69">
        <f t="shared" si="83"/>
        <v>4941.3707999999997</v>
      </c>
      <c r="J96" s="19" t="s">
        <v>468</v>
      </c>
      <c r="K96" s="61">
        <f t="shared" si="85"/>
        <v>256.72399999999999</v>
      </c>
      <c r="L96" s="61">
        <f t="shared" si="86"/>
        <v>45.974550000000001</v>
      </c>
      <c r="M96" s="58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32" t="s">
        <v>359</v>
      </c>
      <c r="B97" s="2" t="s">
        <v>30</v>
      </c>
      <c r="C97" s="10">
        <v>9880161</v>
      </c>
      <c r="D97" s="2" t="s">
        <v>914</v>
      </c>
      <c r="E97" s="69">
        <v>14291.3</v>
      </c>
      <c r="F97" s="69">
        <v>7863.4</v>
      </c>
      <c r="G97" s="69">
        <f t="shared" ref="G97:G98" si="87">F97*0.7</f>
        <v>5504.3799999999992</v>
      </c>
      <c r="H97" s="70">
        <v>0.20187357</v>
      </c>
      <c r="I97" s="69">
        <f t="shared" ref="I97:I98" si="88">(E97+G97)*H97*0.93</f>
        <v>3716.4888707251685</v>
      </c>
      <c r="J97" s="79" t="s">
        <v>468</v>
      </c>
      <c r="K97" s="61">
        <f t="shared" ref="K97:K98" si="89">E97*0.07*H97</f>
        <v>201.95250256587002</v>
      </c>
      <c r="L97" s="61">
        <f t="shared" ref="L97:L98" si="90">(F97*0.03+G97*0.07)*H97</f>
        <v>125.40559779670198</v>
      </c>
      <c r="M97" s="58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32" t="s">
        <v>359</v>
      </c>
      <c r="B98" s="2" t="s">
        <v>30</v>
      </c>
      <c r="C98" s="10">
        <v>9880626</v>
      </c>
      <c r="D98" s="10" t="s">
        <v>915</v>
      </c>
      <c r="E98" s="32">
        <v>-35057.599999999999</v>
      </c>
      <c r="F98" s="32">
        <v>1291.5</v>
      </c>
      <c r="G98" s="69">
        <f t="shared" si="87"/>
        <v>904.05</v>
      </c>
      <c r="H98" s="70">
        <v>0.20187357</v>
      </c>
      <c r="I98" s="69">
        <f t="shared" si="88"/>
        <v>-6412.0701320063545</v>
      </c>
      <c r="J98" s="79" t="s">
        <v>468</v>
      </c>
      <c r="K98" s="61">
        <f t="shared" si="89"/>
        <v>-495.40420073424002</v>
      </c>
      <c r="L98" s="61">
        <f t="shared" si="90"/>
        <v>20.596857536745002</v>
      </c>
      <c r="M98" s="58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32" t="s">
        <v>359</v>
      </c>
      <c r="B99" s="32" t="s">
        <v>61</v>
      </c>
      <c r="C99" s="10" t="s">
        <v>906</v>
      </c>
      <c r="D99" s="10" t="s">
        <v>907</v>
      </c>
      <c r="E99" s="32">
        <v>-15632.38</v>
      </c>
      <c r="F99" s="32">
        <v>880.22</v>
      </c>
      <c r="G99" s="69">
        <f>F99*0.6</f>
        <v>528.13199999999995</v>
      </c>
      <c r="H99" s="70">
        <v>1.14192</v>
      </c>
      <c r="I99" s="69">
        <f t="shared" ref="I99:I107" si="91">(E99+G99)*H99*0.9</f>
        <v>-15523.058588544001</v>
      </c>
      <c r="J99" s="19" t="s">
        <v>468</v>
      </c>
      <c r="K99" s="61">
        <f t="shared" ref="K99:K107" si="92">E99*0.1*H99</f>
        <v>-1785.0927369600001</v>
      </c>
      <c r="L99" s="61">
        <f t="shared" ref="L99:L100" si="93">(F99*0.05+G99*0.1)*H99</f>
        <v>110.56549046399999</v>
      </c>
      <c r="M99" s="58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32" t="s">
        <v>359</v>
      </c>
      <c r="B100" s="32" t="s">
        <v>69</v>
      </c>
      <c r="C100" s="10" t="s">
        <v>908</v>
      </c>
      <c r="D100" s="10" t="s">
        <v>909</v>
      </c>
      <c r="E100" s="32">
        <v>-240</v>
      </c>
      <c r="F100" s="32">
        <v>12</v>
      </c>
      <c r="G100" s="69">
        <f>F100*0.75</f>
        <v>9</v>
      </c>
      <c r="H100" s="74">
        <v>1</v>
      </c>
      <c r="I100" s="69">
        <f t="shared" si="91"/>
        <v>-207.9</v>
      </c>
      <c r="J100" s="78">
        <f t="shared" ref="J100:J105" si="94">F100*0.05*H100</f>
        <v>0.60000000000000009</v>
      </c>
      <c r="K100" s="61">
        <f t="shared" si="92"/>
        <v>-24</v>
      </c>
      <c r="L100" s="61">
        <f t="shared" si="93"/>
        <v>1.5</v>
      </c>
      <c r="M100" s="58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32" t="s">
        <v>359</v>
      </c>
      <c r="B101" s="10" t="s">
        <v>122</v>
      </c>
      <c r="C101" s="10" t="s">
        <v>906</v>
      </c>
      <c r="D101" s="10" t="s">
        <v>907</v>
      </c>
      <c r="E101" s="32">
        <v>-26391.49</v>
      </c>
      <c r="F101" s="32">
        <v>5276.87</v>
      </c>
      <c r="G101" s="32">
        <f t="shared" ref="G101:G102" si="95">F101*0.72</f>
        <v>3799.3463999999999</v>
      </c>
      <c r="H101" s="75">
        <v>0.27339000000000002</v>
      </c>
      <c r="I101" s="69">
        <f t="shared" si="91"/>
        <v>-5558.8195249236014</v>
      </c>
      <c r="J101" s="78">
        <f t="shared" si="94"/>
        <v>72.132174465000006</v>
      </c>
      <c r="K101" s="61">
        <f t="shared" si="92"/>
        <v>-721.51694511000017</v>
      </c>
      <c r="L101" s="61">
        <f t="shared" ref="L101:L102" si="96">(F101*0.03+G101*0.1)*H101</f>
        <v>147.1496359086</v>
      </c>
      <c r="M101" s="58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32" t="s">
        <v>359</v>
      </c>
      <c r="B102" s="10" t="s">
        <v>122</v>
      </c>
      <c r="C102" s="10" t="s">
        <v>886</v>
      </c>
      <c r="D102" s="10" t="s">
        <v>887</v>
      </c>
      <c r="E102" s="32">
        <v>234</v>
      </c>
      <c r="F102" s="32">
        <v>553</v>
      </c>
      <c r="G102" s="32">
        <f t="shared" si="95"/>
        <v>398.15999999999997</v>
      </c>
      <c r="H102" s="75">
        <v>0.27339000000000002</v>
      </c>
      <c r="I102" s="69">
        <f t="shared" si="91"/>
        <v>155.54360016000001</v>
      </c>
      <c r="J102" s="78">
        <f t="shared" si="94"/>
        <v>7.5592335000000013</v>
      </c>
      <c r="K102" s="61">
        <f t="shared" si="92"/>
        <v>6.3973260000000014</v>
      </c>
      <c r="L102" s="61">
        <f t="shared" si="96"/>
        <v>15.420836340000003</v>
      </c>
      <c r="M102" s="58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32" t="s">
        <v>359</v>
      </c>
      <c r="B103" s="29" t="s">
        <v>35</v>
      </c>
      <c r="C103" s="10" t="s">
        <v>910</v>
      </c>
      <c r="D103" s="32" t="s">
        <v>911</v>
      </c>
      <c r="E103" s="32">
        <v>-3108.55</v>
      </c>
      <c r="F103" s="32">
        <v>13777.81</v>
      </c>
      <c r="G103" s="69">
        <f t="shared" ref="G103:G105" si="97">F103*0.82</f>
        <v>11297.804199999999</v>
      </c>
      <c r="H103" s="75">
        <v>0.27339000000000002</v>
      </c>
      <c r="I103" s="69">
        <f t="shared" si="91"/>
        <v>2014.9741851642</v>
      </c>
      <c r="J103" s="78">
        <f t="shared" si="94"/>
        <v>188.33577379499999</v>
      </c>
      <c r="K103" s="61">
        <f t="shared" si="92"/>
        <v>-84.984648450000009</v>
      </c>
      <c r="L103" s="61">
        <f t="shared" ref="L103:L105" si="98">(F103*0.01+G103*0.1)*H103</f>
        <v>346.53782378279999</v>
      </c>
      <c r="M103" s="58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32" t="s">
        <v>359</v>
      </c>
      <c r="B104" s="29" t="s">
        <v>35</v>
      </c>
      <c r="C104" s="10" t="s">
        <v>906</v>
      </c>
      <c r="D104" s="10" t="s">
        <v>907</v>
      </c>
      <c r="E104" s="32">
        <v>-921.2</v>
      </c>
      <c r="F104" s="32">
        <v>6870.48</v>
      </c>
      <c r="G104" s="69">
        <f t="shared" si="97"/>
        <v>5633.7935999999991</v>
      </c>
      <c r="H104" s="75">
        <v>0.27339000000000002</v>
      </c>
      <c r="I104" s="69">
        <f t="shared" si="91"/>
        <v>1159.5383678735998</v>
      </c>
      <c r="J104" s="78">
        <f t="shared" si="94"/>
        <v>93.916026360000004</v>
      </c>
      <c r="K104" s="61">
        <f t="shared" si="92"/>
        <v>-25.184686800000001</v>
      </c>
      <c r="L104" s="61">
        <f t="shared" si="98"/>
        <v>172.80548850239998</v>
      </c>
      <c r="M104" s="58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32" t="s">
        <v>359</v>
      </c>
      <c r="B105" s="29" t="s">
        <v>35</v>
      </c>
      <c r="C105" s="10" t="s">
        <v>912</v>
      </c>
      <c r="D105" s="10" t="s">
        <v>913</v>
      </c>
      <c r="E105" s="32">
        <v>52253.85</v>
      </c>
      <c r="F105" s="32">
        <v>9929.59</v>
      </c>
      <c r="G105" s="69">
        <f t="shared" si="97"/>
        <v>8142.2637999999997</v>
      </c>
      <c r="H105" s="75">
        <v>0.27339000000000002</v>
      </c>
      <c r="I105" s="69">
        <f t="shared" si="91"/>
        <v>14860.524196603803</v>
      </c>
      <c r="J105" s="78">
        <f t="shared" si="94"/>
        <v>135.73253050500003</v>
      </c>
      <c r="K105" s="61">
        <f t="shared" si="92"/>
        <v>1428.5680051500001</v>
      </c>
      <c r="L105" s="61">
        <f t="shared" si="98"/>
        <v>249.74785612920002</v>
      </c>
      <c r="M105" s="58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32" t="s">
        <v>359</v>
      </c>
      <c r="B106" s="32" t="s">
        <v>23</v>
      </c>
      <c r="C106" s="10">
        <v>9880626</v>
      </c>
      <c r="D106" s="10" t="s">
        <v>915</v>
      </c>
      <c r="E106" s="32">
        <v>22110.45</v>
      </c>
      <c r="F106" s="32">
        <v>6184.75</v>
      </c>
      <c r="G106" s="69">
        <f t="shared" ref="G106:G107" si="99">F106*0.7</f>
        <v>4329.3249999999998</v>
      </c>
      <c r="H106" s="70">
        <v>0.20366600000000001</v>
      </c>
      <c r="I106" s="69">
        <f t="shared" si="91"/>
        <v>4846.3948936350007</v>
      </c>
      <c r="J106" s="79" t="s">
        <v>468</v>
      </c>
      <c r="K106" s="61">
        <f t="shared" si="92"/>
        <v>450.31469097000007</v>
      </c>
      <c r="L106" s="61">
        <f t="shared" ref="L106:L107" si="100">G106*0.1*H106</f>
        <v>88.173630545000009</v>
      </c>
      <c r="M106" s="58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32" t="s">
        <v>359</v>
      </c>
      <c r="B107" s="32" t="s">
        <v>23</v>
      </c>
      <c r="C107" s="10">
        <v>9880767</v>
      </c>
      <c r="D107" s="10" t="s">
        <v>916</v>
      </c>
      <c r="E107" s="32">
        <v>-119294.7</v>
      </c>
      <c r="F107" s="32">
        <v>3146.7</v>
      </c>
      <c r="G107" s="69">
        <f t="shared" si="99"/>
        <v>2202.6899999999996</v>
      </c>
      <c r="H107" s="70">
        <v>0.20366600000000001</v>
      </c>
      <c r="I107" s="69">
        <f t="shared" si="91"/>
        <v>-21462.895177794002</v>
      </c>
      <c r="J107" s="79" t="s">
        <v>468</v>
      </c>
      <c r="K107" s="61">
        <f t="shared" si="92"/>
        <v>-2429.6274370200003</v>
      </c>
      <c r="L107" s="61">
        <f t="shared" si="100"/>
        <v>44.861306153999998</v>
      </c>
      <c r="M107" s="58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32" t="s">
        <v>359</v>
      </c>
      <c r="B108" s="32" t="s">
        <v>140</v>
      </c>
      <c r="C108" s="10">
        <v>9741825</v>
      </c>
      <c r="D108" s="10" t="s">
        <v>904</v>
      </c>
      <c r="E108" s="32">
        <v>6420.26</v>
      </c>
      <c r="F108" s="32">
        <v>2252.4699999999998</v>
      </c>
      <c r="G108" s="69">
        <f>F108*0.65</f>
        <v>1464.1054999999999</v>
      </c>
      <c r="H108" s="70">
        <v>0.65252460000000001</v>
      </c>
      <c r="I108" s="69">
        <f>((E108+G108)*0.9-208.08)*H108</f>
        <v>4494.4908809591707</v>
      </c>
      <c r="J108" s="19" t="s">
        <v>468</v>
      </c>
      <c r="K108" s="61">
        <v>0</v>
      </c>
      <c r="L108" s="61">
        <f>F108*0.05*H108*0.9</f>
        <v>66.140643859289995</v>
      </c>
      <c r="M108" s="58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32" t="s">
        <v>359</v>
      </c>
      <c r="B109" s="2" t="s">
        <v>148</v>
      </c>
      <c r="C109" s="10">
        <v>9747484</v>
      </c>
      <c r="D109" s="32" t="s">
        <v>898</v>
      </c>
      <c r="E109" s="69">
        <v>1882.5</v>
      </c>
      <c r="F109" s="69">
        <v>22.5</v>
      </c>
      <c r="G109" s="69">
        <f t="shared" ref="G109:G112" si="101">F109*0.7</f>
        <v>15.749999999999998</v>
      </c>
      <c r="H109" s="70">
        <v>0.20202000000000001</v>
      </c>
      <c r="I109" s="69">
        <f>(E109+G109)*H109*0.85</f>
        <v>325.96179524999997</v>
      </c>
      <c r="J109" s="19" t="s">
        <v>468</v>
      </c>
      <c r="K109" s="61">
        <f t="shared" ref="K109:K111" si="102">E109*0.1*H109</f>
        <v>38.030265</v>
      </c>
      <c r="L109" s="61">
        <f>(F109*0.05*0.95+G109*0.1)*H109</f>
        <v>0.53409037500000001</v>
      </c>
      <c r="M109" s="58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 t="s">
        <v>359</v>
      </c>
      <c r="B110" s="32" t="s">
        <v>145</v>
      </c>
      <c r="C110" s="10" t="s">
        <v>908</v>
      </c>
      <c r="D110" s="10" t="s">
        <v>909</v>
      </c>
      <c r="E110" s="32">
        <v>-5691.42</v>
      </c>
      <c r="F110" s="32">
        <v>237.59</v>
      </c>
      <c r="G110" s="69">
        <f t="shared" si="101"/>
        <v>166.31299999999999</v>
      </c>
      <c r="H110" s="70">
        <v>1.1409800000000001</v>
      </c>
      <c r="I110" s="69">
        <f t="shared" ref="I110:I111" si="103">(E110+G110)*H110*0.9</f>
        <v>-5673.6329263740008</v>
      </c>
      <c r="J110" s="19" t="s">
        <v>468</v>
      </c>
      <c r="K110" s="61">
        <f t="shared" si="102"/>
        <v>-649.37963916000012</v>
      </c>
      <c r="L110" s="61">
        <f t="shared" ref="L110:L111" si="104">(F110*0.05+G110*0.1)*H110</f>
        <v>32.530252584000003</v>
      </c>
      <c r="M110" s="58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 t="s">
        <v>359</v>
      </c>
      <c r="B111" s="32" t="s">
        <v>145</v>
      </c>
      <c r="C111" s="10" t="s">
        <v>910</v>
      </c>
      <c r="D111" s="32" t="s">
        <v>911</v>
      </c>
      <c r="E111" s="32">
        <v>-129.18</v>
      </c>
      <c r="F111" s="32">
        <v>3.87</v>
      </c>
      <c r="G111" s="69">
        <f t="shared" si="101"/>
        <v>2.7090000000000001</v>
      </c>
      <c r="H111" s="70">
        <v>1.1409800000000001</v>
      </c>
      <c r="I111" s="69">
        <f t="shared" si="103"/>
        <v>-129.87079342200002</v>
      </c>
      <c r="J111" s="19" t="s">
        <v>468</v>
      </c>
      <c r="K111" s="61">
        <f t="shared" si="102"/>
        <v>-14.739179640000003</v>
      </c>
      <c r="L111" s="61">
        <f t="shared" si="104"/>
        <v>0.52987111200000014</v>
      </c>
      <c r="M111" s="58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 t="s">
        <v>359</v>
      </c>
      <c r="B112" s="10" t="s">
        <v>151</v>
      </c>
      <c r="C112" s="10">
        <v>9741825</v>
      </c>
      <c r="D112" s="10" t="s">
        <v>904</v>
      </c>
      <c r="E112" s="32">
        <v>1635</v>
      </c>
      <c r="F112" s="32">
        <v>1251.3699999999999</v>
      </c>
      <c r="G112" s="32">
        <f t="shared" si="101"/>
        <v>875.95899999999983</v>
      </c>
      <c r="H112" s="73">
        <v>1</v>
      </c>
      <c r="I112" s="32">
        <f>(E112+G112)*0.85</f>
        <v>2134.3151499999999</v>
      </c>
      <c r="J112" s="19" t="s">
        <v>468</v>
      </c>
      <c r="K112" s="61">
        <f t="shared" ref="K112:K113" si="105">E112*0.05*H112</f>
        <v>81.75</v>
      </c>
      <c r="L112" s="61">
        <f>(F112*0.1*0.9+G112*0.05)*H112</f>
        <v>156.42124999999999</v>
      </c>
      <c r="M112" s="58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 t="s">
        <v>359</v>
      </c>
      <c r="B113" s="32" t="s">
        <v>43</v>
      </c>
      <c r="C113" s="10">
        <v>9741825</v>
      </c>
      <c r="D113" s="10" t="s">
        <v>904</v>
      </c>
      <c r="E113" s="32">
        <v>-24.5</v>
      </c>
      <c r="F113" s="32">
        <v>244.09</v>
      </c>
      <c r="G113" s="69">
        <f>F113*0.55</f>
        <v>134.24950000000001</v>
      </c>
      <c r="H113" s="74">
        <v>0.65199200000000002</v>
      </c>
      <c r="I113" s="69">
        <f t="shared" ref="I113:I114" si="106">(E113+G113)*H113*0.8</f>
        <v>57.244636803200017</v>
      </c>
      <c r="J113" s="19" t="s">
        <v>468</v>
      </c>
      <c r="K113" s="61">
        <f t="shared" si="105"/>
        <v>-0.79869020000000013</v>
      </c>
      <c r="L113" s="61">
        <f>(F113*0.05*0.85+G113*0.05)*H113</f>
        <v>11.140130909600002</v>
      </c>
      <c r="M113" s="58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32" t="s">
        <v>359</v>
      </c>
      <c r="B114" s="10" t="s">
        <v>31</v>
      </c>
      <c r="C114" s="10">
        <v>2503482</v>
      </c>
      <c r="D114" s="10" t="s">
        <v>917</v>
      </c>
      <c r="E114" s="32">
        <v>-5835.32</v>
      </c>
      <c r="F114" s="32">
        <v>3794.16</v>
      </c>
      <c r="G114" s="32">
        <f>F114*0.7</f>
        <v>2655.9119999999998</v>
      </c>
      <c r="H114" s="70">
        <v>0.74240899999999999</v>
      </c>
      <c r="I114" s="69">
        <f t="shared" si="106"/>
        <v>-1888.3368910975998</v>
      </c>
      <c r="J114" s="79" t="s">
        <v>468</v>
      </c>
      <c r="K114" s="61">
        <f t="shared" ref="K114:K118" si="107">E114*0.1*H114</f>
        <v>-433.21940858800002</v>
      </c>
      <c r="L114" s="61">
        <f>G114*0.1*H114</f>
        <v>197.17729720080001</v>
      </c>
      <c r="M114" s="58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 t="s">
        <v>366</v>
      </c>
      <c r="B115" s="10" t="s">
        <v>122</v>
      </c>
      <c r="C115" s="10" t="s">
        <v>906</v>
      </c>
      <c r="D115" s="10" t="s">
        <v>907</v>
      </c>
      <c r="E115" s="32">
        <v>5794.9</v>
      </c>
      <c r="F115" s="32">
        <v>1788.96</v>
      </c>
      <c r="G115" s="32">
        <f>F115*0.72</f>
        <v>1288.0511999999999</v>
      </c>
      <c r="H115" s="75">
        <v>0.2752</v>
      </c>
      <c r="I115" s="69">
        <f t="shared" ref="I115:I118" si="108">(E115+G115)*H115*0.9</f>
        <v>1754.305353216</v>
      </c>
      <c r="J115" s="78">
        <f t="shared" ref="J115:J118" si="109">F115*0.05*H115</f>
        <v>24.616089600000002</v>
      </c>
      <c r="K115" s="61">
        <f t="shared" si="107"/>
        <v>159.47564800000001</v>
      </c>
      <c r="L115" s="61">
        <f>(F115*0.03+G115*0.1)*H115</f>
        <v>50.216822784000001</v>
      </c>
      <c r="M115" s="58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 t="s">
        <v>366</v>
      </c>
      <c r="B116" s="32" t="s">
        <v>69</v>
      </c>
      <c r="C116" s="10" t="s">
        <v>908</v>
      </c>
      <c r="D116" s="10" t="s">
        <v>909</v>
      </c>
      <c r="E116" s="32">
        <v>745.2</v>
      </c>
      <c r="F116" s="32">
        <v>41.4</v>
      </c>
      <c r="G116" s="69">
        <f>F116*0.75</f>
        <v>31.049999999999997</v>
      </c>
      <c r="H116" s="74">
        <v>1</v>
      </c>
      <c r="I116" s="69">
        <f t="shared" si="108"/>
        <v>698.625</v>
      </c>
      <c r="J116" s="78">
        <f t="shared" si="109"/>
        <v>2.0699999999999998</v>
      </c>
      <c r="K116" s="61">
        <f t="shared" si="107"/>
        <v>74.52000000000001</v>
      </c>
      <c r="L116" s="61">
        <f>(F116*0.05+G116*0.1)*H116</f>
        <v>5.1749999999999998</v>
      </c>
      <c r="M116" s="58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 t="s">
        <v>366</v>
      </c>
      <c r="B117" s="29" t="s">
        <v>35</v>
      </c>
      <c r="C117" s="10" t="s">
        <v>910</v>
      </c>
      <c r="D117" s="32" t="s">
        <v>911</v>
      </c>
      <c r="E117" s="32">
        <v>-600</v>
      </c>
      <c r="F117" s="32">
        <v>30</v>
      </c>
      <c r="G117" s="69">
        <f t="shared" ref="G117:G118" si="110">F117*0.82</f>
        <v>24.599999999999998</v>
      </c>
      <c r="H117" s="75">
        <v>0.2752</v>
      </c>
      <c r="I117" s="69">
        <f t="shared" si="108"/>
        <v>-142.515072</v>
      </c>
      <c r="J117" s="78">
        <f t="shared" si="109"/>
        <v>0.4128</v>
      </c>
      <c r="K117" s="61">
        <f t="shared" si="107"/>
        <v>-16.512</v>
      </c>
      <c r="L117" s="61">
        <f t="shared" ref="L117:L118" si="111">(F117*0.01+G117*0.1)*H117</f>
        <v>0.75955199999999989</v>
      </c>
      <c r="M117" s="58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 t="s">
        <v>366</v>
      </c>
      <c r="B118" s="29" t="s">
        <v>35</v>
      </c>
      <c r="C118" s="10" t="s">
        <v>912</v>
      </c>
      <c r="D118" s="10" t="s">
        <v>913</v>
      </c>
      <c r="E118" s="32">
        <v>-7654.39</v>
      </c>
      <c r="F118" s="32">
        <v>4174.7299999999996</v>
      </c>
      <c r="G118" s="69">
        <f t="shared" si="110"/>
        <v>3423.2785999999996</v>
      </c>
      <c r="H118" s="75">
        <v>0.2752</v>
      </c>
      <c r="I118" s="69">
        <f t="shared" si="108"/>
        <v>-1047.9616715520003</v>
      </c>
      <c r="J118" s="78">
        <f t="shared" si="109"/>
        <v>57.444284799999991</v>
      </c>
      <c r="K118" s="61">
        <f t="shared" si="107"/>
        <v>-210.64881280000003</v>
      </c>
      <c r="L118" s="61">
        <f t="shared" si="111"/>
        <v>105.69748403199999</v>
      </c>
      <c r="M118" s="58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 t="s">
        <v>366</v>
      </c>
      <c r="B119" s="46" t="s">
        <v>138</v>
      </c>
      <c r="C119" s="10">
        <v>1086324</v>
      </c>
      <c r="D119" s="32" t="s">
        <v>920</v>
      </c>
      <c r="E119" s="69">
        <v>-695</v>
      </c>
      <c r="F119" s="69">
        <v>70.349999999999994</v>
      </c>
      <c r="G119" s="32">
        <f>F119*0.66</f>
        <v>46.430999999999997</v>
      </c>
      <c r="H119" s="73">
        <v>0.201654</v>
      </c>
      <c r="I119" s="69">
        <f>(E119+G119)*H119</f>
        <v>-130.78653312599999</v>
      </c>
      <c r="J119" s="79" t="s">
        <v>468</v>
      </c>
      <c r="K119" s="61">
        <v>0</v>
      </c>
      <c r="L119" s="61">
        <f>F119*0.09*H119</f>
        <v>1.2767723009999998</v>
      </c>
      <c r="M119" s="58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 t="s">
        <v>366</v>
      </c>
      <c r="B120" s="32" t="s">
        <v>23</v>
      </c>
      <c r="C120" s="10">
        <v>9880626</v>
      </c>
      <c r="D120" s="10" t="s">
        <v>915</v>
      </c>
      <c r="E120" s="32">
        <v>-8754.5</v>
      </c>
      <c r="F120" s="32">
        <v>2030.25</v>
      </c>
      <c r="G120" s="69">
        <f t="shared" ref="G120:G123" si="112">F120*0.7</f>
        <v>1421.175</v>
      </c>
      <c r="H120" s="70">
        <v>0.2</v>
      </c>
      <c r="I120" s="69">
        <f t="shared" ref="I120:I121" si="113">(E120+G120)*H120*0.9</f>
        <v>-1319.9984999999999</v>
      </c>
      <c r="J120" s="79" t="s">
        <v>468</v>
      </c>
      <c r="K120" s="61">
        <f t="shared" ref="K120:K121" si="114">E120*0.1*H120</f>
        <v>-175.09000000000003</v>
      </c>
      <c r="L120" s="61">
        <f t="shared" ref="L120:L121" si="115">G120*0.1*H120</f>
        <v>28.423500000000004</v>
      </c>
      <c r="M120" s="58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 t="s">
        <v>366</v>
      </c>
      <c r="B121" s="32" t="s">
        <v>23</v>
      </c>
      <c r="C121" s="10">
        <v>9880767</v>
      </c>
      <c r="D121" s="10" t="s">
        <v>916</v>
      </c>
      <c r="E121" s="32">
        <v>50598.95</v>
      </c>
      <c r="F121" s="32">
        <v>16802.75</v>
      </c>
      <c r="G121" s="69">
        <f t="shared" si="112"/>
        <v>11761.924999999999</v>
      </c>
      <c r="H121" s="70">
        <v>0.2</v>
      </c>
      <c r="I121" s="69">
        <f t="shared" si="113"/>
        <v>11224.9575</v>
      </c>
      <c r="J121" s="79" t="s">
        <v>468</v>
      </c>
      <c r="K121" s="61">
        <f t="shared" si="114"/>
        <v>1011.9790000000002</v>
      </c>
      <c r="L121" s="61">
        <f t="shared" si="115"/>
        <v>235.23849999999999</v>
      </c>
      <c r="M121" s="58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 t="s">
        <v>366</v>
      </c>
      <c r="B122" s="2" t="s">
        <v>30</v>
      </c>
      <c r="C122" s="10">
        <v>9880161</v>
      </c>
      <c r="D122" s="2" t="s">
        <v>919</v>
      </c>
      <c r="E122" s="69">
        <v>-64971.1</v>
      </c>
      <c r="F122" s="69">
        <v>16070.1</v>
      </c>
      <c r="G122" s="69">
        <f t="shared" si="112"/>
        <v>11249.07</v>
      </c>
      <c r="H122" s="70">
        <v>0.20166645999999999</v>
      </c>
      <c r="I122" s="69">
        <f t="shared" ref="I122:I123" si="116">(E122+G122)*H122*0.93</f>
        <v>-10075.556401125834</v>
      </c>
      <c r="J122" s="79" t="s">
        <v>468</v>
      </c>
      <c r="K122" s="61">
        <f t="shared" ref="K122:K123" si="117">E122*0.07*H122</f>
        <v>-917.17442175142014</v>
      </c>
      <c r="L122" s="61">
        <f t="shared" ref="L122:L123" si="118">(F122*0.03+G122*0.07)*H122</f>
        <v>256.02321412883401</v>
      </c>
      <c r="M122" s="58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 t="s">
        <v>366</v>
      </c>
      <c r="B123" s="2" t="s">
        <v>30</v>
      </c>
      <c r="C123" s="10">
        <v>9880626</v>
      </c>
      <c r="D123" s="10" t="s">
        <v>915</v>
      </c>
      <c r="E123" s="69">
        <v>4062.4</v>
      </c>
      <c r="F123" s="69">
        <v>904.7</v>
      </c>
      <c r="G123" s="69">
        <f t="shared" si="112"/>
        <v>633.29</v>
      </c>
      <c r="H123" s="70">
        <v>0.20166645999999999</v>
      </c>
      <c r="I123" s="69">
        <f t="shared" si="116"/>
        <v>880.67575698838209</v>
      </c>
      <c r="J123" s="79" t="s">
        <v>468</v>
      </c>
      <c r="K123" s="61">
        <f t="shared" si="117"/>
        <v>57.347487897280011</v>
      </c>
      <c r="L123" s="61">
        <f t="shared" si="118"/>
        <v>14.413364062597999</v>
      </c>
      <c r="M123" s="58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 t="s">
        <v>366</v>
      </c>
      <c r="B124" s="32" t="s">
        <v>140</v>
      </c>
      <c r="C124" s="10">
        <v>9741825</v>
      </c>
      <c r="D124" s="10" t="s">
        <v>904</v>
      </c>
      <c r="E124" s="32">
        <v>50646.879999999997</v>
      </c>
      <c r="F124" s="32">
        <v>1862.07</v>
      </c>
      <c r="G124" s="69">
        <f>F124*0.65</f>
        <v>1210.3454999999999</v>
      </c>
      <c r="H124" s="70">
        <v>0.65524225000000003</v>
      </c>
      <c r="I124" s="69">
        <f>((E124+G124)*0.9-7519.94)*H124</f>
        <v>25653.758198374639</v>
      </c>
      <c r="J124" s="19" t="s">
        <v>468</v>
      </c>
      <c r="K124" s="61">
        <v>0</v>
      </c>
      <c r="L124" s="61">
        <f>F124*0.05*H124*0.9</f>
        <v>54.904812140587502</v>
      </c>
      <c r="M124" s="58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32" t="s">
        <v>366</v>
      </c>
      <c r="B125" s="32" t="s">
        <v>61</v>
      </c>
      <c r="C125" s="10" t="s">
        <v>906</v>
      </c>
      <c r="D125" s="10" t="s">
        <v>907</v>
      </c>
      <c r="E125" s="32">
        <v>-6041</v>
      </c>
      <c r="F125" s="32">
        <v>2507.17</v>
      </c>
      <c r="G125" s="69">
        <f t="shared" ref="G125:G126" si="119">F125*0.6</f>
        <v>1504.3019999999999</v>
      </c>
      <c r="H125" s="70">
        <v>1.1331800000000001</v>
      </c>
      <c r="I125" s="69">
        <f t="shared" ref="I125:I129" si="120">(E125+G125)*H125*0.9</f>
        <v>-4626.8058956760005</v>
      </c>
      <c r="J125" s="19" t="s">
        <v>468</v>
      </c>
      <c r="K125" s="61">
        <f t="shared" ref="K125:K127" si="121">E125*0.1*H125</f>
        <v>-684.55403800000011</v>
      </c>
      <c r="L125" s="61">
        <f t="shared" ref="L125:L127" si="122">(F125*0.05+G125*0.1)*H125</f>
        <v>312.51823906600004</v>
      </c>
      <c r="M125" s="58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32" t="s">
        <v>366</v>
      </c>
      <c r="B126" s="32" t="s">
        <v>61</v>
      </c>
      <c r="C126" s="10" t="s">
        <v>912</v>
      </c>
      <c r="D126" s="10" t="s">
        <v>913</v>
      </c>
      <c r="E126" s="32">
        <v>-2072.3000000000002</v>
      </c>
      <c r="F126" s="32">
        <v>673.55</v>
      </c>
      <c r="G126" s="69">
        <f t="shared" si="119"/>
        <v>404.12999999999994</v>
      </c>
      <c r="H126" s="70">
        <v>1.1331800000000001</v>
      </c>
      <c r="I126" s="69">
        <f t="shared" si="120"/>
        <v>-1701.3031925400005</v>
      </c>
      <c r="J126" s="19" t="s">
        <v>468</v>
      </c>
      <c r="K126" s="61">
        <f t="shared" si="121"/>
        <v>-234.82889140000003</v>
      </c>
      <c r="L126" s="61">
        <f t="shared" si="122"/>
        <v>83.957872789999996</v>
      </c>
      <c r="M126" s="58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32" t="s">
        <v>366</v>
      </c>
      <c r="B127" s="32" t="s">
        <v>146</v>
      </c>
      <c r="C127" s="10" t="s">
        <v>908</v>
      </c>
      <c r="D127" s="10" t="s">
        <v>909</v>
      </c>
      <c r="E127" s="69">
        <v>-5046.8599999999997</v>
      </c>
      <c r="F127" s="69">
        <v>1084.3800000000001</v>
      </c>
      <c r="G127" s="69">
        <f>F127*0.7</f>
        <v>759.06600000000003</v>
      </c>
      <c r="H127" s="74">
        <v>1</v>
      </c>
      <c r="I127" s="69">
        <f t="shared" si="120"/>
        <v>-3859.0146</v>
      </c>
      <c r="J127" s="19" t="s">
        <v>468</v>
      </c>
      <c r="K127" s="61">
        <f t="shared" si="121"/>
        <v>-504.68599999999998</v>
      </c>
      <c r="L127" s="61">
        <f t="shared" si="122"/>
        <v>130.12560000000002</v>
      </c>
      <c r="M127" s="58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32" t="s">
        <v>366</v>
      </c>
      <c r="B128" s="46" t="s">
        <v>141</v>
      </c>
      <c r="C128" s="10" t="s">
        <v>906</v>
      </c>
      <c r="D128" s="10" t="s">
        <v>907</v>
      </c>
      <c r="E128" s="32">
        <v>-6603.6</v>
      </c>
      <c r="F128" s="32">
        <v>186.89</v>
      </c>
      <c r="G128" s="69">
        <f>F128*0.6</f>
        <v>112.13399999999999</v>
      </c>
      <c r="H128" s="74">
        <v>1</v>
      </c>
      <c r="I128" s="69">
        <f t="shared" si="120"/>
        <v>-5842.3194000000003</v>
      </c>
      <c r="J128" s="19" t="s">
        <v>468</v>
      </c>
      <c r="K128" s="61">
        <f>E128*0.05*H128</f>
        <v>-330.18000000000006</v>
      </c>
      <c r="L128" s="61">
        <f>(F128*0.05*0.95+G128*0.05)*H128</f>
        <v>14.483974999999999</v>
      </c>
      <c r="M128" s="58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 t="s">
        <v>366</v>
      </c>
      <c r="B129" s="32" t="s">
        <v>117</v>
      </c>
      <c r="C129" s="10" t="s">
        <v>912</v>
      </c>
      <c r="D129" s="10" t="s">
        <v>913</v>
      </c>
      <c r="E129" s="69">
        <v>2425</v>
      </c>
      <c r="F129" s="69">
        <v>37.5</v>
      </c>
      <c r="G129" s="69">
        <f>F129*0.77</f>
        <v>28.875</v>
      </c>
      <c r="H129" s="74">
        <v>1</v>
      </c>
      <c r="I129" s="69">
        <f t="shared" si="120"/>
        <v>2208.4875000000002</v>
      </c>
      <c r="J129" s="19" t="s">
        <v>468</v>
      </c>
      <c r="K129" s="61">
        <f>E129*0.1*H129</f>
        <v>242.5</v>
      </c>
      <c r="L129" s="61">
        <f>(F129*0.08+G129*0.1)*H129</f>
        <v>5.8875000000000002</v>
      </c>
      <c r="M129" s="58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 t="s">
        <v>366</v>
      </c>
      <c r="B130" s="32" t="s">
        <v>43</v>
      </c>
      <c r="C130" s="10">
        <v>9741825</v>
      </c>
      <c r="D130" s="10" t="s">
        <v>904</v>
      </c>
      <c r="E130" s="32">
        <v>-3275.8</v>
      </c>
      <c r="F130" s="32">
        <v>101.8</v>
      </c>
      <c r="G130" s="69">
        <f>F130*0.55</f>
        <v>55.99</v>
      </c>
      <c r="H130" s="74">
        <v>0.65331099999999998</v>
      </c>
      <c r="I130" s="69">
        <f>(E130+G130)*H130*0.8</f>
        <v>-1682.8298327280002</v>
      </c>
      <c r="J130" s="19" t="s">
        <v>468</v>
      </c>
      <c r="K130" s="61">
        <f>E130*0.05*H130</f>
        <v>-107.00580869000001</v>
      </c>
      <c r="L130" s="61">
        <f>(F130*0.05*0.85+G130*0.05)*H130</f>
        <v>4.6554941859999994</v>
      </c>
      <c r="M130" s="58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 t="s">
        <v>366</v>
      </c>
      <c r="B131" s="32" t="s">
        <v>145</v>
      </c>
      <c r="C131" s="10" t="s">
        <v>906</v>
      </c>
      <c r="D131" s="10" t="s">
        <v>907</v>
      </c>
      <c r="E131" s="32">
        <v>-72</v>
      </c>
      <c r="F131" s="32">
        <v>2.16</v>
      </c>
      <c r="G131" s="69">
        <f t="shared" ref="G131:G132" si="123">F131*0.7</f>
        <v>1.512</v>
      </c>
      <c r="H131" s="70">
        <v>1.13307</v>
      </c>
      <c r="I131" s="69">
        <f>(E131+G131)*H131*0.9</f>
        <v>-71.881054344000006</v>
      </c>
      <c r="J131" s="19" t="s">
        <v>468</v>
      </c>
      <c r="K131" s="61">
        <f t="shared" ref="K131:K135" si="124">E131*0.1*H131</f>
        <v>-8.1581039999999998</v>
      </c>
      <c r="L131" s="61">
        <f>(F131*0.05+G131*0.1)*H131</f>
        <v>0.29369174399999998</v>
      </c>
      <c r="M131" s="58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 t="s">
        <v>366</v>
      </c>
      <c r="B132" s="10" t="s">
        <v>31</v>
      </c>
      <c r="C132" s="10">
        <v>2503482</v>
      </c>
      <c r="D132" s="10" t="s">
        <v>917</v>
      </c>
      <c r="E132" s="32">
        <v>-47821.94</v>
      </c>
      <c r="F132" s="32">
        <v>8489.49</v>
      </c>
      <c r="G132" s="32">
        <f t="shared" si="123"/>
        <v>5942.6429999999991</v>
      </c>
      <c r="H132" s="70">
        <v>0.74417500000000003</v>
      </c>
      <c r="I132" s="69">
        <f>(E132+G132)*H132*0.8</f>
        <v>-24932.420675980007</v>
      </c>
      <c r="J132" s="79" t="s">
        <v>468</v>
      </c>
      <c r="K132" s="61">
        <f t="shared" si="124"/>
        <v>-3558.7892199500006</v>
      </c>
      <c r="L132" s="61">
        <f>G132*0.1*H132</f>
        <v>442.23663545249997</v>
      </c>
      <c r="M132" s="58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2" t="s">
        <v>370</v>
      </c>
      <c r="B133" s="32" t="s">
        <v>69</v>
      </c>
      <c r="C133" s="10" t="s">
        <v>908</v>
      </c>
      <c r="D133" s="10" t="s">
        <v>909</v>
      </c>
      <c r="E133" s="32">
        <v>375</v>
      </c>
      <c r="F133" s="32">
        <v>22.5</v>
      </c>
      <c r="G133" s="69">
        <f>F133*0.75</f>
        <v>16.875</v>
      </c>
      <c r="H133" s="74">
        <v>1</v>
      </c>
      <c r="I133" s="69">
        <f t="shared" ref="I133:I135" si="125">(E133+G133)*H133*0.9</f>
        <v>352.6875</v>
      </c>
      <c r="J133" s="78">
        <f t="shared" ref="J133:J135" si="126">F133*0.05*H133</f>
        <v>1.125</v>
      </c>
      <c r="K133" s="61">
        <f t="shared" si="124"/>
        <v>37.5</v>
      </c>
      <c r="L133" s="61">
        <f>(F133*0.05+G133*0.1)*H133</f>
        <v>2.8125</v>
      </c>
      <c r="M133" s="58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2" t="s">
        <v>370</v>
      </c>
      <c r="B134" s="29" t="s">
        <v>35</v>
      </c>
      <c r="C134" s="10" t="s">
        <v>910</v>
      </c>
      <c r="D134" s="32" t="s">
        <v>911</v>
      </c>
      <c r="E134" s="69">
        <v>25084.799999999999</v>
      </c>
      <c r="F134" s="69">
        <v>10458</v>
      </c>
      <c r="G134" s="69">
        <f t="shared" ref="G134:G135" si="127">F134*0.82</f>
        <v>8575.56</v>
      </c>
      <c r="H134" s="75">
        <v>0.27467999999999998</v>
      </c>
      <c r="I134" s="69">
        <f t="shared" si="125"/>
        <v>8321.2449163199999</v>
      </c>
      <c r="J134" s="78">
        <f t="shared" si="126"/>
        <v>143.63017199999999</v>
      </c>
      <c r="K134" s="61">
        <f t="shared" si="124"/>
        <v>689.02928639999993</v>
      </c>
      <c r="L134" s="61">
        <f t="shared" ref="L134:L135" si="128">(F134*0.01+G134*0.1)*H134</f>
        <v>264.27951647999998</v>
      </c>
      <c r="M134" s="58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2" t="s">
        <v>370</v>
      </c>
      <c r="B135" s="29" t="s">
        <v>35</v>
      </c>
      <c r="C135" s="10" t="s">
        <v>912</v>
      </c>
      <c r="D135" s="10" t="s">
        <v>913</v>
      </c>
      <c r="E135" s="69">
        <v>598.80999999999995</v>
      </c>
      <c r="F135" s="69">
        <v>4364.54</v>
      </c>
      <c r="G135" s="69">
        <f t="shared" si="127"/>
        <v>3578.9227999999998</v>
      </c>
      <c r="H135" s="75">
        <v>0.27467999999999998</v>
      </c>
      <c r="I135" s="69">
        <f t="shared" si="125"/>
        <v>1032.7856809535999</v>
      </c>
      <c r="J135" s="78">
        <f t="shared" si="126"/>
        <v>59.942592359999999</v>
      </c>
      <c r="K135" s="61">
        <f t="shared" si="124"/>
        <v>16.448113079999999</v>
      </c>
      <c r="L135" s="61">
        <f t="shared" si="128"/>
        <v>110.2943699424</v>
      </c>
      <c r="M135" s="58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2" t="s">
        <v>370</v>
      </c>
      <c r="B136" s="46" t="s">
        <v>138</v>
      </c>
      <c r="C136" s="10">
        <v>1086324</v>
      </c>
      <c r="D136" s="32" t="s">
        <v>920</v>
      </c>
      <c r="E136" s="69">
        <v>-8638.7999999999993</v>
      </c>
      <c r="F136" s="69">
        <v>12960.35</v>
      </c>
      <c r="G136" s="32">
        <f>F136*0.66</f>
        <v>8553.8310000000001</v>
      </c>
      <c r="H136" s="73">
        <v>0.200846</v>
      </c>
      <c r="I136" s="69">
        <f>(E136+G136)*H136</f>
        <v>-17.065683773999826</v>
      </c>
      <c r="J136" s="79" t="s">
        <v>468</v>
      </c>
      <c r="K136" s="61">
        <v>0</v>
      </c>
      <c r="L136" s="61">
        <f>F136*0.09*H136</f>
        <v>234.27310104899999</v>
      </c>
      <c r="M136" s="58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2" t="s">
        <v>370</v>
      </c>
      <c r="B137" s="32" t="s">
        <v>23</v>
      </c>
      <c r="C137" s="10">
        <v>9880626</v>
      </c>
      <c r="D137" s="10" t="s">
        <v>915</v>
      </c>
      <c r="E137" s="69">
        <v>-17085.95</v>
      </c>
      <c r="F137" s="69">
        <v>2924.35</v>
      </c>
      <c r="G137" s="69">
        <f t="shared" ref="G137:G138" si="129">F137*0.7</f>
        <v>2047.0449999999998</v>
      </c>
      <c r="H137" s="70">
        <v>0.199203187</v>
      </c>
      <c r="I137" s="69">
        <f t="shared" ref="I137:I138" si="130">(E137+G137)*H137*0.9</f>
        <v>-2696.218024491212</v>
      </c>
      <c r="J137" s="79" t="s">
        <v>468</v>
      </c>
      <c r="K137" s="61">
        <f t="shared" ref="K137:K138" si="131">E137*0.1*H137</f>
        <v>-340.35756929226505</v>
      </c>
      <c r="L137" s="61">
        <f t="shared" ref="L137:L138" si="132">G137*0.1*H137</f>
        <v>40.777788793241498</v>
      </c>
      <c r="M137" s="58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2" t="s">
        <v>370</v>
      </c>
      <c r="B138" s="32" t="s">
        <v>23</v>
      </c>
      <c r="C138" s="10">
        <v>9880767</v>
      </c>
      <c r="D138" s="10" t="s">
        <v>916</v>
      </c>
      <c r="E138" s="32">
        <v>-3622.6</v>
      </c>
      <c r="F138" s="32">
        <v>1053.4000000000001</v>
      </c>
      <c r="G138" s="69">
        <f t="shared" si="129"/>
        <v>737.38</v>
      </c>
      <c r="H138" s="70">
        <v>0.199203187</v>
      </c>
      <c r="I138" s="69">
        <f t="shared" si="130"/>
        <v>-517.27051727652599</v>
      </c>
      <c r="J138" s="79" t="s">
        <v>468</v>
      </c>
      <c r="K138" s="61">
        <f t="shared" si="131"/>
        <v>-72.163346522620003</v>
      </c>
      <c r="L138" s="61">
        <f t="shared" si="132"/>
        <v>14.688844603006</v>
      </c>
      <c r="M138" s="58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2" t="s">
        <v>370</v>
      </c>
      <c r="B139" s="32" t="s">
        <v>140</v>
      </c>
      <c r="C139" s="10">
        <v>9741825</v>
      </c>
      <c r="D139" s="10" t="s">
        <v>904</v>
      </c>
      <c r="E139" s="32">
        <v>-38723.56</v>
      </c>
      <c r="F139" s="32">
        <v>13853.26</v>
      </c>
      <c r="G139" s="69">
        <f>F139*0.65</f>
        <v>9004.6190000000006</v>
      </c>
      <c r="H139" s="70">
        <v>0.65461778000000004</v>
      </c>
      <c r="I139" s="69">
        <f>((E139+G139)*0.9+3050.04)*H139</f>
        <v>-15512.482049522683</v>
      </c>
      <c r="J139" s="19" t="s">
        <v>468</v>
      </c>
      <c r="K139" s="61">
        <v>0</v>
      </c>
      <c r="L139" s="61">
        <f>F139*0.05*H139*0.9</f>
        <v>408.08656381332605</v>
      </c>
      <c r="M139" s="58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2" t="s">
        <v>370</v>
      </c>
      <c r="B140" s="2" t="s">
        <v>30</v>
      </c>
      <c r="C140" s="10">
        <v>9880161</v>
      </c>
      <c r="D140" s="2" t="s">
        <v>914</v>
      </c>
      <c r="E140" s="32">
        <v>37790.25</v>
      </c>
      <c r="F140" s="32">
        <v>12644.15</v>
      </c>
      <c r="G140" s="69">
        <f t="shared" ref="G140:G141" si="133">F140*0.7</f>
        <v>8850.9049999999988</v>
      </c>
      <c r="H140" s="70">
        <v>0.20039899999999999</v>
      </c>
      <c r="I140" s="69">
        <f t="shared" ref="I140:I141" si="134">(E140+G140)*H140*0.93</f>
        <v>8692.5619633858514</v>
      </c>
      <c r="J140" s="79" t="s">
        <v>468</v>
      </c>
      <c r="K140" s="61">
        <f t="shared" ref="K140:K141" si="135">E140*0.07*H140</f>
        <v>530.11898168250002</v>
      </c>
      <c r="L140" s="61">
        <f t="shared" ref="L140:L141" si="136">(F140*0.03+G140*0.07)*H140</f>
        <v>200.17612625215</v>
      </c>
      <c r="M140" s="58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2" t="s">
        <v>370</v>
      </c>
      <c r="B141" s="2" t="s">
        <v>30</v>
      </c>
      <c r="C141" s="10">
        <v>9880626</v>
      </c>
      <c r="D141" s="10" t="s">
        <v>918</v>
      </c>
      <c r="E141" s="69">
        <v>12811.2</v>
      </c>
      <c r="F141" s="69">
        <v>1470.7</v>
      </c>
      <c r="G141" s="69">
        <f t="shared" si="133"/>
        <v>1029.49</v>
      </c>
      <c r="H141" s="70">
        <v>0.20039899999999999</v>
      </c>
      <c r="I141" s="69">
        <f t="shared" si="134"/>
        <v>2579.5042048383002</v>
      </c>
      <c r="J141" s="79" t="s">
        <v>468</v>
      </c>
      <c r="K141" s="61">
        <f t="shared" si="135"/>
        <v>179.71461681600002</v>
      </c>
      <c r="L141" s="61">
        <f t="shared" si="136"/>
        <v>23.283417934700001</v>
      </c>
      <c r="M141" s="58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 t="s">
        <v>370</v>
      </c>
      <c r="B142" s="32" t="s">
        <v>43</v>
      </c>
      <c r="C142" s="10">
        <v>9741825</v>
      </c>
      <c r="D142" s="10" t="s">
        <v>904</v>
      </c>
      <c r="E142" s="32">
        <v>-800</v>
      </c>
      <c r="F142" s="32">
        <v>10.87</v>
      </c>
      <c r="G142" s="69">
        <f>F142*0.55</f>
        <v>5.9785000000000004</v>
      </c>
      <c r="H142" s="74">
        <v>0.65331099999999998</v>
      </c>
      <c r="I142" s="69">
        <f>(E142+G142)*H142*0.8</f>
        <v>-414.99438414919996</v>
      </c>
      <c r="J142" s="19" t="s">
        <v>468</v>
      </c>
      <c r="K142" s="61">
        <f>E142*0.05*H142</f>
        <v>-26.132439999999999</v>
      </c>
      <c r="L142" s="61">
        <f>(F142*0.05*0.85+G142*0.05)*H142</f>
        <v>0.49710433989999997</v>
      </c>
      <c r="M142" s="58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 t="s">
        <v>370</v>
      </c>
      <c r="B143" s="32" t="s">
        <v>61</v>
      </c>
      <c r="C143" s="10" t="s">
        <v>906</v>
      </c>
      <c r="D143" s="10" t="s">
        <v>907</v>
      </c>
      <c r="E143" s="32">
        <v>1166.98</v>
      </c>
      <c r="F143" s="32">
        <v>119.39</v>
      </c>
      <c r="G143" s="69">
        <f t="shared" ref="G143:G144" si="137">F143*0.6</f>
        <v>71.634</v>
      </c>
      <c r="H143" s="70">
        <v>1.1366099999999999</v>
      </c>
      <c r="I143" s="69">
        <f t="shared" ref="I143:I144" si="138">(E143+G143)*H143*0.9</f>
        <v>1267.0389526859999</v>
      </c>
      <c r="J143" s="19" t="s">
        <v>468</v>
      </c>
      <c r="K143" s="61">
        <f t="shared" ref="K143:K147" si="139">E143*0.1*H143</f>
        <v>132.64011378000001</v>
      </c>
      <c r="L143" s="61">
        <f t="shared" ref="L143:L144" si="140">(F143*0.05+G143*0.1)*H143</f>
        <v>14.926985468999998</v>
      </c>
      <c r="M143" s="58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 t="s">
        <v>370</v>
      </c>
      <c r="B144" s="32" t="s">
        <v>61</v>
      </c>
      <c r="C144" s="10" t="s">
        <v>912</v>
      </c>
      <c r="D144" s="10" t="s">
        <v>913</v>
      </c>
      <c r="E144" s="32">
        <v>7971</v>
      </c>
      <c r="F144" s="32">
        <v>1857.7</v>
      </c>
      <c r="G144" s="69">
        <f t="shared" si="137"/>
        <v>1114.6199999999999</v>
      </c>
      <c r="H144" s="70">
        <v>1.1366099999999999</v>
      </c>
      <c r="I144" s="69">
        <f t="shared" si="138"/>
        <v>9294.1258933799982</v>
      </c>
      <c r="J144" s="19" t="s">
        <v>468</v>
      </c>
      <c r="K144" s="61">
        <f t="shared" si="139"/>
        <v>905.99183099999993</v>
      </c>
      <c r="L144" s="61">
        <f t="shared" si="140"/>
        <v>232.26284366999997</v>
      </c>
      <c r="M144" s="58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2" t="s">
        <v>370</v>
      </c>
      <c r="B145" s="10" t="s">
        <v>31</v>
      </c>
      <c r="C145" s="10">
        <v>2503482</v>
      </c>
      <c r="D145" s="10" t="s">
        <v>917</v>
      </c>
      <c r="E145" s="32">
        <v>60683.73</v>
      </c>
      <c r="F145" s="32">
        <v>11282.03</v>
      </c>
      <c r="G145" s="32">
        <f t="shared" ref="G145:G147" si="141">F145*0.7</f>
        <v>7897.4210000000003</v>
      </c>
      <c r="H145" s="70">
        <v>0.74369300000000005</v>
      </c>
      <c r="I145" s="69">
        <f>(E145+G145)*H145*0.8</f>
        <v>40802.657544514404</v>
      </c>
      <c r="J145" s="79" t="s">
        <v>468</v>
      </c>
      <c r="K145" s="61">
        <f t="shared" si="139"/>
        <v>4513.006521489001</v>
      </c>
      <c r="L145" s="61">
        <f t="shared" ref="L145:L147" si="142">G145*0.1*H145</f>
        <v>587.32567157530002</v>
      </c>
      <c r="M145" s="58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 t="s">
        <v>372</v>
      </c>
      <c r="B146" s="32" t="s">
        <v>23</v>
      </c>
      <c r="C146" s="10">
        <v>9880626</v>
      </c>
      <c r="D146" s="10" t="s">
        <v>915</v>
      </c>
      <c r="E146" s="32">
        <v>4478.75</v>
      </c>
      <c r="F146" s="32">
        <v>421.45</v>
      </c>
      <c r="G146" s="69">
        <f t="shared" si="141"/>
        <v>295.01499999999999</v>
      </c>
      <c r="H146" s="70">
        <v>0.20366598799999999</v>
      </c>
      <c r="I146" s="69">
        <f t="shared" ref="I146:I147" si="143">(E146+G146)*H146*0.9</f>
        <v>875.02820868433798</v>
      </c>
      <c r="J146" s="79" t="s">
        <v>468</v>
      </c>
      <c r="K146" s="61">
        <f t="shared" si="139"/>
        <v>91.216904375499993</v>
      </c>
      <c r="L146" s="61">
        <f t="shared" si="142"/>
        <v>6.0084521449819999</v>
      </c>
      <c r="M146" s="58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 t="s">
        <v>372</v>
      </c>
      <c r="B147" s="32" t="s">
        <v>23</v>
      </c>
      <c r="C147" s="10">
        <v>9880767</v>
      </c>
      <c r="D147" s="10" t="s">
        <v>916</v>
      </c>
      <c r="E147" s="32">
        <v>1881.8</v>
      </c>
      <c r="F147" s="32">
        <v>19.399999999999999</v>
      </c>
      <c r="G147" s="69">
        <f t="shared" si="141"/>
        <v>13.579999999999998</v>
      </c>
      <c r="H147" s="70">
        <v>0.20366598799999999</v>
      </c>
      <c r="I147" s="69">
        <f t="shared" si="143"/>
        <v>347.421996301896</v>
      </c>
      <c r="J147" s="79" t="s">
        <v>468</v>
      </c>
      <c r="K147" s="61">
        <f t="shared" si="139"/>
        <v>38.325865621840002</v>
      </c>
      <c r="L147" s="61">
        <f t="shared" si="142"/>
        <v>0.27657841170399994</v>
      </c>
      <c r="M147" s="58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 t="s">
        <v>372</v>
      </c>
      <c r="B148" s="32" t="s">
        <v>140</v>
      </c>
      <c r="C148" s="10">
        <v>9741825</v>
      </c>
      <c r="D148" s="10" t="s">
        <v>904</v>
      </c>
      <c r="E148" s="32">
        <v>965.4</v>
      </c>
      <c r="F148" s="32">
        <v>1294.83</v>
      </c>
      <c r="G148" s="69">
        <f>F148*0.65</f>
        <v>841.6395</v>
      </c>
      <c r="H148" s="70">
        <v>0.65454480000000004</v>
      </c>
      <c r="I148" s="69">
        <f>((E148+G148)*0.9-230.02)*H148</f>
        <v>913.95108241164007</v>
      </c>
      <c r="J148" s="19" t="s">
        <v>468</v>
      </c>
      <c r="K148" s="61">
        <v>0</v>
      </c>
      <c r="L148" s="61">
        <f>F148*0.05*H148*0.9</f>
        <v>38.138590952280005</v>
      </c>
      <c r="M148" s="58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 t="s">
        <v>372</v>
      </c>
      <c r="B149" s="32" t="s">
        <v>61</v>
      </c>
      <c r="C149" s="10" t="s">
        <v>906</v>
      </c>
      <c r="D149" s="10" t="s">
        <v>907</v>
      </c>
      <c r="E149" s="32">
        <v>-5026.01</v>
      </c>
      <c r="F149" s="32">
        <v>561.25</v>
      </c>
      <c r="G149" s="69">
        <f t="shared" ref="G149:G150" si="144">F149*0.6</f>
        <v>336.75</v>
      </c>
      <c r="H149" s="70">
        <v>1.1285700000000001</v>
      </c>
      <c r="I149" s="69">
        <f t="shared" ref="I149:I150" si="145">(E149+G149)*H149*0.9</f>
        <v>-4762.9423423800008</v>
      </c>
      <c r="J149" s="19" t="s">
        <v>468</v>
      </c>
      <c r="K149" s="61">
        <f t="shared" ref="K149:K150" si="146">E149*0.1*H149</f>
        <v>-567.22041057000013</v>
      </c>
      <c r="L149" s="61">
        <f t="shared" ref="L149:L150" si="147">(F149*0.05+G149*0.1)*H149</f>
        <v>69.675090375000011</v>
      </c>
      <c r="M149" s="58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 t="s">
        <v>372</v>
      </c>
      <c r="B150" s="32" t="s">
        <v>61</v>
      </c>
      <c r="C150" s="10" t="s">
        <v>912</v>
      </c>
      <c r="D150" s="10" t="s">
        <v>913</v>
      </c>
      <c r="E150" s="32">
        <v>5223.72</v>
      </c>
      <c r="F150" s="32">
        <v>494.89</v>
      </c>
      <c r="G150" s="69">
        <f t="shared" si="144"/>
        <v>296.93399999999997</v>
      </c>
      <c r="H150" s="70">
        <v>1.1285700000000001</v>
      </c>
      <c r="I150" s="69">
        <f t="shared" si="145"/>
        <v>5607.4000363020004</v>
      </c>
      <c r="J150" s="19" t="s">
        <v>468</v>
      </c>
      <c r="K150" s="61">
        <f t="shared" si="146"/>
        <v>589.53336804000014</v>
      </c>
      <c r="L150" s="61">
        <f t="shared" si="147"/>
        <v>61.436980803000004</v>
      </c>
      <c r="M150" s="58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 t="s">
        <v>372</v>
      </c>
      <c r="B151" s="2" t="s">
        <v>30</v>
      </c>
      <c r="C151" s="10">
        <v>9880161</v>
      </c>
      <c r="D151" s="2" t="s">
        <v>919</v>
      </c>
      <c r="E151" s="32">
        <v>46560.75</v>
      </c>
      <c r="F151" s="32">
        <v>2691.65</v>
      </c>
      <c r="G151" s="69">
        <f t="shared" ref="G151:G152" si="148">F151*0.7</f>
        <v>1884.155</v>
      </c>
      <c r="H151" s="70">
        <v>0.20230899999999999</v>
      </c>
      <c r="I151" s="69">
        <f t="shared" ref="I151:I152" si="149">(E151+G151)*H151*0.93</f>
        <v>9114.7814656498504</v>
      </c>
      <c r="J151" s="79" t="s">
        <v>468</v>
      </c>
      <c r="K151" s="61">
        <f t="shared" ref="K151:K152" si="150">E151*0.07*H151</f>
        <v>659.37611402250002</v>
      </c>
      <c r="L151" s="61">
        <f t="shared" ref="L151:L152" si="151">(F151*0.03+G151*0.07)*H151</f>
        <v>43.019056568149999</v>
      </c>
      <c r="M151" s="58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 t="s">
        <v>372</v>
      </c>
      <c r="B152" s="2" t="s">
        <v>30</v>
      </c>
      <c r="C152" s="10">
        <v>9880626</v>
      </c>
      <c r="D152" s="32" t="s">
        <v>918</v>
      </c>
      <c r="E152" s="69">
        <v>150</v>
      </c>
      <c r="F152" s="69">
        <v>0</v>
      </c>
      <c r="G152" s="69">
        <f t="shared" si="148"/>
        <v>0</v>
      </c>
      <c r="H152" s="70">
        <v>0.20230899999999999</v>
      </c>
      <c r="I152" s="69">
        <f t="shared" si="149"/>
        <v>28.222105499999998</v>
      </c>
      <c r="J152" s="79" t="s">
        <v>468</v>
      </c>
      <c r="K152" s="61">
        <f t="shared" si="150"/>
        <v>2.1242445000000001</v>
      </c>
      <c r="L152" s="61">
        <f t="shared" si="151"/>
        <v>0</v>
      </c>
      <c r="M152" s="58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32" t="s">
        <v>372</v>
      </c>
      <c r="B153" s="32" t="s">
        <v>136</v>
      </c>
      <c r="C153" s="10" t="s">
        <v>908</v>
      </c>
      <c r="D153" s="10" t="s">
        <v>909</v>
      </c>
      <c r="E153" s="69">
        <v>-3175</v>
      </c>
      <c r="F153" s="69">
        <v>267.5</v>
      </c>
      <c r="G153" s="69">
        <f>F153*0.75</f>
        <v>200.625</v>
      </c>
      <c r="H153" s="70">
        <v>1</v>
      </c>
      <c r="I153" s="69">
        <f>(E153+G153)*H153*0.9</f>
        <v>-2676.9375</v>
      </c>
      <c r="J153" s="79" t="s">
        <v>468</v>
      </c>
      <c r="K153" s="61">
        <f t="shared" ref="K153:K154" si="152">E153*0.1*H153</f>
        <v>-317.5</v>
      </c>
      <c r="L153" s="61">
        <f>(F153*0.05+G153*0.1)*H153</f>
        <v>33.4375</v>
      </c>
      <c r="M153" s="58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32" t="s">
        <v>372</v>
      </c>
      <c r="B154" s="10" t="s">
        <v>31</v>
      </c>
      <c r="C154" s="10">
        <v>2503482</v>
      </c>
      <c r="D154" s="10" t="s">
        <v>917</v>
      </c>
      <c r="E154" s="32">
        <v>-6095.8</v>
      </c>
      <c r="F154" s="32">
        <v>255.93</v>
      </c>
      <c r="G154" s="32">
        <f>F154*0.7</f>
        <v>179.15099999999998</v>
      </c>
      <c r="H154" s="70">
        <v>0.74973699999999999</v>
      </c>
      <c r="I154" s="69">
        <f>(E154+G154)*H154*0.8</f>
        <v>-3548.7445370504001</v>
      </c>
      <c r="J154" s="79" t="s">
        <v>468</v>
      </c>
      <c r="K154" s="61">
        <f t="shared" si="152"/>
        <v>-457.02468046000001</v>
      </c>
      <c r="L154" s="61">
        <f>G154*0.1*H154</f>
        <v>13.431613328699999</v>
      </c>
      <c r="M154" s="58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 t="s">
        <v>377</v>
      </c>
      <c r="B155" s="10" t="s">
        <v>468</v>
      </c>
      <c r="C155" s="10" t="s">
        <v>468</v>
      </c>
      <c r="D155" s="46" t="s">
        <v>468</v>
      </c>
      <c r="E155" s="46" t="s">
        <v>468</v>
      </c>
      <c r="F155" s="46" t="s">
        <v>468</v>
      </c>
      <c r="G155" s="46" t="s">
        <v>468</v>
      </c>
      <c r="H155" s="81" t="s">
        <v>468</v>
      </c>
      <c r="I155" s="46" t="s">
        <v>468</v>
      </c>
      <c r="J155" s="79" t="s">
        <v>468</v>
      </c>
      <c r="K155" s="82" t="s">
        <v>468</v>
      </c>
      <c r="L155" s="82" t="s">
        <v>468</v>
      </c>
      <c r="M155" s="58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 t="s">
        <v>379</v>
      </c>
      <c r="B156" s="2" t="s">
        <v>30</v>
      </c>
      <c r="C156" s="10">
        <v>9747484</v>
      </c>
      <c r="D156" s="10" t="s">
        <v>898</v>
      </c>
      <c r="E156" s="69">
        <v>6604.2</v>
      </c>
      <c r="F156" s="69">
        <v>113.1</v>
      </c>
      <c r="G156" s="69">
        <f t="shared" ref="G156:G158" si="153">F156*0.7</f>
        <v>79.169999999999987</v>
      </c>
      <c r="H156" s="70">
        <v>0.19900100000000001</v>
      </c>
      <c r="I156" s="69">
        <f t="shared" ref="I156:I157" si="154">(E156+G156)*H156*0.93</f>
        <v>1236.8975014341001</v>
      </c>
      <c r="J156" s="79" t="s">
        <v>468</v>
      </c>
      <c r="K156" s="61">
        <f t="shared" ref="K156:K157" si="155">E156*0.07*H156</f>
        <v>91.996968294000013</v>
      </c>
      <c r="L156" s="61">
        <f t="shared" ref="L156:L157" si="156">(F156*0.03+G156*0.07)*H156</f>
        <v>1.7780540348999998</v>
      </c>
      <c r="M156" s="58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 t="s">
        <v>379</v>
      </c>
      <c r="B157" s="2" t="s">
        <v>30</v>
      </c>
      <c r="C157" s="10">
        <v>9880626</v>
      </c>
      <c r="D157" s="32" t="s">
        <v>918</v>
      </c>
      <c r="E157" s="69">
        <v>-840</v>
      </c>
      <c r="F157" s="69">
        <v>12</v>
      </c>
      <c r="G157" s="69">
        <f t="shared" si="153"/>
        <v>8.3999999999999986</v>
      </c>
      <c r="H157" s="70">
        <v>0.19900100000000001</v>
      </c>
      <c r="I157" s="69">
        <f t="shared" si="154"/>
        <v>-153.90498538800003</v>
      </c>
      <c r="J157" s="79" t="s">
        <v>468</v>
      </c>
      <c r="K157" s="61">
        <f t="shared" si="155"/>
        <v>-11.701258800000002</v>
      </c>
      <c r="L157" s="61">
        <f t="shared" si="156"/>
        <v>0.18865294800000001</v>
      </c>
      <c r="M157" s="58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32" t="s">
        <v>380</v>
      </c>
      <c r="B158" s="10" t="s">
        <v>152</v>
      </c>
      <c r="C158" s="10">
        <v>2503482</v>
      </c>
      <c r="D158" s="10" t="s">
        <v>917</v>
      </c>
      <c r="E158" s="32">
        <v>5016</v>
      </c>
      <c r="F158" s="32">
        <v>686.5</v>
      </c>
      <c r="G158" s="69">
        <f t="shared" si="153"/>
        <v>480.54999999999995</v>
      </c>
      <c r="H158" s="73">
        <v>0.74386799999999997</v>
      </c>
      <c r="I158" s="69">
        <f>(E158+G158)*H158*0.8</f>
        <v>3270.9661243200003</v>
      </c>
      <c r="J158" s="19" t="s">
        <v>468</v>
      </c>
      <c r="K158" s="61">
        <f>E158*0.15*H158</f>
        <v>559.68628319999993</v>
      </c>
      <c r="L158" s="61">
        <f>G158*0.15*H158</f>
        <v>53.619865109999992</v>
      </c>
      <c r="M158" s="58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32" t="s">
        <v>380</v>
      </c>
      <c r="B159" s="29" t="s">
        <v>35</v>
      </c>
      <c r="C159" s="2" t="s">
        <v>922</v>
      </c>
      <c r="D159" s="32" t="s">
        <v>923</v>
      </c>
      <c r="E159" s="69">
        <v>-11507.58</v>
      </c>
      <c r="F159" s="69">
        <v>19118.8</v>
      </c>
      <c r="G159" s="69">
        <f t="shared" ref="G159:G161" si="157">F159*0.82</f>
        <v>15677.415999999999</v>
      </c>
      <c r="H159" s="75">
        <v>0.27349000000000001</v>
      </c>
      <c r="I159" s="69">
        <f t="shared" ref="I159:I162" si="158">(E159+G159)*H159*0.9</f>
        <v>1026.3676028759999</v>
      </c>
      <c r="J159" s="78">
        <f t="shared" ref="J159:J162" si="159">F159*0.05*H159</f>
        <v>261.4400306</v>
      </c>
      <c r="K159" s="61">
        <f t="shared" ref="K159:K163" si="160">E159*0.1*H159</f>
        <v>-314.72080542000003</v>
      </c>
      <c r="L159" s="61">
        <f t="shared" ref="L159:L161" si="161">(F159*0.01+G159*0.1)*H159</f>
        <v>481.049656304</v>
      </c>
      <c r="M159" s="58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32" t="s">
        <v>380</v>
      </c>
      <c r="B160" s="29" t="s">
        <v>35</v>
      </c>
      <c r="C160" s="2" t="s">
        <v>924</v>
      </c>
      <c r="D160" s="32" t="s">
        <v>925</v>
      </c>
      <c r="E160" s="69">
        <v>-24393.88</v>
      </c>
      <c r="F160" s="69">
        <v>1743.43</v>
      </c>
      <c r="G160" s="69">
        <f t="shared" si="157"/>
        <v>1429.6125999999999</v>
      </c>
      <c r="H160" s="75">
        <v>0.27349000000000001</v>
      </c>
      <c r="I160" s="69">
        <f t="shared" si="158"/>
        <v>-5652.4477421034007</v>
      </c>
      <c r="J160" s="78">
        <f t="shared" si="159"/>
        <v>23.840533535000002</v>
      </c>
      <c r="K160" s="61">
        <f t="shared" si="160"/>
        <v>-667.14822412000012</v>
      </c>
      <c r="L160" s="61">
        <f t="shared" si="161"/>
        <v>43.866581704400005</v>
      </c>
      <c r="M160" s="58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32" t="s">
        <v>380</v>
      </c>
      <c r="B161" s="29" t="s">
        <v>35</v>
      </c>
      <c r="C161" s="2" t="s">
        <v>926</v>
      </c>
      <c r="D161" s="32" t="s">
        <v>927</v>
      </c>
      <c r="E161" s="69">
        <v>504</v>
      </c>
      <c r="F161" s="69">
        <v>362.3</v>
      </c>
      <c r="G161" s="69">
        <f t="shared" si="157"/>
        <v>297.08600000000001</v>
      </c>
      <c r="H161" s="75">
        <v>0.27349000000000001</v>
      </c>
      <c r="I161" s="69">
        <f t="shared" si="158"/>
        <v>197.18010912599999</v>
      </c>
      <c r="J161" s="78">
        <f t="shared" si="159"/>
        <v>4.9542713500000009</v>
      </c>
      <c r="K161" s="61">
        <f t="shared" si="160"/>
        <v>13.783896000000002</v>
      </c>
      <c r="L161" s="61">
        <f t="shared" si="161"/>
        <v>9.1158592840000008</v>
      </c>
      <c r="M161" s="58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32" t="s">
        <v>380</v>
      </c>
      <c r="B162" s="10" t="s">
        <v>132</v>
      </c>
      <c r="C162" s="10" t="s">
        <v>928</v>
      </c>
      <c r="D162" s="10" t="s">
        <v>929</v>
      </c>
      <c r="E162" s="32">
        <v>-1665.98</v>
      </c>
      <c r="F162" s="32">
        <v>672.52</v>
      </c>
      <c r="G162" s="32">
        <f>F162*0.75</f>
        <v>504.39</v>
      </c>
      <c r="H162" s="75">
        <v>0.27349000000000001</v>
      </c>
      <c r="I162" s="69">
        <f t="shared" si="158"/>
        <v>-285.91492419000008</v>
      </c>
      <c r="J162" s="78">
        <f t="shared" si="159"/>
        <v>9.1963747399999995</v>
      </c>
      <c r="K162" s="61">
        <f t="shared" si="160"/>
        <v>-45.562887020000005</v>
      </c>
      <c r="L162" s="61">
        <f>(F162*0.05+G162*0.1)*H162</f>
        <v>22.990936850000001</v>
      </c>
      <c r="M162" s="58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32" t="s">
        <v>380</v>
      </c>
      <c r="B163" s="2" t="s">
        <v>148</v>
      </c>
      <c r="C163" s="10">
        <v>9747484</v>
      </c>
      <c r="D163" s="32" t="s">
        <v>898</v>
      </c>
      <c r="E163" s="69">
        <v>4821.5</v>
      </c>
      <c r="F163" s="69">
        <v>497.5</v>
      </c>
      <c r="G163" s="69">
        <f>F163*0.7</f>
        <v>348.25</v>
      </c>
      <c r="H163" s="70">
        <v>0.201207</v>
      </c>
      <c r="I163" s="69">
        <f>(E163+G163)*H163*0.85</f>
        <v>884.16140501249993</v>
      </c>
      <c r="J163" s="19" t="s">
        <v>468</v>
      </c>
      <c r="K163" s="61">
        <f t="shared" si="160"/>
        <v>97.011955050000012</v>
      </c>
      <c r="L163" s="61">
        <f>(F163*0.05*0.95+G163*0.1)*H163</f>
        <v>11.76180669375</v>
      </c>
      <c r="M163" s="58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32" t="s">
        <v>380</v>
      </c>
      <c r="B164" s="32" t="s">
        <v>140</v>
      </c>
      <c r="C164" s="10">
        <v>9741825</v>
      </c>
      <c r="D164" s="10" t="s">
        <v>904</v>
      </c>
      <c r="E164" s="32">
        <v>19123.88</v>
      </c>
      <c r="F164" s="32">
        <v>12051.02</v>
      </c>
      <c r="G164" s="69">
        <f>F164*0.65</f>
        <v>7833.1630000000005</v>
      </c>
      <c r="H164" s="70">
        <v>0.65593482000000003</v>
      </c>
      <c r="I164" s="69">
        <f>((E164+G164)*0.9-3297.77)*H164</f>
        <v>13750.734661792134</v>
      </c>
      <c r="J164" s="19" t="s">
        <v>468</v>
      </c>
      <c r="K164" s="61">
        <v>0</v>
      </c>
      <c r="L164" s="61">
        <f>F164*0.05*H164*0.9</f>
        <v>355.71076355323805</v>
      </c>
      <c r="M164" s="58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32" t="s">
        <v>380</v>
      </c>
      <c r="B165" s="46" t="s">
        <v>138</v>
      </c>
      <c r="C165" s="10">
        <v>1107035</v>
      </c>
      <c r="D165" s="32" t="s">
        <v>930</v>
      </c>
      <c r="E165" s="69">
        <v>-10624.95</v>
      </c>
      <c r="F165" s="69">
        <v>945.25</v>
      </c>
      <c r="G165" s="32">
        <f>F165*0.66</f>
        <v>623.86500000000001</v>
      </c>
      <c r="H165" s="73">
        <v>0.2</v>
      </c>
      <c r="I165" s="69">
        <f>(E165+G165)*H165</f>
        <v>-2000.2170000000003</v>
      </c>
      <c r="J165" s="79" t="s">
        <v>468</v>
      </c>
      <c r="K165" s="61">
        <v>0</v>
      </c>
      <c r="L165" s="61">
        <f>F165*0.09*H165</f>
        <v>17.014499999999998</v>
      </c>
      <c r="M165" s="58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32" t="s">
        <v>380</v>
      </c>
      <c r="B166" s="2" t="s">
        <v>30</v>
      </c>
      <c r="C166" s="10">
        <v>9747484</v>
      </c>
      <c r="D166" s="10" t="s">
        <v>898</v>
      </c>
      <c r="E166" s="69">
        <v>-6268</v>
      </c>
      <c r="F166" s="69">
        <v>416</v>
      </c>
      <c r="G166" s="69">
        <f t="shared" ref="G166:G170" si="162">F166*0.7</f>
        <v>291.2</v>
      </c>
      <c r="H166" s="70">
        <v>0.200848</v>
      </c>
      <c r="I166" s="69">
        <f t="shared" ref="I166:I170" si="163">(E166+G166)*H166*0.93</f>
        <v>-1116.3983435520001</v>
      </c>
      <c r="J166" s="79" t="s">
        <v>468</v>
      </c>
      <c r="K166" s="61">
        <f t="shared" ref="K166:K170" si="164">E166*0.07*H166</f>
        <v>-88.124068480000005</v>
      </c>
      <c r="L166" s="61">
        <f t="shared" ref="L166:L170" si="165">(F166*0.03+G166*0.07)*H166</f>
        <v>6.6006686720000012</v>
      </c>
      <c r="M166" s="58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32" t="s">
        <v>380</v>
      </c>
      <c r="B167" s="2" t="s">
        <v>30</v>
      </c>
      <c r="C167" s="10">
        <v>10010296</v>
      </c>
      <c r="D167" s="10" t="s">
        <v>931</v>
      </c>
      <c r="E167" s="32">
        <v>86614.2</v>
      </c>
      <c r="F167" s="32">
        <v>3829.5</v>
      </c>
      <c r="G167" s="69">
        <f t="shared" si="162"/>
        <v>2680.6499999999996</v>
      </c>
      <c r="H167" s="70">
        <v>0.200848</v>
      </c>
      <c r="I167" s="69">
        <f t="shared" si="163"/>
        <v>16679.263590504001</v>
      </c>
      <c r="J167" s="79" t="s">
        <v>468</v>
      </c>
      <c r="K167" s="61">
        <f t="shared" si="164"/>
        <v>1217.740218912</v>
      </c>
      <c r="L167" s="61">
        <f t="shared" si="165"/>
        <v>60.762645863999992</v>
      </c>
      <c r="M167" s="58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32" t="s">
        <v>380</v>
      </c>
      <c r="B168" s="2" t="s">
        <v>30</v>
      </c>
      <c r="C168" s="10">
        <v>10010311</v>
      </c>
      <c r="D168" s="10" t="s">
        <v>932</v>
      </c>
      <c r="E168" s="32">
        <v>27852.35</v>
      </c>
      <c r="F168" s="32">
        <v>2319.5500000000002</v>
      </c>
      <c r="G168" s="69">
        <f t="shared" si="162"/>
        <v>1623.6849999999999</v>
      </c>
      <c r="H168" s="70">
        <v>0.200848</v>
      </c>
      <c r="I168" s="69">
        <f t="shared" si="163"/>
        <v>5505.7884902424003</v>
      </c>
      <c r="J168" s="79" t="s">
        <v>468</v>
      </c>
      <c r="K168" s="61">
        <f t="shared" si="164"/>
        <v>391.58621549600002</v>
      </c>
      <c r="L168" s="61">
        <f t="shared" si="165"/>
        <v>36.804281293600006</v>
      </c>
      <c r="M168" s="58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 t="s">
        <v>380</v>
      </c>
      <c r="B169" s="32" t="s">
        <v>25</v>
      </c>
      <c r="C169" s="10">
        <v>10011898</v>
      </c>
      <c r="D169" s="2" t="s">
        <v>933</v>
      </c>
      <c r="E169" s="69">
        <v>6054.5</v>
      </c>
      <c r="F169" s="69">
        <v>115.5</v>
      </c>
      <c r="G169" s="69">
        <f t="shared" si="162"/>
        <v>80.849999999999994</v>
      </c>
      <c r="H169" s="70">
        <v>0.20095099999999999</v>
      </c>
      <c r="I169" s="69">
        <f t="shared" si="163"/>
        <v>1146.6013876004999</v>
      </c>
      <c r="J169" s="79" t="s">
        <v>468</v>
      </c>
      <c r="K169" s="61">
        <f t="shared" si="164"/>
        <v>85.166048065000012</v>
      </c>
      <c r="L169" s="61">
        <f t="shared" si="165"/>
        <v>1.8335773995000002</v>
      </c>
      <c r="M169" s="58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 t="s">
        <v>380</v>
      </c>
      <c r="B170" s="32" t="s">
        <v>25</v>
      </c>
      <c r="C170" s="10">
        <v>10010311</v>
      </c>
      <c r="D170" s="2" t="s">
        <v>932</v>
      </c>
      <c r="E170" s="69">
        <v>-12248.2</v>
      </c>
      <c r="F170" s="69">
        <v>430</v>
      </c>
      <c r="G170" s="69">
        <f t="shared" si="162"/>
        <v>301</v>
      </c>
      <c r="H170" s="70">
        <v>0.20095099999999999</v>
      </c>
      <c r="I170" s="69">
        <f t="shared" si="163"/>
        <v>-2232.7456620960002</v>
      </c>
      <c r="J170" s="79" t="s">
        <v>468</v>
      </c>
      <c r="K170" s="61">
        <f t="shared" si="164"/>
        <v>-172.29016267400002</v>
      </c>
      <c r="L170" s="61">
        <f t="shared" si="165"/>
        <v>6.8263054699999994</v>
      </c>
      <c r="M170" s="58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 t="s">
        <v>380</v>
      </c>
      <c r="B171" s="32" t="s">
        <v>55</v>
      </c>
      <c r="C171" s="10" t="s">
        <v>934</v>
      </c>
      <c r="D171" s="10" t="s">
        <v>935</v>
      </c>
      <c r="E171" s="32">
        <v>1030.94</v>
      </c>
      <c r="F171" s="32">
        <v>653.29</v>
      </c>
      <c r="G171" s="32">
        <f>F171*0.67</f>
        <v>437.70429999999999</v>
      </c>
      <c r="H171" s="73">
        <v>1</v>
      </c>
      <c r="I171" s="32">
        <f t="shared" ref="I171:I177" si="166">(E171+G171)*H171*0.9</f>
        <v>1321.7798700000001</v>
      </c>
      <c r="J171" s="79" t="s">
        <v>468</v>
      </c>
      <c r="K171" s="61">
        <f>(E171*0.1-E171*0.03)*H171</f>
        <v>72.165800000000004</v>
      </c>
      <c r="L171" s="61">
        <f>(F171*0.06*0.97+G171*0.1-G171*0.03)*H171</f>
        <v>68.660779000000005</v>
      </c>
      <c r="M171" s="58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 t="s">
        <v>380</v>
      </c>
      <c r="B172" s="32" t="s">
        <v>61</v>
      </c>
      <c r="C172" s="10" t="s">
        <v>888</v>
      </c>
      <c r="D172" s="10" t="s">
        <v>889</v>
      </c>
      <c r="E172" s="32">
        <v>915.91</v>
      </c>
      <c r="F172" s="32">
        <v>499.89</v>
      </c>
      <c r="G172" s="69">
        <f t="shared" ref="G172:G176" si="167">F172*0.6</f>
        <v>299.93399999999997</v>
      </c>
      <c r="H172" s="70">
        <v>1.10371</v>
      </c>
      <c r="I172" s="69">
        <f t="shared" si="166"/>
        <v>1207.7452631159999</v>
      </c>
      <c r="J172" s="19" t="s">
        <v>468</v>
      </c>
      <c r="K172" s="61">
        <f t="shared" ref="K172:K177" si="168">E172*0.1*H172</f>
        <v>101.08990261000001</v>
      </c>
      <c r="L172" s="61">
        <f t="shared" ref="L172:L177" si="169">(F172*0.05+G172*0.1)*H172</f>
        <v>60.690695108999996</v>
      </c>
      <c r="M172" s="58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32" t="s">
        <v>380</v>
      </c>
      <c r="B173" s="32" t="s">
        <v>61</v>
      </c>
      <c r="C173" s="10" t="s">
        <v>908</v>
      </c>
      <c r="D173" s="10" t="s">
        <v>909</v>
      </c>
      <c r="E173" s="32">
        <v>-1308.75</v>
      </c>
      <c r="F173" s="32">
        <v>410.06</v>
      </c>
      <c r="G173" s="69">
        <f t="shared" si="167"/>
        <v>246.036</v>
      </c>
      <c r="H173" s="70">
        <v>1.10371</v>
      </c>
      <c r="I173" s="69">
        <f t="shared" si="166"/>
        <v>-1055.635262046</v>
      </c>
      <c r="J173" s="19" t="s">
        <v>468</v>
      </c>
      <c r="K173" s="61">
        <f t="shared" si="168"/>
        <v>-144.44804625</v>
      </c>
      <c r="L173" s="61">
        <f t="shared" si="169"/>
        <v>49.784605485999997</v>
      </c>
      <c r="M173" s="58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32" t="s">
        <v>380</v>
      </c>
      <c r="B174" s="32" t="s">
        <v>61</v>
      </c>
      <c r="C174" s="10" t="s">
        <v>924</v>
      </c>
      <c r="D174" s="10" t="s">
        <v>925</v>
      </c>
      <c r="E174" s="32">
        <v>-360</v>
      </c>
      <c r="F174" s="32">
        <v>15</v>
      </c>
      <c r="G174" s="69">
        <f t="shared" si="167"/>
        <v>9</v>
      </c>
      <c r="H174" s="70">
        <v>1.10371</v>
      </c>
      <c r="I174" s="69">
        <f t="shared" si="166"/>
        <v>-348.66198900000001</v>
      </c>
      <c r="J174" s="19" t="s">
        <v>468</v>
      </c>
      <c r="K174" s="61">
        <f t="shared" si="168"/>
        <v>-39.733559999999997</v>
      </c>
      <c r="L174" s="61">
        <f t="shared" si="169"/>
        <v>1.8211214999999998</v>
      </c>
      <c r="M174" s="58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 t="s">
        <v>380</v>
      </c>
      <c r="B175" s="32" t="s">
        <v>61</v>
      </c>
      <c r="C175" s="2" t="s">
        <v>922</v>
      </c>
      <c r="D175" s="32" t="s">
        <v>923</v>
      </c>
      <c r="E175" s="69">
        <v>8388.07</v>
      </c>
      <c r="F175" s="69">
        <v>4874.49</v>
      </c>
      <c r="G175" s="69">
        <f t="shared" si="167"/>
        <v>2924.694</v>
      </c>
      <c r="H175" s="70">
        <v>1.10371</v>
      </c>
      <c r="I175" s="69">
        <f t="shared" si="166"/>
        <v>11237.409678995999</v>
      </c>
      <c r="J175" s="19" t="s">
        <v>468</v>
      </c>
      <c r="K175" s="61">
        <f t="shared" si="168"/>
        <v>925.79967396999996</v>
      </c>
      <c r="L175" s="61">
        <f t="shared" si="169"/>
        <v>591.80256936899991</v>
      </c>
      <c r="M175" s="58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 t="s">
        <v>380</v>
      </c>
      <c r="B176" s="32" t="s">
        <v>61</v>
      </c>
      <c r="C176" s="2" t="s">
        <v>926</v>
      </c>
      <c r="D176" s="32" t="s">
        <v>927</v>
      </c>
      <c r="E176" s="69">
        <v>-113.33</v>
      </c>
      <c r="F176" s="69">
        <v>13.26</v>
      </c>
      <c r="G176" s="69">
        <f t="shared" si="167"/>
        <v>7.9559999999999995</v>
      </c>
      <c r="H176" s="70">
        <v>1.10371</v>
      </c>
      <c r="I176" s="69">
        <f t="shared" si="166"/>
        <v>-104.67210378599999</v>
      </c>
      <c r="J176" s="19" t="s">
        <v>468</v>
      </c>
      <c r="K176" s="61">
        <f t="shared" si="168"/>
        <v>-12.50834543</v>
      </c>
      <c r="L176" s="61">
        <f t="shared" si="169"/>
        <v>1.6098714060000001</v>
      </c>
      <c r="M176" s="58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 t="s">
        <v>380</v>
      </c>
      <c r="B177" s="32" t="s">
        <v>145</v>
      </c>
      <c r="C177" s="10" t="s">
        <v>924</v>
      </c>
      <c r="D177" s="10" t="s">
        <v>925</v>
      </c>
      <c r="E177" s="32">
        <v>-180</v>
      </c>
      <c r="F177" s="32">
        <v>5.4</v>
      </c>
      <c r="G177" s="69">
        <f>F177*0.7</f>
        <v>3.78</v>
      </c>
      <c r="H177" s="70">
        <v>1.1123099999999999</v>
      </c>
      <c r="I177" s="69">
        <f t="shared" si="166"/>
        <v>-176.41014138</v>
      </c>
      <c r="J177" s="19" t="s">
        <v>468</v>
      </c>
      <c r="K177" s="61">
        <f t="shared" si="168"/>
        <v>-20.02158</v>
      </c>
      <c r="L177" s="61">
        <f t="shared" si="169"/>
        <v>0.72077687999999995</v>
      </c>
      <c r="M177" s="58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91" t="s">
        <v>381</v>
      </c>
      <c r="B178" s="2" t="s">
        <v>138</v>
      </c>
      <c r="C178" s="10">
        <v>1086324</v>
      </c>
      <c r="D178" s="10" t="s">
        <v>920</v>
      </c>
      <c r="E178" s="32">
        <v>-984</v>
      </c>
      <c r="F178" s="32">
        <v>99.6</v>
      </c>
      <c r="G178" s="32">
        <f t="shared" ref="G178:G179" si="170">F178*0.66</f>
        <v>65.736000000000004</v>
      </c>
      <c r="H178" s="70">
        <v>0.19864999999999999</v>
      </c>
      <c r="I178" s="69">
        <f t="shared" ref="I178:I179" si="171">(E178+G178)*H178</f>
        <v>-182.41314359999998</v>
      </c>
      <c r="J178" s="79" t="s">
        <v>468</v>
      </c>
      <c r="K178" s="61">
        <v>0</v>
      </c>
      <c r="L178" s="61">
        <f t="shared" ref="L178:L179" si="172">F178*0.09*H178</f>
        <v>1.7806985999999996</v>
      </c>
      <c r="M178" s="58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91" t="s">
        <v>381</v>
      </c>
      <c r="B179" s="2" t="s">
        <v>138</v>
      </c>
      <c r="C179" s="10">
        <v>1107035</v>
      </c>
      <c r="D179" s="10" t="s">
        <v>930</v>
      </c>
      <c r="E179" s="32">
        <v>-93207.9</v>
      </c>
      <c r="F179" s="32">
        <v>29564.65</v>
      </c>
      <c r="G179" s="32">
        <f t="shared" si="170"/>
        <v>19512.669000000002</v>
      </c>
      <c r="H179" s="70">
        <v>0.19864999999999999</v>
      </c>
      <c r="I179" s="69">
        <f t="shared" si="171"/>
        <v>-14639.55763815</v>
      </c>
      <c r="J179" s="79" t="s">
        <v>468</v>
      </c>
      <c r="K179" s="61">
        <v>0</v>
      </c>
      <c r="L179" s="61">
        <f t="shared" si="172"/>
        <v>528.57159502499997</v>
      </c>
      <c r="M179" s="58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 t="s">
        <v>381</v>
      </c>
      <c r="B180" s="10" t="s">
        <v>132</v>
      </c>
      <c r="C180" s="10" t="s">
        <v>936</v>
      </c>
      <c r="D180" s="10" t="s">
        <v>937</v>
      </c>
      <c r="E180" s="32">
        <v>-24895.9</v>
      </c>
      <c r="F180" s="32">
        <v>3314.12</v>
      </c>
      <c r="G180" s="32">
        <f>F180*0.75</f>
        <v>2485.59</v>
      </c>
      <c r="H180" s="75">
        <v>0.27132000000000001</v>
      </c>
      <c r="I180" s="69">
        <f t="shared" ref="I180:I184" si="173">(E180+G180)*H180*0.9</f>
        <v>-5472.3287782800007</v>
      </c>
      <c r="J180" s="78">
        <f t="shared" ref="J180:J184" si="174">F180*0.05*H180</f>
        <v>44.959351920000003</v>
      </c>
      <c r="K180" s="61">
        <f t="shared" ref="K180:K184" si="175">E180*0.1*H180</f>
        <v>-675.47555880000004</v>
      </c>
      <c r="L180" s="61">
        <f>(F180*0.05+G180*0.1)*H180</f>
        <v>112.39837980000001</v>
      </c>
      <c r="M180" s="58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 t="s">
        <v>381</v>
      </c>
      <c r="B181" s="29" t="s">
        <v>35</v>
      </c>
      <c r="C181" s="10" t="s">
        <v>908</v>
      </c>
      <c r="D181" s="10" t="s">
        <v>909</v>
      </c>
      <c r="E181" s="32">
        <v>4511.07</v>
      </c>
      <c r="F181" s="32">
        <v>3850.45</v>
      </c>
      <c r="G181" s="69">
        <f t="shared" ref="G181:G184" si="176">F181*0.82</f>
        <v>3157.3689999999997</v>
      </c>
      <c r="H181" s="75">
        <v>0.27132000000000001</v>
      </c>
      <c r="I181" s="69">
        <f t="shared" si="173"/>
        <v>1872.5407825319999</v>
      </c>
      <c r="J181" s="78">
        <f t="shared" si="174"/>
        <v>52.235204700000004</v>
      </c>
      <c r="K181" s="61">
        <f t="shared" si="175"/>
        <v>122.39435123999999</v>
      </c>
      <c r="L181" s="61">
        <f t="shared" ref="L181:L184" si="177">(F181*0.01+G181*0.1)*H181</f>
        <v>96.112776648000008</v>
      </c>
      <c r="M181" s="58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 t="s">
        <v>381</v>
      </c>
      <c r="B182" s="29" t="s">
        <v>35</v>
      </c>
      <c r="C182" s="10" t="s">
        <v>922</v>
      </c>
      <c r="D182" s="10" t="s">
        <v>923</v>
      </c>
      <c r="E182" s="32">
        <v>4442.6000000000004</v>
      </c>
      <c r="F182" s="32">
        <v>1275.1199999999999</v>
      </c>
      <c r="G182" s="69">
        <f t="shared" si="176"/>
        <v>1045.5983999999999</v>
      </c>
      <c r="H182" s="75">
        <v>0.27132000000000001</v>
      </c>
      <c r="I182" s="69">
        <f t="shared" si="173"/>
        <v>1340.1521908992001</v>
      </c>
      <c r="J182" s="78">
        <f t="shared" si="174"/>
        <v>17.29827792</v>
      </c>
      <c r="K182" s="61">
        <f t="shared" si="175"/>
        <v>120.53662320000002</v>
      </c>
      <c r="L182" s="61">
        <f t="shared" si="177"/>
        <v>31.8288313728</v>
      </c>
      <c r="M182" s="58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 t="s">
        <v>381</v>
      </c>
      <c r="B183" s="29" t="s">
        <v>35</v>
      </c>
      <c r="C183" s="10" t="s">
        <v>924</v>
      </c>
      <c r="D183" s="10" t="s">
        <v>925</v>
      </c>
      <c r="E183" s="32">
        <v>-8883.9500000000007</v>
      </c>
      <c r="F183" s="32">
        <v>2171.35</v>
      </c>
      <c r="G183" s="69">
        <f t="shared" si="176"/>
        <v>1780.5069999999998</v>
      </c>
      <c r="H183" s="75">
        <v>0.27132000000000001</v>
      </c>
      <c r="I183" s="69">
        <f t="shared" si="173"/>
        <v>-1734.5755392840003</v>
      </c>
      <c r="J183" s="78">
        <f t="shared" si="174"/>
        <v>29.456534099999999</v>
      </c>
      <c r="K183" s="61">
        <f t="shared" si="175"/>
        <v>-241.03933140000004</v>
      </c>
      <c r="L183" s="61">
        <f t="shared" si="177"/>
        <v>54.200022744000009</v>
      </c>
      <c r="M183" s="58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 t="s">
        <v>381</v>
      </c>
      <c r="B184" s="29" t="s">
        <v>35</v>
      </c>
      <c r="C184" s="10" t="s">
        <v>926</v>
      </c>
      <c r="D184" s="10" t="s">
        <v>927</v>
      </c>
      <c r="E184" s="32">
        <v>-150</v>
      </c>
      <c r="F184" s="32">
        <v>5</v>
      </c>
      <c r="G184" s="69">
        <f t="shared" si="176"/>
        <v>4.0999999999999996</v>
      </c>
      <c r="H184" s="75">
        <v>0.27132000000000001</v>
      </c>
      <c r="I184" s="69">
        <f t="shared" si="173"/>
        <v>-35.627029200000003</v>
      </c>
      <c r="J184" s="78">
        <f t="shared" si="174"/>
        <v>6.7830000000000001E-2</v>
      </c>
      <c r="K184" s="61">
        <f t="shared" si="175"/>
        <v>-4.0697999999999999</v>
      </c>
      <c r="L184" s="61">
        <f t="shared" si="177"/>
        <v>0.12480719999999999</v>
      </c>
      <c r="M184" s="58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 t="s">
        <v>381</v>
      </c>
      <c r="B185" s="32" t="s">
        <v>140</v>
      </c>
      <c r="C185" s="10">
        <v>9741825</v>
      </c>
      <c r="D185" s="10" t="s">
        <v>904</v>
      </c>
      <c r="E185" s="32">
        <v>-62653.68</v>
      </c>
      <c r="F185" s="32">
        <v>12178.98</v>
      </c>
      <c r="G185" s="69">
        <f>F185*0.65</f>
        <v>7916.3369999999995</v>
      </c>
      <c r="H185" s="70">
        <v>0.64624356000000005</v>
      </c>
      <c r="I185" s="69">
        <f>((E185+G185)*0.9+503.06)*H185</f>
        <v>-31511.19057944138</v>
      </c>
      <c r="J185" s="19" t="s">
        <v>468</v>
      </c>
      <c r="K185" s="61">
        <v>0</v>
      </c>
      <c r="L185" s="61">
        <f>F185*0.05*H185*0.9</f>
        <v>354.17643265659603</v>
      </c>
      <c r="M185" s="58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32" t="s">
        <v>381</v>
      </c>
      <c r="B186" s="32" t="s">
        <v>61</v>
      </c>
      <c r="C186" s="10" t="s">
        <v>908</v>
      </c>
      <c r="D186" s="10" t="s">
        <v>909</v>
      </c>
      <c r="E186" s="32">
        <v>-3148.9</v>
      </c>
      <c r="F186" s="32">
        <v>807.95</v>
      </c>
      <c r="G186" s="69">
        <f t="shared" ref="G186:G189" si="178">F186*0.6</f>
        <v>484.77</v>
      </c>
      <c r="H186" s="70">
        <v>1.10571</v>
      </c>
      <c r="I186" s="69">
        <f t="shared" ref="I186:I190" si="179">(E186+G186)*H186*0.9</f>
        <v>-2651.1796640699999</v>
      </c>
      <c r="J186" s="19" t="s">
        <v>468</v>
      </c>
      <c r="K186" s="61">
        <f t="shared" ref="K186:K190" si="180">E186*0.1*H186</f>
        <v>-348.17702190000006</v>
      </c>
      <c r="L186" s="61">
        <f t="shared" ref="L186:L190" si="181">(F186*0.05+G186*0.1)*H186</f>
        <v>98.269423395000004</v>
      </c>
      <c r="M186" s="58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32" t="s">
        <v>381</v>
      </c>
      <c r="B187" s="32" t="s">
        <v>61</v>
      </c>
      <c r="C187" s="10" t="s">
        <v>924</v>
      </c>
      <c r="D187" s="10" t="s">
        <v>925</v>
      </c>
      <c r="E187" s="32">
        <v>-116.26</v>
      </c>
      <c r="F187" s="32">
        <v>1281.2</v>
      </c>
      <c r="G187" s="69">
        <f t="shared" si="178"/>
        <v>768.72</v>
      </c>
      <c r="H187" s="70">
        <v>1.10571</v>
      </c>
      <c r="I187" s="69">
        <f t="shared" si="179"/>
        <v>649.28839194000011</v>
      </c>
      <c r="J187" s="19" t="s">
        <v>468</v>
      </c>
      <c r="K187" s="61">
        <f t="shared" si="180"/>
        <v>-12.854984460000001</v>
      </c>
      <c r="L187" s="61">
        <f t="shared" si="181"/>
        <v>155.82992172000002</v>
      </c>
      <c r="M187" s="58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32" t="s">
        <v>381</v>
      </c>
      <c r="B188" s="32" t="s">
        <v>61</v>
      </c>
      <c r="C188" s="2" t="s">
        <v>926</v>
      </c>
      <c r="D188" s="32" t="s">
        <v>927</v>
      </c>
      <c r="E188" s="69">
        <v>4136.47</v>
      </c>
      <c r="F188" s="69">
        <v>1218.07</v>
      </c>
      <c r="G188" s="69">
        <f t="shared" si="178"/>
        <v>730.84199999999998</v>
      </c>
      <c r="H188" s="70">
        <v>1.10571</v>
      </c>
      <c r="I188" s="69">
        <f t="shared" si="179"/>
        <v>4843.6519963680003</v>
      </c>
      <c r="J188" s="19" t="s">
        <v>468</v>
      </c>
      <c r="K188" s="61">
        <f t="shared" si="180"/>
        <v>457.37362437000002</v>
      </c>
      <c r="L188" s="61">
        <f t="shared" si="181"/>
        <v>148.15153976699997</v>
      </c>
      <c r="M188" s="58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 t="s">
        <v>381</v>
      </c>
      <c r="B189" s="32" t="s">
        <v>61</v>
      </c>
      <c r="C189" s="2" t="s">
        <v>922</v>
      </c>
      <c r="D189" s="32" t="s">
        <v>923</v>
      </c>
      <c r="E189" s="69">
        <v>-22672.06</v>
      </c>
      <c r="F189" s="69">
        <v>930.17</v>
      </c>
      <c r="G189" s="69">
        <f t="shared" si="178"/>
        <v>558.10199999999998</v>
      </c>
      <c r="H189" s="70">
        <v>1.10571</v>
      </c>
      <c r="I189" s="69">
        <f t="shared" si="179"/>
        <v>-22006.462050162001</v>
      </c>
      <c r="J189" s="19" t="s">
        <v>468</v>
      </c>
      <c r="K189" s="61">
        <f t="shared" si="180"/>
        <v>-2506.8723462600001</v>
      </c>
      <c r="L189" s="61">
        <f t="shared" si="181"/>
        <v>113.134809777</v>
      </c>
      <c r="M189" s="58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 t="s">
        <v>381</v>
      </c>
      <c r="B190" s="32" t="s">
        <v>43</v>
      </c>
      <c r="C190" s="10">
        <v>9747484</v>
      </c>
      <c r="D190" s="32" t="s">
        <v>898</v>
      </c>
      <c r="E190" s="69">
        <v>25064.19</v>
      </c>
      <c r="F190" s="69">
        <v>3723.9</v>
      </c>
      <c r="G190" s="32">
        <f t="shared" ref="G190:G196" si="182">F190*0.7</f>
        <v>2606.73</v>
      </c>
      <c r="H190" s="75">
        <v>0.64963899999999997</v>
      </c>
      <c r="I190" s="69">
        <f t="shared" si="179"/>
        <v>16178.497918092</v>
      </c>
      <c r="J190" s="19" t="s">
        <v>468</v>
      </c>
      <c r="K190" s="61">
        <f t="shared" si="180"/>
        <v>1628.2675327409997</v>
      </c>
      <c r="L190" s="61">
        <f t="shared" si="181"/>
        <v>290.302880652</v>
      </c>
      <c r="M190" s="58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 t="s">
        <v>381</v>
      </c>
      <c r="B191" s="2" t="s">
        <v>30</v>
      </c>
      <c r="C191" s="10">
        <v>10010296</v>
      </c>
      <c r="D191" s="10" t="s">
        <v>931</v>
      </c>
      <c r="E191" s="32">
        <v>45159</v>
      </c>
      <c r="F191" s="32">
        <v>2376.65</v>
      </c>
      <c r="G191" s="69">
        <f t="shared" si="182"/>
        <v>1663.655</v>
      </c>
      <c r="H191" s="70">
        <v>0.19758700000000001</v>
      </c>
      <c r="I191" s="69">
        <f t="shared" ref="I191:I194" si="183">(E191+G191)*H191*0.93</f>
        <v>8603.9395781410512</v>
      </c>
      <c r="J191" s="79" t="s">
        <v>468</v>
      </c>
      <c r="K191" s="61">
        <f t="shared" ref="K191:K194" si="184">E191*0.07*H191</f>
        <v>624.59819331000006</v>
      </c>
      <c r="L191" s="61">
        <f t="shared" ref="L191:L194" si="185">(F191*0.03+G191*0.07)*H191</f>
        <v>37.098016340450009</v>
      </c>
      <c r="M191" s="58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 t="s">
        <v>381</v>
      </c>
      <c r="B192" s="2" t="s">
        <v>30</v>
      </c>
      <c r="C192" s="10">
        <v>10010311</v>
      </c>
      <c r="D192" s="10" t="s">
        <v>932</v>
      </c>
      <c r="E192" s="32">
        <v>-10916.8</v>
      </c>
      <c r="F192" s="32">
        <v>1143.8</v>
      </c>
      <c r="G192" s="69">
        <f t="shared" si="182"/>
        <v>800.66</v>
      </c>
      <c r="H192" s="70">
        <v>0.19758700000000001</v>
      </c>
      <c r="I192" s="69">
        <f t="shared" si="183"/>
        <v>-1858.9005113874002</v>
      </c>
      <c r="J192" s="79" t="s">
        <v>468</v>
      </c>
      <c r="K192" s="61">
        <f t="shared" si="184"/>
        <v>-150.99124331200002</v>
      </c>
      <c r="L192" s="61">
        <f t="shared" si="185"/>
        <v>17.854000837400001</v>
      </c>
      <c r="M192" s="58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 t="s">
        <v>381</v>
      </c>
      <c r="B193" s="32" t="s">
        <v>25</v>
      </c>
      <c r="C193" s="10">
        <v>10010311</v>
      </c>
      <c r="D193" s="2" t="s">
        <v>932</v>
      </c>
      <c r="E193" s="69">
        <v>-12442.15</v>
      </c>
      <c r="F193" s="69">
        <v>3918.9</v>
      </c>
      <c r="G193" s="69">
        <f t="shared" si="182"/>
        <v>2743.23</v>
      </c>
      <c r="H193" s="70">
        <v>0.19781883</v>
      </c>
      <c r="I193" s="69">
        <f t="shared" si="183"/>
        <v>-1784.3249761971481</v>
      </c>
      <c r="J193" s="79" t="s">
        <v>468</v>
      </c>
      <c r="K193" s="61">
        <f t="shared" si="184"/>
        <v>-172.290408897915</v>
      </c>
      <c r="L193" s="61">
        <f t="shared" si="185"/>
        <v>61.243344818072998</v>
      </c>
      <c r="M193" s="58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 t="s">
        <v>381</v>
      </c>
      <c r="B194" s="32" t="s">
        <v>25</v>
      </c>
      <c r="C194" s="10">
        <v>10011898</v>
      </c>
      <c r="D194" s="2" t="s">
        <v>933</v>
      </c>
      <c r="E194" s="69">
        <v>72868</v>
      </c>
      <c r="F194" s="69">
        <v>19690.3</v>
      </c>
      <c r="G194" s="69">
        <f t="shared" si="182"/>
        <v>13783.21</v>
      </c>
      <c r="H194" s="70">
        <v>0.19781883</v>
      </c>
      <c r="I194" s="69">
        <f t="shared" si="183"/>
        <v>15941.354111664399</v>
      </c>
      <c r="J194" s="79" t="s">
        <v>468</v>
      </c>
      <c r="K194" s="61">
        <f t="shared" si="184"/>
        <v>1009.0263753108001</v>
      </c>
      <c r="L194" s="61">
        <f t="shared" si="185"/>
        <v>307.71385655957101</v>
      </c>
      <c r="M194" s="58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 t="s">
        <v>381</v>
      </c>
      <c r="B195" s="32" t="s">
        <v>146</v>
      </c>
      <c r="C195" s="2" t="s">
        <v>934</v>
      </c>
      <c r="D195" s="32" t="s">
        <v>935</v>
      </c>
      <c r="E195" s="69">
        <v>-72</v>
      </c>
      <c r="F195" s="69">
        <v>3.6</v>
      </c>
      <c r="G195" s="69">
        <f t="shared" si="182"/>
        <v>2.52</v>
      </c>
      <c r="H195" s="74">
        <v>1</v>
      </c>
      <c r="I195" s="69">
        <f t="shared" ref="I195:I201" si="186">(E195+G195)*H195*0.9</f>
        <v>-62.532000000000004</v>
      </c>
      <c r="J195" s="19" t="s">
        <v>468</v>
      </c>
      <c r="K195" s="61">
        <f t="shared" ref="K195:K201" si="187">E195*0.1*H195</f>
        <v>-7.2</v>
      </c>
      <c r="L195" s="61">
        <f t="shared" ref="L195:L198" si="188">(F195*0.05+G195*0.1)*H195</f>
        <v>0.43200000000000005</v>
      </c>
      <c r="M195" s="71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 t="s">
        <v>381</v>
      </c>
      <c r="B196" s="32" t="s">
        <v>145</v>
      </c>
      <c r="C196" s="10" t="s">
        <v>924</v>
      </c>
      <c r="D196" s="10" t="s">
        <v>925</v>
      </c>
      <c r="E196" s="32">
        <v>106.42</v>
      </c>
      <c r="F196" s="32">
        <v>104.4</v>
      </c>
      <c r="G196" s="69">
        <f t="shared" si="182"/>
        <v>73.08</v>
      </c>
      <c r="H196" s="70">
        <v>1.10456</v>
      </c>
      <c r="I196" s="69">
        <f t="shared" si="186"/>
        <v>178.44166799999999</v>
      </c>
      <c r="J196" s="19" t="s">
        <v>468</v>
      </c>
      <c r="K196" s="61">
        <f t="shared" si="187"/>
        <v>11.754727520000001</v>
      </c>
      <c r="L196" s="61">
        <f t="shared" si="188"/>
        <v>13.83792768</v>
      </c>
      <c r="M196" s="58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 t="s">
        <v>382</v>
      </c>
      <c r="B197" s="10" t="s">
        <v>132</v>
      </c>
      <c r="C197" s="10" t="s">
        <v>928</v>
      </c>
      <c r="D197" s="10" t="s">
        <v>929</v>
      </c>
      <c r="E197" s="32">
        <v>6662.02</v>
      </c>
      <c r="F197" s="32">
        <v>627</v>
      </c>
      <c r="G197" s="32">
        <f t="shared" ref="G197:G198" si="189">F197*0.75</f>
        <v>470.25</v>
      </c>
      <c r="H197" s="75">
        <v>0.27182000000000001</v>
      </c>
      <c r="I197" s="69">
        <f t="shared" si="186"/>
        <v>1744.8242682600003</v>
      </c>
      <c r="J197" s="78">
        <f t="shared" ref="J197:J201" si="190">F197*0.05*H197</f>
        <v>8.5215570000000014</v>
      </c>
      <c r="K197" s="61">
        <f t="shared" si="187"/>
        <v>181.08702764000003</v>
      </c>
      <c r="L197" s="61">
        <f t="shared" si="188"/>
        <v>21.3038925</v>
      </c>
      <c r="M197" s="58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 t="s">
        <v>382</v>
      </c>
      <c r="B198" s="10" t="s">
        <v>132</v>
      </c>
      <c r="C198" s="10" t="s">
        <v>936</v>
      </c>
      <c r="D198" s="10" t="s">
        <v>937</v>
      </c>
      <c r="E198" s="32">
        <v>24112.39</v>
      </c>
      <c r="F198" s="32">
        <v>2493.56</v>
      </c>
      <c r="G198" s="32">
        <f t="shared" si="189"/>
        <v>1870.17</v>
      </c>
      <c r="H198" s="75">
        <v>0.27182000000000001</v>
      </c>
      <c r="I198" s="69">
        <f t="shared" si="186"/>
        <v>6356.3215132799996</v>
      </c>
      <c r="J198" s="78">
        <f t="shared" si="190"/>
        <v>33.889973959999999</v>
      </c>
      <c r="K198" s="61">
        <f t="shared" si="187"/>
        <v>655.42298498000002</v>
      </c>
      <c r="L198" s="61">
        <f t="shared" si="188"/>
        <v>84.724934900000022</v>
      </c>
      <c r="M198" s="58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 t="s">
        <v>382</v>
      </c>
      <c r="B199" s="29" t="s">
        <v>35</v>
      </c>
      <c r="C199" s="10" t="s">
        <v>908</v>
      </c>
      <c r="D199" s="10" t="s">
        <v>909</v>
      </c>
      <c r="E199" s="32">
        <v>21916.47</v>
      </c>
      <c r="F199" s="32">
        <v>11055.07</v>
      </c>
      <c r="G199" s="69">
        <f t="shared" ref="G199:G201" si="191">F199*0.82</f>
        <v>9065.1574000000001</v>
      </c>
      <c r="H199" s="75">
        <v>0.27182000000000001</v>
      </c>
      <c r="I199" s="69">
        <f t="shared" si="186"/>
        <v>7579.2833638811999</v>
      </c>
      <c r="J199" s="78">
        <f t="shared" si="190"/>
        <v>150.24945637000002</v>
      </c>
      <c r="K199" s="61">
        <f t="shared" si="187"/>
        <v>595.73348754000017</v>
      </c>
      <c r="L199" s="61">
        <f t="shared" ref="L199:L201" si="192">(F199*0.01+G199*0.1)*H199</f>
        <v>276.45899972080002</v>
      </c>
      <c r="M199" s="58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 t="s">
        <v>382</v>
      </c>
      <c r="B200" s="29" t="s">
        <v>35</v>
      </c>
      <c r="C200" s="10" t="s">
        <v>924</v>
      </c>
      <c r="D200" s="10" t="s">
        <v>925</v>
      </c>
      <c r="E200" s="32">
        <v>2429.1999999999998</v>
      </c>
      <c r="F200" s="32">
        <v>631.9</v>
      </c>
      <c r="G200" s="69">
        <f t="shared" si="191"/>
        <v>518.1579999999999</v>
      </c>
      <c r="H200" s="75">
        <v>0.27182000000000001</v>
      </c>
      <c r="I200" s="69">
        <f t="shared" si="186"/>
        <v>721.03576640400001</v>
      </c>
      <c r="J200" s="78">
        <f t="shared" si="190"/>
        <v>8.5881529000000008</v>
      </c>
      <c r="K200" s="61">
        <f t="shared" si="187"/>
        <v>66.030514400000001</v>
      </c>
      <c r="L200" s="61">
        <f t="shared" si="192"/>
        <v>15.802201336</v>
      </c>
      <c r="M200" s="58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 t="s">
        <v>382</v>
      </c>
      <c r="B201" s="29" t="s">
        <v>35</v>
      </c>
      <c r="C201" s="2" t="s">
        <v>926</v>
      </c>
      <c r="D201" s="32" t="s">
        <v>927</v>
      </c>
      <c r="E201" s="69">
        <v>4230</v>
      </c>
      <c r="F201" s="69">
        <v>161.25</v>
      </c>
      <c r="G201" s="69">
        <f t="shared" si="191"/>
        <v>132.22499999999999</v>
      </c>
      <c r="H201" s="75">
        <v>0.27182000000000001</v>
      </c>
      <c r="I201" s="69">
        <f t="shared" si="186"/>
        <v>1067.1659995500002</v>
      </c>
      <c r="J201" s="78">
        <f t="shared" si="190"/>
        <v>2.1915487499999999</v>
      </c>
      <c r="K201" s="61">
        <f t="shared" si="187"/>
        <v>114.97986</v>
      </c>
      <c r="L201" s="61">
        <f t="shared" si="192"/>
        <v>4.0324496999999999</v>
      </c>
      <c r="M201" s="58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 t="s">
        <v>382</v>
      </c>
      <c r="B202" s="2" t="s">
        <v>138</v>
      </c>
      <c r="C202" s="10">
        <v>1086324</v>
      </c>
      <c r="D202" s="10" t="s">
        <v>920</v>
      </c>
      <c r="E202" s="32">
        <v>-123255.1</v>
      </c>
      <c r="F202" s="32">
        <v>28207.15</v>
      </c>
      <c r="G202" s="32">
        <f t="shared" ref="G202:G203" si="193">F202*0.66</f>
        <v>18616.719000000001</v>
      </c>
      <c r="H202" s="70">
        <v>0.197605</v>
      </c>
      <c r="I202" s="69">
        <f t="shared" ref="I202:I203" si="194">(E202+G202)*H202</f>
        <v>-20677.067277505001</v>
      </c>
      <c r="J202" s="79" t="s">
        <v>468</v>
      </c>
      <c r="K202" s="61">
        <v>0</v>
      </c>
      <c r="L202" s="61">
        <f t="shared" ref="L202:L203" si="195">F202*0.09*H202</f>
        <v>501.64864881750003</v>
      </c>
      <c r="M202" s="58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 t="s">
        <v>382</v>
      </c>
      <c r="B203" s="2" t="s">
        <v>138</v>
      </c>
      <c r="C203" s="10">
        <v>1107035</v>
      </c>
      <c r="D203" s="10" t="s">
        <v>930</v>
      </c>
      <c r="E203" s="32">
        <v>192000.45</v>
      </c>
      <c r="F203" s="32">
        <v>47338.1</v>
      </c>
      <c r="G203" s="32">
        <f t="shared" si="193"/>
        <v>31243.146000000001</v>
      </c>
      <c r="H203" s="70">
        <v>0.197605</v>
      </c>
      <c r="I203" s="69">
        <f t="shared" si="194"/>
        <v>44114.050787580003</v>
      </c>
      <c r="J203" s="79" t="s">
        <v>468</v>
      </c>
      <c r="K203" s="61">
        <v>0</v>
      </c>
      <c r="L203" s="61">
        <f t="shared" si="195"/>
        <v>841.88207254500003</v>
      </c>
      <c r="M203" s="58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 t="s">
        <v>382</v>
      </c>
      <c r="B204" s="10" t="s">
        <v>152</v>
      </c>
      <c r="C204" s="10">
        <v>2503482</v>
      </c>
      <c r="D204" s="10" t="s">
        <v>917</v>
      </c>
      <c r="E204" s="32">
        <v>6265.36</v>
      </c>
      <c r="F204" s="32">
        <v>227.66</v>
      </c>
      <c r="G204" s="69">
        <f t="shared" ref="G204:G210" si="196">F204*0.7</f>
        <v>159.36199999999999</v>
      </c>
      <c r="H204" s="73">
        <v>0.74226599999999998</v>
      </c>
      <c r="I204" s="69">
        <f>(E204+G204)*H204*0.8</f>
        <v>3815.0821600416002</v>
      </c>
      <c r="J204" s="19" t="s">
        <v>468</v>
      </c>
      <c r="K204" s="61">
        <f>E204*0.15*H204</f>
        <v>697.58455586399987</v>
      </c>
      <c r="L204" s="61">
        <f>G204*0.15*H204</f>
        <v>17.7433491438</v>
      </c>
      <c r="M204" s="58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 t="s">
        <v>382</v>
      </c>
      <c r="B205" s="2" t="s">
        <v>30</v>
      </c>
      <c r="C205" s="10">
        <v>10010296</v>
      </c>
      <c r="D205" s="10" t="s">
        <v>931</v>
      </c>
      <c r="E205" s="32">
        <v>72918.350000000006</v>
      </c>
      <c r="F205" s="32">
        <v>2583.5</v>
      </c>
      <c r="G205" s="69">
        <f t="shared" si="196"/>
        <v>1808.4499999999998</v>
      </c>
      <c r="H205" s="70">
        <v>0.198658</v>
      </c>
      <c r="I205" s="69">
        <f t="shared" ref="I205:I208" si="197">(E205+G205)*H205*0.93</f>
        <v>13805.921269992001</v>
      </c>
      <c r="J205" s="79" t="s">
        <v>468</v>
      </c>
      <c r="K205" s="61">
        <f t="shared" ref="K205:K208" si="198">E205*0.07*H205</f>
        <v>1014.0069502010001</v>
      </c>
      <c r="L205" s="61">
        <f t="shared" ref="L205:L208" si="199">(F205*0.03+G205*0.07)*H205</f>
        <v>40.545402496999998</v>
      </c>
      <c r="M205" s="58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 t="s">
        <v>382</v>
      </c>
      <c r="B206" s="2" t="s">
        <v>30</v>
      </c>
      <c r="C206" s="10">
        <v>10010311</v>
      </c>
      <c r="D206" s="10" t="s">
        <v>932</v>
      </c>
      <c r="E206" s="32">
        <v>13461.9</v>
      </c>
      <c r="F206" s="32">
        <v>452.7</v>
      </c>
      <c r="G206" s="69">
        <f t="shared" si="196"/>
        <v>316.89</v>
      </c>
      <c r="H206" s="70">
        <v>0.198658</v>
      </c>
      <c r="I206" s="69">
        <f t="shared" si="197"/>
        <v>2545.6581833525997</v>
      </c>
      <c r="J206" s="79" t="s">
        <v>468</v>
      </c>
      <c r="K206" s="61">
        <f t="shared" si="198"/>
        <v>187.20198911400001</v>
      </c>
      <c r="L206" s="61">
        <f t="shared" si="199"/>
        <v>7.1046656514000004</v>
      </c>
      <c r="M206" s="58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 t="s">
        <v>382</v>
      </c>
      <c r="B207" s="32" t="s">
        <v>25</v>
      </c>
      <c r="C207" s="10">
        <v>10011898</v>
      </c>
      <c r="D207" s="2" t="s">
        <v>933</v>
      </c>
      <c r="E207" s="69">
        <v>-9667.4</v>
      </c>
      <c r="F207" s="69">
        <v>914.6</v>
      </c>
      <c r="G207" s="69">
        <f t="shared" si="196"/>
        <v>640.22</v>
      </c>
      <c r="H207" s="70">
        <v>0.197327</v>
      </c>
      <c r="I207" s="69">
        <f t="shared" si="197"/>
        <v>-1656.6149035098003</v>
      </c>
      <c r="J207" s="79" t="s">
        <v>468</v>
      </c>
      <c r="K207" s="61">
        <f t="shared" si="198"/>
        <v>-133.53473278600001</v>
      </c>
      <c r="L207" s="61">
        <f t="shared" si="199"/>
        <v>14.257546661799999</v>
      </c>
      <c r="M207" s="58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 t="s">
        <v>382</v>
      </c>
      <c r="B208" s="32" t="s">
        <v>25</v>
      </c>
      <c r="C208" s="10">
        <v>10010311</v>
      </c>
      <c r="D208" s="2" t="s">
        <v>932</v>
      </c>
      <c r="E208" s="69">
        <v>-15827.15</v>
      </c>
      <c r="F208" s="69">
        <v>3828.15</v>
      </c>
      <c r="G208" s="69">
        <f t="shared" si="196"/>
        <v>2679.7049999999999</v>
      </c>
      <c r="H208" s="70">
        <v>0.197327</v>
      </c>
      <c r="I208" s="69">
        <f t="shared" si="197"/>
        <v>-2412.7416679489502</v>
      </c>
      <c r="J208" s="79" t="s">
        <v>468</v>
      </c>
      <c r="K208" s="61">
        <f t="shared" si="198"/>
        <v>-218.61868196350005</v>
      </c>
      <c r="L208" s="61">
        <f t="shared" si="199"/>
        <v>59.676391048950002</v>
      </c>
      <c r="M208" s="58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 t="s">
        <v>382</v>
      </c>
      <c r="B209" s="32" t="s">
        <v>145</v>
      </c>
      <c r="C209" s="2" t="s">
        <v>922</v>
      </c>
      <c r="D209" s="32" t="s">
        <v>923</v>
      </c>
      <c r="E209" s="32">
        <v>1177.6400000000001</v>
      </c>
      <c r="F209" s="32">
        <v>37.58</v>
      </c>
      <c r="G209" s="69">
        <f t="shared" si="196"/>
        <v>26.305999999999997</v>
      </c>
      <c r="H209" s="70">
        <v>1.10537</v>
      </c>
      <c r="I209" s="69">
        <f t="shared" ref="I209:I210" si="200">(E209+G209)*H209*0.9</f>
        <v>1197.7252110180002</v>
      </c>
      <c r="J209" s="19" t="s">
        <v>468</v>
      </c>
      <c r="K209" s="61">
        <f t="shared" ref="K209:K210" si="201">E209*0.1*H209</f>
        <v>130.17279268000001</v>
      </c>
      <c r="L209" s="61">
        <f t="shared" ref="L209:L210" si="202">(F209*0.05+G209*0.1)*H209</f>
        <v>4.9847765519999996</v>
      </c>
      <c r="M209" s="58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 t="s">
        <v>382</v>
      </c>
      <c r="B210" s="32" t="s">
        <v>146</v>
      </c>
      <c r="C210" s="2" t="s">
        <v>934</v>
      </c>
      <c r="D210" s="32" t="s">
        <v>935</v>
      </c>
      <c r="E210" s="69">
        <v>4056.09</v>
      </c>
      <c r="F210" s="69">
        <v>583.71</v>
      </c>
      <c r="G210" s="69">
        <f t="shared" si="196"/>
        <v>408.59699999999998</v>
      </c>
      <c r="H210" s="74">
        <v>1</v>
      </c>
      <c r="I210" s="69">
        <f t="shared" si="200"/>
        <v>4018.2183</v>
      </c>
      <c r="J210" s="19" t="s">
        <v>468</v>
      </c>
      <c r="K210" s="61">
        <f t="shared" si="201"/>
        <v>405.60900000000004</v>
      </c>
      <c r="L210" s="61">
        <f t="shared" si="202"/>
        <v>70.045200000000008</v>
      </c>
      <c r="M210" s="71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 t="s">
        <v>382</v>
      </c>
      <c r="B211" s="32" t="s">
        <v>140</v>
      </c>
      <c r="C211" s="10">
        <v>9741825</v>
      </c>
      <c r="D211" s="10" t="s">
        <v>904</v>
      </c>
      <c r="E211" s="32">
        <v>-1215</v>
      </c>
      <c r="F211" s="32">
        <v>50</v>
      </c>
      <c r="G211" s="69">
        <f>F211*0.65</f>
        <v>32.5</v>
      </c>
      <c r="H211" s="70">
        <v>0.66203730000000005</v>
      </c>
      <c r="I211" s="69">
        <f>((E211+G211)*0.9-24.2)*H211</f>
        <v>-720.59449918500013</v>
      </c>
      <c r="J211" s="19" t="s">
        <v>468</v>
      </c>
      <c r="K211" s="61">
        <v>0</v>
      </c>
      <c r="L211" s="61">
        <f>F211*0.05*H211*0.9</f>
        <v>1.4895839250000003</v>
      </c>
      <c r="M211" s="58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 t="s">
        <v>383</v>
      </c>
      <c r="B212" s="32" t="s">
        <v>35</v>
      </c>
      <c r="C212" s="2" t="s">
        <v>922</v>
      </c>
      <c r="D212" s="32" t="s">
        <v>923</v>
      </c>
      <c r="E212" s="32">
        <v>3506.75</v>
      </c>
      <c r="F212" s="32">
        <v>286.58999999999997</v>
      </c>
      <c r="G212" s="69">
        <f>F212*0.82</f>
        <v>235.00379999999996</v>
      </c>
      <c r="H212" s="75">
        <v>0.26668999999999998</v>
      </c>
      <c r="I212" s="69">
        <f>(E212+G212)*H212*0.783</f>
        <v>781.34655528192593</v>
      </c>
      <c r="J212" s="78">
        <f>F212*0.05*H212*0.87</f>
        <v>3.3247348888499997</v>
      </c>
      <c r="K212" s="61">
        <f>E212*0.087*H212</f>
        <v>81.363718702499995</v>
      </c>
      <c r="L212" s="61">
        <f>(F212*0.01*0.87+G212*0.087)*H212</f>
        <v>6.1175121954839984</v>
      </c>
      <c r="M212" s="58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32" t="s">
        <v>383</v>
      </c>
      <c r="B213" s="10" t="s">
        <v>132</v>
      </c>
      <c r="C213" s="10" t="s">
        <v>936</v>
      </c>
      <c r="D213" s="10" t="s">
        <v>937</v>
      </c>
      <c r="E213" s="32">
        <v>-10049.33</v>
      </c>
      <c r="F213" s="32">
        <v>9650.5</v>
      </c>
      <c r="G213" s="32">
        <f>F213*0.75</f>
        <v>7237.875</v>
      </c>
      <c r="H213" s="75">
        <v>0.26668999999999998</v>
      </c>
      <c r="I213" s="69">
        <f>(E213+G213)*H213*0.9</f>
        <v>-674.808240555</v>
      </c>
      <c r="J213" s="78">
        <f>F213*0.05*H213</f>
        <v>128.68459225000001</v>
      </c>
      <c r="K213" s="61">
        <f>E213*0.1*H213</f>
        <v>-268.00558176999999</v>
      </c>
      <c r="L213" s="61">
        <f>(F213*0.05+G213*0.1)*H213</f>
        <v>321.71148062499998</v>
      </c>
      <c r="M213" s="58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 t="s">
        <v>383</v>
      </c>
      <c r="B214" s="2" t="s">
        <v>138</v>
      </c>
      <c r="C214" s="10">
        <v>1086324</v>
      </c>
      <c r="D214" s="10" t="s">
        <v>920</v>
      </c>
      <c r="E214" s="32">
        <v>35252.300000000003</v>
      </c>
      <c r="F214" s="32">
        <v>28258.5</v>
      </c>
      <c r="G214" s="32">
        <f t="shared" ref="G214:G215" si="203">F214*0.66</f>
        <v>18650.61</v>
      </c>
      <c r="H214" s="70">
        <v>0.19317000000000001</v>
      </c>
      <c r="I214" s="69">
        <f t="shared" ref="I214:I215" si="204">(E214+G214)*H214</f>
        <v>10412.425124700001</v>
      </c>
      <c r="J214" s="79" t="s">
        <v>468</v>
      </c>
      <c r="K214" s="61">
        <v>0</v>
      </c>
      <c r="L214" s="61">
        <f t="shared" ref="L214:L215" si="205">F214*0.09*H214</f>
        <v>491.28250005000001</v>
      </c>
      <c r="M214" s="58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 t="s">
        <v>383</v>
      </c>
      <c r="B215" s="2" t="s">
        <v>138</v>
      </c>
      <c r="C215" s="10">
        <v>1107035</v>
      </c>
      <c r="D215" s="10" t="s">
        <v>930</v>
      </c>
      <c r="E215" s="32">
        <v>-46516.55</v>
      </c>
      <c r="F215" s="32">
        <v>43297.15</v>
      </c>
      <c r="G215" s="32">
        <f t="shared" si="203"/>
        <v>28576.119000000002</v>
      </c>
      <c r="H215" s="70">
        <v>0.19317000000000001</v>
      </c>
      <c r="I215" s="69">
        <f t="shared" si="204"/>
        <v>-3465.5530562700001</v>
      </c>
      <c r="J215" s="79" t="s">
        <v>468</v>
      </c>
      <c r="K215" s="61">
        <v>0</v>
      </c>
      <c r="L215" s="61">
        <f t="shared" si="205"/>
        <v>752.73394189500004</v>
      </c>
      <c r="M215" s="58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 t="s">
        <v>383</v>
      </c>
      <c r="B216" s="2" t="s">
        <v>148</v>
      </c>
      <c r="C216" s="10">
        <v>9747484</v>
      </c>
      <c r="D216" s="32" t="s">
        <v>898</v>
      </c>
      <c r="E216" s="69">
        <v>7683.7</v>
      </c>
      <c r="F216" s="69">
        <v>2193.3000000000002</v>
      </c>
      <c r="G216" s="69">
        <f>F216*0.7</f>
        <v>1535.31</v>
      </c>
      <c r="H216" s="70">
        <v>0.19305</v>
      </c>
      <c r="I216" s="69">
        <f>(E216+G216)*H216*0.85</f>
        <v>1512.7703984249999</v>
      </c>
      <c r="J216" s="19" t="s">
        <v>468</v>
      </c>
      <c r="K216" s="61">
        <f>E216*0.1*H216</f>
        <v>148.33382850000001</v>
      </c>
      <c r="L216" s="61">
        <f>(F216*0.05*0.95+G216*0.1)*H216</f>
        <v>49.751446387500003</v>
      </c>
      <c r="M216" s="71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 t="s">
        <v>383</v>
      </c>
      <c r="B217" s="32" t="s">
        <v>140</v>
      </c>
      <c r="C217" s="10">
        <v>9741825</v>
      </c>
      <c r="D217" s="10" t="s">
        <v>904</v>
      </c>
      <c r="E217" s="32">
        <v>-614.15</v>
      </c>
      <c r="F217" s="32">
        <v>1398.15</v>
      </c>
      <c r="G217" s="69">
        <f>F217*0.65</f>
        <v>908.79750000000013</v>
      </c>
      <c r="H217" s="70">
        <v>0.640926</v>
      </c>
      <c r="I217" s="69">
        <f>((E217+G217)*0.9)*H217</f>
        <v>169.96251922650012</v>
      </c>
      <c r="J217" s="19" t="s">
        <v>468</v>
      </c>
      <c r="K217" s="61">
        <v>0</v>
      </c>
      <c r="L217" s="61">
        <f>F217*0.05*H217*0.9</f>
        <v>40.324980910500003</v>
      </c>
      <c r="M217" s="58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 t="s">
        <v>383</v>
      </c>
      <c r="B218" s="2" t="s">
        <v>30</v>
      </c>
      <c r="C218" s="10">
        <v>10010311</v>
      </c>
      <c r="D218" s="10" t="s">
        <v>932</v>
      </c>
      <c r="E218" s="32">
        <v>20534.150000000001</v>
      </c>
      <c r="F218" s="32">
        <v>4828.95</v>
      </c>
      <c r="G218" s="69">
        <f t="shared" ref="G218:G223" si="206">F218*0.7</f>
        <v>3380.2649999999999</v>
      </c>
      <c r="H218" s="70">
        <v>0.19267699999999999</v>
      </c>
      <c r="I218" s="69">
        <f t="shared" ref="I218:I222" si="207">(E218+G218)*H218*0.93</f>
        <v>4285.2146972281498</v>
      </c>
      <c r="J218" s="79" t="s">
        <v>468</v>
      </c>
      <c r="K218" s="61">
        <f t="shared" ref="K218:K222" si="208">E218*0.07*H218</f>
        <v>276.95208936850003</v>
      </c>
      <c r="L218" s="61">
        <f t="shared" ref="L218:L222" si="209">(F218*0.03+G218*0.07)*H218</f>
        <v>73.503780332849999</v>
      </c>
      <c r="M218" s="58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32" t="s">
        <v>383</v>
      </c>
      <c r="B219" s="2" t="s">
        <v>30</v>
      </c>
      <c r="C219" s="10">
        <v>10010296</v>
      </c>
      <c r="D219" s="10" t="s">
        <v>931</v>
      </c>
      <c r="E219" s="32">
        <v>16695.55</v>
      </c>
      <c r="F219" s="32">
        <v>2155.5500000000002</v>
      </c>
      <c r="G219" s="69">
        <f t="shared" si="206"/>
        <v>1508.885</v>
      </c>
      <c r="H219" s="70">
        <v>0.19267699999999999</v>
      </c>
      <c r="I219" s="69">
        <f t="shared" si="207"/>
        <v>3262.0456079203495</v>
      </c>
      <c r="J219" s="79" t="s">
        <v>468</v>
      </c>
      <c r="K219" s="61">
        <f t="shared" si="208"/>
        <v>225.17939411449998</v>
      </c>
      <c r="L219" s="61">
        <f t="shared" si="209"/>
        <v>32.810667680649999</v>
      </c>
      <c r="M219" s="58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 t="s">
        <v>383</v>
      </c>
      <c r="B220" s="2" t="s">
        <v>30</v>
      </c>
      <c r="C220" s="10">
        <v>9747484</v>
      </c>
      <c r="D220" s="10" t="s">
        <v>898</v>
      </c>
      <c r="E220" s="32">
        <v>35700.949999999997</v>
      </c>
      <c r="F220" s="32">
        <v>3761.25</v>
      </c>
      <c r="G220" s="69">
        <f t="shared" si="206"/>
        <v>2632.875</v>
      </c>
      <c r="H220" s="70">
        <v>0.19267699999999999</v>
      </c>
      <c r="I220" s="69">
        <f t="shared" si="207"/>
        <v>6869.02315155825</v>
      </c>
      <c r="J220" s="79" t="s">
        <v>468</v>
      </c>
      <c r="K220" s="61">
        <f t="shared" si="208"/>
        <v>481.51263602049994</v>
      </c>
      <c r="L220" s="61">
        <f t="shared" si="209"/>
        <v>57.25180293375</v>
      </c>
      <c r="M220" s="58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 t="s">
        <v>383</v>
      </c>
      <c r="B221" s="32" t="s">
        <v>25</v>
      </c>
      <c r="C221" s="10">
        <v>10010311</v>
      </c>
      <c r="D221" s="2" t="s">
        <v>932</v>
      </c>
      <c r="E221" s="69">
        <v>-8794.5</v>
      </c>
      <c r="F221" s="69">
        <v>268.7</v>
      </c>
      <c r="G221" s="69">
        <f t="shared" si="206"/>
        <v>188.08999999999997</v>
      </c>
      <c r="H221" s="70">
        <v>0.19283007999999999</v>
      </c>
      <c r="I221" s="69">
        <f t="shared" si="207"/>
        <v>-1543.4044977959038</v>
      </c>
      <c r="J221" s="79" t="s">
        <v>468</v>
      </c>
      <c r="K221" s="61">
        <f t="shared" si="208"/>
        <v>-118.70908969919999</v>
      </c>
      <c r="L221" s="61">
        <f t="shared" si="209"/>
        <v>4.0932619571839997</v>
      </c>
      <c r="M221" s="58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32" t="s">
        <v>383</v>
      </c>
      <c r="B222" s="32" t="s">
        <v>25</v>
      </c>
      <c r="C222" s="10">
        <v>10011898</v>
      </c>
      <c r="D222" s="2" t="s">
        <v>933</v>
      </c>
      <c r="E222" s="69">
        <v>9575.0499999999993</v>
      </c>
      <c r="F222" s="69">
        <v>7838.85</v>
      </c>
      <c r="G222" s="69">
        <f t="shared" si="206"/>
        <v>5487.1949999999997</v>
      </c>
      <c r="H222" s="70">
        <v>0.19283007999999999</v>
      </c>
      <c r="I222" s="69">
        <f t="shared" si="207"/>
        <v>2701.1421347465275</v>
      </c>
      <c r="J222" s="79" t="s">
        <v>468</v>
      </c>
      <c r="K222" s="61">
        <f t="shared" si="208"/>
        <v>129.24503602528</v>
      </c>
      <c r="L222" s="61">
        <f t="shared" si="209"/>
        <v>119.41371973603201</v>
      </c>
      <c r="M222" s="58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s="122" customFormat="1" ht="13.8" x14ac:dyDescent="0.3">
      <c r="A223" s="116" t="s">
        <v>383</v>
      </c>
      <c r="B223" s="116" t="s">
        <v>145</v>
      </c>
      <c r="C223" s="118" t="s">
        <v>922</v>
      </c>
      <c r="D223" s="116" t="s">
        <v>923</v>
      </c>
      <c r="E223" s="116">
        <v>-2563.11</v>
      </c>
      <c r="F223" s="116">
        <v>1365.33</v>
      </c>
      <c r="G223" s="119">
        <f>F223*0.7</f>
        <v>955.73099999999988</v>
      </c>
      <c r="H223" s="120">
        <v>1.0934900000000001</v>
      </c>
      <c r="I223" s="119">
        <f>(E223+G223)*H223*0.9</f>
        <v>-1581.8875764390007</v>
      </c>
      <c r="J223" s="123" t="s">
        <v>468</v>
      </c>
      <c r="K223" s="61">
        <f>E223*0.1*H223</f>
        <v>-280.27351539000006</v>
      </c>
      <c r="L223" s="61">
        <f>(F223*0.05+G223*0.1)*H223</f>
        <v>179.15696420399999</v>
      </c>
      <c r="M223" s="58"/>
      <c r="N223" s="118"/>
      <c r="O223" s="118"/>
      <c r="P223" s="116"/>
      <c r="Q223" s="116"/>
      <c r="R223" s="116"/>
      <c r="S223" s="116"/>
      <c r="T223" s="118"/>
      <c r="U223" s="118"/>
      <c r="V223" s="118"/>
      <c r="W223" s="118"/>
      <c r="X223" s="118"/>
      <c r="Y223" s="118"/>
      <c r="Z223" s="118"/>
    </row>
    <row r="224" spans="1:26" ht="13.8" x14ac:dyDescent="0.3">
      <c r="A224" s="2" t="s">
        <v>384</v>
      </c>
      <c r="B224" s="29" t="s">
        <v>35</v>
      </c>
      <c r="C224" s="2" t="s">
        <v>922</v>
      </c>
      <c r="D224" s="32" t="s">
        <v>923</v>
      </c>
      <c r="E224" s="69">
        <v>448.2</v>
      </c>
      <c r="F224" s="69">
        <v>24.9</v>
      </c>
      <c r="G224" s="69">
        <f t="shared" ref="G224:G226" si="210">F224*0.82</f>
        <v>20.417999999999999</v>
      </c>
      <c r="H224" s="75">
        <v>0.26494000000000001</v>
      </c>
      <c r="I224" s="69">
        <f t="shared" ref="I224:I226" si="211">(E224+G224)*H224*0.783</f>
        <v>97.213876236360008</v>
      </c>
      <c r="J224" s="78">
        <f t="shared" ref="J224:J226" si="212">F224*0.05*H224*0.87</f>
        <v>0.28696976100000005</v>
      </c>
      <c r="K224" s="61">
        <f t="shared" ref="K224:K226" si="213">E224*0.087*H224</f>
        <v>10.330911395999999</v>
      </c>
      <c r="L224" s="61">
        <f t="shared" ref="L224:L226" si="214">(F224*0.01*0.87+G224*0.087)*H224</f>
        <v>0.52802436023999999</v>
      </c>
      <c r="M224" s="58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 t="s">
        <v>384</v>
      </c>
      <c r="B225" s="29" t="s">
        <v>35</v>
      </c>
      <c r="C225" s="10" t="s">
        <v>924</v>
      </c>
      <c r="D225" s="10" t="s">
        <v>925</v>
      </c>
      <c r="E225" s="32">
        <v>-3468</v>
      </c>
      <c r="F225" s="32">
        <v>173.4</v>
      </c>
      <c r="G225" s="69">
        <f t="shared" si="210"/>
        <v>142.18799999999999</v>
      </c>
      <c r="H225" s="75">
        <v>0.26494000000000001</v>
      </c>
      <c r="I225" s="69">
        <f t="shared" si="211"/>
        <v>-689.93311429224002</v>
      </c>
      <c r="J225" s="78">
        <f t="shared" si="212"/>
        <v>1.9984159260000003</v>
      </c>
      <c r="K225" s="61">
        <f t="shared" si="213"/>
        <v>-79.936637039999994</v>
      </c>
      <c r="L225" s="61">
        <f t="shared" si="214"/>
        <v>3.6770853038399993</v>
      </c>
      <c r="M225" s="58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 t="s">
        <v>384</v>
      </c>
      <c r="B226" s="29" t="s">
        <v>35</v>
      </c>
      <c r="C226" s="10" t="s">
        <v>926</v>
      </c>
      <c r="D226" s="10" t="s">
        <v>927</v>
      </c>
      <c r="E226" s="32">
        <v>-100</v>
      </c>
      <c r="F226" s="32">
        <v>0</v>
      </c>
      <c r="G226" s="69">
        <f t="shared" si="210"/>
        <v>0</v>
      </c>
      <c r="H226" s="75">
        <v>0.26494000000000001</v>
      </c>
      <c r="I226" s="69">
        <f t="shared" si="211"/>
        <v>-20.744802</v>
      </c>
      <c r="J226" s="78">
        <f t="shared" si="212"/>
        <v>0</v>
      </c>
      <c r="K226" s="61">
        <f t="shared" si="213"/>
        <v>-2.3049779999999997</v>
      </c>
      <c r="L226" s="61">
        <f t="shared" si="214"/>
        <v>0</v>
      </c>
      <c r="M226" s="58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2" t="s">
        <v>384</v>
      </c>
      <c r="B227" s="10" t="s">
        <v>132</v>
      </c>
      <c r="C227" s="10" t="s">
        <v>936</v>
      </c>
      <c r="D227" s="10" t="s">
        <v>937</v>
      </c>
      <c r="E227" s="32">
        <v>22029.72</v>
      </c>
      <c r="F227" s="32">
        <v>17829.77</v>
      </c>
      <c r="G227" s="32">
        <f>F227*0.75</f>
        <v>13372.327499999999</v>
      </c>
      <c r="H227" s="75">
        <v>0.26494000000000001</v>
      </c>
      <c r="I227" s="69">
        <f>(E227+G227)*H227*0.9</f>
        <v>8441.4766181850009</v>
      </c>
      <c r="J227" s="78">
        <f>F227*0.05*H227</f>
        <v>236.19096319000002</v>
      </c>
      <c r="K227" s="61">
        <f>E227*0.1*H227</f>
        <v>583.65540168000007</v>
      </c>
      <c r="L227" s="61">
        <f>(F227*0.05+G227*0.1)*H227</f>
        <v>590.47740797500001</v>
      </c>
      <c r="M227" s="58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2" t="s">
        <v>384</v>
      </c>
      <c r="B228" s="2" t="s">
        <v>138</v>
      </c>
      <c r="C228" s="10">
        <v>1086324</v>
      </c>
      <c r="D228" s="10" t="s">
        <v>920</v>
      </c>
      <c r="E228" s="32">
        <v>-27053.3</v>
      </c>
      <c r="F228" s="32">
        <v>17143.7</v>
      </c>
      <c r="G228" s="32">
        <f t="shared" ref="G228:G230" si="215">F228*0.66</f>
        <v>11314.842000000001</v>
      </c>
      <c r="H228" s="70">
        <v>0.19320599999999999</v>
      </c>
      <c r="I228" s="69">
        <f t="shared" ref="I228:I230" si="216">(E228+G228)*H228</f>
        <v>-3040.7645163479997</v>
      </c>
      <c r="J228" s="79" t="s">
        <v>468</v>
      </c>
      <c r="K228" s="61">
        <v>0</v>
      </c>
      <c r="L228" s="61">
        <f t="shared" ref="L228:L230" si="217">F228*0.09*H228</f>
        <v>298.10391319799999</v>
      </c>
      <c r="M228" s="58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2" t="s">
        <v>384</v>
      </c>
      <c r="B229" s="2" t="s">
        <v>138</v>
      </c>
      <c r="C229" s="10">
        <v>1086327</v>
      </c>
      <c r="D229" s="10" t="s">
        <v>921</v>
      </c>
      <c r="E229" s="32">
        <v>-64669.25</v>
      </c>
      <c r="F229" s="32">
        <v>16112.35</v>
      </c>
      <c r="G229" s="32">
        <f t="shared" si="215"/>
        <v>10634.151</v>
      </c>
      <c r="H229" s="70">
        <v>0.19320599999999999</v>
      </c>
      <c r="I229" s="69">
        <f t="shared" si="216"/>
        <v>-10439.905337394001</v>
      </c>
      <c r="J229" s="79" t="s">
        <v>468</v>
      </c>
      <c r="K229" s="61">
        <v>0</v>
      </c>
      <c r="L229" s="61">
        <f t="shared" si="217"/>
        <v>280.17024246899996</v>
      </c>
      <c r="M229" s="58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2" t="s">
        <v>384</v>
      </c>
      <c r="B230" s="2" t="s">
        <v>138</v>
      </c>
      <c r="C230" s="10">
        <v>1107035</v>
      </c>
      <c r="D230" s="10" t="s">
        <v>930</v>
      </c>
      <c r="E230" s="32">
        <v>-68258.100000000006</v>
      </c>
      <c r="F230" s="32">
        <v>21654.7</v>
      </c>
      <c r="G230" s="32">
        <f t="shared" si="215"/>
        <v>14292.102000000001</v>
      </c>
      <c r="H230" s="70">
        <v>0.19320599999999999</v>
      </c>
      <c r="I230" s="69">
        <f t="shared" si="216"/>
        <v>-10426.554609588</v>
      </c>
      <c r="J230" s="79" t="s">
        <v>468</v>
      </c>
      <c r="K230" s="61">
        <v>0</v>
      </c>
      <c r="L230" s="61">
        <f t="shared" si="217"/>
        <v>376.543617138</v>
      </c>
      <c r="M230" s="58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2" t="s">
        <v>384</v>
      </c>
      <c r="B231" s="2" t="s">
        <v>148</v>
      </c>
      <c r="C231" s="10">
        <v>9747484</v>
      </c>
      <c r="D231" s="32" t="s">
        <v>898</v>
      </c>
      <c r="E231" s="69">
        <v>46652.7</v>
      </c>
      <c r="F231" s="69">
        <v>2610.6999999999998</v>
      </c>
      <c r="G231" s="69">
        <f>F231*0.7</f>
        <v>1827.4899999999998</v>
      </c>
      <c r="H231" s="70">
        <v>0.19342400000000001</v>
      </c>
      <c r="I231" s="69">
        <f>(E231+G231)*H231*0.85</f>
        <v>7970.6474299759993</v>
      </c>
      <c r="J231" s="19" t="s">
        <v>468</v>
      </c>
      <c r="K231" s="61">
        <f>E231*0.1*H231</f>
        <v>902.37518447999992</v>
      </c>
      <c r="L231" s="61">
        <f>(F231*0.05*0.95+G231*0.1)*H231</f>
        <v>59.334214324000001</v>
      </c>
      <c r="M231" s="71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2" t="s">
        <v>384</v>
      </c>
      <c r="B232" s="32" t="s">
        <v>140</v>
      </c>
      <c r="C232" s="10">
        <v>9741825</v>
      </c>
      <c r="D232" s="10" t="s">
        <v>904</v>
      </c>
      <c r="E232" s="32">
        <v>-1485.65</v>
      </c>
      <c r="F232" s="32">
        <v>143.30000000000001</v>
      </c>
      <c r="G232" s="69">
        <f>F232*0.65</f>
        <v>93.14500000000001</v>
      </c>
      <c r="H232" s="70">
        <v>0.64603615999999997</v>
      </c>
      <c r="I232" s="69">
        <f>((E232+G232)*0.9+154.56)*H232</f>
        <v>-709.79637579312021</v>
      </c>
      <c r="J232" s="19" t="s">
        <v>468</v>
      </c>
      <c r="K232" s="61">
        <v>0</v>
      </c>
      <c r="L232" s="61">
        <f>F232*0.05*H232*0.9</f>
        <v>4.1659641777600012</v>
      </c>
      <c r="M232" s="58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32" t="s">
        <v>384</v>
      </c>
      <c r="B233" s="32" t="s">
        <v>43</v>
      </c>
      <c r="C233" s="10">
        <v>9747484</v>
      </c>
      <c r="D233" s="32" t="s">
        <v>898</v>
      </c>
      <c r="E233" s="69">
        <v>500</v>
      </c>
      <c r="F233" s="32">
        <v>126.82</v>
      </c>
      <c r="G233" s="32">
        <f t="shared" ref="G233:G241" si="218">F233*0.7</f>
        <v>88.773999999999987</v>
      </c>
      <c r="H233" s="75">
        <v>0.64562200000000003</v>
      </c>
      <c r="I233" s="69">
        <f t="shared" ref="I233:I236" si="219">(E233+G233)*H233*0.9</f>
        <v>342.11290268520003</v>
      </c>
      <c r="J233" s="19" t="s">
        <v>468</v>
      </c>
      <c r="K233" s="61">
        <f t="shared" ref="K233:K236" si="220">E233*0.1*H233</f>
        <v>32.281100000000002</v>
      </c>
      <c r="L233" s="61">
        <f t="shared" ref="L233:L236" si="221">(F233*0.05+G233*0.1)*H233</f>
        <v>9.8253338447999994</v>
      </c>
      <c r="M233" s="58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32" t="s">
        <v>384</v>
      </c>
      <c r="B234" s="32" t="s">
        <v>145</v>
      </c>
      <c r="C234" s="2" t="s">
        <v>922</v>
      </c>
      <c r="D234" s="10" t="s">
        <v>923</v>
      </c>
      <c r="E234" s="32">
        <v>-360</v>
      </c>
      <c r="F234" s="32">
        <v>10.8</v>
      </c>
      <c r="G234" s="69">
        <f t="shared" si="218"/>
        <v>7.56</v>
      </c>
      <c r="H234" s="70">
        <v>1.0978699999999999</v>
      </c>
      <c r="I234" s="69">
        <f t="shared" si="219"/>
        <v>-348.23997251999998</v>
      </c>
      <c r="J234" s="19" t="s">
        <v>468</v>
      </c>
      <c r="K234" s="61">
        <f t="shared" si="220"/>
        <v>-39.523319999999998</v>
      </c>
      <c r="L234" s="61">
        <f t="shared" si="221"/>
        <v>1.4228395199999999</v>
      </c>
      <c r="M234" s="58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32" t="s">
        <v>384</v>
      </c>
      <c r="B235" s="32" t="s">
        <v>145</v>
      </c>
      <c r="C235" s="10" t="s">
        <v>924</v>
      </c>
      <c r="D235" s="32" t="s">
        <v>925</v>
      </c>
      <c r="E235" s="69">
        <v>4788.8900000000003</v>
      </c>
      <c r="F235" s="69">
        <v>602</v>
      </c>
      <c r="G235" s="69">
        <f t="shared" si="218"/>
        <v>421.4</v>
      </c>
      <c r="H235" s="70">
        <v>1.0978699999999999</v>
      </c>
      <c r="I235" s="69">
        <f t="shared" si="219"/>
        <v>5148.1989740700001</v>
      </c>
      <c r="J235" s="19" t="s">
        <v>468</v>
      </c>
      <c r="K235" s="61">
        <f t="shared" si="220"/>
        <v>525.75786643000004</v>
      </c>
      <c r="L235" s="61">
        <f t="shared" si="221"/>
        <v>79.310128800000001</v>
      </c>
      <c r="M235" s="58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32" t="s">
        <v>384</v>
      </c>
      <c r="B236" s="32" t="s">
        <v>145</v>
      </c>
      <c r="C236" s="10" t="s">
        <v>908</v>
      </c>
      <c r="D236" s="10" t="s">
        <v>909</v>
      </c>
      <c r="E236" s="32">
        <v>11184.32</v>
      </c>
      <c r="F236" s="32">
        <v>4185.75</v>
      </c>
      <c r="G236" s="69">
        <f t="shared" si="218"/>
        <v>2930.0249999999996</v>
      </c>
      <c r="H236" s="70">
        <v>1.0978699999999999</v>
      </c>
      <c r="I236" s="69">
        <f t="shared" si="219"/>
        <v>13946.144350634999</v>
      </c>
      <c r="J236" s="19" t="s">
        <v>468</v>
      </c>
      <c r="K236" s="61">
        <f t="shared" si="220"/>
        <v>1227.8929398399998</v>
      </c>
      <c r="L236" s="61">
        <f t="shared" si="221"/>
        <v>551.4491223</v>
      </c>
      <c r="M236" s="58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32" t="s">
        <v>384</v>
      </c>
      <c r="B237" s="2" t="s">
        <v>30</v>
      </c>
      <c r="C237" s="10">
        <v>10010296</v>
      </c>
      <c r="D237" s="10" t="s">
        <v>931</v>
      </c>
      <c r="E237" s="32">
        <v>-47741.4</v>
      </c>
      <c r="F237" s="32">
        <v>20931.7</v>
      </c>
      <c r="G237" s="69">
        <f t="shared" si="218"/>
        <v>14652.189999999999</v>
      </c>
      <c r="H237" s="70">
        <v>0.19317400000000001</v>
      </c>
      <c r="I237" s="69">
        <f t="shared" ref="I237:I241" si="222">(E237+G237)*H237*0.93</f>
        <v>-5944.536798862202</v>
      </c>
      <c r="J237" s="79" t="s">
        <v>468</v>
      </c>
      <c r="K237" s="61">
        <f t="shared" ref="K237:K241" si="223">E237*0.07*H237</f>
        <v>-645.5678042520002</v>
      </c>
      <c r="L237" s="61">
        <f t="shared" ref="L237:L241" si="224">(F237*0.03+G237*0.07)*H237</f>
        <v>319.43335704820004</v>
      </c>
      <c r="M237" s="58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32" t="s">
        <v>384</v>
      </c>
      <c r="B238" s="2" t="s">
        <v>30</v>
      </c>
      <c r="C238" s="10">
        <v>10010311</v>
      </c>
      <c r="D238" s="10" t="s">
        <v>932</v>
      </c>
      <c r="E238" s="32">
        <v>82722.100000000006</v>
      </c>
      <c r="F238" s="32">
        <v>8950.9500000000007</v>
      </c>
      <c r="G238" s="69">
        <f t="shared" si="218"/>
        <v>6265.665</v>
      </c>
      <c r="H238" s="70">
        <v>0.19317400000000001</v>
      </c>
      <c r="I238" s="69">
        <f t="shared" si="222"/>
        <v>15986.813939982301</v>
      </c>
      <c r="J238" s="79" t="s">
        <v>468</v>
      </c>
      <c r="K238" s="61">
        <f t="shared" si="223"/>
        <v>1118.5831261780004</v>
      </c>
      <c r="L238" s="61">
        <f t="shared" si="224"/>
        <v>136.59817440870003</v>
      </c>
      <c r="M238" s="58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32" t="s">
        <v>384</v>
      </c>
      <c r="B239" s="2" t="s">
        <v>30</v>
      </c>
      <c r="C239" s="10">
        <v>9747484</v>
      </c>
      <c r="D239" s="10" t="s">
        <v>898</v>
      </c>
      <c r="E239" s="32">
        <v>-12306.75</v>
      </c>
      <c r="F239" s="32">
        <v>874.45</v>
      </c>
      <c r="G239" s="69">
        <f t="shared" si="218"/>
        <v>612.11500000000001</v>
      </c>
      <c r="H239" s="70">
        <v>0.19317400000000001</v>
      </c>
      <c r="I239" s="69">
        <f t="shared" si="222"/>
        <v>-2100.9624619857004</v>
      </c>
      <c r="J239" s="79" t="s">
        <v>468</v>
      </c>
      <c r="K239" s="61">
        <f t="shared" si="223"/>
        <v>-166.41408871500002</v>
      </c>
      <c r="L239" s="61">
        <f t="shared" si="224"/>
        <v>13.344759339700003</v>
      </c>
      <c r="M239" s="58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 t="s">
        <v>384</v>
      </c>
      <c r="B240" s="32" t="s">
        <v>25</v>
      </c>
      <c r="C240" s="10">
        <v>10011898</v>
      </c>
      <c r="D240" s="2" t="s">
        <v>933</v>
      </c>
      <c r="E240" s="69">
        <v>-2516.35</v>
      </c>
      <c r="F240" s="69">
        <v>9069.9</v>
      </c>
      <c r="G240" s="69">
        <f t="shared" si="218"/>
        <v>6348.9299999999994</v>
      </c>
      <c r="H240" s="70">
        <v>0.19106799999999999</v>
      </c>
      <c r="I240" s="69">
        <f t="shared" si="222"/>
        <v>681.02355775919989</v>
      </c>
      <c r="J240" s="79" t="s">
        <v>468</v>
      </c>
      <c r="K240" s="61">
        <f t="shared" si="223"/>
        <v>-33.655577326</v>
      </c>
      <c r="L240" s="61">
        <f t="shared" si="224"/>
        <v>136.90444460279997</v>
      </c>
      <c r="M240" s="58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 t="s">
        <v>384</v>
      </c>
      <c r="B241" s="32" t="s">
        <v>25</v>
      </c>
      <c r="C241" s="10">
        <v>10010311</v>
      </c>
      <c r="D241" s="2" t="s">
        <v>932</v>
      </c>
      <c r="E241" s="69">
        <v>8720</v>
      </c>
      <c r="F241" s="69">
        <v>461.8</v>
      </c>
      <c r="G241" s="69">
        <f t="shared" si="218"/>
        <v>323.26</v>
      </c>
      <c r="H241" s="70">
        <v>0.19106799999999999</v>
      </c>
      <c r="I241" s="69">
        <f t="shared" si="222"/>
        <v>1606.9261695624</v>
      </c>
      <c r="J241" s="79" t="s">
        <v>468</v>
      </c>
      <c r="K241" s="61">
        <f t="shared" si="223"/>
        <v>116.62790720000001</v>
      </c>
      <c r="L241" s="61">
        <f t="shared" si="224"/>
        <v>6.9705809896000011</v>
      </c>
      <c r="M241" s="58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84" t="s">
        <v>520</v>
      </c>
      <c r="L245" s="32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69"/>
      <c r="L246" s="32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69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69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69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69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69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69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69"/>
      <c r="L253" s="32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69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69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69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69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69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>
        <f>SUM(J2:J300)</f>
        <v>3728.1791887758495</v>
      </c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10" sqref="B10"/>
    </sheetView>
  </sheetViews>
  <sheetFormatPr defaultColWidth="12.6640625" defaultRowHeight="15.75" customHeight="1" x14ac:dyDescent="0.25"/>
  <cols>
    <col min="1" max="13" width="12.6640625" customWidth="1"/>
    <col min="14" max="20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521</v>
      </c>
      <c r="D1" s="63" t="s">
        <v>522</v>
      </c>
      <c r="E1" s="63" t="s">
        <v>399</v>
      </c>
      <c r="F1" s="62" t="s">
        <v>400</v>
      </c>
      <c r="G1" s="62" t="s">
        <v>401</v>
      </c>
      <c r="H1" s="62" t="s">
        <v>402</v>
      </c>
      <c r="I1" s="62" t="s">
        <v>403</v>
      </c>
      <c r="J1" s="64" t="s">
        <v>404</v>
      </c>
      <c r="K1" s="62" t="s">
        <v>405</v>
      </c>
      <c r="L1" s="65" t="s">
        <v>406</v>
      </c>
      <c r="M1" s="65" t="s">
        <v>407</v>
      </c>
      <c r="N1" s="65" t="s">
        <v>408</v>
      </c>
      <c r="O1" s="66" t="s">
        <v>409</v>
      </c>
      <c r="P1" s="66" t="s">
        <v>294</v>
      </c>
      <c r="Q1" s="66" t="s">
        <v>410</v>
      </c>
      <c r="R1" s="67" t="s">
        <v>283</v>
      </c>
      <c r="S1" s="67" t="s">
        <v>284</v>
      </c>
      <c r="T1" s="68" t="s">
        <v>285</v>
      </c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164</v>
      </c>
      <c r="C2" s="10" t="s">
        <v>15</v>
      </c>
      <c r="D2" s="10" t="s">
        <v>15</v>
      </c>
      <c r="E2" s="2" t="s">
        <v>15</v>
      </c>
      <c r="F2" s="32" t="s">
        <v>938</v>
      </c>
      <c r="G2" s="69">
        <v>-372.28</v>
      </c>
      <c r="H2" s="69">
        <v>3118.72</v>
      </c>
      <c r="I2" s="69">
        <f t="shared" ref="I2:I6" si="0">H2*0.55</f>
        <v>1715.296</v>
      </c>
      <c r="J2" s="70">
        <v>1</v>
      </c>
      <c r="K2" s="69">
        <f t="shared" ref="K2:K6" si="1">(G2+I2)*J2</f>
        <v>1343.0160000000001</v>
      </c>
      <c r="L2" s="61">
        <v>0</v>
      </c>
      <c r="M2" s="61">
        <f t="shared" ref="M2:M6" si="2">H2*0.075*J2</f>
        <v>233.90399999999997</v>
      </c>
      <c r="N2" s="61">
        <f>SUM(L:M)</f>
        <v>792.86775</v>
      </c>
      <c r="O2" s="2" t="s">
        <v>412</v>
      </c>
      <c r="P2" s="2" t="s">
        <v>413</v>
      </c>
      <c r="Q2" s="32">
        <v>147.26</v>
      </c>
      <c r="R2" s="32">
        <f>SUM(K:K)</f>
        <v>-6484.846499999996</v>
      </c>
      <c r="S2" s="32">
        <f>SUM(Q:Q)</f>
        <v>24130.47</v>
      </c>
      <c r="T2" s="32">
        <f>R2+S2</f>
        <v>17645.623500000005</v>
      </c>
      <c r="U2" s="2"/>
      <c r="V2" s="2"/>
      <c r="W2" s="2"/>
      <c r="X2" s="2"/>
      <c r="Y2" s="2"/>
      <c r="Z2" s="2"/>
    </row>
    <row r="3" spans="1:26" ht="15.75" customHeight="1" x14ac:dyDescent="0.3">
      <c r="A3" s="32" t="s">
        <v>317</v>
      </c>
      <c r="B3" s="32" t="s">
        <v>164</v>
      </c>
      <c r="C3" s="10" t="s">
        <v>15</v>
      </c>
      <c r="D3" s="10" t="s">
        <v>15</v>
      </c>
      <c r="E3" s="2" t="s">
        <v>15</v>
      </c>
      <c r="F3" s="32" t="s">
        <v>939</v>
      </c>
      <c r="G3" s="69">
        <v>451.38</v>
      </c>
      <c r="H3" s="69">
        <v>75.099999999999994</v>
      </c>
      <c r="I3" s="69">
        <f t="shared" si="0"/>
        <v>41.305</v>
      </c>
      <c r="J3" s="70">
        <v>1</v>
      </c>
      <c r="K3" s="69">
        <f t="shared" si="1"/>
        <v>492.685</v>
      </c>
      <c r="L3" s="61">
        <v>0</v>
      </c>
      <c r="M3" s="61">
        <f t="shared" si="2"/>
        <v>5.6324999999999994</v>
      </c>
      <c r="N3" s="61"/>
      <c r="O3" s="2" t="s">
        <v>290</v>
      </c>
      <c r="P3" s="2" t="s">
        <v>940</v>
      </c>
      <c r="Q3" s="32">
        <v>-40.29</v>
      </c>
      <c r="R3" s="32"/>
      <c r="S3" s="32"/>
      <c r="T3" s="32"/>
      <c r="U3" s="2"/>
      <c r="V3" s="2"/>
      <c r="W3" s="2"/>
      <c r="X3" s="2"/>
      <c r="Y3" s="2"/>
      <c r="Z3" s="2"/>
    </row>
    <row r="4" spans="1:26" ht="15.75" customHeight="1" x14ac:dyDescent="0.3">
      <c r="A4" s="2" t="s">
        <v>325</v>
      </c>
      <c r="B4" s="32" t="s">
        <v>164</v>
      </c>
      <c r="C4" s="10" t="s">
        <v>15</v>
      </c>
      <c r="D4" s="10" t="s">
        <v>15</v>
      </c>
      <c r="E4" s="2" t="s">
        <v>15</v>
      </c>
      <c r="F4" s="32" t="s">
        <v>938</v>
      </c>
      <c r="G4" s="69">
        <v>-1690.91</v>
      </c>
      <c r="H4" s="69">
        <v>40</v>
      </c>
      <c r="I4" s="69">
        <f t="shared" si="0"/>
        <v>22</v>
      </c>
      <c r="J4" s="70">
        <v>1</v>
      </c>
      <c r="K4" s="69">
        <f t="shared" si="1"/>
        <v>-1668.91</v>
      </c>
      <c r="L4" s="61">
        <v>0</v>
      </c>
      <c r="M4" s="61">
        <f t="shared" si="2"/>
        <v>3</v>
      </c>
      <c r="N4" s="61"/>
      <c r="O4" s="2" t="s">
        <v>304</v>
      </c>
      <c r="P4" s="29" t="s">
        <v>941</v>
      </c>
      <c r="Q4" s="32">
        <v>-105.43</v>
      </c>
      <c r="R4" s="32"/>
      <c r="S4" s="32"/>
      <c r="T4" s="32"/>
      <c r="U4" s="2"/>
      <c r="V4" s="2"/>
      <c r="W4" s="2"/>
      <c r="X4" s="2"/>
      <c r="Y4" s="2"/>
      <c r="Z4" s="2"/>
    </row>
    <row r="5" spans="1:26" ht="15.75" customHeight="1" x14ac:dyDescent="0.3">
      <c r="A5" s="2" t="s">
        <v>332</v>
      </c>
      <c r="B5" s="32" t="s">
        <v>164</v>
      </c>
      <c r="C5" s="10" t="s">
        <v>15</v>
      </c>
      <c r="D5" s="10" t="s">
        <v>15</v>
      </c>
      <c r="E5" s="2" t="s">
        <v>15</v>
      </c>
      <c r="F5" s="32" t="s">
        <v>938</v>
      </c>
      <c r="G5" s="69">
        <v>6131.52</v>
      </c>
      <c r="H5" s="69">
        <v>383.1</v>
      </c>
      <c r="I5" s="69">
        <f t="shared" si="0"/>
        <v>210.70500000000004</v>
      </c>
      <c r="J5" s="70">
        <v>1</v>
      </c>
      <c r="K5" s="69">
        <f t="shared" si="1"/>
        <v>6342.2250000000004</v>
      </c>
      <c r="L5" s="61">
        <v>0</v>
      </c>
      <c r="M5" s="61">
        <f t="shared" si="2"/>
        <v>28.732500000000002</v>
      </c>
      <c r="N5" s="61"/>
      <c r="O5" s="32" t="s">
        <v>312</v>
      </c>
      <c r="P5" s="32" t="s">
        <v>473</v>
      </c>
      <c r="Q5" s="69">
        <v>-1344.56</v>
      </c>
      <c r="R5" s="32"/>
      <c r="S5" s="32"/>
      <c r="T5" s="32"/>
      <c r="U5" s="2"/>
      <c r="V5" s="2"/>
      <c r="W5" s="2"/>
      <c r="X5" s="2"/>
      <c r="Y5" s="2"/>
      <c r="Z5" s="2"/>
    </row>
    <row r="6" spans="1:26" ht="15.75" customHeight="1" x14ac:dyDescent="0.3">
      <c r="A6" s="2" t="s">
        <v>340</v>
      </c>
      <c r="B6" s="32" t="s">
        <v>164</v>
      </c>
      <c r="C6" s="10" t="s">
        <v>15</v>
      </c>
      <c r="D6" s="10" t="s">
        <v>15</v>
      </c>
      <c r="E6" s="2" t="s">
        <v>15</v>
      </c>
      <c r="F6" s="32" t="s">
        <v>938</v>
      </c>
      <c r="G6" s="69">
        <v>137.97</v>
      </c>
      <c r="H6" s="69">
        <v>96</v>
      </c>
      <c r="I6" s="69">
        <f t="shared" si="0"/>
        <v>52.800000000000004</v>
      </c>
      <c r="J6" s="70">
        <v>1</v>
      </c>
      <c r="K6" s="69">
        <f t="shared" si="1"/>
        <v>190.77</v>
      </c>
      <c r="L6" s="61">
        <v>0</v>
      </c>
      <c r="M6" s="61">
        <f t="shared" si="2"/>
        <v>7.1999999999999993</v>
      </c>
      <c r="N6" s="61"/>
      <c r="O6" s="32" t="s">
        <v>295</v>
      </c>
      <c r="P6" s="2" t="s">
        <v>942</v>
      </c>
      <c r="Q6" s="69">
        <v>-14.78</v>
      </c>
      <c r="R6" s="32"/>
      <c r="S6" s="32"/>
      <c r="T6" s="32"/>
      <c r="U6" s="2"/>
      <c r="V6" s="2"/>
      <c r="W6" s="2"/>
      <c r="X6" s="2"/>
      <c r="Y6" s="2"/>
      <c r="Z6" s="2"/>
    </row>
    <row r="7" spans="1:26" ht="15.75" customHeight="1" x14ac:dyDescent="0.3">
      <c r="A7" s="32" t="s">
        <v>359</v>
      </c>
      <c r="B7" s="46" t="s">
        <v>468</v>
      </c>
      <c r="C7" s="10" t="s">
        <v>468</v>
      </c>
      <c r="D7" s="10" t="s">
        <v>468</v>
      </c>
      <c r="E7" s="10" t="s">
        <v>468</v>
      </c>
      <c r="F7" s="46" t="s">
        <v>468</v>
      </c>
      <c r="G7" s="46" t="s">
        <v>468</v>
      </c>
      <c r="H7" s="46" t="s">
        <v>468</v>
      </c>
      <c r="I7" s="46" t="s">
        <v>468</v>
      </c>
      <c r="J7" s="81" t="s">
        <v>468</v>
      </c>
      <c r="K7" s="46" t="s">
        <v>468</v>
      </c>
      <c r="L7" s="82" t="s">
        <v>468</v>
      </c>
      <c r="M7" s="82" t="s">
        <v>468</v>
      </c>
      <c r="N7" s="61"/>
      <c r="O7" s="2" t="s">
        <v>943</v>
      </c>
      <c r="P7" s="29" t="s">
        <v>944</v>
      </c>
      <c r="Q7" s="32">
        <v>55.74</v>
      </c>
      <c r="R7" s="32"/>
      <c r="S7" s="32"/>
      <c r="T7" s="32"/>
      <c r="U7" s="2"/>
      <c r="V7" s="2"/>
      <c r="W7" s="2"/>
      <c r="X7" s="2"/>
      <c r="Y7" s="2"/>
      <c r="Z7" s="2"/>
    </row>
    <row r="8" spans="1:26" ht="15.75" customHeight="1" x14ac:dyDescent="0.3">
      <c r="A8" s="2" t="s">
        <v>366</v>
      </c>
      <c r="B8" s="32" t="s">
        <v>164</v>
      </c>
      <c r="C8" s="10" t="s">
        <v>15</v>
      </c>
      <c r="D8" s="10" t="s">
        <v>15</v>
      </c>
      <c r="E8" s="2" t="s">
        <v>15</v>
      </c>
      <c r="F8" s="32" t="s">
        <v>938</v>
      </c>
      <c r="G8" s="69">
        <v>-4736.78</v>
      </c>
      <c r="H8" s="69">
        <v>354.8</v>
      </c>
      <c r="I8" s="69">
        <f>H8*0.55</f>
        <v>195.14000000000001</v>
      </c>
      <c r="J8" s="70">
        <v>1</v>
      </c>
      <c r="K8" s="69">
        <f>(G8+I8)*J8</f>
        <v>-4541.6399999999994</v>
      </c>
      <c r="L8" s="61">
        <v>0</v>
      </c>
      <c r="M8" s="61">
        <f>H8*0.075*J8</f>
        <v>26.61</v>
      </c>
      <c r="N8" s="61"/>
      <c r="O8" s="2" t="s">
        <v>943</v>
      </c>
      <c r="P8" s="29" t="s">
        <v>945</v>
      </c>
      <c r="Q8" s="32">
        <v>-347.71</v>
      </c>
      <c r="R8" s="32"/>
      <c r="S8" s="32"/>
      <c r="T8" s="32"/>
      <c r="U8" s="2"/>
      <c r="V8" s="2"/>
      <c r="W8" s="2"/>
      <c r="X8" s="2"/>
      <c r="Y8" s="2"/>
      <c r="Z8" s="2"/>
    </row>
    <row r="9" spans="1:26" ht="15.75" customHeight="1" x14ac:dyDescent="0.3">
      <c r="A9" s="2" t="s">
        <v>370</v>
      </c>
      <c r="B9" s="46" t="s">
        <v>468</v>
      </c>
      <c r="C9" s="10" t="s">
        <v>468</v>
      </c>
      <c r="D9" s="10" t="s">
        <v>468</v>
      </c>
      <c r="E9" s="10" t="s">
        <v>468</v>
      </c>
      <c r="F9" s="46" t="s">
        <v>468</v>
      </c>
      <c r="G9" s="46" t="s">
        <v>468</v>
      </c>
      <c r="H9" s="46" t="s">
        <v>468</v>
      </c>
      <c r="I9" s="46" t="s">
        <v>468</v>
      </c>
      <c r="J9" s="81" t="s">
        <v>468</v>
      </c>
      <c r="K9" s="46" t="s">
        <v>468</v>
      </c>
      <c r="L9" s="82" t="s">
        <v>468</v>
      </c>
      <c r="M9" s="82" t="s">
        <v>468</v>
      </c>
      <c r="N9" s="61"/>
      <c r="O9" s="2" t="s">
        <v>299</v>
      </c>
      <c r="P9" s="2" t="s">
        <v>946</v>
      </c>
      <c r="Q9" s="32">
        <v>50.07</v>
      </c>
      <c r="R9" s="32"/>
      <c r="S9" s="32"/>
      <c r="T9" s="3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372</v>
      </c>
      <c r="B10" s="46" t="s">
        <v>468</v>
      </c>
      <c r="C10" s="10" t="s">
        <v>468</v>
      </c>
      <c r="D10" s="10" t="s">
        <v>468</v>
      </c>
      <c r="E10" s="10" t="s">
        <v>468</v>
      </c>
      <c r="F10" s="46" t="s">
        <v>468</v>
      </c>
      <c r="G10" s="46" t="s">
        <v>468</v>
      </c>
      <c r="H10" s="46" t="s">
        <v>468</v>
      </c>
      <c r="I10" s="46" t="s">
        <v>468</v>
      </c>
      <c r="J10" s="81" t="s">
        <v>468</v>
      </c>
      <c r="K10" s="46" t="s">
        <v>468</v>
      </c>
      <c r="L10" s="82" t="s">
        <v>468</v>
      </c>
      <c r="M10" s="82" t="s">
        <v>468</v>
      </c>
      <c r="N10" s="61"/>
      <c r="O10" s="2" t="s">
        <v>299</v>
      </c>
      <c r="P10" s="29" t="s">
        <v>947</v>
      </c>
      <c r="Q10" s="32">
        <v>-62.84</v>
      </c>
      <c r="R10" s="32"/>
      <c r="S10" s="32"/>
      <c r="T10" s="3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377</v>
      </c>
      <c r="B11" s="32" t="s">
        <v>164</v>
      </c>
      <c r="C11" s="10" t="s">
        <v>15</v>
      </c>
      <c r="D11" s="10" t="s">
        <v>15</v>
      </c>
      <c r="E11" s="2" t="s">
        <v>15</v>
      </c>
      <c r="F11" s="32" t="s">
        <v>938</v>
      </c>
      <c r="G11" s="69">
        <v>-2419.2199999999998</v>
      </c>
      <c r="H11" s="69">
        <v>812</v>
      </c>
      <c r="I11" s="69">
        <f t="shared" ref="I11:I14" si="3">H11*0.55</f>
        <v>446.6</v>
      </c>
      <c r="J11" s="70">
        <v>1</v>
      </c>
      <c r="K11" s="69">
        <f t="shared" ref="K11:K14" si="4">(G11+I11)*J11</f>
        <v>-1972.62</v>
      </c>
      <c r="L11" s="61">
        <v>0</v>
      </c>
      <c r="M11" s="61">
        <f t="shared" ref="M11:M14" si="5">H11*0.075*J11</f>
        <v>60.9</v>
      </c>
      <c r="N11" s="61"/>
      <c r="O11" s="2" t="s">
        <v>329</v>
      </c>
      <c r="P11" s="29" t="s">
        <v>948</v>
      </c>
      <c r="Q11" s="32">
        <v>108.71</v>
      </c>
      <c r="R11" s="32"/>
      <c r="S11" s="32"/>
      <c r="T11" s="3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377</v>
      </c>
      <c r="B12" s="32" t="s">
        <v>164</v>
      </c>
      <c r="C12" s="10" t="s">
        <v>15</v>
      </c>
      <c r="D12" s="10" t="s">
        <v>15</v>
      </c>
      <c r="E12" s="2" t="s">
        <v>15</v>
      </c>
      <c r="F12" s="32" t="s">
        <v>949</v>
      </c>
      <c r="G12" s="69">
        <v>67.739999999999995</v>
      </c>
      <c r="H12" s="69">
        <v>0</v>
      </c>
      <c r="I12" s="69">
        <f t="shared" si="3"/>
        <v>0</v>
      </c>
      <c r="J12" s="70">
        <v>1</v>
      </c>
      <c r="K12" s="69">
        <f t="shared" si="4"/>
        <v>67.739999999999995</v>
      </c>
      <c r="L12" s="61">
        <v>0</v>
      </c>
      <c r="M12" s="61">
        <f t="shared" si="5"/>
        <v>0</v>
      </c>
      <c r="N12" s="61"/>
      <c r="O12" s="2" t="s">
        <v>599</v>
      </c>
      <c r="P12" s="2" t="s">
        <v>529</v>
      </c>
      <c r="Q12" s="32">
        <v>1387.04</v>
      </c>
      <c r="R12" s="32"/>
      <c r="S12" s="32"/>
      <c r="T12" s="3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379</v>
      </c>
      <c r="B13" s="32" t="s">
        <v>164</v>
      </c>
      <c r="C13" s="10" t="s">
        <v>15</v>
      </c>
      <c r="D13" s="10" t="s">
        <v>15</v>
      </c>
      <c r="E13" s="2" t="s">
        <v>15</v>
      </c>
      <c r="F13" s="32" t="s">
        <v>938</v>
      </c>
      <c r="G13" s="69">
        <v>2748.6</v>
      </c>
      <c r="H13" s="69">
        <v>1371.5</v>
      </c>
      <c r="I13" s="69">
        <f t="shared" si="3"/>
        <v>754.32500000000005</v>
      </c>
      <c r="J13" s="70">
        <v>1</v>
      </c>
      <c r="K13" s="69">
        <f t="shared" si="4"/>
        <v>3502.9250000000002</v>
      </c>
      <c r="L13" s="61">
        <v>0</v>
      </c>
      <c r="M13" s="61">
        <f t="shared" si="5"/>
        <v>102.8625</v>
      </c>
      <c r="N13" s="61"/>
      <c r="O13" s="2" t="s">
        <v>301</v>
      </c>
      <c r="P13" s="2" t="s">
        <v>950</v>
      </c>
      <c r="Q13" s="32">
        <v>-190.27</v>
      </c>
      <c r="R13" s="32"/>
      <c r="S13" s="32"/>
      <c r="T13" s="32"/>
      <c r="U13" s="2"/>
      <c r="V13" s="2"/>
      <c r="W13" s="2"/>
      <c r="X13" s="2"/>
      <c r="Y13" s="2"/>
      <c r="Z13" s="2"/>
    </row>
    <row r="14" spans="1:26" ht="15.75" customHeight="1" x14ac:dyDescent="0.3">
      <c r="A14" s="32" t="s">
        <v>380</v>
      </c>
      <c r="B14" s="32" t="s">
        <v>164</v>
      </c>
      <c r="C14" s="10" t="s">
        <v>15</v>
      </c>
      <c r="D14" s="10" t="s">
        <v>15</v>
      </c>
      <c r="E14" s="2" t="s">
        <v>15</v>
      </c>
      <c r="F14" s="32" t="s">
        <v>938</v>
      </c>
      <c r="G14" s="69">
        <v>-25068.75</v>
      </c>
      <c r="H14" s="69">
        <v>1991.5</v>
      </c>
      <c r="I14" s="69">
        <f t="shared" si="3"/>
        <v>1095.325</v>
      </c>
      <c r="J14" s="70">
        <v>1</v>
      </c>
      <c r="K14" s="69">
        <f t="shared" si="4"/>
        <v>-23973.424999999999</v>
      </c>
      <c r="L14" s="61">
        <v>0</v>
      </c>
      <c r="M14" s="61">
        <f t="shared" si="5"/>
        <v>149.36249999999998</v>
      </c>
      <c r="N14" s="61"/>
      <c r="O14" s="2" t="s">
        <v>334</v>
      </c>
      <c r="P14" s="29" t="s">
        <v>951</v>
      </c>
      <c r="Q14" s="32">
        <v>644.6</v>
      </c>
      <c r="R14" s="32"/>
      <c r="S14" s="32"/>
      <c r="T14" s="32"/>
      <c r="U14" s="2"/>
      <c r="V14" s="2"/>
      <c r="W14" s="2"/>
      <c r="X14" s="2"/>
      <c r="Y14" s="2"/>
      <c r="Z14" s="2"/>
    </row>
    <row r="15" spans="1:26" ht="15.75" customHeight="1" x14ac:dyDescent="0.3">
      <c r="A15" s="32" t="s">
        <v>381</v>
      </c>
      <c r="B15" s="46" t="s">
        <v>468</v>
      </c>
      <c r="C15" s="10" t="s">
        <v>468</v>
      </c>
      <c r="D15" s="10" t="s">
        <v>468</v>
      </c>
      <c r="E15" s="10" t="s">
        <v>468</v>
      </c>
      <c r="F15" s="46" t="s">
        <v>468</v>
      </c>
      <c r="G15" s="46" t="s">
        <v>468</v>
      </c>
      <c r="H15" s="46" t="s">
        <v>468</v>
      </c>
      <c r="I15" s="46" t="s">
        <v>468</v>
      </c>
      <c r="J15" s="81" t="s">
        <v>468</v>
      </c>
      <c r="K15" s="46" t="s">
        <v>468</v>
      </c>
      <c r="L15" s="82" t="s">
        <v>468</v>
      </c>
      <c r="M15" s="82" t="s">
        <v>468</v>
      </c>
      <c r="N15" s="61"/>
      <c r="O15" s="2" t="s">
        <v>334</v>
      </c>
      <c r="P15" s="29" t="s">
        <v>952</v>
      </c>
      <c r="Q15" s="32">
        <v>-48.44</v>
      </c>
      <c r="R15" s="32"/>
      <c r="S15" s="32"/>
      <c r="T15" s="32"/>
      <c r="U15" s="2"/>
      <c r="V15" s="2"/>
      <c r="W15" s="2"/>
      <c r="X15" s="2"/>
      <c r="Y15" s="2"/>
      <c r="Z15" s="2"/>
    </row>
    <row r="16" spans="1:26" ht="15.75" customHeight="1" x14ac:dyDescent="0.3">
      <c r="A16" s="32" t="s">
        <v>382</v>
      </c>
      <c r="B16" s="32" t="s">
        <v>164</v>
      </c>
      <c r="C16" s="10" t="s">
        <v>15</v>
      </c>
      <c r="D16" s="10" t="s">
        <v>15</v>
      </c>
      <c r="E16" s="2" t="s">
        <v>15</v>
      </c>
      <c r="F16" s="32" t="s">
        <v>938</v>
      </c>
      <c r="G16" s="69">
        <v>-9038.2999999999993</v>
      </c>
      <c r="H16" s="69">
        <v>396</v>
      </c>
      <c r="I16" s="69">
        <f t="shared" ref="I16:I18" si="6">H16*0.55</f>
        <v>217.8</v>
      </c>
      <c r="J16" s="70">
        <v>1</v>
      </c>
      <c r="K16" s="69">
        <f t="shared" ref="K16:K18" si="7">(G16+I16)*J16</f>
        <v>-8820.5</v>
      </c>
      <c r="L16" s="61">
        <v>0</v>
      </c>
      <c r="M16" s="61">
        <f t="shared" ref="M16:M18" si="8">H16*0.075*J16</f>
        <v>29.7</v>
      </c>
      <c r="N16" s="61"/>
      <c r="O16" s="2" t="s">
        <v>334</v>
      </c>
      <c r="P16" s="2" t="s">
        <v>529</v>
      </c>
      <c r="Q16" s="32">
        <v>-6748.12</v>
      </c>
      <c r="R16" s="32"/>
      <c r="S16" s="32"/>
      <c r="T16" s="32"/>
      <c r="U16" s="2"/>
      <c r="V16" s="2"/>
      <c r="W16" s="2"/>
      <c r="X16" s="2"/>
      <c r="Y16" s="2"/>
      <c r="Z16" s="2"/>
    </row>
    <row r="17" spans="1:26" ht="15.75" customHeight="1" x14ac:dyDescent="0.3">
      <c r="A17" s="32" t="s">
        <v>383</v>
      </c>
      <c r="B17" s="32" t="s">
        <v>164</v>
      </c>
      <c r="C17" s="10" t="s">
        <v>15</v>
      </c>
      <c r="D17" s="10" t="s">
        <v>15</v>
      </c>
      <c r="E17" s="2" t="s">
        <v>15</v>
      </c>
      <c r="F17" s="32" t="s">
        <v>938</v>
      </c>
      <c r="G17" s="69">
        <v>3538.91</v>
      </c>
      <c r="H17" s="69">
        <v>628.5</v>
      </c>
      <c r="I17" s="69">
        <f t="shared" si="6"/>
        <v>345.67500000000001</v>
      </c>
      <c r="J17" s="70">
        <v>1</v>
      </c>
      <c r="K17" s="69">
        <f t="shared" si="7"/>
        <v>3884.585</v>
      </c>
      <c r="L17" s="61">
        <v>0</v>
      </c>
      <c r="M17" s="61">
        <f t="shared" si="8"/>
        <v>47.137499999999996</v>
      </c>
      <c r="N17" s="61"/>
      <c r="O17" s="2" t="s">
        <v>303</v>
      </c>
      <c r="P17" s="2" t="s">
        <v>953</v>
      </c>
      <c r="Q17" s="32">
        <v>-5.72</v>
      </c>
      <c r="R17" s="32"/>
      <c r="S17" s="32"/>
      <c r="T17" s="32"/>
      <c r="U17" s="2"/>
      <c r="V17" s="2"/>
      <c r="W17" s="2"/>
      <c r="X17" s="2"/>
      <c r="Y17" s="2"/>
      <c r="Z17" s="2"/>
    </row>
    <row r="18" spans="1:26" ht="15.75" customHeight="1" x14ac:dyDescent="0.3">
      <c r="A18" s="32" t="s">
        <v>384</v>
      </c>
      <c r="B18" s="32" t="s">
        <v>164</v>
      </c>
      <c r="C18" s="10" t="s">
        <v>15</v>
      </c>
      <c r="D18" s="10" t="s">
        <v>15</v>
      </c>
      <c r="E18" s="2" t="s">
        <v>15</v>
      </c>
      <c r="F18" s="32" t="s">
        <v>938</v>
      </c>
      <c r="G18" s="69">
        <v>17950.91</v>
      </c>
      <c r="H18" s="69">
        <v>1304.3499999999999</v>
      </c>
      <c r="I18" s="69">
        <f t="shared" si="6"/>
        <v>717.39250000000004</v>
      </c>
      <c r="J18" s="70">
        <v>1</v>
      </c>
      <c r="K18" s="69">
        <f t="shared" si="7"/>
        <v>18668.302500000002</v>
      </c>
      <c r="L18" s="61">
        <v>0</v>
      </c>
      <c r="M18" s="61">
        <f t="shared" si="8"/>
        <v>97.826249999999987</v>
      </c>
      <c r="N18" s="61"/>
      <c r="O18" s="2" t="s">
        <v>303</v>
      </c>
      <c r="P18" s="29" t="s">
        <v>951</v>
      </c>
      <c r="Q18" s="32">
        <v>63.6</v>
      </c>
      <c r="R18" s="32"/>
      <c r="S18" s="32"/>
      <c r="T18" s="3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2"/>
      <c r="C19" s="10"/>
      <c r="D19" s="10"/>
      <c r="E19" s="10"/>
      <c r="F19" s="86"/>
      <c r="G19" s="69"/>
      <c r="H19" s="69"/>
      <c r="I19" s="69"/>
      <c r="J19" s="70"/>
      <c r="K19" s="69"/>
      <c r="L19" s="69"/>
      <c r="M19" s="69"/>
      <c r="N19" s="69"/>
      <c r="O19" s="2" t="s">
        <v>350</v>
      </c>
      <c r="P19" s="29" t="s">
        <v>954</v>
      </c>
      <c r="Q19" s="32">
        <v>-53.3</v>
      </c>
      <c r="R19" s="32"/>
      <c r="S19" s="32"/>
      <c r="T19" s="32"/>
      <c r="U19" s="2"/>
      <c r="V19" s="2"/>
      <c r="W19" s="2"/>
      <c r="X19" s="2"/>
      <c r="Y19" s="2"/>
      <c r="Z19" s="2"/>
    </row>
    <row r="20" spans="1:26" ht="15.75" customHeight="1" x14ac:dyDescent="0.3">
      <c r="A20" s="32"/>
      <c r="B20" s="2"/>
      <c r="C20" s="10"/>
      <c r="D20" s="10"/>
      <c r="E20" s="10"/>
      <c r="F20" s="46"/>
      <c r="G20" s="69"/>
      <c r="H20" s="69"/>
      <c r="I20" s="69"/>
      <c r="J20" s="70"/>
      <c r="K20" s="69"/>
      <c r="L20" s="69"/>
      <c r="M20" s="69"/>
      <c r="N20" s="69"/>
      <c r="O20" s="2" t="s">
        <v>361</v>
      </c>
      <c r="P20" s="29" t="s">
        <v>955</v>
      </c>
      <c r="Q20" s="32">
        <v>-182.7</v>
      </c>
      <c r="R20" s="32"/>
      <c r="S20" s="32"/>
      <c r="T20" s="32"/>
      <c r="U20" s="2"/>
      <c r="V20" s="2"/>
      <c r="W20" s="2"/>
      <c r="X20" s="2"/>
      <c r="Y20" s="2"/>
      <c r="Z20" s="2"/>
    </row>
    <row r="21" spans="1:26" ht="15.75" customHeight="1" x14ac:dyDescent="0.3">
      <c r="A21" s="32"/>
      <c r="B21" s="2"/>
      <c r="C21" s="10"/>
      <c r="D21" s="10"/>
      <c r="E21" s="10"/>
      <c r="F21" s="86"/>
      <c r="G21" s="69"/>
      <c r="H21" s="69"/>
      <c r="I21" s="69"/>
      <c r="J21" s="70"/>
      <c r="K21" s="69"/>
      <c r="L21" s="69"/>
      <c r="M21" s="69"/>
      <c r="N21" s="69"/>
      <c r="O21" s="2" t="s">
        <v>309</v>
      </c>
      <c r="P21" s="2" t="s">
        <v>956</v>
      </c>
      <c r="Q21" s="32">
        <v>136.25</v>
      </c>
      <c r="R21" s="32"/>
      <c r="S21" s="32"/>
      <c r="T21" s="32"/>
      <c r="U21" s="2"/>
      <c r="V21" s="2"/>
      <c r="W21" s="2"/>
      <c r="X21" s="2"/>
      <c r="Y21" s="2"/>
      <c r="Z21" s="2"/>
    </row>
    <row r="22" spans="1:26" ht="15.75" customHeight="1" x14ac:dyDescent="0.3">
      <c r="A22" s="32"/>
      <c r="B22" s="2"/>
      <c r="C22" s="10"/>
      <c r="D22" s="10"/>
      <c r="E22" s="10"/>
      <c r="F22" s="86"/>
      <c r="G22" s="69"/>
      <c r="H22" s="69"/>
      <c r="I22" s="69"/>
      <c r="J22" s="70"/>
      <c r="K22" s="69"/>
      <c r="L22" s="69"/>
      <c r="M22" s="69"/>
      <c r="N22" s="69"/>
      <c r="O22" s="2" t="s">
        <v>367</v>
      </c>
      <c r="P22" s="29" t="s">
        <v>957</v>
      </c>
      <c r="Q22" s="32">
        <v>-89.15</v>
      </c>
      <c r="R22" s="32"/>
      <c r="S22" s="32"/>
      <c r="T22" s="32"/>
      <c r="U22" s="2"/>
      <c r="V22" s="2"/>
      <c r="W22" s="2"/>
      <c r="X22" s="2"/>
      <c r="Y22" s="2"/>
      <c r="Z22" s="2"/>
    </row>
    <row r="23" spans="1:26" ht="15.75" customHeight="1" x14ac:dyDescent="0.3">
      <c r="A23" s="32"/>
      <c r="B23" s="2"/>
      <c r="C23" s="10"/>
      <c r="D23" s="10"/>
      <c r="E23" s="10"/>
      <c r="F23" s="86"/>
      <c r="G23" s="69"/>
      <c r="H23" s="69"/>
      <c r="I23" s="69"/>
      <c r="J23" s="70"/>
      <c r="K23" s="69"/>
      <c r="L23" s="69"/>
      <c r="M23" s="69"/>
      <c r="N23" s="69"/>
      <c r="O23" s="2" t="s">
        <v>611</v>
      </c>
      <c r="P23" s="2" t="s">
        <v>529</v>
      </c>
      <c r="Q23" s="32">
        <v>4481.8900000000003</v>
      </c>
      <c r="R23" s="32"/>
      <c r="S23" s="32"/>
      <c r="T23" s="32"/>
      <c r="U23" s="2"/>
      <c r="V23" s="2"/>
      <c r="W23" s="2"/>
      <c r="X23" s="2"/>
      <c r="Y23" s="2"/>
      <c r="Z23" s="2"/>
    </row>
    <row r="24" spans="1:26" ht="15.75" customHeight="1" x14ac:dyDescent="0.3">
      <c r="A24" s="32"/>
      <c r="B24" s="2"/>
      <c r="C24" s="10"/>
      <c r="D24" s="10"/>
      <c r="E24" s="10"/>
      <c r="F24" s="86"/>
      <c r="G24" s="69"/>
      <c r="H24" s="69"/>
      <c r="I24" s="69"/>
      <c r="J24" s="70"/>
      <c r="K24" s="69"/>
      <c r="L24" s="69"/>
      <c r="M24" s="69"/>
      <c r="N24" s="69"/>
      <c r="O24" s="2" t="s">
        <v>958</v>
      </c>
      <c r="P24" s="29" t="s">
        <v>959</v>
      </c>
      <c r="Q24" s="32">
        <v>-3.73</v>
      </c>
      <c r="R24" s="32"/>
      <c r="S24" s="32"/>
      <c r="T24" s="32"/>
      <c r="U24" s="2"/>
      <c r="V24" s="2"/>
      <c r="W24" s="2"/>
      <c r="X24" s="2"/>
      <c r="Y24" s="2"/>
      <c r="Z24" s="2"/>
    </row>
    <row r="25" spans="1:26" ht="15.75" customHeight="1" x14ac:dyDescent="0.3">
      <c r="A25" s="32"/>
      <c r="B25" s="2"/>
      <c r="C25" s="10"/>
      <c r="D25" s="10"/>
      <c r="E25" s="10"/>
      <c r="F25" s="86"/>
      <c r="G25" s="69"/>
      <c r="H25" s="69"/>
      <c r="I25" s="69"/>
      <c r="J25" s="70"/>
      <c r="K25" s="69"/>
      <c r="L25" s="69"/>
      <c r="M25" s="69"/>
      <c r="N25" s="69"/>
      <c r="O25" s="2" t="s">
        <v>376</v>
      </c>
      <c r="P25" s="29" t="s">
        <v>960</v>
      </c>
      <c r="Q25" s="32">
        <v>-47.11</v>
      </c>
      <c r="R25" s="32"/>
      <c r="S25" s="32"/>
      <c r="T25" s="32"/>
      <c r="U25" s="2"/>
      <c r="V25" s="2"/>
      <c r="W25" s="2"/>
      <c r="X25" s="2"/>
      <c r="Y25" s="2"/>
      <c r="Z25" s="2"/>
    </row>
    <row r="26" spans="1:26" ht="15.75" customHeight="1" x14ac:dyDescent="0.3">
      <c r="A26" s="32"/>
      <c r="B26" s="2"/>
      <c r="C26" s="10"/>
      <c r="D26" s="10"/>
      <c r="E26" s="10"/>
      <c r="F26" s="86"/>
      <c r="G26" s="69"/>
      <c r="H26" s="69"/>
      <c r="I26" s="69"/>
      <c r="J26" s="70"/>
      <c r="K26" s="69"/>
      <c r="L26" s="69"/>
      <c r="M26" s="69"/>
      <c r="N26" s="69"/>
      <c r="O26" s="2" t="s">
        <v>316</v>
      </c>
      <c r="P26" s="2" t="s">
        <v>961</v>
      </c>
      <c r="Q26" s="32">
        <v>57.15</v>
      </c>
      <c r="R26" s="32"/>
      <c r="S26" s="32"/>
      <c r="T26" s="3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2"/>
      <c r="C27" s="10"/>
      <c r="D27" s="10"/>
      <c r="E27" s="10"/>
      <c r="F27" s="86"/>
      <c r="G27" s="69"/>
      <c r="H27" s="69"/>
      <c r="I27" s="69"/>
      <c r="J27" s="70"/>
      <c r="K27" s="69"/>
      <c r="L27" s="69"/>
      <c r="M27" s="69"/>
      <c r="N27" s="69"/>
      <c r="O27" s="2" t="s">
        <v>541</v>
      </c>
      <c r="P27" s="29" t="s">
        <v>962</v>
      </c>
      <c r="Q27" s="32">
        <v>-525.94000000000005</v>
      </c>
      <c r="R27" s="32"/>
      <c r="S27" s="32"/>
      <c r="T27" s="3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2"/>
      <c r="C28" s="10"/>
      <c r="D28" s="10"/>
      <c r="E28" s="10"/>
      <c r="F28" s="86"/>
      <c r="G28" s="69"/>
      <c r="H28" s="69"/>
      <c r="I28" s="69"/>
      <c r="J28" s="70"/>
      <c r="K28" s="69"/>
      <c r="L28" s="69"/>
      <c r="M28" s="69"/>
      <c r="N28" s="69"/>
      <c r="O28" s="2" t="s">
        <v>672</v>
      </c>
      <c r="P28" s="2" t="s">
        <v>529</v>
      </c>
      <c r="Q28" s="32">
        <v>2424.5100000000002</v>
      </c>
      <c r="R28" s="32"/>
      <c r="S28" s="32"/>
      <c r="T28" s="3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2"/>
      <c r="C29" s="10"/>
      <c r="D29" s="10"/>
      <c r="E29" s="10"/>
      <c r="F29" s="46"/>
      <c r="G29" s="69"/>
      <c r="H29" s="69"/>
      <c r="I29" s="69"/>
      <c r="J29" s="70"/>
      <c r="K29" s="69"/>
      <c r="L29" s="69"/>
      <c r="M29" s="69"/>
      <c r="N29" s="69"/>
      <c r="O29" s="2" t="s">
        <v>318</v>
      </c>
      <c r="P29" s="2" t="s">
        <v>963</v>
      </c>
      <c r="Q29" s="32">
        <v>-105.09</v>
      </c>
      <c r="R29" s="32"/>
      <c r="S29" s="32"/>
      <c r="T29" s="32"/>
      <c r="U29" s="2"/>
      <c r="V29" s="2"/>
      <c r="W29" s="2"/>
      <c r="X29" s="2"/>
      <c r="Y29" s="2"/>
      <c r="Z29" s="2"/>
    </row>
    <row r="30" spans="1:26" ht="13.8" x14ac:dyDescent="0.3">
      <c r="A30" s="32"/>
      <c r="B30" s="2"/>
      <c r="C30" s="10"/>
      <c r="D30" s="10"/>
      <c r="E30" s="10"/>
      <c r="F30" s="86"/>
      <c r="G30" s="69"/>
      <c r="H30" s="69"/>
      <c r="I30" s="69"/>
      <c r="J30" s="70"/>
      <c r="K30" s="69"/>
      <c r="L30" s="69"/>
      <c r="M30" s="69"/>
      <c r="N30" s="69"/>
      <c r="O30" s="2" t="s">
        <v>389</v>
      </c>
      <c r="P30" s="29" t="s">
        <v>964</v>
      </c>
      <c r="Q30" s="32">
        <v>441.94</v>
      </c>
      <c r="R30" s="32"/>
      <c r="S30" s="32"/>
      <c r="T30" s="32"/>
      <c r="U30" s="2"/>
      <c r="V30" s="2"/>
      <c r="W30" s="2"/>
      <c r="X30" s="2"/>
      <c r="Y30" s="2"/>
      <c r="Z30" s="2"/>
    </row>
    <row r="31" spans="1:26" ht="13.8" x14ac:dyDescent="0.3">
      <c r="A31" s="32"/>
      <c r="B31" s="2"/>
      <c r="C31" s="10"/>
      <c r="D31" s="10"/>
      <c r="E31" s="10"/>
      <c r="F31" s="86"/>
      <c r="G31" s="69"/>
      <c r="H31" s="69"/>
      <c r="I31" s="69"/>
      <c r="J31" s="70"/>
      <c r="K31" s="69"/>
      <c r="L31" s="69"/>
      <c r="M31" s="69"/>
      <c r="N31" s="69"/>
      <c r="O31" s="2" t="s">
        <v>965</v>
      </c>
      <c r="P31" s="2" t="s">
        <v>529</v>
      </c>
      <c r="Q31" s="32">
        <v>-3839.77</v>
      </c>
      <c r="R31" s="32"/>
      <c r="S31" s="32"/>
      <c r="T31" s="32"/>
      <c r="U31" s="2"/>
      <c r="V31" s="2"/>
      <c r="W31" s="2"/>
      <c r="X31" s="2"/>
      <c r="Y31" s="2"/>
      <c r="Z31" s="2"/>
    </row>
    <row r="32" spans="1:26" ht="13.8" x14ac:dyDescent="0.3">
      <c r="A32" s="32"/>
      <c r="B32" s="2"/>
      <c r="C32" s="10"/>
      <c r="D32" s="10"/>
      <c r="E32" s="10"/>
      <c r="F32" s="86"/>
      <c r="G32" s="69"/>
      <c r="H32" s="69"/>
      <c r="I32" s="69"/>
      <c r="J32" s="70"/>
      <c r="K32" s="69"/>
      <c r="L32" s="69"/>
      <c r="M32" s="69"/>
      <c r="N32" s="69"/>
      <c r="O32" s="2" t="s">
        <v>392</v>
      </c>
      <c r="P32" s="2" t="s">
        <v>966</v>
      </c>
      <c r="Q32" s="32">
        <v>719.2</v>
      </c>
      <c r="R32" s="32"/>
      <c r="S32" s="32"/>
      <c r="T32" s="32"/>
      <c r="U32" s="2"/>
      <c r="V32" s="2"/>
      <c r="W32" s="2"/>
      <c r="X32" s="2"/>
      <c r="Y32" s="2"/>
      <c r="Z32" s="2"/>
    </row>
    <row r="33" spans="1:26" ht="13.8" x14ac:dyDescent="0.3">
      <c r="A33" s="32"/>
      <c r="B33" s="2"/>
      <c r="C33" s="10"/>
      <c r="D33" s="10"/>
      <c r="E33" s="10"/>
      <c r="F33" s="86"/>
      <c r="G33" s="69"/>
      <c r="H33" s="69"/>
      <c r="I33" s="69"/>
      <c r="J33" s="70"/>
      <c r="K33" s="69"/>
      <c r="L33" s="69"/>
      <c r="M33" s="69"/>
      <c r="N33" s="69"/>
      <c r="O33" s="2" t="s">
        <v>319</v>
      </c>
      <c r="P33" s="29" t="s">
        <v>967</v>
      </c>
      <c r="Q33" s="32">
        <v>372.27</v>
      </c>
      <c r="R33" s="32"/>
      <c r="S33" s="32"/>
      <c r="T33" s="32"/>
      <c r="U33" s="2"/>
      <c r="V33" s="2"/>
      <c r="W33" s="2"/>
      <c r="X33" s="2"/>
      <c r="Y33" s="2"/>
      <c r="Z33" s="2"/>
    </row>
    <row r="34" spans="1:26" ht="13.8" x14ac:dyDescent="0.3">
      <c r="A34" s="32"/>
      <c r="B34" s="2"/>
      <c r="C34" s="10"/>
      <c r="D34" s="10"/>
      <c r="E34" s="10"/>
      <c r="F34" s="86"/>
      <c r="G34" s="69"/>
      <c r="H34" s="69"/>
      <c r="I34" s="69"/>
      <c r="J34" s="70"/>
      <c r="K34" s="69"/>
      <c r="L34" s="69"/>
      <c r="M34" s="69"/>
      <c r="N34" s="69"/>
      <c r="O34" s="2" t="s">
        <v>319</v>
      </c>
      <c r="P34" s="2" t="s">
        <v>529</v>
      </c>
      <c r="Q34" s="32">
        <v>22881.96</v>
      </c>
      <c r="R34" s="32"/>
      <c r="S34" s="32"/>
      <c r="T34" s="32"/>
      <c r="U34" s="2"/>
      <c r="V34" s="2"/>
      <c r="W34" s="2"/>
      <c r="X34" s="2"/>
      <c r="Y34" s="2"/>
      <c r="Z34" s="2"/>
    </row>
    <row r="35" spans="1:26" ht="13.8" x14ac:dyDescent="0.3">
      <c r="A35" s="32"/>
      <c r="B35" s="2"/>
      <c r="C35" s="10"/>
      <c r="D35" s="10"/>
      <c r="E35" s="10"/>
      <c r="F35" s="86"/>
      <c r="G35" s="69"/>
      <c r="H35" s="69"/>
      <c r="I35" s="69"/>
      <c r="J35" s="70"/>
      <c r="K35" s="69"/>
      <c r="L35" s="69"/>
      <c r="M35" s="69"/>
      <c r="N35" s="69"/>
      <c r="O35" s="2" t="s">
        <v>394</v>
      </c>
      <c r="P35" s="29" t="s">
        <v>968</v>
      </c>
      <c r="Q35" s="32">
        <v>104.41</v>
      </c>
      <c r="R35" s="32"/>
      <c r="S35" s="32"/>
      <c r="T35" s="32"/>
      <c r="U35" s="2"/>
      <c r="V35" s="2"/>
      <c r="W35" s="2"/>
      <c r="X35" s="2"/>
      <c r="Y35" s="2"/>
      <c r="Z35" s="2"/>
    </row>
    <row r="36" spans="1:26" ht="13.8" x14ac:dyDescent="0.3">
      <c r="A36" s="32"/>
      <c r="B36" s="2"/>
      <c r="C36" s="10"/>
      <c r="D36" s="10"/>
      <c r="E36" s="10"/>
      <c r="F36" s="86"/>
      <c r="G36" s="69"/>
      <c r="H36" s="69"/>
      <c r="I36" s="69"/>
      <c r="J36" s="70"/>
      <c r="K36" s="69"/>
      <c r="L36" s="69"/>
      <c r="M36" s="69"/>
      <c r="N36" s="69"/>
      <c r="O36" s="2" t="s">
        <v>322</v>
      </c>
      <c r="P36" s="2" t="s">
        <v>969</v>
      </c>
      <c r="Q36" s="32">
        <v>264.62</v>
      </c>
      <c r="R36" s="32"/>
      <c r="S36" s="32"/>
      <c r="T36" s="32"/>
      <c r="U36" s="2"/>
      <c r="V36" s="2"/>
      <c r="W36" s="2"/>
      <c r="X36" s="2"/>
      <c r="Y36" s="2"/>
      <c r="Z36" s="2"/>
    </row>
    <row r="37" spans="1:26" ht="13.8" x14ac:dyDescent="0.3">
      <c r="A37" s="32"/>
      <c r="B37" s="2"/>
      <c r="C37" s="10"/>
      <c r="D37" s="10"/>
      <c r="E37" s="10"/>
      <c r="F37" s="86"/>
      <c r="G37" s="69"/>
      <c r="H37" s="69"/>
      <c r="I37" s="69"/>
      <c r="J37" s="70"/>
      <c r="K37" s="69"/>
      <c r="L37" s="69"/>
      <c r="M37" s="69"/>
      <c r="N37" s="69"/>
      <c r="O37" s="2" t="s">
        <v>397</v>
      </c>
      <c r="P37" s="29" t="s">
        <v>970</v>
      </c>
      <c r="Q37" s="32">
        <v>698.17</v>
      </c>
      <c r="R37" s="32"/>
      <c r="S37" s="32"/>
      <c r="T37" s="32"/>
      <c r="U37" s="2"/>
      <c r="V37" s="2"/>
      <c r="W37" s="2"/>
      <c r="X37" s="2"/>
      <c r="Y37" s="2"/>
      <c r="Z37" s="2"/>
    </row>
    <row r="38" spans="1:26" ht="13.8" x14ac:dyDescent="0.3">
      <c r="A38" s="32"/>
      <c r="B38" s="2"/>
      <c r="C38" s="10"/>
      <c r="D38" s="10"/>
      <c r="E38" s="10"/>
      <c r="F38" s="46"/>
      <c r="G38" s="69"/>
      <c r="H38" s="69"/>
      <c r="I38" s="69"/>
      <c r="J38" s="70"/>
      <c r="K38" s="69"/>
      <c r="L38" s="69"/>
      <c r="M38" s="69"/>
      <c r="N38" s="69"/>
      <c r="O38" s="2" t="s">
        <v>397</v>
      </c>
      <c r="P38" s="2" t="s">
        <v>529</v>
      </c>
      <c r="Q38" s="32">
        <v>7753.29</v>
      </c>
      <c r="R38" s="32"/>
      <c r="S38" s="32"/>
      <c r="T38" s="32"/>
      <c r="U38" s="2"/>
      <c r="V38" s="2"/>
      <c r="W38" s="2"/>
      <c r="X38" s="2"/>
      <c r="Y38" s="2"/>
      <c r="Z38" s="2"/>
    </row>
    <row r="39" spans="1:26" ht="13.8" x14ac:dyDescent="0.3">
      <c r="A39" s="2"/>
      <c r="B39" s="2"/>
      <c r="C39" s="10"/>
      <c r="D39" s="10"/>
      <c r="E39" s="10"/>
      <c r="F39" s="86"/>
      <c r="G39" s="69"/>
      <c r="H39" s="69"/>
      <c r="I39" s="69"/>
      <c r="J39" s="70"/>
      <c r="K39" s="69"/>
      <c r="L39" s="69"/>
      <c r="M39" s="69"/>
      <c r="N39" s="69"/>
      <c r="O39" s="2" t="s">
        <v>323</v>
      </c>
      <c r="P39" s="2" t="s">
        <v>971</v>
      </c>
      <c r="Q39" s="32">
        <v>-116.54</v>
      </c>
      <c r="R39" s="32"/>
      <c r="S39" s="32"/>
      <c r="T39" s="32"/>
      <c r="U39" s="2"/>
      <c r="V39" s="2"/>
      <c r="W39" s="2"/>
      <c r="X39" s="2"/>
      <c r="Y39" s="2"/>
      <c r="Z39" s="2"/>
    </row>
    <row r="40" spans="1:26" ht="13.8" x14ac:dyDescent="0.3">
      <c r="A40" s="32"/>
      <c r="B40" s="2"/>
      <c r="C40" s="10"/>
      <c r="D40" s="10"/>
      <c r="E40" s="10"/>
      <c r="F40" s="86"/>
      <c r="G40" s="69"/>
      <c r="H40" s="69"/>
      <c r="I40" s="69"/>
      <c r="J40" s="70"/>
      <c r="K40" s="69"/>
      <c r="L40" s="69"/>
      <c r="M40" s="69"/>
      <c r="N40" s="69"/>
      <c r="O40" s="2" t="s">
        <v>398</v>
      </c>
      <c r="P40" s="29" t="s">
        <v>972</v>
      </c>
      <c r="Q40" s="32">
        <v>31.08</v>
      </c>
      <c r="R40" s="32"/>
      <c r="S40" s="32"/>
      <c r="T40" s="32"/>
      <c r="U40" s="2"/>
      <c r="V40" s="2"/>
      <c r="W40" s="2"/>
      <c r="X40" s="2"/>
      <c r="Y40" s="2"/>
      <c r="Z40" s="2"/>
    </row>
    <row r="41" spans="1:26" ht="13.8" x14ac:dyDescent="0.3">
      <c r="A41" s="32"/>
      <c r="B41" s="2"/>
      <c r="C41" s="10"/>
      <c r="D41" s="10"/>
      <c r="E41" s="10"/>
      <c r="F41" s="86"/>
      <c r="G41" s="69"/>
      <c r="H41" s="69"/>
      <c r="I41" s="69"/>
      <c r="J41" s="70"/>
      <c r="K41" s="69"/>
      <c r="L41" s="69"/>
      <c r="M41" s="69"/>
      <c r="N41" s="69"/>
      <c r="O41" s="2" t="s">
        <v>973</v>
      </c>
      <c r="P41" s="2" t="s">
        <v>529</v>
      </c>
      <c r="Q41" s="32">
        <v>-3799.12</v>
      </c>
      <c r="R41" s="32"/>
      <c r="S41" s="32"/>
      <c r="T41" s="32"/>
      <c r="U41" s="2"/>
      <c r="V41" s="2"/>
      <c r="W41" s="2"/>
      <c r="X41" s="2"/>
      <c r="Y41" s="2"/>
      <c r="Z41" s="2"/>
    </row>
    <row r="42" spans="1:26" ht="13.8" x14ac:dyDescent="0.3">
      <c r="A42" s="32"/>
      <c r="B42" s="2"/>
      <c r="C42" s="10"/>
      <c r="D42" s="10"/>
      <c r="E42" s="10"/>
      <c r="F42" s="86"/>
      <c r="G42" s="69"/>
      <c r="H42" s="69"/>
      <c r="I42" s="69"/>
      <c r="J42" s="70"/>
      <c r="K42" s="69"/>
      <c r="L42" s="69"/>
      <c r="M42" s="69"/>
      <c r="N42" s="69"/>
      <c r="O42" s="2" t="s">
        <v>348</v>
      </c>
      <c r="P42" s="2" t="s">
        <v>974</v>
      </c>
      <c r="Q42" s="32">
        <v>-560.04999999999995</v>
      </c>
      <c r="R42" s="32"/>
      <c r="S42" s="32"/>
      <c r="T42" s="32"/>
      <c r="U42" s="2"/>
      <c r="V42" s="2"/>
      <c r="W42" s="2"/>
      <c r="X42" s="2"/>
      <c r="Y42" s="2"/>
      <c r="Z42" s="2"/>
    </row>
    <row r="43" spans="1:26" ht="13.8" x14ac:dyDescent="0.3">
      <c r="A43" s="32"/>
      <c r="B43" s="2"/>
      <c r="C43" s="10"/>
      <c r="D43" s="10"/>
      <c r="E43" s="10"/>
      <c r="F43" s="86"/>
      <c r="G43" s="69"/>
      <c r="H43" s="69"/>
      <c r="I43" s="69"/>
      <c r="J43" s="70"/>
      <c r="K43" s="69"/>
      <c r="L43" s="69"/>
      <c r="M43" s="69"/>
      <c r="N43" s="69"/>
      <c r="O43" s="2" t="s">
        <v>354</v>
      </c>
      <c r="P43" s="29" t="s">
        <v>975</v>
      </c>
      <c r="Q43" s="32">
        <v>-462.63</v>
      </c>
      <c r="R43" s="32"/>
      <c r="S43" s="32"/>
      <c r="T43" s="32"/>
      <c r="U43" s="2"/>
      <c r="V43" s="2"/>
      <c r="W43" s="2"/>
      <c r="X43" s="2"/>
      <c r="Y43" s="2"/>
      <c r="Z43" s="2"/>
    </row>
    <row r="44" spans="1:26" ht="13.8" x14ac:dyDescent="0.3">
      <c r="A44" s="32"/>
      <c r="B44" s="2"/>
      <c r="C44" s="10"/>
      <c r="D44" s="10"/>
      <c r="E44" s="10"/>
      <c r="F44" s="86"/>
      <c r="G44" s="69"/>
      <c r="H44" s="69"/>
      <c r="I44" s="69"/>
      <c r="J44" s="70"/>
      <c r="K44" s="69"/>
      <c r="L44" s="69"/>
      <c r="M44" s="69"/>
      <c r="N44" s="69"/>
      <c r="O44" s="2"/>
      <c r="P44" s="2"/>
      <c r="Q44" s="32"/>
      <c r="R44" s="32"/>
      <c r="S44" s="32"/>
      <c r="T44" s="32"/>
      <c r="U44" s="2"/>
      <c r="V44" s="2"/>
      <c r="W44" s="2"/>
      <c r="X44" s="2"/>
      <c r="Y44" s="2"/>
      <c r="Z44" s="2"/>
    </row>
    <row r="45" spans="1:26" ht="13.8" x14ac:dyDescent="0.3">
      <c r="A45" s="32"/>
      <c r="B45" s="2"/>
      <c r="C45" s="10"/>
      <c r="D45" s="10"/>
      <c r="E45" s="10"/>
      <c r="F45" s="86"/>
      <c r="G45" s="69"/>
      <c r="H45" s="69"/>
      <c r="I45" s="69"/>
      <c r="J45" s="70"/>
      <c r="K45" s="69"/>
      <c r="L45" s="69"/>
      <c r="M45" s="69"/>
      <c r="N45" s="69"/>
      <c r="O45" s="2"/>
      <c r="P45" s="2"/>
      <c r="Q45" s="32"/>
      <c r="R45" s="32"/>
      <c r="S45" s="32"/>
      <c r="T45" s="32"/>
      <c r="U45" s="2"/>
      <c r="V45" s="2"/>
      <c r="W45" s="2"/>
      <c r="X45" s="2"/>
      <c r="Y45" s="2"/>
      <c r="Z45" s="2"/>
    </row>
    <row r="46" spans="1:26" ht="13.8" x14ac:dyDescent="0.3">
      <c r="A46" s="32"/>
      <c r="B46" s="2"/>
      <c r="C46" s="10"/>
      <c r="D46" s="10"/>
      <c r="E46" s="10"/>
      <c r="F46" s="46"/>
      <c r="G46" s="69"/>
      <c r="H46" s="69"/>
      <c r="I46" s="69"/>
      <c r="J46" s="70"/>
      <c r="K46" s="69"/>
      <c r="L46" s="69"/>
      <c r="M46" s="69"/>
      <c r="N46" s="69"/>
      <c r="O46" s="2"/>
      <c r="P46" s="2"/>
      <c r="Q46" s="32"/>
      <c r="R46" s="32"/>
      <c r="S46" s="32"/>
      <c r="T46" s="32"/>
      <c r="U46" s="2"/>
      <c r="V46" s="2"/>
      <c r="W46" s="2"/>
      <c r="X46" s="2"/>
      <c r="Y46" s="2"/>
      <c r="Z46" s="2"/>
    </row>
    <row r="47" spans="1:26" ht="13.8" x14ac:dyDescent="0.3">
      <c r="A47" s="32"/>
      <c r="B47" s="2"/>
      <c r="C47" s="10"/>
      <c r="D47" s="10"/>
      <c r="E47" s="10"/>
      <c r="F47" s="86"/>
      <c r="G47" s="69"/>
      <c r="H47" s="69"/>
      <c r="I47" s="69"/>
      <c r="J47" s="70"/>
      <c r="K47" s="69"/>
      <c r="L47" s="69"/>
      <c r="M47" s="69"/>
      <c r="N47" s="69"/>
      <c r="O47" s="2"/>
      <c r="P47" s="2"/>
      <c r="Q47" s="32"/>
      <c r="R47" s="32"/>
      <c r="S47" s="32"/>
      <c r="T47" s="32"/>
      <c r="U47" s="2"/>
      <c r="V47" s="2"/>
      <c r="W47" s="2"/>
      <c r="X47" s="2"/>
      <c r="Y47" s="2"/>
      <c r="Z47" s="2"/>
    </row>
    <row r="48" spans="1:26" ht="13.8" x14ac:dyDescent="0.3">
      <c r="A48" s="32"/>
      <c r="B48" s="2"/>
      <c r="C48" s="10"/>
      <c r="D48" s="10"/>
      <c r="E48" s="10"/>
      <c r="F48" s="46"/>
      <c r="G48" s="69"/>
      <c r="H48" s="69"/>
      <c r="I48" s="69"/>
      <c r="J48" s="70"/>
      <c r="K48" s="69"/>
      <c r="L48" s="69"/>
      <c r="M48" s="69"/>
      <c r="N48" s="69"/>
      <c r="O48" s="2"/>
      <c r="P48" s="2"/>
      <c r="Q48" s="32"/>
      <c r="R48" s="32"/>
      <c r="S48" s="32"/>
      <c r="T48" s="32"/>
      <c r="U48" s="2"/>
      <c r="V48" s="2"/>
      <c r="W48" s="2"/>
      <c r="X48" s="2"/>
      <c r="Y48" s="2"/>
      <c r="Z48" s="2"/>
    </row>
    <row r="49" spans="1:26" ht="13.8" x14ac:dyDescent="0.3">
      <c r="A49" s="32"/>
      <c r="B49" s="2"/>
      <c r="C49" s="10"/>
      <c r="D49" s="10"/>
      <c r="E49" s="10"/>
      <c r="F49" s="86"/>
      <c r="G49" s="69"/>
      <c r="H49" s="69"/>
      <c r="I49" s="69"/>
      <c r="J49" s="70"/>
      <c r="K49" s="69"/>
      <c r="L49" s="69"/>
      <c r="M49" s="69"/>
      <c r="N49" s="69"/>
      <c r="O49" s="2"/>
      <c r="P49" s="2"/>
      <c r="Q49" s="32"/>
      <c r="R49" s="32"/>
      <c r="S49" s="32"/>
      <c r="T49" s="32"/>
      <c r="U49" s="2"/>
      <c r="V49" s="2"/>
      <c r="W49" s="2"/>
      <c r="X49" s="2"/>
      <c r="Y49" s="2"/>
      <c r="Z49" s="2"/>
    </row>
    <row r="50" spans="1:26" ht="13.8" x14ac:dyDescent="0.3">
      <c r="A50" s="32"/>
      <c r="B50" s="2"/>
      <c r="C50" s="10"/>
      <c r="D50" s="10"/>
      <c r="E50" s="10"/>
      <c r="F50" s="86"/>
      <c r="G50" s="69"/>
      <c r="H50" s="69"/>
      <c r="I50" s="69"/>
      <c r="J50" s="70"/>
      <c r="K50" s="69"/>
      <c r="L50" s="69"/>
      <c r="M50" s="69"/>
      <c r="N50" s="69"/>
      <c r="O50" s="2"/>
      <c r="P50" s="2"/>
      <c r="Q50" s="32"/>
      <c r="R50" s="32"/>
      <c r="S50" s="32"/>
      <c r="T50" s="32"/>
      <c r="U50" s="2"/>
      <c r="V50" s="2"/>
      <c r="W50" s="2"/>
      <c r="X50" s="2"/>
      <c r="Y50" s="2"/>
      <c r="Z50" s="2"/>
    </row>
    <row r="51" spans="1:26" ht="13.8" x14ac:dyDescent="0.3">
      <c r="A51" s="32"/>
      <c r="B51" s="2"/>
      <c r="C51" s="10"/>
      <c r="D51" s="10"/>
      <c r="E51" s="10"/>
      <c r="F51" s="86"/>
      <c r="G51" s="69"/>
      <c r="H51" s="69"/>
      <c r="I51" s="69"/>
      <c r="J51" s="70"/>
      <c r="K51" s="69"/>
      <c r="L51" s="69"/>
      <c r="M51" s="69"/>
      <c r="N51" s="69"/>
      <c r="O51" s="2"/>
      <c r="P51" s="2"/>
      <c r="Q51" s="32"/>
      <c r="R51" s="32"/>
      <c r="S51" s="32"/>
      <c r="T51" s="32"/>
      <c r="U51" s="2"/>
      <c r="V51" s="2"/>
      <c r="W51" s="2"/>
      <c r="X51" s="2"/>
      <c r="Y51" s="2"/>
      <c r="Z51" s="2"/>
    </row>
    <row r="52" spans="1:26" ht="13.8" x14ac:dyDescent="0.3">
      <c r="A52" s="32"/>
      <c r="B52" s="2"/>
      <c r="C52" s="10"/>
      <c r="D52" s="10"/>
      <c r="E52" s="10"/>
      <c r="F52" s="46"/>
      <c r="G52" s="69"/>
      <c r="H52" s="69"/>
      <c r="I52" s="69"/>
      <c r="J52" s="70"/>
      <c r="K52" s="69"/>
      <c r="L52" s="69"/>
      <c r="M52" s="69"/>
      <c r="N52" s="69"/>
      <c r="O52" s="2"/>
      <c r="P52" s="2"/>
      <c r="Q52" s="32"/>
      <c r="R52" s="32"/>
      <c r="S52" s="32"/>
      <c r="T52" s="32"/>
      <c r="U52" s="2"/>
      <c r="V52" s="2"/>
      <c r="W52" s="2"/>
      <c r="X52" s="2"/>
      <c r="Y52" s="2"/>
      <c r="Z52" s="2"/>
    </row>
    <row r="53" spans="1:26" ht="13.8" x14ac:dyDescent="0.3">
      <c r="A53" s="32"/>
      <c r="B53" s="2"/>
      <c r="C53" s="10"/>
      <c r="D53" s="10"/>
      <c r="E53" s="10"/>
      <c r="F53" s="10"/>
      <c r="G53" s="69"/>
      <c r="H53" s="69"/>
      <c r="I53" s="69"/>
      <c r="J53" s="70"/>
      <c r="K53" s="69"/>
      <c r="L53" s="69"/>
      <c r="M53" s="69"/>
      <c r="N53" s="69"/>
      <c r="O53" s="2"/>
      <c r="P53" s="2"/>
      <c r="Q53" s="32"/>
      <c r="R53" s="32"/>
      <c r="S53" s="32"/>
      <c r="T53" s="3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10"/>
      <c r="F54" s="10"/>
      <c r="G54" s="69"/>
      <c r="H54" s="69"/>
      <c r="I54" s="69"/>
      <c r="J54" s="70"/>
      <c r="K54" s="69"/>
      <c r="L54" s="69"/>
      <c r="M54" s="69"/>
      <c r="N54" s="69"/>
      <c r="O54" s="2"/>
      <c r="P54" s="2"/>
      <c r="Q54" s="32"/>
      <c r="R54" s="32"/>
      <c r="S54" s="32"/>
      <c r="T54" s="3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10"/>
      <c r="F55" s="10"/>
      <c r="G55" s="69"/>
      <c r="H55" s="69"/>
      <c r="I55" s="69"/>
      <c r="J55" s="70"/>
      <c r="K55" s="69"/>
      <c r="L55" s="69"/>
      <c r="M55" s="69"/>
      <c r="N55" s="69"/>
      <c r="O55" s="2"/>
      <c r="P55" s="2"/>
      <c r="Q55" s="32"/>
      <c r="R55" s="32"/>
      <c r="S55" s="32"/>
      <c r="T55" s="32"/>
      <c r="U55" s="2"/>
      <c r="V55" s="2"/>
      <c r="W55" s="2"/>
      <c r="X55" s="2"/>
      <c r="Y55" s="2"/>
      <c r="Z55" s="2"/>
    </row>
    <row r="56" spans="1:26" ht="13.8" x14ac:dyDescent="0.3">
      <c r="A56" s="32"/>
      <c r="B56" s="2"/>
      <c r="C56" s="10"/>
      <c r="D56" s="10"/>
      <c r="E56" s="10"/>
      <c r="F56" s="10"/>
      <c r="G56" s="69"/>
      <c r="H56" s="69"/>
      <c r="I56" s="69"/>
      <c r="J56" s="70"/>
      <c r="K56" s="69"/>
      <c r="L56" s="69"/>
      <c r="M56" s="69"/>
      <c r="N56" s="69"/>
      <c r="O56" s="2"/>
      <c r="P56" s="2"/>
      <c r="Q56" s="32"/>
      <c r="R56" s="32"/>
      <c r="S56" s="32"/>
      <c r="T56" s="3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10"/>
      <c r="F57" s="10"/>
      <c r="G57" s="69"/>
      <c r="H57" s="69"/>
      <c r="I57" s="69"/>
      <c r="J57" s="70"/>
      <c r="K57" s="69"/>
      <c r="L57" s="69"/>
      <c r="M57" s="69"/>
      <c r="N57" s="69"/>
      <c r="O57" s="2"/>
      <c r="P57" s="2"/>
      <c r="Q57" s="32"/>
      <c r="R57" s="32"/>
      <c r="S57" s="32"/>
      <c r="T57" s="3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10"/>
      <c r="F58" s="10"/>
      <c r="G58" s="69"/>
      <c r="H58" s="69"/>
      <c r="I58" s="69"/>
      <c r="J58" s="70"/>
      <c r="K58" s="69"/>
      <c r="L58" s="69"/>
      <c r="M58" s="69"/>
      <c r="N58" s="69"/>
      <c r="O58" s="2"/>
      <c r="P58" s="2"/>
      <c r="Q58" s="32"/>
      <c r="R58" s="32"/>
      <c r="S58" s="32"/>
      <c r="T58" s="3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10"/>
      <c r="F59" s="10"/>
      <c r="G59" s="69"/>
      <c r="H59" s="69"/>
      <c r="I59" s="69"/>
      <c r="J59" s="70"/>
      <c r="K59" s="69"/>
      <c r="L59" s="69"/>
      <c r="M59" s="69"/>
      <c r="N59" s="69"/>
      <c r="O59" s="2"/>
      <c r="P59" s="2"/>
      <c r="Q59" s="32"/>
      <c r="R59" s="32"/>
      <c r="S59" s="32"/>
      <c r="T59" s="32"/>
      <c r="U59" s="2"/>
      <c r="V59" s="2"/>
      <c r="W59" s="2"/>
      <c r="X59" s="2"/>
      <c r="Y59" s="2"/>
      <c r="Z59" s="2"/>
    </row>
    <row r="60" spans="1:26" ht="13.8" x14ac:dyDescent="0.3">
      <c r="A60" s="32"/>
      <c r="B60" s="2"/>
      <c r="C60" s="10"/>
      <c r="D60" s="10"/>
      <c r="E60" s="10"/>
      <c r="F60" s="10"/>
      <c r="G60" s="69"/>
      <c r="H60" s="69"/>
      <c r="I60" s="69"/>
      <c r="J60" s="70"/>
      <c r="K60" s="69"/>
      <c r="L60" s="69"/>
      <c r="M60" s="69"/>
      <c r="N60" s="69"/>
      <c r="O60" s="2"/>
      <c r="P60" s="2"/>
      <c r="Q60" s="32"/>
      <c r="R60" s="32"/>
      <c r="S60" s="32"/>
      <c r="T60" s="32"/>
      <c r="U60" s="2"/>
      <c r="V60" s="2"/>
      <c r="W60" s="2"/>
      <c r="X60" s="2"/>
      <c r="Y60" s="2"/>
      <c r="Z60" s="2"/>
    </row>
    <row r="61" spans="1:26" ht="13.8" x14ac:dyDescent="0.3">
      <c r="A61" s="32"/>
      <c r="B61" s="2"/>
      <c r="C61" s="10"/>
      <c r="D61" s="10"/>
      <c r="E61" s="10"/>
      <c r="F61" s="46"/>
      <c r="G61" s="69"/>
      <c r="H61" s="69"/>
      <c r="I61" s="69"/>
      <c r="J61" s="70"/>
      <c r="K61" s="69"/>
      <c r="L61" s="69"/>
      <c r="M61" s="69"/>
      <c r="N61" s="69"/>
      <c r="O61" s="2"/>
      <c r="P61" s="2"/>
      <c r="Q61" s="32"/>
      <c r="R61" s="32"/>
      <c r="S61" s="32"/>
      <c r="T61" s="3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10"/>
      <c r="F62" s="86"/>
      <c r="G62" s="69"/>
      <c r="H62" s="69"/>
      <c r="I62" s="69"/>
      <c r="J62" s="70"/>
      <c r="K62" s="69"/>
      <c r="L62" s="69"/>
      <c r="M62" s="69"/>
      <c r="N62" s="69"/>
      <c r="O62" s="2"/>
      <c r="P62" s="2"/>
      <c r="Q62" s="32"/>
      <c r="R62" s="32"/>
      <c r="S62" s="32"/>
      <c r="T62" s="3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10"/>
      <c r="F63" s="86"/>
      <c r="G63" s="69"/>
      <c r="H63" s="69"/>
      <c r="I63" s="69"/>
      <c r="J63" s="70"/>
      <c r="K63" s="69"/>
      <c r="L63" s="69"/>
      <c r="M63" s="69"/>
      <c r="N63" s="69"/>
      <c r="O63" s="2"/>
      <c r="P63" s="2"/>
      <c r="Q63" s="32"/>
      <c r="R63" s="32"/>
      <c r="S63" s="32"/>
      <c r="T63" s="32"/>
      <c r="U63" s="2"/>
      <c r="V63" s="2"/>
      <c r="W63" s="2"/>
      <c r="X63" s="2"/>
      <c r="Y63" s="2"/>
      <c r="Z63" s="2"/>
    </row>
    <row r="64" spans="1:26" ht="13.8" x14ac:dyDescent="0.3">
      <c r="A64" s="32"/>
      <c r="B64" s="2"/>
      <c r="C64" s="10"/>
      <c r="D64" s="10"/>
      <c r="E64" s="10"/>
      <c r="F64" s="86"/>
      <c r="G64" s="69"/>
      <c r="H64" s="69"/>
      <c r="I64" s="69"/>
      <c r="J64" s="70"/>
      <c r="K64" s="69"/>
      <c r="L64" s="69"/>
      <c r="M64" s="69"/>
      <c r="N64" s="69"/>
      <c r="O64" s="2"/>
      <c r="P64" s="2"/>
      <c r="Q64" s="32"/>
      <c r="R64" s="32"/>
      <c r="S64" s="32"/>
      <c r="T64" s="32"/>
      <c r="U64" s="2"/>
      <c r="V64" s="2"/>
      <c r="W64" s="2"/>
      <c r="X64" s="2"/>
      <c r="Y64" s="2"/>
      <c r="Z64" s="2"/>
    </row>
    <row r="65" spans="1:26" ht="13.8" x14ac:dyDescent="0.3">
      <c r="A65" s="32"/>
      <c r="B65" s="2"/>
      <c r="C65" s="10"/>
      <c r="D65" s="10"/>
      <c r="E65" s="10"/>
      <c r="F65" s="86"/>
      <c r="G65" s="69"/>
      <c r="H65" s="69"/>
      <c r="I65" s="69"/>
      <c r="J65" s="70"/>
      <c r="K65" s="69"/>
      <c r="L65" s="69"/>
      <c r="M65" s="69"/>
      <c r="N65" s="69"/>
      <c r="O65" s="2"/>
      <c r="P65" s="2"/>
      <c r="Q65" s="32"/>
      <c r="R65" s="32"/>
      <c r="S65" s="32"/>
      <c r="T65" s="32"/>
      <c r="U65" s="2"/>
      <c r="V65" s="2"/>
      <c r="W65" s="2"/>
      <c r="X65" s="2"/>
      <c r="Y65" s="2"/>
      <c r="Z65" s="2"/>
    </row>
    <row r="66" spans="1:26" ht="13.8" x14ac:dyDescent="0.3">
      <c r="A66" s="32"/>
      <c r="B66" s="2"/>
      <c r="C66" s="10"/>
      <c r="D66" s="10"/>
      <c r="E66" s="10"/>
      <c r="F66" s="86"/>
      <c r="G66" s="69"/>
      <c r="H66" s="69"/>
      <c r="I66" s="69"/>
      <c r="J66" s="70"/>
      <c r="K66" s="69"/>
      <c r="L66" s="69"/>
      <c r="M66" s="69"/>
      <c r="N66" s="69"/>
      <c r="O66" s="2"/>
      <c r="P66" s="2"/>
      <c r="Q66" s="32"/>
      <c r="R66" s="32"/>
      <c r="S66" s="32"/>
      <c r="T66" s="32"/>
      <c r="U66" s="2"/>
      <c r="V66" s="2"/>
      <c r="W66" s="2"/>
      <c r="X66" s="2"/>
      <c r="Y66" s="2"/>
      <c r="Z66" s="2"/>
    </row>
    <row r="67" spans="1:26" ht="13.8" x14ac:dyDescent="0.3">
      <c r="A67" s="32"/>
      <c r="B67" s="2"/>
      <c r="C67" s="10"/>
      <c r="D67" s="10"/>
      <c r="E67" s="10"/>
      <c r="F67" s="86"/>
      <c r="G67" s="69"/>
      <c r="H67" s="69"/>
      <c r="I67" s="69"/>
      <c r="J67" s="70"/>
      <c r="K67" s="69"/>
      <c r="L67" s="69"/>
      <c r="M67" s="69"/>
      <c r="N67" s="69"/>
      <c r="O67" s="2"/>
      <c r="P67" s="2"/>
      <c r="Q67" s="32"/>
      <c r="R67" s="32"/>
      <c r="S67" s="32"/>
      <c r="T67" s="3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10"/>
      <c r="F68" s="86"/>
      <c r="G68" s="69"/>
      <c r="H68" s="69"/>
      <c r="I68" s="69"/>
      <c r="J68" s="70"/>
      <c r="K68" s="69"/>
      <c r="L68" s="69"/>
      <c r="M68" s="69"/>
      <c r="N68" s="69"/>
      <c r="O68" s="2"/>
      <c r="P68" s="2"/>
      <c r="Q68" s="32"/>
      <c r="R68" s="32"/>
      <c r="S68" s="32"/>
      <c r="T68" s="3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10"/>
      <c r="F69" s="86"/>
      <c r="G69" s="69"/>
      <c r="H69" s="69"/>
      <c r="I69" s="69"/>
      <c r="J69" s="70"/>
      <c r="K69" s="69"/>
      <c r="L69" s="69"/>
      <c r="M69" s="69"/>
      <c r="N69" s="69"/>
      <c r="O69" s="2"/>
      <c r="P69" s="2"/>
      <c r="Q69" s="32"/>
      <c r="R69" s="32"/>
      <c r="S69" s="32"/>
      <c r="T69" s="32"/>
      <c r="U69" s="2"/>
      <c r="V69" s="2"/>
      <c r="W69" s="2"/>
      <c r="X69" s="2"/>
      <c r="Y69" s="2"/>
      <c r="Z69" s="2"/>
    </row>
    <row r="70" spans="1:26" ht="13.8" x14ac:dyDescent="0.3">
      <c r="A70" s="32"/>
      <c r="B70" s="2"/>
      <c r="C70" s="10"/>
      <c r="D70" s="10"/>
      <c r="E70" s="10"/>
      <c r="F70" s="86"/>
      <c r="G70" s="69"/>
      <c r="H70" s="69"/>
      <c r="I70" s="69"/>
      <c r="J70" s="70"/>
      <c r="K70" s="69"/>
      <c r="L70" s="69"/>
      <c r="M70" s="69"/>
      <c r="N70" s="69"/>
      <c r="O70" s="2"/>
      <c r="P70" s="2"/>
      <c r="Q70" s="32"/>
      <c r="R70" s="32"/>
      <c r="S70" s="32"/>
      <c r="T70" s="32"/>
      <c r="U70" s="2"/>
      <c r="V70" s="2"/>
      <c r="W70" s="2"/>
      <c r="X70" s="2"/>
      <c r="Y70" s="2"/>
      <c r="Z70" s="2"/>
    </row>
    <row r="71" spans="1:26" ht="13.8" x14ac:dyDescent="0.3">
      <c r="A71" s="2"/>
      <c r="B71" s="2"/>
      <c r="C71" s="10"/>
      <c r="D71" s="10"/>
      <c r="E71" s="10"/>
      <c r="F71" s="10"/>
      <c r="G71" s="32"/>
      <c r="H71" s="32"/>
      <c r="I71" s="32"/>
      <c r="J71" s="73"/>
      <c r="K71" s="32"/>
      <c r="L71" s="32"/>
      <c r="M71" s="32"/>
      <c r="N71" s="32"/>
      <c r="O71" s="2"/>
      <c r="P71" s="2"/>
      <c r="Q71" s="32"/>
      <c r="R71" s="32"/>
      <c r="S71" s="32"/>
      <c r="T71" s="32"/>
      <c r="U71" s="2"/>
      <c r="V71" s="2"/>
      <c r="W71" s="2"/>
      <c r="X71" s="2"/>
      <c r="Y71" s="2"/>
      <c r="Z71" s="2"/>
    </row>
    <row r="72" spans="1:26" ht="13.8" x14ac:dyDescent="0.3">
      <c r="A72" s="2"/>
      <c r="B72" s="2"/>
      <c r="C72" s="10"/>
      <c r="D72" s="10"/>
      <c r="E72" s="10"/>
      <c r="F72" s="46"/>
      <c r="G72" s="69"/>
      <c r="H72" s="69"/>
      <c r="I72" s="69"/>
      <c r="J72" s="70"/>
      <c r="K72" s="69"/>
      <c r="L72" s="69"/>
      <c r="M72" s="69"/>
      <c r="N72" s="69"/>
      <c r="O72" s="2"/>
      <c r="P72" s="2"/>
      <c r="Q72" s="32"/>
      <c r="R72" s="32"/>
      <c r="S72" s="32"/>
      <c r="T72" s="32"/>
      <c r="U72" s="2"/>
      <c r="V72" s="2"/>
      <c r="W72" s="2"/>
      <c r="X72" s="2"/>
      <c r="Y72" s="2"/>
      <c r="Z72" s="2"/>
    </row>
    <row r="73" spans="1:26" ht="13.8" x14ac:dyDescent="0.3">
      <c r="A73" s="2"/>
      <c r="B73" s="2"/>
      <c r="C73" s="10"/>
      <c r="D73" s="10"/>
      <c r="E73" s="10"/>
      <c r="F73" s="10"/>
      <c r="G73" s="32"/>
      <c r="H73" s="32"/>
      <c r="I73" s="32"/>
      <c r="J73" s="73"/>
      <c r="K73" s="32"/>
      <c r="L73" s="32"/>
      <c r="M73" s="32"/>
      <c r="N73" s="32"/>
      <c r="O73" s="2"/>
      <c r="P73" s="2"/>
      <c r="Q73" s="32"/>
      <c r="R73" s="32"/>
      <c r="S73" s="32"/>
      <c r="T73" s="32"/>
      <c r="U73" s="2"/>
      <c r="V73" s="2"/>
      <c r="W73" s="2"/>
      <c r="X73" s="2"/>
      <c r="Y73" s="2"/>
      <c r="Z73" s="2"/>
    </row>
    <row r="74" spans="1:26" ht="13.8" x14ac:dyDescent="0.3">
      <c r="A74" s="32"/>
      <c r="B74" s="2"/>
      <c r="C74" s="10"/>
      <c r="D74" s="10"/>
      <c r="E74" s="10"/>
      <c r="F74" s="86"/>
      <c r="G74" s="69"/>
      <c r="H74" s="69"/>
      <c r="I74" s="69"/>
      <c r="J74" s="70"/>
      <c r="K74" s="69"/>
      <c r="L74" s="69"/>
      <c r="M74" s="69"/>
      <c r="N74" s="69"/>
      <c r="O74" s="2"/>
      <c r="P74" s="2"/>
      <c r="Q74" s="32"/>
      <c r="R74" s="32"/>
      <c r="S74" s="32"/>
      <c r="T74" s="32"/>
      <c r="U74" s="2"/>
      <c r="V74" s="2"/>
      <c r="W74" s="2"/>
      <c r="X74" s="2"/>
      <c r="Y74" s="2"/>
      <c r="Z74" s="2"/>
    </row>
    <row r="75" spans="1:26" ht="13.8" x14ac:dyDescent="0.3">
      <c r="A75" s="32"/>
      <c r="B75" s="2"/>
      <c r="C75" s="10"/>
      <c r="D75" s="10"/>
      <c r="E75" s="10"/>
      <c r="F75" s="86"/>
      <c r="G75" s="69"/>
      <c r="H75" s="69"/>
      <c r="I75" s="69"/>
      <c r="J75" s="70"/>
      <c r="K75" s="69"/>
      <c r="L75" s="69"/>
      <c r="M75" s="69"/>
      <c r="N75" s="69"/>
      <c r="O75" s="2"/>
      <c r="P75" s="2"/>
      <c r="Q75" s="32"/>
      <c r="R75" s="32"/>
      <c r="S75" s="32"/>
      <c r="T75" s="32"/>
      <c r="U75" s="2"/>
      <c r="V75" s="2"/>
      <c r="W75" s="2"/>
      <c r="X75" s="2"/>
      <c r="Y75" s="2"/>
      <c r="Z75" s="2"/>
    </row>
    <row r="76" spans="1:26" ht="13.8" x14ac:dyDescent="0.3">
      <c r="A76" s="32"/>
      <c r="B76" s="2"/>
      <c r="C76" s="10"/>
      <c r="D76" s="10"/>
      <c r="E76" s="10"/>
      <c r="F76" s="86"/>
      <c r="G76" s="69"/>
      <c r="H76" s="69"/>
      <c r="I76" s="69"/>
      <c r="J76" s="70"/>
      <c r="K76" s="69"/>
      <c r="L76" s="69"/>
      <c r="M76" s="69"/>
      <c r="N76" s="69"/>
      <c r="O76" s="2"/>
      <c r="P76" s="2"/>
      <c r="Q76" s="32"/>
      <c r="R76" s="32"/>
      <c r="S76" s="32"/>
      <c r="T76" s="3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10"/>
      <c r="F77" s="86"/>
      <c r="G77" s="69"/>
      <c r="H77" s="69"/>
      <c r="I77" s="69"/>
      <c r="J77" s="70"/>
      <c r="K77" s="69"/>
      <c r="L77" s="69"/>
      <c r="M77" s="69"/>
      <c r="N77" s="69"/>
      <c r="O77" s="2"/>
      <c r="P77" s="2"/>
      <c r="Q77" s="32"/>
      <c r="R77" s="32"/>
      <c r="S77" s="32"/>
      <c r="T77" s="3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10"/>
      <c r="F78" s="86"/>
      <c r="G78" s="69"/>
      <c r="H78" s="69"/>
      <c r="I78" s="69"/>
      <c r="J78" s="70"/>
      <c r="K78" s="69"/>
      <c r="L78" s="69"/>
      <c r="M78" s="69"/>
      <c r="N78" s="69"/>
      <c r="O78" s="2"/>
      <c r="P78" s="2"/>
      <c r="Q78" s="32"/>
      <c r="R78" s="32"/>
      <c r="S78" s="32"/>
      <c r="T78" s="32"/>
      <c r="U78" s="2"/>
      <c r="V78" s="2"/>
      <c r="W78" s="2"/>
      <c r="X78" s="2"/>
      <c r="Y78" s="2"/>
      <c r="Z78" s="2"/>
    </row>
    <row r="79" spans="1:26" ht="13.8" x14ac:dyDescent="0.3">
      <c r="A79" s="32"/>
      <c r="B79" s="2"/>
      <c r="C79" s="10"/>
      <c r="D79" s="10"/>
      <c r="E79" s="10"/>
      <c r="F79" s="86"/>
      <c r="G79" s="69"/>
      <c r="H79" s="69"/>
      <c r="I79" s="69"/>
      <c r="J79" s="70"/>
      <c r="K79" s="69"/>
      <c r="L79" s="69"/>
      <c r="M79" s="69"/>
      <c r="N79" s="69"/>
      <c r="O79" s="2"/>
      <c r="P79" s="2"/>
      <c r="Q79" s="32"/>
      <c r="R79" s="32"/>
      <c r="S79" s="32"/>
      <c r="T79" s="32"/>
      <c r="U79" s="2"/>
      <c r="V79" s="2"/>
      <c r="W79" s="2"/>
      <c r="X79" s="2"/>
      <c r="Y79" s="2"/>
      <c r="Z79" s="2"/>
    </row>
    <row r="80" spans="1:26" ht="13.8" x14ac:dyDescent="0.3">
      <c r="A80" s="32"/>
      <c r="B80" s="2"/>
      <c r="C80" s="10"/>
      <c r="D80" s="10"/>
      <c r="E80" s="10"/>
      <c r="F80" s="86"/>
      <c r="G80" s="69"/>
      <c r="H80" s="69"/>
      <c r="I80" s="69"/>
      <c r="J80" s="70"/>
      <c r="K80" s="69"/>
      <c r="L80" s="69"/>
      <c r="M80" s="69"/>
      <c r="N80" s="69"/>
      <c r="O80" s="2"/>
      <c r="P80" s="2"/>
      <c r="Q80" s="32"/>
      <c r="R80" s="32"/>
      <c r="S80" s="32"/>
      <c r="T80" s="32"/>
      <c r="U80" s="2"/>
      <c r="V80" s="2"/>
      <c r="W80" s="2"/>
      <c r="X80" s="2"/>
      <c r="Y80" s="2"/>
      <c r="Z80" s="2"/>
    </row>
    <row r="81" spans="1:26" ht="13.8" x14ac:dyDescent="0.3">
      <c r="A81" s="32"/>
      <c r="B81" s="2"/>
      <c r="C81" s="10"/>
      <c r="D81" s="10"/>
      <c r="E81" s="10"/>
      <c r="F81" s="86"/>
      <c r="G81" s="69"/>
      <c r="H81" s="69"/>
      <c r="I81" s="69"/>
      <c r="J81" s="70"/>
      <c r="K81" s="69"/>
      <c r="L81" s="69"/>
      <c r="M81" s="69"/>
      <c r="N81" s="69"/>
      <c r="O81" s="2"/>
      <c r="P81" s="2"/>
      <c r="Q81" s="32"/>
      <c r="R81" s="32"/>
      <c r="S81" s="32"/>
      <c r="T81" s="32"/>
      <c r="U81" s="2"/>
      <c r="V81" s="2"/>
      <c r="W81" s="2"/>
      <c r="X81" s="2"/>
      <c r="Y81" s="2"/>
      <c r="Z81" s="2"/>
    </row>
    <row r="82" spans="1:26" ht="13.8" x14ac:dyDescent="0.3">
      <c r="A82" s="32"/>
      <c r="B82" s="10"/>
      <c r="C82" s="10"/>
      <c r="D82" s="10"/>
      <c r="E82" s="10"/>
      <c r="F82" s="46"/>
      <c r="G82" s="69"/>
      <c r="H82" s="69"/>
      <c r="I82" s="69"/>
      <c r="J82" s="70"/>
      <c r="K82" s="69"/>
      <c r="L82" s="69"/>
      <c r="M82" s="69"/>
      <c r="N82" s="69"/>
      <c r="O82" s="2"/>
      <c r="P82" s="2"/>
      <c r="Q82" s="32"/>
      <c r="R82" s="32"/>
      <c r="S82" s="32"/>
      <c r="T82" s="32"/>
      <c r="U82" s="2"/>
      <c r="V82" s="2"/>
      <c r="W82" s="2"/>
      <c r="X82" s="2"/>
      <c r="Y82" s="2"/>
      <c r="Z82" s="2"/>
    </row>
    <row r="83" spans="1:26" ht="13.8" x14ac:dyDescent="0.3">
      <c r="A83" s="32"/>
      <c r="B83" s="10"/>
      <c r="C83" s="10"/>
      <c r="D83" s="10"/>
      <c r="E83" s="10"/>
      <c r="F83" s="10"/>
      <c r="G83" s="32"/>
      <c r="H83" s="32"/>
      <c r="I83" s="32"/>
      <c r="J83" s="73"/>
      <c r="K83" s="32"/>
      <c r="L83" s="32"/>
      <c r="M83" s="32"/>
      <c r="N83" s="32"/>
      <c r="O83" s="2"/>
      <c r="P83" s="2"/>
      <c r="Q83" s="32"/>
      <c r="R83" s="32"/>
      <c r="S83" s="32"/>
      <c r="T83" s="32"/>
      <c r="U83" s="2"/>
      <c r="V83" s="2"/>
      <c r="W83" s="2"/>
      <c r="X83" s="2"/>
      <c r="Y83" s="2"/>
      <c r="Z83" s="2"/>
    </row>
    <row r="84" spans="1:26" ht="13.8" x14ac:dyDescent="0.3">
      <c r="A84" s="32"/>
      <c r="B84" s="10"/>
      <c r="C84" s="10"/>
      <c r="D84" s="10"/>
      <c r="E84" s="10"/>
      <c r="F84" s="86"/>
      <c r="G84" s="69"/>
      <c r="H84" s="69"/>
      <c r="I84" s="69"/>
      <c r="J84" s="70"/>
      <c r="K84" s="69"/>
      <c r="L84" s="69"/>
      <c r="M84" s="69"/>
      <c r="N84" s="69"/>
      <c r="O84" s="2"/>
      <c r="P84" s="2"/>
      <c r="Q84" s="32"/>
      <c r="R84" s="32"/>
      <c r="S84" s="32"/>
      <c r="T84" s="32"/>
      <c r="U84" s="2"/>
      <c r="V84" s="2"/>
      <c r="W84" s="2"/>
      <c r="X84" s="2"/>
      <c r="Y84" s="2"/>
      <c r="Z84" s="2"/>
    </row>
    <row r="85" spans="1:26" ht="13.8" x14ac:dyDescent="0.3">
      <c r="A85" s="32"/>
      <c r="B85" s="10"/>
      <c r="C85" s="10"/>
      <c r="D85" s="10"/>
      <c r="E85" s="10"/>
      <c r="F85" s="86"/>
      <c r="G85" s="69"/>
      <c r="H85" s="69"/>
      <c r="I85" s="69"/>
      <c r="J85" s="70"/>
      <c r="K85" s="69"/>
      <c r="L85" s="69"/>
      <c r="M85" s="69"/>
      <c r="N85" s="69"/>
      <c r="O85" s="2"/>
      <c r="P85" s="2"/>
      <c r="Q85" s="32"/>
      <c r="R85" s="32"/>
      <c r="S85" s="32"/>
      <c r="T85" s="32"/>
      <c r="U85" s="2"/>
      <c r="V85" s="2"/>
      <c r="W85" s="2"/>
      <c r="X85" s="2"/>
      <c r="Y85" s="2"/>
      <c r="Z85" s="2"/>
    </row>
    <row r="86" spans="1:26" ht="13.8" x14ac:dyDescent="0.3">
      <c r="A86" s="32"/>
      <c r="B86" s="10"/>
      <c r="C86" s="10"/>
      <c r="D86" s="10"/>
      <c r="E86" s="10"/>
      <c r="F86" s="86"/>
      <c r="G86" s="69"/>
      <c r="H86" s="69"/>
      <c r="I86" s="69"/>
      <c r="J86" s="70"/>
      <c r="K86" s="69"/>
      <c r="L86" s="69"/>
      <c r="M86" s="69"/>
      <c r="N86" s="69"/>
      <c r="O86" s="2"/>
      <c r="P86" s="2"/>
      <c r="Q86" s="32"/>
      <c r="R86" s="32"/>
      <c r="S86" s="32"/>
      <c r="T86" s="32"/>
      <c r="U86" s="2"/>
      <c r="V86" s="2"/>
      <c r="W86" s="2"/>
      <c r="X86" s="2"/>
      <c r="Y86" s="2"/>
      <c r="Z86" s="2"/>
    </row>
    <row r="87" spans="1:26" ht="13.8" x14ac:dyDescent="0.3">
      <c r="A87" s="32"/>
      <c r="B87" s="10"/>
      <c r="C87" s="10"/>
      <c r="D87" s="10"/>
      <c r="E87" s="10"/>
      <c r="F87" s="86"/>
      <c r="G87" s="69"/>
      <c r="H87" s="69"/>
      <c r="I87" s="69"/>
      <c r="J87" s="70"/>
      <c r="K87" s="69"/>
      <c r="L87" s="69"/>
      <c r="M87" s="69"/>
      <c r="N87" s="69"/>
      <c r="O87" s="2"/>
      <c r="P87" s="2"/>
      <c r="Q87" s="32"/>
      <c r="R87" s="32"/>
      <c r="S87" s="32"/>
      <c r="T87" s="32"/>
      <c r="U87" s="2"/>
      <c r="V87" s="2"/>
      <c r="W87" s="2"/>
      <c r="X87" s="2"/>
      <c r="Y87" s="2"/>
      <c r="Z87" s="2"/>
    </row>
    <row r="88" spans="1:26" ht="13.8" x14ac:dyDescent="0.3">
      <c r="A88" s="32"/>
      <c r="B88" s="10"/>
      <c r="C88" s="10"/>
      <c r="D88" s="10"/>
      <c r="E88" s="10"/>
      <c r="F88" s="86"/>
      <c r="G88" s="69"/>
      <c r="H88" s="69"/>
      <c r="I88" s="69"/>
      <c r="J88" s="70"/>
      <c r="K88" s="69"/>
      <c r="L88" s="69"/>
      <c r="M88" s="69"/>
      <c r="N88" s="69"/>
      <c r="O88" s="2"/>
      <c r="P88" s="2"/>
      <c r="Q88" s="32"/>
      <c r="R88" s="32"/>
      <c r="S88" s="32"/>
      <c r="T88" s="32"/>
      <c r="U88" s="2"/>
      <c r="V88" s="2"/>
      <c r="W88" s="2"/>
      <c r="X88" s="2"/>
      <c r="Y88" s="2"/>
      <c r="Z88" s="2"/>
    </row>
    <row r="89" spans="1:26" ht="13.8" x14ac:dyDescent="0.3">
      <c r="A89" s="32"/>
      <c r="B89" s="10"/>
      <c r="C89" s="10"/>
      <c r="D89" s="10"/>
      <c r="E89" s="10"/>
      <c r="F89" s="86"/>
      <c r="G89" s="69"/>
      <c r="H89" s="69"/>
      <c r="I89" s="69"/>
      <c r="J89" s="70"/>
      <c r="K89" s="69"/>
      <c r="L89" s="69"/>
      <c r="M89" s="69"/>
      <c r="N89" s="69"/>
      <c r="O89" s="2"/>
      <c r="P89" s="2"/>
      <c r="Q89" s="32"/>
      <c r="R89" s="32"/>
      <c r="S89" s="32"/>
      <c r="T89" s="32"/>
      <c r="U89" s="2"/>
      <c r="V89" s="2"/>
      <c r="W89" s="2"/>
      <c r="X89" s="2"/>
      <c r="Y89" s="2"/>
      <c r="Z89" s="2"/>
    </row>
    <row r="90" spans="1:26" ht="13.8" x14ac:dyDescent="0.3">
      <c r="A90" s="32"/>
      <c r="B90" s="10"/>
      <c r="C90" s="10"/>
      <c r="D90" s="10"/>
      <c r="E90" s="10"/>
      <c r="F90" s="86"/>
      <c r="G90" s="69"/>
      <c r="H90" s="69"/>
      <c r="I90" s="69"/>
      <c r="J90" s="70"/>
      <c r="K90" s="69"/>
      <c r="L90" s="69"/>
      <c r="M90" s="69"/>
      <c r="N90" s="69"/>
      <c r="O90" s="2"/>
      <c r="P90" s="2"/>
      <c r="Q90" s="32"/>
      <c r="R90" s="32"/>
      <c r="S90" s="32"/>
      <c r="T90" s="32"/>
      <c r="U90" s="2"/>
      <c r="V90" s="2"/>
      <c r="W90" s="2"/>
      <c r="X90" s="2"/>
      <c r="Y90" s="2"/>
      <c r="Z90" s="2"/>
    </row>
    <row r="91" spans="1:26" ht="13.8" x14ac:dyDescent="0.3">
      <c r="A91" s="32"/>
      <c r="B91" s="10"/>
      <c r="C91" s="10"/>
      <c r="D91" s="10"/>
      <c r="E91" s="10"/>
      <c r="F91" s="86"/>
      <c r="G91" s="69"/>
      <c r="H91" s="69"/>
      <c r="I91" s="69"/>
      <c r="J91" s="70"/>
      <c r="K91" s="69"/>
      <c r="L91" s="69"/>
      <c r="M91" s="69"/>
      <c r="N91" s="69"/>
      <c r="O91" s="2"/>
      <c r="P91" s="2"/>
      <c r="Q91" s="32"/>
      <c r="R91" s="32"/>
      <c r="S91" s="32"/>
      <c r="T91" s="32"/>
      <c r="U91" s="2"/>
      <c r="V91" s="2"/>
      <c r="W91" s="2"/>
      <c r="X91" s="2"/>
      <c r="Y91" s="2"/>
      <c r="Z91" s="2"/>
    </row>
    <row r="92" spans="1:26" ht="13.8" x14ac:dyDescent="0.3">
      <c r="A92" s="29"/>
      <c r="B92" s="10"/>
      <c r="C92" s="10"/>
      <c r="D92" s="10"/>
      <c r="E92" s="10"/>
      <c r="F92" s="10"/>
      <c r="G92" s="32"/>
      <c r="H92" s="32"/>
      <c r="I92" s="32"/>
      <c r="J92" s="73"/>
      <c r="K92" s="32"/>
      <c r="L92" s="32"/>
      <c r="M92" s="32"/>
      <c r="N92" s="32"/>
      <c r="O92" s="2"/>
      <c r="P92" s="2"/>
      <c r="Q92" s="32"/>
      <c r="R92" s="32"/>
      <c r="S92" s="32"/>
      <c r="T92" s="32"/>
      <c r="U92" s="2"/>
      <c r="V92" s="2"/>
      <c r="W92" s="2"/>
      <c r="X92" s="2"/>
      <c r="Y92" s="2"/>
      <c r="Z92" s="2"/>
    </row>
    <row r="93" spans="1:26" ht="13.8" x14ac:dyDescent="0.3">
      <c r="A93" s="2"/>
      <c r="B93" s="2"/>
      <c r="C93" s="10"/>
      <c r="D93" s="10"/>
      <c r="E93" s="10"/>
      <c r="F93" s="86"/>
      <c r="G93" s="69"/>
      <c r="H93" s="69"/>
      <c r="I93" s="69"/>
      <c r="J93" s="70"/>
      <c r="K93" s="69"/>
      <c r="L93" s="69"/>
      <c r="M93" s="69"/>
      <c r="N93" s="69"/>
      <c r="O93" s="2"/>
      <c r="P93" s="2"/>
      <c r="Q93" s="32"/>
      <c r="R93" s="32"/>
      <c r="S93" s="32"/>
      <c r="T93" s="32"/>
      <c r="U93" s="2"/>
      <c r="V93" s="2"/>
      <c r="W93" s="2"/>
      <c r="X93" s="2"/>
      <c r="Y93" s="2"/>
      <c r="Z93" s="2"/>
    </row>
    <row r="94" spans="1:26" ht="13.8" x14ac:dyDescent="0.3">
      <c r="A94" s="2"/>
      <c r="B94" s="2"/>
      <c r="C94" s="10"/>
      <c r="D94" s="10"/>
      <c r="E94" s="10"/>
      <c r="F94" s="86"/>
      <c r="G94" s="69"/>
      <c r="H94" s="69"/>
      <c r="I94" s="69"/>
      <c r="J94" s="70"/>
      <c r="K94" s="69"/>
      <c r="L94" s="69"/>
      <c r="M94" s="69"/>
      <c r="N94" s="69"/>
      <c r="O94" s="2"/>
      <c r="P94" s="2"/>
      <c r="Q94" s="32"/>
      <c r="R94" s="32"/>
      <c r="S94" s="32"/>
      <c r="T94" s="32"/>
      <c r="U94" s="2"/>
      <c r="V94" s="2"/>
      <c r="W94" s="2"/>
      <c r="X94" s="2"/>
      <c r="Y94" s="2"/>
      <c r="Z94" s="2"/>
    </row>
    <row r="95" spans="1:26" ht="13.8" x14ac:dyDescent="0.3">
      <c r="A95" s="2"/>
      <c r="B95" s="2"/>
      <c r="C95" s="10"/>
      <c r="D95" s="10"/>
      <c r="E95" s="10"/>
      <c r="F95" s="86"/>
      <c r="G95" s="69"/>
      <c r="H95" s="69"/>
      <c r="I95" s="69"/>
      <c r="J95" s="70"/>
      <c r="K95" s="69"/>
      <c r="L95" s="69"/>
      <c r="M95" s="69"/>
      <c r="N95" s="69"/>
      <c r="O95" s="2"/>
      <c r="P95" s="2"/>
      <c r="Q95" s="32"/>
      <c r="R95" s="32"/>
      <c r="S95" s="32"/>
      <c r="T95" s="32"/>
      <c r="U95" s="2"/>
      <c r="V95" s="2"/>
      <c r="W95" s="2"/>
      <c r="X95" s="2"/>
      <c r="Y95" s="2"/>
      <c r="Z95" s="2"/>
    </row>
    <row r="96" spans="1:26" ht="13.8" x14ac:dyDescent="0.3">
      <c r="A96" s="2"/>
      <c r="B96" s="2"/>
      <c r="C96" s="10"/>
      <c r="D96" s="10"/>
      <c r="E96" s="10"/>
      <c r="F96" s="10"/>
      <c r="G96" s="69"/>
      <c r="H96" s="69"/>
      <c r="I96" s="69"/>
      <c r="J96" s="70"/>
      <c r="K96" s="69"/>
      <c r="L96" s="69"/>
      <c r="M96" s="69"/>
      <c r="N96" s="69"/>
      <c r="O96" s="2"/>
      <c r="P96" s="2"/>
      <c r="Q96" s="32"/>
      <c r="R96" s="32"/>
      <c r="S96" s="32"/>
      <c r="T96" s="3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10"/>
      <c r="F97" s="10"/>
      <c r="G97" s="69"/>
      <c r="H97" s="69"/>
      <c r="I97" s="69"/>
      <c r="J97" s="70"/>
      <c r="K97" s="69"/>
      <c r="L97" s="69"/>
      <c r="M97" s="69"/>
      <c r="N97" s="69"/>
      <c r="O97" s="2"/>
      <c r="P97" s="2"/>
      <c r="Q97" s="32"/>
      <c r="R97" s="32"/>
      <c r="S97" s="32"/>
      <c r="T97" s="3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10"/>
      <c r="F98" s="10"/>
      <c r="G98" s="69"/>
      <c r="H98" s="69"/>
      <c r="I98" s="69"/>
      <c r="J98" s="70"/>
      <c r="K98" s="69"/>
      <c r="L98" s="69"/>
      <c r="M98" s="69"/>
      <c r="N98" s="69"/>
      <c r="O98" s="2"/>
      <c r="P98" s="2"/>
      <c r="Q98" s="32"/>
      <c r="R98" s="32"/>
      <c r="S98" s="32"/>
      <c r="T98" s="32"/>
      <c r="U98" s="2"/>
      <c r="V98" s="2"/>
      <c r="W98" s="2"/>
      <c r="X98" s="2"/>
      <c r="Y98" s="2"/>
      <c r="Z98" s="2"/>
    </row>
    <row r="99" spans="1:26" ht="13.8" x14ac:dyDescent="0.3">
      <c r="A99" s="2"/>
      <c r="B99" s="2"/>
      <c r="C99" s="10"/>
      <c r="D99" s="10"/>
      <c r="E99" s="10"/>
      <c r="F99" s="10"/>
      <c r="G99" s="69"/>
      <c r="H99" s="69"/>
      <c r="I99" s="69"/>
      <c r="J99" s="70"/>
      <c r="K99" s="69"/>
      <c r="L99" s="69"/>
      <c r="M99" s="69"/>
      <c r="N99" s="69"/>
      <c r="O99" s="2"/>
      <c r="P99" s="2"/>
      <c r="Q99" s="32"/>
      <c r="R99" s="32"/>
      <c r="S99" s="32"/>
      <c r="T99" s="32"/>
      <c r="U99" s="2"/>
      <c r="V99" s="2"/>
      <c r="W99" s="2"/>
      <c r="X99" s="2"/>
      <c r="Y99" s="2"/>
      <c r="Z99" s="2"/>
    </row>
    <row r="100" spans="1:26" ht="13.8" x14ac:dyDescent="0.3">
      <c r="A100" s="2"/>
      <c r="B100" s="2"/>
      <c r="C100" s="10"/>
      <c r="D100" s="10"/>
      <c r="E100" s="10"/>
      <c r="F100" s="10"/>
      <c r="G100" s="69"/>
      <c r="H100" s="69"/>
      <c r="I100" s="69"/>
      <c r="J100" s="70"/>
      <c r="K100" s="69"/>
      <c r="L100" s="69"/>
      <c r="M100" s="69"/>
      <c r="N100" s="69"/>
      <c r="O100" s="2"/>
      <c r="P100" s="2"/>
      <c r="Q100" s="32"/>
      <c r="R100" s="32"/>
      <c r="S100" s="32"/>
      <c r="T100" s="3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10"/>
      <c r="F101" s="10"/>
      <c r="G101" s="32"/>
      <c r="H101" s="32"/>
      <c r="I101" s="32"/>
      <c r="J101" s="73"/>
      <c r="K101" s="32"/>
      <c r="L101" s="32"/>
      <c r="M101" s="32"/>
      <c r="N101" s="32"/>
      <c r="O101" s="2"/>
      <c r="P101" s="2"/>
      <c r="Q101" s="32"/>
      <c r="R101" s="32"/>
      <c r="S101" s="32"/>
      <c r="T101" s="3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2"/>
      <c r="C102" s="10"/>
      <c r="D102" s="10"/>
      <c r="E102" s="10"/>
      <c r="F102" s="10"/>
      <c r="G102" s="69"/>
      <c r="H102" s="69"/>
      <c r="I102" s="69"/>
      <c r="J102" s="70"/>
      <c r="K102" s="69"/>
      <c r="L102" s="69"/>
      <c r="M102" s="69"/>
      <c r="N102" s="69"/>
      <c r="O102" s="2"/>
      <c r="P102" s="2"/>
      <c r="Q102" s="32"/>
      <c r="R102" s="32"/>
      <c r="S102" s="32"/>
      <c r="T102" s="3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10"/>
      <c r="F103" s="10"/>
      <c r="G103" s="69"/>
      <c r="H103" s="69"/>
      <c r="I103" s="69"/>
      <c r="J103" s="70"/>
      <c r="K103" s="69"/>
      <c r="L103" s="69"/>
      <c r="M103" s="69"/>
      <c r="N103" s="69"/>
      <c r="O103" s="2"/>
      <c r="P103" s="2"/>
      <c r="Q103" s="32"/>
      <c r="R103" s="32"/>
      <c r="S103" s="32"/>
      <c r="T103" s="3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2"/>
      <c r="C104" s="10"/>
      <c r="D104" s="10"/>
      <c r="E104" s="10"/>
      <c r="F104" s="10"/>
      <c r="G104" s="69"/>
      <c r="H104" s="69"/>
      <c r="I104" s="69"/>
      <c r="J104" s="70"/>
      <c r="K104" s="69"/>
      <c r="L104" s="69"/>
      <c r="M104" s="69"/>
      <c r="N104" s="69"/>
      <c r="O104" s="2"/>
      <c r="P104" s="2"/>
      <c r="Q104" s="32"/>
      <c r="R104" s="32"/>
      <c r="S104" s="32"/>
      <c r="T104" s="3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2"/>
      <c r="C105" s="10"/>
      <c r="D105" s="10"/>
      <c r="E105" s="10"/>
      <c r="F105" s="10"/>
      <c r="G105" s="69"/>
      <c r="H105" s="69"/>
      <c r="I105" s="69"/>
      <c r="J105" s="70"/>
      <c r="K105" s="69"/>
      <c r="L105" s="69"/>
      <c r="M105" s="69"/>
      <c r="N105" s="69"/>
      <c r="O105" s="2"/>
      <c r="P105" s="2"/>
      <c r="Q105" s="32"/>
      <c r="R105" s="32"/>
      <c r="S105" s="32"/>
      <c r="T105" s="3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10"/>
      <c r="F106" s="10"/>
      <c r="G106" s="69"/>
      <c r="H106" s="69"/>
      <c r="I106" s="69"/>
      <c r="J106" s="70"/>
      <c r="K106" s="69"/>
      <c r="L106" s="69"/>
      <c r="M106" s="69"/>
      <c r="N106" s="69"/>
      <c r="O106" s="2"/>
      <c r="P106" s="2"/>
      <c r="Q106" s="32"/>
      <c r="R106" s="32"/>
      <c r="S106" s="32"/>
      <c r="T106" s="3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2"/>
      <c r="C107" s="10"/>
      <c r="D107" s="10"/>
      <c r="E107" s="10"/>
      <c r="F107" s="10"/>
      <c r="G107" s="69"/>
      <c r="H107" s="69"/>
      <c r="I107" s="69"/>
      <c r="J107" s="70"/>
      <c r="K107" s="69"/>
      <c r="L107" s="69"/>
      <c r="M107" s="69"/>
      <c r="N107" s="69"/>
      <c r="O107" s="2"/>
      <c r="P107" s="2"/>
      <c r="Q107" s="32"/>
      <c r="R107" s="32"/>
      <c r="S107" s="32"/>
      <c r="T107" s="3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2"/>
      <c r="C108" s="10"/>
      <c r="D108" s="10"/>
      <c r="E108" s="10"/>
      <c r="F108" s="10"/>
      <c r="G108" s="69"/>
      <c r="H108" s="69"/>
      <c r="I108" s="69"/>
      <c r="J108" s="70"/>
      <c r="K108" s="69"/>
      <c r="L108" s="69"/>
      <c r="M108" s="69"/>
      <c r="N108" s="69"/>
      <c r="O108" s="2"/>
      <c r="P108" s="2"/>
      <c r="Q108" s="32"/>
      <c r="R108" s="32"/>
      <c r="S108" s="32"/>
      <c r="T108" s="3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2"/>
      <c r="C109" s="10"/>
      <c r="D109" s="10"/>
      <c r="E109" s="10"/>
      <c r="F109" s="10"/>
      <c r="G109" s="69"/>
      <c r="H109" s="69"/>
      <c r="I109" s="69"/>
      <c r="J109" s="70"/>
      <c r="K109" s="69"/>
      <c r="L109" s="69"/>
      <c r="M109" s="69"/>
      <c r="N109" s="69"/>
      <c r="O109" s="2"/>
      <c r="P109" s="2"/>
      <c r="Q109" s="32"/>
      <c r="R109" s="32"/>
      <c r="S109" s="32"/>
      <c r="T109" s="32"/>
      <c r="U109" s="2"/>
      <c r="V109" s="2"/>
      <c r="W109" s="2"/>
      <c r="X109" s="2"/>
      <c r="Y109" s="2"/>
      <c r="Z109" s="2"/>
    </row>
    <row r="110" spans="1:26" ht="13.8" x14ac:dyDescent="0.3">
      <c r="A110" s="2"/>
      <c r="B110" s="2"/>
      <c r="C110" s="10"/>
      <c r="D110" s="10"/>
      <c r="E110" s="10"/>
      <c r="F110" s="10"/>
      <c r="G110" s="69"/>
      <c r="H110" s="69"/>
      <c r="I110" s="69"/>
      <c r="J110" s="70"/>
      <c r="K110" s="69"/>
      <c r="L110" s="69"/>
      <c r="M110" s="69"/>
      <c r="N110" s="69"/>
      <c r="O110" s="2"/>
      <c r="P110" s="2"/>
      <c r="Q110" s="32"/>
      <c r="R110" s="32"/>
      <c r="S110" s="32"/>
      <c r="T110" s="32"/>
      <c r="U110" s="2"/>
      <c r="V110" s="2"/>
      <c r="W110" s="2"/>
      <c r="X110" s="2"/>
      <c r="Y110" s="2"/>
      <c r="Z110" s="2"/>
    </row>
    <row r="111" spans="1:26" ht="13.8" x14ac:dyDescent="0.3">
      <c r="A111" s="2"/>
      <c r="B111" s="10"/>
      <c r="C111" s="10"/>
      <c r="D111" s="10"/>
      <c r="E111" s="10"/>
      <c r="F111" s="10"/>
      <c r="G111" s="32"/>
      <c r="H111" s="32"/>
      <c r="I111" s="32"/>
      <c r="J111" s="73"/>
      <c r="K111" s="32"/>
      <c r="L111" s="32"/>
      <c r="M111" s="32"/>
      <c r="N111" s="32"/>
      <c r="O111" s="2"/>
      <c r="P111" s="2"/>
      <c r="Q111" s="32"/>
      <c r="R111" s="32"/>
      <c r="S111" s="32"/>
      <c r="T111" s="3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2"/>
      <c r="C112" s="10"/>
      <c r="D112" s="10"/>
      <c r="E112" s="10"/>
      <c r="F112" s="10"/>
      <c r="G112" s="69"/>
      <c r="H112" s="69"/>
      <c r="I112" s="69"/>
      <c r="J112" s="70"/>
      <c r="K112" s="69"/>
      <c r="L112" s="69"/>
      <c r="M112" s="69"/>
      <c r="N112" s="69"/>
      <c r="O112" s="2"/>
      <c r="P112" s="2"/>
      <c r="Q112" s="32"/>
      <c r="R112" s="32"/>
      <c r="S112" s="32"/>
      <c r="T112" s="3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2"/>
      <c r="C113" s="10"/>
      <c r="D113" s="10"/>
      <c r="E113" s="10"/>
      <c r="F113" s="10"/>
      <c r="G113" s="69"/>
      <c r="H113" s="69"/>
      <c r="I113" s="69"/>
      <c r="J113" s="70"/>
      <c r="K113" s="69"/>
      <c r="L113" s="69"/>
      <c r="M113" s="69"/>
      <c r="N113" s="69"/>
      <c r="O113" s="2"/>
      <c r="P113" s="2"/>
      <c r="Q113" s="32"/>
      <c r="R113" s="32"/>
      <c r="S113" s="32"/>
      <c r="T113" s="32"/>
      <c r="U113" s="2"/>
      <c r="V113" s="2"/>
      <c r="W113" s="2"/>
      <c r="X113" s="2"/>
      <c r="Y113" s="2"/>
      <c r="Z113" s="2"/>
    </row>
    <row r="114" spans="1:26" ht="13.8" x14ac:dyDescent="0.3">
      <c r="A114" s="32"/>
      <c r="B114" s="2"/>
      <c r="C114" s="10"/>
      <c r="D114" s="10"/>
      <c r="E114" s="10"/>
      <c r="F114" s="10"/>
      <c r="G114" s="69"/>
      <c r="H114" s="69"/>
      <c r="I114" s="69"/>
      <c r="J114" s="70"/>
      <c r="K114" s="69"/>
      <c r="L114" s="69"/>
      <c r="M114" s="69"/>
      <c r="N114" s="69"/>
      <c r="O114" s="2"/>
      <c r="P114" s="2"/>
      <c r="Q114" s="32"/>
      <c r="R114" s="32"/>
      <c r="S114" s="32"/>
      <c r="T114" s="32"/>
      <c r="U114" s="2"/>
      <c r="V114" s="2"/>
      <c r="W114" s="2"/>
      <c r="X114" s="2"/>
      <c r="Y114" s="2"/>
      <c r="Z114" s="2"/>
    </row>
    <row r="115" spans="1:26" ht="13.8" x14ac:dyDescent="0.3">
      <c r="A115" s="32"/>
      <c r="B115" s="2"/>
      <c r="C115" s="10"/>
      <c r="D115" s="10"/>
      <c r="E115" s="10"/>
      <c r="F115" s="10"/>
      <c r="G115" s="69"/>
      <c r="H115" s="69"/>
      <c r="I115" s="69"/>
      <c r="J115" s="70"/>
      <c r="K115" s="69"/>
      <c r="L115" s="69"/>
      <c r="M115" s="69"/>
      <c r="N115" s="69"/>
      <c r="O115" s="2"/>
      <c r="P115" s="2"/>
      <c r="Q115" s="32"/>
      <c r="R115" s="32"/>
      <c r="S115" s="32"/>
      <c r="T115" s="32"/>
      <c r="U115" s="2"/>
      <c r="V115" s="2"/>
      <c r="W115" s="2"/>
      <c r="X115" s="2"/>
      <c r="Y115" s="2"/>
      <c r="Z115" s="2"/>
    </row>
    <row r="116" spans="1:26" ht="13.8" x14ac:dyDescent="0.3">
      <c r="A116" s="32"/>
      <c r="B116" s="2"/>
      <c r="C116" s="10"/>
      <c r="D116" s="10"/>
      <c r="E116" s="10"/>
      <c r="F116" s="10"/>
      <c r="G116" s="69"/>
      <c r="H116" s="69"/>
      <c r="I116" s="69"/>
      <c r="J116" s="70"/>
      <c r="K116" s="69"/>
      <c r="L116" s="69"/>
      <c r="M116" s="69"/>
      <c r="N116" s="69"/>
      <c r="O116" s="2"/>
      <c r="P116" s="2"/>
      <c r="Q116" s="32"/>
      <c r="R116" s="32"/>
      <c r="S116" s="32"/>
      <c r="T116" s="32"/>
      <c r="U116" s="2"/>
      <c r="V116" s="2"/>
      <c r="W116" s="2"/>
      <c r="X116" s="2"/>
      <c r="Y116" s="2"/>
      <c r="Z116" s="2"/>
    </row>
    <row r="117" spans="1:26" ht="13.8" x14ac:dyDescent="0.3">
      <c r="A117" s="32"/>
      <c r="B117" s="2"/>
      <c r="C117" s="10"/>
      <c r="D117" s="10"/>
      <c r="E117" s="10"/>
      <c r="F117" s="10"/>
      <c r="G117" s="69"/>
      <c r="H117" s="69"/>
      <c r="I117" s="69"/>
      <c r="J117" s="70"/>
      <c r="K117" s="69"/>
      <c r="L117" s="69"/>
      <c r="M117" s="69"/>
      <c r="N117" s="69"/>
      <c r="O117" s="2"/>
      <c r="P117" s="2"/>
      <c r="Q117" s="32"/>
      <c r="R117" s="32"/>
      <c r="S117" s="32"/>
      <c r="T117" s="32"/>
      <c r="U117" s="2"/>
      <c r="V117" s="2"/>
      <c r="W117" s="2"/>
      <c r="X117" s="2"/>
      <c r="Y117" s="2"/>
      <c r="Z117" s="2"/>
    </row>
    <row r="118" spans="1:26" ht="13.8" x14ac:dyDescent="0.3">
      <c r="A118" s="32"/>
      <c r="B118" s="2"/>
      <c r="C118" s="10"/>
      <c r="D118" s="10"/>
      <c r="E118" s="10"/>
      <c r="F118" s="10"/>
      <c r="G118" s="69"/>
      <c r="H118" s="69"/>
      <c r="I118" s="69"/>
      <c r="J118" s="70"/>
      <c r="K118" s="69"/>
      <c r="L118" s="69"/>
      <c r="M118" s="69"/>
      <c r="N118" s="69"/>
      <c r="O118" s="2"/>
      <c r="P118" s="2"/>
      <c r="Q118" s="32"/>
      <c r="R118" s="32"/>
      <c r="S118" s="32"/>
      <c r="T118" s="32"/>
      <c r="U118" s="2"/>
      <c r="V118" s="2"/>
      <c r="W118" s="2"/>
      <c r="X118" s="2"/>
      <c r="Y118" s="2"/>
      <c r="Z118" s="2"/>
    </row>
    <row r="119" spans="1:26" ht="13.8" x14ac:dyDescent="0.3">
      <c r="A119" s="32"/>
      <c r="B119" s="2"/>
      <c r="C119" s="10"/>
      <c r="D119" s="10"/>
      <c r="E119" s="10"/>
      <c r="F119" s="10"/>
      <c r="G119" s="69"/>
      <c r="H119" s="69"/>
      <c r="I119" s="69"/>
      <c r="J119" s="70"/>
      <c r="K119" s="69"/>
      <c r="L119" s="69"/>
      <c r="M119" s="69"/>
      <c r="N119" s="69"/>
      <c r="O119" s="2"/>
      <c r="P119" s="2"/>
      <c r="Q119" s="32"/>
      <c r="R119" s="32"/>
      <c r="S119" s="32"/>
      <c r="T119" s="32"/>
      <c r="U119" s="2"/>
      <c r="V119" s="2"/>
      <c r="W119" s="2"/>
      <c r="X119" s="2"/>
      <c r="Y119" s="2"/>
      <c r="Z119" s="2"/>
    </row>
    <row r="120" spans="1:26" ht="13.8" x14ac:dyDescent="0.3">
      <c r="A120" s="32"/>
      <c r="B120" s="2"/>
      <c r="C120" s="10"/>
      <c r="D120" s="10"/>
      <c r="E120" s="10"/>
      <c r="F120" s="10"/>
      <c r="G120" s="69"/>
      <c r="H120" s="69"/>
      <c r="I120" s="69"/>
      <c r="J120" s="70"/>
      <c r="K120" s="69"/>
      <c r="L120" s="69"/>
      <c r="M120" s="69"/>
      <c r="N120" s="69"/>
      <c r="O120" s="2"/>
      <c r="P120" s="2"/>
      <c r="Q120" s="32"/>
      <c r="R120" s="32"/>
      <c r="S120" s="32"/>
      <c r="T120" s="32"/>
      <c r="U120" s="2"/>
      <c r="V120" s="2"/>
      <c r="W120" s="2"/>
      <c r="X120" s="2"/>
      <c r="Y120" s="2"/>
      <c r="Z120" s="2"/>
    </row>
    <row r="121" spans="1:26" ht="13.8" x14ac:dyDescent="0.3">
      <c r="A121" s="32"/>
      <c r="B121" s="2"/>
      <c r="C121" s="10"/>
      <c r="D121" s="10"/>
      <c r="E121" s="10"/>
      <c r="F121" s="10"/>
      <c r="G121" s="69"/>
      <c r="H121" s="69"/>
      <c r="I121" s="69"/>
      <c r="J121" s="70"/>
      <c r="K121" s="69"/>
      <c r="L121" s="69"/>
      <c r="M121" s="69"/>
      <c r="N121" s="69"/>
      <c r="O121" s="2"/>
      <c r="P121" s="2"/>
      <c r="Q121" s="32"/>
      <c r="R121" s="32"/>
      <c r="S121" s="32"/>
      <c r="T121" s="32"/>
      <c r="U121" s="2"/>
      <c r="V121" s="2"/>
      <c r="W121" s="2"/>
      <c r="X121" s="2"/>
      <c r="Y121" s="2"/>
      <c r="Z121" s="2"/>
    </row>
    <row r="122" spans="1:26" ht="13.8" x14ac:dyDescent="0.3">
      <c r="A122" s="32"/>
      <c r="B122" s="2"/>
      <c r="C122" s="10"/>
      <c r="D122" s="10"/>
      <c r="E122" s="10"/>
      <c r="F122" s="10"/>
      <c r="G122" s="69"/>
      <c r="H122" s="69"/>
      <c r="I122" s="69"/>
      <c r="J122" s="70"/>
      <c r="K122" s="69"/>
      <c r="L122" s="69"/>
      <c r="M122" s="69"/>
      <c r="N122" s="69"/>
      <c r="O122" s="2"/>
      <c r="P122" s="2"/>
      <c r="Q122" s="32"/>
      <c r="R122" s="32"/>
      <c r="S122" s="32"/>
      <c r="T122" s="32"/>
      <c r="U122" s="2"/>
      <c r="V122" s="2"/>
      <c r="W122" s="2"/>
      <c r="X122" s="2"/>
      <c r="Y122" s="2"/>
      <c r="Z122" s="2"/>
    </row>
    <row r="123" spans="1:26" ht="13.8" x14ac:dyDescent="0.3">
      <c r="A123" s="32"/>
      <c r="B123" s="2"/>
      <c r="C123" s="10"/>
      <c r="D123" s="10"/>
      <c r="E123" s="10"/>
      <c r="F123" s="10"/>
      <c r="G123" s="69"/>
      <c r="H123" s="69"/>
      <c r="I123" s="69"/>
      <c r="J123" s="70"/>
      <c r="K123" s="69"/>
      <c r="L123" s="69"/>
      <c r="M123" s="69"/>
      <c r="N123" s="69"/>
      <c r="O123" s="2"/>
      <c r="P123" s="2"/>
      <c r="Q123" s="32"/>
      <c r="R123" s="32"/>
      <c r="S123" s="32"/>
      <c r="T123" s="32"/>
      <c r="U123" s="2"/>
      <c r="V123" s="2"/>
      <c r="W123" s="2"/>
      <c r="X123" s="2"/>
      <c r="Y123" s="2"/>
      <c r="Z123" s="2"/>
    </row>
    <row r="124" spans="1:26" ht="13.8" x14ac:dyDescent="0.3">
      <c r="A124" s="32"/>
      <c r="B124" s="2"/>
      <c r="C124" s="10"/>
      <c r="D124" s="10"/>
      <c r="E124" s="10"/>
      <c r="F124" s="10"/>
      <c r="G124" s="69"/>
      <c r="H124" s="69"/>
      <c r="I124" s="69"/>
      <c r="J124" s="70"/>
      <c r="K124" s="69"/>
      <c r="L124" s="69"/>
      <c r="M124" s="69"/>
      <c r="N124" s="69"/>
      <c r="O124" s="2"/>
      <c r="P124" s="2"/>
      <c r="Q124" s="32"/>
      <c r="R124" s="32"/>
      <c r="S124" s="32"/>
      <c r="T124" s="32"/>
      <c r="U124" s="2"/>
      <c r="V124" s="2"/>
      <c r="W124" s="2"/>
      <c r="X124" s="2"/>
      <c r="Y124" s="2"/>
      <c r="Z124" s="2"/>
    </row>
    <row r="125" spans="1:26" ht="13.8" x14ac:dyDescent="0.3">
      <c r="A125" s="32"/>
      <c r="B125" s="2"/>
      <c r="C125" s="10"/>
      <c r="D125" s="10"/>
      <c r="E125" s="10"/>
      <c r="F125" s="10"/>
      <c r="G125" s="69"/>
      <c r="H125" s="69"/>
      <c r="I125" s="69"/>
      <c r="J125" s="70"/>
      <c r="K125" s="69"/>
      <c r="L125" s="69"/>
      <c r="M125" s="69"/>
      <c r="N125" s="69"/>
      <c r="O125" s="2"/>
      <c r="P125" s="2"/>
      <c r="Q125" s="32"/>
      <c r="R125" s="32"/>
      <c r="S125" s="32"/>
      <c r="T125" s="32"/>
      <c r="U125" s="2"/>
      <c r="V125" s="2"/>
      <c r="W125" s="2"/>
      <c r="X125" s="2"/>
      <c r="Y125" s="2"/>
      <c r="Z125" s="2"/>
    </row>
    <row r="126" spans="1:26" ht="13.8" x14ac:dyDescent="0.3">
      <c r="A126" s="32"/>
      <c r="B126" s="2"/>
      <c r="C126" s="10"/>
      <c r="D126" s="10"/>
      <c r="E126" s="10"/>
      <c r="F126" s="10"/>
      <c r="G126" s="69"/>
      <c r="H126" s="69"/>
      <c r="I126" s="69"/>
      <c r="J126" s="70"/>
      <c r="K126" s="69"/>
      <c r="L126" s="69"/>
      <c r="M126" s="69"/>
      <c r="N126" s="69"/>
      <c r="O126" s="2"/>
      <c r="P126" s="2"/>
      <c r="Q126" s="32"/>
      <c r="R126" s="32"/>
      <c r="S126" s="32"/>
      <c r="T126" s="32"/>
      <c r="U126" s="2"/>
      <c r="V126" s="2"/>
      <c r="W126" s="2"/>
      <c r="X126" s="2"/>
      <c r="Y126" s="2"/>
      <c r="Z126" s="2"/>
    </row>
    <row r="127" spans="1:26" ht="13.8" x14ac:dyDescent="0.3">
      <c r="A127" s="32"/>
      <c r="B127" s="2"/>
      <c r="C127" s="10"/>
      <c r="D127" s="10"/>
      <c r="E127" s="10"/>
      <c r="F127" s="10"/>
      <c r="G127" s="69"/>
      <c r="H127" s="69"/>
      <c r="I127" s="69"/>
      <c r="J127" s="70"/>
      <c r="K127" s="69"/>
      <c r="L127" s="69"/>
      <c r="M127" s="69"/>
      <c r="N127" s="69"/>
      <c r="O127" s="2"/>
      <c r="P127" s="2"/>
      <c r="Q127" s="32"/>
      <c r="R127" s="32"/>
      <c r="S127" s="32"/>
      <c r="T127" s="32"/>
      <c r="U127" s="2"/>
      <c r="V127" s="2"/>
      <c r="W127" s="2"/>
      <c r="X127" s="2"/>
      <c r="Y127" s="2"/>
      <c r="Z127" s="2"/>
    </row>
    <row r="128" spans="1:26" ht="13.8" x14ac:dyDescent="0.3">
      <c r="A128" s="32"/>
      <c r="B128" s="2"/>
      <c r="C128" s="10"/>
      <c r="D128" s="10"/>
      <c r="E128" s="10"/>
      <c r="F128" s="10"/>
      <c r="G128" s="69"/>
      <c r="H128" s="69"/>
      <c r="I128" s="69"/>
      <c r="J128" s="70"/>
      <c r="K128" s="69"/>
      <c r="L128" s="69"/>
      <c r="M128" s="69"/>
      <c r="N128" s="69"/>
      <c r="O128" s="2"/>
      <c r="P128" s="2"/>
      <c r="Q128" s="32"/>
      <c r="R128" s="32"/>
      <c r="S128" s="32"/>
      <c r="T128" s="32"/>
      <c r="U128" s="2"/>
      <c r="V128" s="2"/>
      <c r="W128" s="2"/>
      <c r="X128" s="2"/>
      <c r="Y128" s="2"/>
      <c r="Z128" s="2"/>
    </row>
    <row r="129" spans="1:26" ht="13.8" x14ac:dyDescent="0.3">
      <c r="A129" s="2"/>
      <c r="B129" s="2"/>
      <c r="C129" s="10"/>
      <c r="D129" s="10"/>
      <c r="E129" s="10"/>
      <c r="F129" s="10"/>
      <c r="G129" s="69"/>
      <c r="H129" s="69"/>
      <c r="I129" s="69"/>
      <c r="J129" s="70"/>
      <c r="K129" s="69"/>
      <c r="L129" s="69"/>
      <c r="M129" s="69"/>
      <c r="N129" s="69"/>
      <c r="O129" s="2"/>
      <c r="P129" s="2"/>
      <c r="Q129" s="32"/>
      <c r="R129" s="32"/>
      <c r="S129" s="32"/>
      <c r="T129" s="32"/>
      <c r="U129" s="2"/>
      <c r="V129" s="2"/>
      <c r="W129" s="2"/>
      <c r="X129" s="2"/>
      <c r="Y129" s="2"/>
      <c r="Z129" s="2"/>
    </row>
    <row r="130" spans="1:26" ht="13.8" x14ac:dyDescent="0.3">
      <c r="A130" s="2"/>
      <c r="B130" s="2"/>
      <c r="C130" s="10"/>
      <c r="D130" s="10"/>
      <c r="E130" s="10"/>
      <c r="F130" s="10"/>
      <c r="G130" s="69"/>
      <c r="H130" s="69"/>
      <c r="I130" s="69"/>
      <c r="J130" s="70"/>
      <c r="K130" s="69"/>
      <c r="L130" s="69"/>
      <c r="M130" s="69"/>
      <c r="N130" s="69"/>
      <c r="O130" s="2"/>
      <c r="P130" s="2"/>
      <c r="Q130" s="32"/>
      <c r="R130" s="32"/>
      <c r="S130" s="32"/>
      <c r="T130" s="32"/>
      <c r="U130" s="2"/>
      <c r="V130" s="2"/>
      <c r="W130" s="2"/>
      <c r="X130" s="2"/>
      <c r="Y130" s="2"/>
      <c r="Z130" s="2"/>
    </row>
    <row r="131" spans="1:26" ht="13.8" x14ac:dyDescent="0.3">
      <c r="A131" s="2"/>
      <c r="B131" s="10"/>
      <c r="C131" s="10"/>
      <c r="D131" s="10"/>
      <c r="E131" s="10"/>
      <c r="F131" s="10"/>
      <c r="G131" s="32"/>
      <c r="H131" s="32"/>
      <c r="I131" s="32"/>
      <c r="J131" s="73"/>
      <c r="K131" s="32"/>
      <c r="L131" s="32"/>
      <c r="M131" s="32"/>
      <c r="N131" s="32"/>
      <c r="O131" s="2"/>
      <c r="P131" s="2"/>
      <c r="Q131" s="32"/>
      <c r="R131" s="32"/>
      <c r="S131" s="32"/>
      <c r="T131" s="32"/>
      <c r="U131" s="2"/>
      <c r="V131" s="2"/>
      <c r="W131" s="2"/>
      <c r="X131" s="2"/>
      <c r="Y131" s="2"/>
      <c r="Z131" s="2"/>
    </row>
    <row r="132" spans="1:26" ht="13.8" x14ac:dyDescent="0.3">
      <c r="A132" s="2"/>
      <c r="B132" s="2"/>
      <c r="C132" s="2"/>
      <c r="D132" s="2"/>
      <c r="E132" s="10"/>
      <c r="F132" s="32"/>
      <c r="G132" s="69"/>
      <c r="H132" s="69"/>
      <c r="I132" s="32"/>
      <c r="J132" s="70"/>
      <c r="K132" s="32"/>
      <c r="L132" s="32"/>
      <c r="M132" s="32"/>
      <c r="N132" s="32"/>
      <c r="O132" s="2"/>
      <c r="P132" s="2"/>
      <c r="Q132" s="32"/>
      <c r="R132" s="32"/>
      <c r="S132" s="32"/>
      <c r="T132" s="3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10"/>
      <c r="C133" s="10"/>
      <c r="D133" s="10"/>
      <c r="E133" s="10"/>
      <c r="F133" s="10"/>
      <c r="G133" s="32"/>
      <c r="H133" s="32"/>
      <c r="I133" s="32"/>
      <c r="J133" s="73"/>
      <c r="K133" s="32"/>
      <c r="L133" s="32"/>
      <c r="M133" s="32"/>
      <c r="N133" s="32"/>
      <c r="O133" s="2"/>
      <c r="P133" s="2"/>
      <c r="Q133" s="32"/>
      <c r="R133" s="32"/>
      <c r="S133" s="32"/>
      <c r="T133" s="3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2"/>
      <c r="C134" s="2"/>
      <c r="D134" s="2"/>
      <c r="E134" s="10"/>
      <c r="F134" s="32"/>
      <c r="G134" s="69"/>
      <c r="H134" s="69"/>
      <c r="I134" s="32"/>
      <c r="J134" s="87"/>
      <c r="K134" s="32"/>
      <c r="L134" s="32"/>
      <c r="M134" s="32"/>
      <c r="N134" s="32"/>
      <c r="O134" s="2"/>
      <c r="P134" s="2"/>
      <c r="Q134" s="32"/>
      <c r="R134" s="32"/>
      <c r="S134" s="32"/>
      <c r="T134" s="32"/>
      <c r="U134" s="2"/>
      <c r="V134" s="2"/>
      <c r="W134" s="2"/>
      <c r="X134" s="2"/>
      <c r="Y134" s="2"/>
      <c r="Z134" s="2"/>
    </row>
    <row r="135" spans="1:26" ht="13.8" x14ac:dyDescent="0.3">
      <c r="A135" s="2"/>
      <c r="B135" s="2"/>
      <c r="C135" s="10"/>
      <c r="D135" s="10"/>
      <c r="E135" s="10"/>
      <c r="F135" s="10"/>
      <c r="G135" s="69"/>
      <c r="H135" s="69"/>
      <c r="I135" s="69"/>
      <c r="J135" s="70"/>
      <c r="K135" s="69"/>
      <c r="L135" s="69"/>
      <c r="M135" s="69"/>
      <c r="N135" s="69"/>
      <c r="O135" s="2"/>
      <c r="P135" s="2"/>
      <c r="Q135" s="32"/>
      <c r="R135" s="32"/>
      <c r="S135" s="32"/>
      <c r="T135" s="3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2"/>
      <c r="C136" s="10"/>
      <c r="D136" s="10"/>
      <c r="E136" s="10"/>
      <c r="F136" s="10"/>
      <c r="G136" s="69"/>
      <c r="H136" s="69"/>
      <c r="I136" s="69"/>
      <c r="J136" s="70"/>
      <c r="K136" s="69"/>
      <c r="L136" s="69"/>
      <c r="M136" s="69"/>
      <c r="N136" s="69"/>
      <c r="O136" s="2"/>
      <c r="P136" s="2"/>
      <c r="Q136" s="32"/>
      <c r="R136" s="32"/>
      <c r="S136" s="32"/>
      <c r="T136" s="3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2"/>
      <c r="C137" s="10"/>
      <c r="D137" s="10"/>
      <c r="E137" s="10"/>
      <c r="F137" s="10"/>
      <c r="G137" s="69"/>
      <c r="H137" s="69"/>
      <c r="I137" s="69"/>
      <c r="J137" s="70"/>
      <c r="K137" s="69"/>
      <c r="L137" s="69"/>
      <c r="M137" s="69"/>
      <c r="N137" s="69"/>
      <c r="O137" s="2"/>
      <c r="P137" s="2"/>
      <c r="Q137" s="32"/>
      <c r="R137" s="32"/>
      <c r="S137" s="32"/>
      <c r="T137" s="3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2"/>
      <c r="C138" s="10"/>
      <c r="D138" s="10"/>
      <c r="E138" s="10"/>
      <c r="F138" s="10"/>
      <c r="G138" s="69"/>
      <c r="H138" s="69"/>
      <c r="I138" s="69"/>
      <c r="J138" s="70"/>
      <c r="K138" s="69"/>
      <c r="L138" s="69"/>
      <c r="M138" s="69"/>
      <c r="N138" s="69"/>
      <c r="O138" s="2"/>
      <c r="P138" s="2"/>
      <c r="Q138" s="32"/>
      <c r="R138" s="32"/>
      <c r="S138" s="32"/>
      <c r="T138" s="3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2"/>
      <c r="C139" s="10"/>
      <c r="D139" s="10"/>
      <c r="E139" s="10"/>
      <c r="F139" s="10"/>
      <c r="G139" s="69"/>
      <c r="H139" s="69"/>
      <c r="I139" s="69"/>
      <c r="J139" s="70"/>
      <c r="K139" s="69"/>
      <c r="L139" s="69"/>
      <c r="M139" s="69"/>
      <c r="N139" s="69"/>
      <c r="O139" s="2"/>
      <c r="P139" s="2"/>
      <c r="Q139" s="32"/>
      <c r="R139" s="32"/>
      <c r="S139" s="32"/>
      <c r="T139" s="3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2"/>
      <c r="C140" s="10"/>
      <c r="D140" s="10"/>
      <c r="E140" s="10"/>
      <c r="F140" s="10"/>
      <c r="G140" s="69"/>
      <c r="H140" s="69"/>
      <c r="I140" s="69"/>
      <c r="J140" s="70"/>
      <c r="K140" s="69"/>
      <c r="L140" s="69"/>
      <c r="M140" s="69"/>
      <c r="N140" s="69"/>
      <c r="O140" s="2"/>
      <c r="P140" s="2"/>
      <c r="Q140" s="32"/>
      <c r="R140" s="32"/>
      <c r="S140" s="32"/>
      <c r="T140" s="3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2"/>
      <c r="C141" s="10"/>
      <c r="D141" s="10"/>
      <c r="E141" s="10"/>
      <c r="F141" s="10"/>
      <c r="G141" s="69"/>
      <c r="H141" s="69"/>
      <c r="I141" s="69"/>
      <c r="J141" s="70"/>
      <c r="K141" s="69"/>
      <c r="L141" s="69"/>
      <c r="M141" s="69"/>
      <c r="N141" s="69"/>
      <c r="O141" s="2"/>
      <c r="P141" s="2"/>
      <c r="Q141" s="32"/>
      <c r="R141" s="32"/>
      <c r="S141" s="32"/>
      <c r="T141" s="32"/>
      <c r="U141" s="2"/>
      <c r="V141" s="2"/>
      <c r="W141" s="2"/>
      <c r="X141" s="2"/>
      <c r="Y141" s="2"/>
      <c r="Z141" s="2"/>
    </row>
    <row r="142" spans="1:26" ht="13.8" x14ac:dyDescent="0.3">
      <c r="A142" s="32"/>
      <c r="B142" s="2"/>
      <c r="C142" s="10"/>
      <c r="D142" s="10"/>
      <c r="E142" s="10"/>
      <c r="F142" s="2"/>
      <c r="G142" s="69"/>
      <c r="H142" s="69"/>
      <c r="I142" s="69"/>
      <c r="J142" s="70"/>
      <c r="K142" s="69"/>
      <c r="L142" s="69"/>
      <c r="M142" s="69"/>
      <c r="N142" s="69"/>
      <c r="O142" s="2"/>
      <c r="P142" s="2"/>
      <c r="Q142" s="32"/>
      <c r="R142" s="32"/>
      <c r="S142" s="32"/>
      <c r="T142" s="32"/>
      <c r="U142" s="2"/>
      <c r="V142" s="2"/>
      <c r="W142" s="2"/>
      <c r="X142" s="2"/>
      <c r="Y142" s="2"/>
      <c r="Z142" s="2"/>
    </row>
    <row r="143" spans="1:26" ht="13.8" x14ac:dyDescent="0.3">
      <c r="A143" s="32"/>
      <c r="B143" s="2"/>
      <c r="C143" s="10"/>
      <c r="D143" s="10"/>
      <c r="E143" s="10"/>
      <c r="F143" s="2"/>
      <c r="G143" s="69"/>
      <c r="H143" s="69"/>
      <c r="I143" s="69"/>
      <c r="J143" s="70"/>
      <c r="K143" s="69"/>
      <c r="L143" s="69"/>
      <c r="M143" s="69"/>
      <c r="N143" s="69"/>
      <c r="O143" s="2"/>
      <c r="P143" s="2"/>
      <c r="Q143" s="32"/>
      <c r="R143" s="32"/>
      <c r="S143" s="32"/>
      <c r="T143" s="3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10"/>
      <c r="F144" s="2"/>
      <c r="G144" s="69"/>
      <c r="H144" s="69"/>
      <c r="I144" s="69"/>
      <c r="J144" s="70"/>
      <c r="K144" s="69"/>
      <c r="L144" s="69"/>
      <c r="M144" s="69"/>
      <c r="N144" s="69"/>
      <c r="O144" s="2"/>
      <c r="P144" s="2"/>
      <c r="Q144" s="32"/>
      <c r="R144" s="32"/>
      <c r="S144" s="32"/>
      <c r="T144" s="32"/>
      <c r="U144" s="2"/>
      <c r="V144" s="2"/>
      <c r="W144" s="2"/>
      <c r="X144" s="2"/>
      <c r="Y144" s="2"/>
      <c r="Z144" s="2"/>
    </row>
    <row r="145" spans="1:26" ht="13.8" x14ac:dyDescent="0.3">
      <c r="A145" s="2"/>
      <c r="B145" s="2"/>
      <c r="C145" s="10"/>
      <c r="D145" s="10"/>
      <c r="E145" s="10"/>
      <c r="F145" s="2"/>
      <c r="G145" s="69"/>
      <c r="H145" s="69"/>
      <c r="I145" s="69"/>
      <c r="J145" s="70"/>
      <c r="K145" s="69"/>
      <c r="L145" s="69"/>
      <c r="M145" s="69"/>
      <c r="N145" s="69"/>
      <c r="O145" s="2"/>
      <c r="P145" s="2"/>
      <c r="Q145" s="32"/>
      <c r="R145" s="32"/>
      <c r="S145" s="32"/>
      <c r="T145" s="3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10"/>
      <c r="F146" s="2"/>
      <c r="G146" s="69"/>
      <c r="H146" s="69"/>
      <c r="I146" s="69"/>
      <c r="J146" s="70"/>
      <c r="K146" s="69"/>
      <c r="L146" s="69"/>
      <c r="M146" s="69"/>
      <c r="N146" s="69"/>
      <c r="O146" s="2"/>
      <c r="P146" s="2"/>
      <c r="Q146" s="32"/>
      <c r="R146" s="32"/>
      <c r="S146" s="32"/>
      <c r="T146" s="3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2"/>
      <c r="C147" s="10"/>
      <c r="D147" s="10"/>
      <c r="E147" s="10"/>
      <c r="F147" s="2"/>
      <c r="G147" s="69"/>
      <c r="H147" s="69"/>
      <c r="I147" s="69"/>
      <c r="J147" s="70"/>
      <c r="K147" s="69"/>
      <c r="L147" s="69"/>
      <c r="M147" s="69"/>
      <c r="N147" s="69"/>
      <c r="O147" s="2"/>
      <c r="P147" s="2"/>
      <c r="Q147" s="32"/>
      <c r="R147" s="32"/>
      <c r="S147" s="32"/>
      <c r="T147" s="3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10"/>
      <c r="F148" s="10"/>
      <c r="G148" s="32"/>
      <c r="H148" s="32"/>
      <c r="I148" s="32"/>
      <c r="J148" s="73"/>
      <c r="K148" s="32"/>
      <c r="L148" s="32"/>
      <c r="M148" s="32"/>
      <c r="N148" s="32"/>
      <c r="O148" s="2"/>
      <c r="P148" s="2"/>
      <c r="Q148" s="32"/>
      <c r="R148" s="32"/>
      <c r="S148" s="32"/>
      <c r="T148" s="3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2"/>
      <c r="C149" s="2"/>
      <c r="D149" s="2"/>
      <c r="E149" s="10"/>
      <c r="F149" s="32"/>
      <c r="G149" s="69"/>
      <c r="H149" s="69"/>
      <c r="I149" s="32"/>
      <c r="J149" s="87"/>
      <c r="K149" s="32"/>
      <c r="L149" s="32"/>
      <c r="M149" s="32"/>
      <c r="N149" s="32"/>
      <c r="O149" s="2"/>
      <c r="P149" s="2"/>
      <c r="Q149" s="32"/>
      <c r="R149" s="32"/>
      <c r="S149" s="32"/>
      <c r="T149" s="3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2"/>
      <c r="C150" s="10"/>
      <c r="D150" s="10"/>
      <c r="E150" s="10"/>
      <c r="F150" s="10"/>
      <c r="G150" s="69"/>
      <c r="H150" s="69"/>
      <c r="I150" s="69"/>
      <c r="J150" s="70"/>
      <c r="K150" s="69"/>
      <c r="L150" s="69"/>
      <c r="M150" s="69"/>
      <c r="N150" s="69"/>
      <c r="O150" s="2"/>
      <c r="P150" s="2"/>
      <c r="Q150" s="32"/>
      <c r="R150" s="32"/>
      <c r="S150" s="32"/>
      <c r="T150" s="3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2"/>
      <c r="C151" s="10"/>
      <c r="D151" s="10"/>
      <c r="E151" s="10"/>
      <c r="F151" s="10"/>
      <c r="G151" s="69"/>
      <c r="H151" s="69"/>
      <c r="I151" s="69"/>
      <c r="J151" s="70"/>
      <c r="K151" s="69"/>
      <c r="L151" s="69"/>
      <c r="M151" s="69"/>
      <c r="N151" s="69"/>
      <c r="O151" s="2"/>
      <c r="P151" s="2"/>
      <c r="Q151" s="32"/>
      <c r="R151" s="32"/>
      <c r="S151" s="32"/>
      <c r="T151" s="32"/>
      <c r="U151" s="2"/>
      <c r="V151" s="2"/>
      <c r="W151" s="2"/>
      <c r="X151" s="2"/>
      <c r="Y151" s="2"/>
      <c r="Z151" s="2"/>
    </row>
    <row r="152" spans="1:26" ht="13.8" x14ac:dyDescent="0.3">
      <c r="A152" s="32"/>
      <c r="B152" s="2"/>
      <c r="C152" s="10"/>
      <c r="D152" s="10"/>
      <c r="E152" s="10"/>
      <c r="F152" s="10"/>
      <c r="G152" s="69"/>
      <c r="H152" s="69"/>
      <c r="I152" s="69"/>
      <c r="J152" s="70"/>
      <c r="K152" s="69"/>
      <c r="L152" s="69"/>
      <c r="M152" s="69"/>
      <c r="N152" s="69"/>
      <c r="O152" s="2"/>
      <c r="P152" s="2"/>
      <c r="Q152" s="32"/>
      <c r="R152" s="32"/>
      <c r="S152" s="32"/>
      <c r="T152" s="32"/>
      <c r="U152" s="2"/>
      <c r="V152" s="2"/>
      <c r="W152" s="2"/>
      <c r="X152" s="2"/>
      <c r="Y152" s="2"/>
      <c r="Z152" s="2"/>
    </row>
    <row r="153" spans="1:26" ht="13.8" x14ac:dyDescent="0.3">
      <c r="A153" s="32"/>
      <c r="B153" s="2"/>
      <c r="C153" s="10"/>
      <c r="D153" s="10"/>
      <c r="E153" s="10"/>
      <c r="F153" s="10"/>
      <c r="G153" s="69"/>
      <c r="H153" s="69"/>
      <c r="I153" s="69"/>
      <c r="J153" s="70"/>
      <c r="K153" s="69"/>
      <c r="L153" s="69"/>
      <c r="M153" s="69"/>
      <c r="N153" s="69"/>
      <c r="O153" s="2"/>
      <c r="P153" s="2"/>
      <c r="Q153" s="32"/>
      <c r="R153" s="32"/>
      <c r="S153" s="32"/>
      <c r="T153" s="32"/>
      <c r="U153" s="2"/>
      <c r="V153" s="2"/>
      <c r="W153" s="2"/>
      <c r="X153" s="2"/>
      <c r="Y153" s="2"/>
      <c r="Z153" s="2"/>
    </row>
    <row r="154" spans="1:26" ht="13.8" x14ac:dyDescent="0.3">
      <c r="A154" s="32"/>
      <c r="B154" s="2"/>
      <c r="C154" s="10"/>
      <c r="D154" s="10"/>
      <c r="E154" s="10"/>
      <c r="F154" s="10"/>
      <c r="G154" s="69"/>
      <c r="H154" s="69"/>
      <c r="I154" s="69"/>
      <c r="J154" s="70"/>
      <c r="K154" s="69"/>
      <c r="L154" s="69"/>
      <c r="M154" s="69"/>
      <c r="N154" s="69"/>
      <c r="O154" s="2"/>
      <c r="P154" s="2"/>
      <c r="Q154" s="32"/>
      <c r="R154" s="32"/>
      <c r="S154" s="32"/>
      <c r="T154" s="32"/>
      <c r="U154" s="2"/>
      <c r="V154" s="2"/>
      <c r="W154" s="2"/>
      <c r="X154" s="2"/>
      <c r="Y154" s="2"/>
      <c r="Z154" s="2"/>
    </row>
    <row r="155" spans="1:26" ht="13.8" x14ac:dyDescent="0.3">
      <c r="A155" s="32"/>
      <c r="B155" s="2"/>
      <c r="C155" s="10"/>
      <c r="D155" s="10"/>
      <c r="E155" s="10"/>
      <c r="F155" s="10"/>
      <c r="G155" s="69"/>
      <c r="H155" s="69"/>
      <c r="I155" s="69"/>
      <c r="J155" s="70"/>
      <c r="K155" s="69"/>
      <c r="L155" s="69"/>
      <c r="M155" s="69"/>
      <c r="N155" s="69"/>
      <c r="O155" s="2"/>
      <c r="P155" s="2"/>
      <c r="Q155" s="32"/>
      <c r="R155" s="32"/>
      <c r="S155" s="32"/>
      <c r="T155" s="32"/>
      <c r="U155" s="2"/>
      <c r="V155" s="2"/>
      <c r="W155" s="2"/>
      <c r="X155" s="2"/>
      <c r="Y155" s="2"/>
      <c r="Z155" s="2"/>
    </row>
    <row r="156" spans="1:26" ht="13.8" x14ac:dyDescent="0.3">
      <c r="A156" s="32"/>
      <c r="B156" s="2"/>
      <c r="C156" s="10"/>
      <c r="D156" s="10"/>
      <c r="E156" s="10"/>
      <c r="F156" s="10"/>
      <c r="G156" s="69"/>
      <c r="H156" s="69"/>
      <c r="I156" s="69"/>
      <c r="J156" s="70"/>
      <c r="K156" s="69"/>
      <c r="L156" s="69"/>
      <c r="M156" s="69"/>
      <c r="N156" s="69"/>
      <c r="O156" s="2"/>
      <c r="P156" s="2"/>
      <c r="Q156" s="32"/>
      <c r="R156" s="32"/>
      <c r="S156" s="32"/>
      <c r="T156" s="32"/>
      <c r="U156" s="2"/>
      <c r="V156" s="2"/>
      <c r="W156" s="2"/>
      <c r="X156" s="2"/>
      <c r="Y156" s="2"/>
      <c r="Z156" s="2"/>
    </row>
    <row r="157" spans="1:26" ht="13.8" x14ac:dyDescent="0.3">
      <c r="A157" s="32"/>
      <c r="B157" s="2"/>
      <c r="C157" s="10"/>
      <c r="D157" s="10"/>
      <c r="E157" s="10"/>
      <c r="F157" s="10"/>
      <c r="G157" s="69"/>
      <c r="H157" s="69"/>
      <c r="I157" s="69"/>
      <c r="J157" s="70"/>
      <c r="K157" s="69"/>
      <c r="L157" s="69"/>
      <c r="M157" s="69"/>
      <c r="N157" s="69"/>
      <c r="O157" s="2"/>
      <c r="P157" s="2"/>
      <c r="Q157" s="32"/>
      <c r="R157" s="32"/>
      <c r="S157" s="32"/>
      <c r="T157" s="32"/>
      <c r="U157" s="2"/>
      <c r="V157" s="2"/>
      <c r="W157" s="2"/>
      <c r="X157" s="2"/>
      <c r="Y157" s="2"/>
      <c r="Z157" s="2"/>
    </row>
    <row r="158" spans="1:26" ht="13.8" x14ac:dyDescent="0.3">
      <c r="A158" s="32"/>
      <c r="B158" s="2"/>
      <c r="C158" s="10"/>
      <c r="D158" s="10"/>
      <c r="E158" s="10"/>
      <c r="F158" s="10"/>
      <c r="G158" s="69"/>
      <c r="H158" s="69"/>
      <c r="I158" s="69"/>
      <c r="J158" s="70"/>
      <c r="K158" s="69"/>
      <c r="L158" s="69"/>
      <c r="M158" s="69"/>
      <c r="N158" s="69"/>
      <c r="O158" s="2"/>
      <c r="P158" s="2"/>
      <c r="Q158" s="32"/>
      <c r="R158" s="32"/>
      <c r="S158" s="32"/>
      <c r="T158" s="32"/>
      <c r="U158" s="2"/>
      <c r="V158" s="2"/>
      <c r="W158" s="2"/>
      <c r="X158" s="2"/>
      <c r="Y158" s="2"/>
      <c r="Z158" s="2"/>
    </row>
    <row r="159" spans="1:26" ht="13.8" x14ac:dyDescent="0.3">
      <c r="A159" s="32"/>
      <c r="B159" s="2"/>
      <c r="C159" s="10"/>
      <c r="D159" s="10"/>
      <c r="E159" s="10"/>
      <c r="F159" s="10"/>
      <c r="G159" s="69"/>
      <c r="H159" s="69"/>
      <c r="I159" s="69"/>
      <c r="J159" s="70"/>
      <c r="K159" s="69"/>
      <c r="L159" s="69"/>
      <c r="M159" s="69"/>
      <c r="N159" s="69"/>
      <c r="O159" s="2"/>
      <c r="P159" s="2"/>
      <c r="Q159" s="32"/>
      <c r="R159" s="32"/>
      <c r="S159" s="32"/>
      <c r="T159" s="32"/>
      <c r="U159" s="2"/>
      <c r="V159" s="2"/>
      <c r="W159" s="2"/>
      <c r="X159" s="2"/>
      <c r="Y159" s="2"/>
      <c r="Z159" s="2"/>
    </row>
    <row r="160" spans="1:26" ht="13.8" x14ac:dyDescent="0.3">
      <c r="A160" s="32"/>
      <c r="B160" s="2"/>
      <c r="C160" s="10"/>
      <c r="D160" s="10"/>
      <c r="E160" s="10"/>
      <c r="F160" s="10"/>
      <c r="G160" s="69"/>
      <c r="H160" s="69"/>
      <c r="I160" s="69"/>
      <c r="J160" s="70"/>
      <c r="K160" s="69"/>
      <c r="L160" s="69"/>
      <c r="M160" s="69"/>
      <c r="N160" s="69"/>
      <c r="O160" s="2"/>
      <c r="P160" s="2"/>
      <c r="Q160" s="32"/>
      <c r="R160" s="32"/>
      <c r="S160" s="32"/>
      <c r="T160" s="32"/>
      <c r="U160" s="2"/>
      <c r="V160" s="2"/>
      <c r="W160" s="2"/>
      <c r="X160" s="2"/>
      <c r="Y160" s="2"/>
      <c r="Z160" s="2"/>
    </row>
    <row r="161" spans="1:26" ht="13.8" x14ac:dyDescent="0.3">
      <c r="A161" s="32"/>
      <c r="B161" s="2"/>
      <c r="C161" s="10"/>
      <c r="D161" s="10"/>
      <c r="E161" s="10"/>
      <c r="F161" s="10"/>
      <c r="G161" s="69"/>
      <c r="H161" s="69"/>
      <c r="I161" s="69"/>
      <c r="J161" s="70"/>
      <c r="K161" s="69"/>
      <c r="L161" s="69"/>
      <c r="M161" s="69"/>
      <c r="N161" s="69"/>
      <c r="O161" s="2"/>
      <c r="P161" s="2"/>
      <c r="Q161" s="32"/>
      <c r="R161" s="32"/>
      <c r="S161" s="32"/>
      <c r="T161" s="32"/>
      <c r="U161" s="2"/>
      <c r="V161" s="2"/>
      <c r="W161" s="2"/>
      <c r="X161" s="2"/>
      <c r="Y161" s="2"/>
      <c r="Z161" s="2"/>
    </row>
    <row r="162" spans="1:26" ht="13.8" x14ac:dyDescent="0.3">
      <c r="A162" s="32"/>
      <c r="B162" s="2"/>
      <c r="C162" s="10"/>
      <c r="D162" s="10"/>
      <c r="E162" s="10"/>
      <c r="F162" s="10"/>
      <c r="G162" s="69"/>
      <c r="H162" s="69"/>
      <c r="I162" s="69"/>
      <c r="J162" s="70"/>
      <c r="K162" s="69"/>
      <c r="L162" s="69"/>
      <c r="M162" s="69"/>
      <c r="N162" s="69"/>
      <c r="O162" s="2"/>
      <c r="P162" s="2"/>
      <c r="Q162" s="32"/>
      <c r="R162" s="32"/>
      <c r="S162" s="32"/>
      <c r="T162" s="32"/>
      <c r="U162" s="2"/>
      <c r="V162" s="2"/>
      <c r="W162" s="2"/>
      <c r="X162" s="2"/>
      <c r="Y162" s="2"/>
      <c r="Z162" s="2"/>
    </row>
    <row r="163" spans="1:26" ht="13.8" x14ac:dyDescent="0.3">
      <c r="A163" s="32"/>
      <c r="B163" s="2"/>
      <c r="C163" s="10"/>
      <c r="D163" s="10"/>
      <c r="E163" s="10"/>
      <c r="F163" s="10"/>
      <c r="G163" s="69"/>
      <c r="H163" s="69"/>
      <c r="I163" s="69"/>
      <c r="J163" s="70"/>
      <c r="K163" s="69"/>
      <c r="L163" s="69"/>
      <c r="M163" s="69"/>
      <c r="N163" s="69"/>
      <c r="O163" s="2"/>
      <c r="P163" s="2"/>
      <c r="Q163" s="32"/>
      <c r="R163" s="32"/>
      <c r="S163" s="32"/>
      <c r="T163" s="32"/>
      <c r="U163" s="2"/>
      <c r="V163" s="2"/>
      <c r="W163" s="2"/>
      <c r="X163" s="2"/>
      <c r="Y163" s="2"/>
      <c r="Z163" s="2"/>
    </row>
    <row r="164" spans="1:26" ht="13.8" x14ac:dyDescent="0.3">
      <c r="A164" s="32"/>
      <c r="B164" s="2"/>
      <c r="C164" s="10"/>
      <c r="D164" s="10"/>
      <c r="E164" s="10"/>
      <c r="F164" s="10"/>
      <c r="G164" s="69"/>
      <c r="H164" s="69"/>
      <c r="I164" s="69"/>
      <c r="J164" s="70"/>
      <c r="K164" s="69"/>
      <c r="L164" s="69"/>
      <c r="M164" s="69"/>
      <c r="N164" s="69"/>
      <c r="O164" s="2"/>
      <c r="P164" s="2"/>
      <c r="Q164" s="32"/>
      <c r="R164" s="32"/>
      <c r="S164" s="32"/>
      <c r="T164" s="32"/>
      <c r="U164" s="2"/>
      <c r="V164" s="2"/>
      <c r="W164" s="2"/>
      <c r="X164" s="2"/>
      <c r="Y164" s="2"/>
      <c r="Z164" s="2"/>
    </row>
    <row r="165" spans="1:26" ht="13.8" x14ac:dyDescent="0.3">
      <c r="A165" s="32"/>
      <c r="B165" s="2"/>
      <c r="C165" s="10"/>
      <c r="D165" s="10"/>
      <c r="E165" s="10"/>
      <c r="F165" s="10"/>
      <c r="G165" s="69"/>
      <c r="H165" s="69"/>
      <c r="I165" s="69"/>
      <c r="J165" s="70"/>
      <c r="K165" s="69"/>
      <c r="L165" s="69"/>
      <c r="M165" s="69"/>
      <c r="N165" s="69"/>
      <c r="O165" s="2"/>
      <c r="P165" s="2"/>
      <c r="Q165" s="32"/>
      <c r="R165" s="32"/>
      <c r="S165" s="32"/>
      <c r="T165" s="32"/>
      <c r="U165" s="2"/>
      <c r="V165" s="2"/>
      <c r="W165" s="2"/>
      <c r="X165" s="2"/>
      <c r="Y165" s="2"/>
      <c r="Z165" s="2"/>
    </row>
    <row r="166" spans="1:26" ht="13.8" x14ac:dyDescent="0.3">
      <c r="A166" s="32"/>
      <c r="B166" s="2"/>
      <c r="C166" s="10"/>
      <c r="D166" s="10"/>
      <c r="E166" s="10"/>
      <c r="F166" s="10"/>
      <c r="G166" s="69"/>
      <c r="H166" s="69"/>
      <c r="I166" s="69"/>
      <c r="J166" s="70"/>
      <c r="K166" s="69"/>
      <c r="L166" s="69"/>
      <c r="M166" s="69"/>
      <c r="N166" s="69"/>
      <c r="O166" s="2"/>
      <c r="P166" s="2"/>
      <c r="Q166" s="32"/>
      <c r="R166" s="32"/>
      <c r="S166" s="32"/>
      <c r="T166" s="32"/>
      <c r="U166" s="2"/>
      <c r="V166" s="2"/>
      <c r="W166" s="2"/>
      <c r="X166" s="2"/>
      <c r="Y166" s="2"/>
      <c r="Z166" s="2"/>
    </row>
    <row r="167" spans="1:26" ht="13.8" x14ac:dyDescent="0.3">
      <c r="A167" s="32"/>
      <c r="B167" s="2"/>
      <c r="C167" s="10"/>
      <c r="D167" s="10"/>
      <c r="E167" s="10"/>
      <c r="F167" s="10"/>
      <c r="G167" s="69"/>
      <c r="H167" s="69"/>
      <c r="I167" s="69"/>
      <c r="J167" s="70"/>
      <c r="K167" s="69"/>
      <c r="L167" s="69"/>
      <c r="M167" s="69"/>
      <c r="N167" s="69"/>
      <c r="O167" s="2"/>
      <c r="P167" s="2"/>
      <c r="Q167" s="32"/>
      <c r="R167" s="32"/>
      <c r="S167" s="32"/>
      <c r="T167" s="32"/>
      <c r="U167" s="2"/>
      <c r="V167" s="2"/>
      <c r="W167" s="2"/>
      <c r="X167" s="2"/>
      <c r="Y167" s="2"/>
      <c r="Z167" s="2"/>
    </row>
    <row r="168" spans="1:26" ht="13.8" x14ac:dyDescent="0.3">
      <c r="A168" s="32"/>
      <c r="B168" s="2"/>
      <c r="C168" s="10"/>
      <c r="D168" s="10"/>
      <c r="E168" s="10"/>
      <c r="F168" s="10"/>
      <c r="G168" s="69"/>
      <c r="H168" s="69"/>
      <c r="I168" s="69"/>
      <c r="J168" s="70"/>
      <c r="K168" s="69"/>
      <c r="L168" s="69"/>
      <c r="M168" s="69"/>
      <c r="N168" s="69"/>
      <c r="O168" s="2"/>
      <c r="P168" s="2"/>
      <c r="Q168" s="32"/>
      <c r="R168" s="32"/>
      <c r="S168" s="32"/>
      <c r="T168" s="3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2"/>
      <c r="C169" s="10"/>
      <c r="D169" s="10"/>
      <c r="E169" s="10"/>
      <c r="F169" s="10"/>
      <c r="G169" s="69"/>
      <c r="H169" s="69"/>
      <c r="I169" s="69"/>
      <c r="J169" s="70"/>
      <c r="K169" s="69"/>
      <c r="L169" s="69"/>
      <c r="M169" s="69"/>
      <c r="N169" s="69"/>
      <c r="O169" s="2"/>
      <c r="P169" s="2"/>
      <c r="Q169" s="32"/>
      <c r="R169" s="32"/>
      <c r="S169" s="32"/>
      <c r="T169" s="3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2"/>
      <c r="C170" s="10"/>
      <c r="D170" s="10"/>
      <c r="E170" s="10"/>
      <c r="F170" s="10"/>
      <c r="G170" s="69"/>
      <c r="H170" s="69"/>
      <c r="I170" s="69"/>
      <c r="J170" s="70"/>
      <c r="K170" s="69"/>
      <c r="L170" s="69"/>
      <c r="M170" s="69"/>
      <c r="N170" s="69"/>
      <c r="O170" s="2"/>
      <c r="P170" s="2"/>
      <c r="Q170" s="32"/>
      <c r="R170" s="32"/>
      <c r="S170" s="32"/>
      <c r="T170" s="3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2"/>
      <c r="C171" s="10"/>
      <c r="D171" s="10"/>
      <c r="E171" s="10"/>
      <c r="F171" s="10"/>
      <c r="G171" s="69"/>
      <c r="H171" s="69"/>
      <c r="I171" s="69"/>
      <c r="J171" s="70"/>
      <c r="K171" s="69"/>
      <c r="L171" s="69"/>
      <c r="M171" s="69"/>
      <c r="N171" s="69"/>
      <c r="O171" s="2"/>
      <c r="P171" s="2"/>
      <c r="Q171" s="32"/>
      <c r="R171" s="32"/>
      <c r="S171" s="32"/>
      <c r="T171" s="3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2"/>
      <c r="C172" s="10"/>
      <c r="D172" s="10"/>
      <c r="E172" s="10"/>
      <c r="F172" s="10"/>
      <c r="G172" s="69"/>
      <c r="H172" s="69"/>
      <c r="I172" s="69"/>
      <c r="J172" s="70"/>
      <c r="K172" s="69"/>
      <c r="L172" s="69"/>
      <c r="M172" s="69"/>
      <c r="N172" s="69"/>
      <c r="O172" s="2"/>
      <c r="P172" s="2"/>
      <c r="Q172" s="32"/>
      <c r="R172" s="32"/>
      <c r="S172" s="32"/>
      <c r="T172" s="32"/>
      <c r="U172" s="2"/>
      <c r="V172" s="2"/>
      <c r="W172" s="2"/>
      <c r="X172" s="2"/>
      <c r="Y172" s="2"/>
      <c r="Z172" s="2"/>
    </row>
    <row r="173" spans="1:26" ht="13.8" x14ac:dyDescent="0.3">
      <c r="A173" s="32"/>
      <c r="B173" s="2"/>
      <c r="C173" s="10"/>
      <c r="D173" s="10"/>
      <c r="E173" s="10"/>
      <c r="F173" s="10"/>
      <c r="G173" s="69"/>
      <c r="H173" s="69"/>
      <c r="I173" s="69"/>
      <c r="J173" s="70"/>
      <c r="K173" s="69"/>
      <c r="L173" s="69"/>
      <c r="M173" s="69"/>
      <c r="N173" s="69"/>
      <c r="O173" s="2"/>
      <c r="P173" s="2"/>
      <c r="Q173" s="32"/>
      <c r="R173" s="32"/>
      <c r="S173" s="32"/>
      <c r="T173" s="32"/>
      <c r="U173" s="2"/>
      <c r="V173" s="2"/>
      <c r="W173" s="2"/>
      <c r="X173" s="2"/>
      <c r="Y173" s="2"/>
      <c r="Z173" s="2"/>
    </row>
    <row r="174" spans="1:26" ht="13.8" x14ac:dyDescent="0.3">
      <c r="A174" s="32"/>
      <c r="B174" s="2"/>
      <c r="C174" s="10"/>
      <c r="D174" s="10"/>
      <c r="E174" s="10"/>
      <c r="F174" s="10"/>
      <c r="G174" s="69"/>
      <c r="H174" s="69"/>
      <c r="I174" s="69"/>
      <c r="J174" s="70"/>
      <c r="K174" s="69"/>
      <c r="L174" s="69"/>
      <c r="M174" s="69"/>
      <c r="N174" s="69"/>
      <c r="O174" s="2"/>
      <c r="P174" s="2"/>
      <c r="Q174" s="32"/>
      <c r="R174" s="32"/>
      <c r="S174" s="32"/>
      <c r="T174" s="3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2"/>
      <c r="C175" s="10"/>
      <c r="D175" s="10"/>
      <c r="E175" s="10"/>
      <c r="F175" s="10"/>
      <c r="G175" s="69"/>
      <c r="H175" s="69"/>
      <c r="I175" s="69"/>
      <c r="J175" s="70"/>
      <c r="K175" s="69"/>
      <c r="L175" s="69"/>
      <c r="M175" s="69"/>
      <c r="N175" s="69"/>
      <c r="O175" s="2"/>
      <c r="P175" s="2"/>
      <c r="Q175" s="32"/>
      <c r="R175" s="32"/>
      <c r="S175" s="32"/>
      <c r="T175" s="32"/>
      <c r="U175" s="2"/>
      <c r="V175" s="2"/>
      <c r="W175" s="2"/>
      <c r="X175" s="2"/>
      <c r="Y175" s="2"/>
      <c r="Z175" s="2"/>
    </row>
    <row r="176" spans="1:26" ht="13.8" x14ac:dyDescent="0.3">
      <c r="A176" s="2"/>
      <c r="B176" s="2"/>
      <c r="C176" s="10"/>
      <c r="D176" s="10"/>
      <c r="E176" s="10"/>
      <c r="F176" s="10"/>
      <c r="G176" s="69"/>
      <c r="H176" s="69"/>
      <c r="I176" s="69"/>
      <c r="J176" s="70"/>
      <c r="K176" s="69"/>
      <c r="L176" s="69"/>
      <c r="M176" s="69"/>
      <c r="N176" s="69"/>
      <c r="O176" s="2"/>
      <c r="P176" s="2"/>
      <c r="Q176" s="32"/>
      <c r="R176" s="32"/>
      <c r="S176" s="32"/>
      <c r="T176" s="32"/>
      <c r="U176" s="2"/>
      <c r="V176" s="2"/>
      <c r="W176" s="2"/>
      <c r="X176" s="2"/>
      <c r="Y176" s="2"/>
      <c r="Z176" s="2"/>
    </row>
    <row r="177" spans="1:26" ht="13.8" x14ac:dyDescent="0.3">
      <c r="A177" s="2"/>
      <c r="B177" s="2"/>
      <c r="C177" s="10"/>
      <c r="D177" s="10"/>
      <c r="E177" s="10"/>
      <c r="F177" s="10"/>
      <c r="G177" s="69"/>
      <c r="H177" s="69"/>
      <c r="I177" s="69"/>
      <c r="J177" s="70"/>
      <c r="K177" s="69"/>
      <c r="L177" s="69"/>
      <c r="M177" s="69"/>
      <c r="N177" s="69"/>
      <c r="O177" s="2"/>
      <c r="P177" s="2"/>
      <c r="Q177" s="32"/>
      <c r="R177" s="32"/>
      <c r="S177" s="32"/>
      <c r="T177" s="32"/>
      <c r="U177" s="2"/>
      <c r="V177" s="2"/>
      <c r="W177" s="2"/>
      <c r="X177" s="2"/>
      <c r="Y177" s="2"/>
      <c r="Z177" s="2"/>
    </row>
    <row r="178" spans="1:26" ht="13.8" x14ac:dyDescent="0.3">
      <c r="A178" s="2"/>
      <c r="B178" s="2"/>
      <c r="C178" s="10"/>
      <c r="D178" s="10"/>
      <c r="E178" s="10"/>
      <c r="F178" s="10"/>
      <c r="G178" s="69"/>
      <c r="H178" s="69"/>
      <c r="I178" s="69"/>
      <c r="J178" s="70"/>
      <c r="K178" s="69"/>
      <c r="L178" s="69"/>
      <c r="M178" s="69"/>
      <c r="N178" s="69"/>
      <c r="O178" s="2"/>
      <c r="P178" s="2"/>
      <c r="Q178" s="32"/>
      <c r="R178" s="32"/>
      <c r="S178" s="32"/>
      <c r="T178" s="32"/>
      <c r="U178" s="2"/>
      <c r="V178" s="2"/>
      <c r="W178" s="2"/>
      <c r="X178" s="2"/>
      <c r="Y178" s="2"/>
      <c r="Z178" s="2"/>
    </row>
    <row r="179" spans="1:26" ht="13.8" x14ac:dyDescent="0.3">
      <c r="A179" s="2"/>
      <c r="B179" s="2"/>
      <c r="C179" s="10"/>
      <c r="D179" s="10"/>
      <c r="E179" s="10"/>
      <c r="F179" s="10"/>
      <c r="G179" s="69"/>
      <c r="H179" s="69"/>
      <c r="I179" s="69"/>
      <c r="J179" s="70"/>
      <c r="K179" s="69"/>
      <c r="L179" s="69"/>
      <c r="M179" s="69"/>
      <c r="N179" s="69"/>
      <c r="O179" s="2"/>
      <c r="P179" s="2"/>
      <c r="Q179" s="32"/>
      <c r="R179" s="32"/>
      <c r="S179" s="32"/>
      <c r="T179" s="32"/>
      <c r="U179" s="2"/>
      <c r="V179" s="2"/>
      <c r="W179" s="2"/>
      <c r="X179" s="2"/>
      <c r="Y179" s="2"/>
      <c r="Z179" s="2"/>
    </row>
    <row r="180" spans="1:26" ht="13.8" x14ac:dyDescent="0.3">
      <c r="A180" s="2"/>
      <c r="B180" s="2"/>
      <c r="C180" s="10"/>
      <c r="D180" s="10"/>
      <c r="E180" s="10"/>
      <c r="F180" s="10"/>
      <c r="G180" s="69"/>
      <c r="H180" s="69"/>
      <c r="I180" s="69"/>
      <c r="J180" s="70"/>
      <c r="K180" s="69"/>
      <c r="L180" s="69"/>
      <c r="M180" s="69"/>
      <c r="N180" s="69"/>
      <c r="O180" s="2"/>
      <c r="P180" s="2"/>
      <c r="Q180" s="32"/>
      <c r="R180" s="32"/>
      <c r="S180" s="32"/>
      <c r="T180" s="32"/>
      <c r="U180" s="2"/>
      <c r="V180" s="2"/>
      <c r="W180" s="2"/>
      <c r="X180" s="2"/>
      <c r="Y180" s="2"/>
      <c r="Z180" s="2"/>
    </row>
    <row r="181" spans="1:26" ht="13.8" x14ac:dyDescent="0.3">
      <c r="A181" s="2"/>
      <c r="B181" s="2"/>
      <c r="C181" s="10"/>
      <c r="D181" s="10"/>
      <c r="E181" s="10"/>
      <c r="F181" s="10"/>
      <c r="G181" s="69"/>
      <c r="H181" s="69"/>
      <c r="I181" s="69"/>
      <c r="J181" s="70"/>
      <c r="K181" s="69"/>
      <c r="L181" s="69"/>
      <c r="M181" s="69"/>
      <c r="N181" s="69"/>
      <c r="O181" s="2"/>
      <c r="P181" s="2"/>
      <c r="Q181" s="32"/>
      <c r="R181" s="32"/>
      <c r="S181" s="32"/>
      <c r="T181" s="32"/>
      <c r="U181" s="2"/>
      <c r="V181" s="2"/>
      <c r="W181" s="2"/>
      <c r="X181" s="2"/>
      <c r="Y181" s="2"/>
      <c r="Z181" s="2"/>
    </row>
    <row r="182" spans="1:26" ht="13.8" x14ac:dyDescent="0.3">
      <c r="A182" s="2"/>
      <c r="B182" s="2"/>
      <c r="C182" s="10"/>
      <c r="D182" s="10"/>
      <c r="E182" s="10"/>
      <c r="F182" s="10"/>
      <c r="G182" s="69"/>
      <c r="H182" s="69"/>
      <c r="I182" s="69"/>
      <c r="J182" s="70"/>
      <c r="K182" s="69"/>
      <c r="L182" s="69"/>
      <c r="M182" s="69"/>
      <c r="N182" s="69"/>
      <c r="O182" s="2"/>
      <c r="P182" s="2"/>
      <c r="Q182" s="32"/>
      <c r="R182" s="32"/>
      <c r="S182" s="32"/>
      <c r="T182" s="32"/>
      <c r="U182" s="2"/>
      <c r="V182" s="2"/>
      <c r="W182" s="2"/>
      <c r="X182" s="2"/>
      <c r="Y182" s="2"/>
      <c r="Z182" s="2"/>
    </row>
    <row r="183" spans="1:26" ht="13.8" x14ac:dyDescent="0.3">
      <c r="A183" s="2"/>
      <c r="B183" s="2"/>
      <c r="C183" s="10"/>
      <c r="D183" s="10"/>
      <c r="E183" s="10"/>
      <c r="F183" s="10"/>
      <c r="G183" s="69"/>
      <c r="H183" s="69"/>
      <c r="I183" s="69"/>
      <c r="J183" s="70"/>
      <c r="K183" s="69"/>
      <c r="L183" s="69"/>
      <c r="M183" s="69"/>
      <c r="N183" s="69"/>
      <c r="O183" s="2"/>
      <c r="P183" s="2"/>
      <c r="Q183" s="32"/>
      <c r="R183" s="32"/>
      <c r="S183" s="32"/>
      <c r="T183" s="32"/>
      <c r="U183" s="2"/>
      <c r="V183" s="2"/>
      <c r="W183" s="2"/>
      <c r="X183" s="2"/>
      <c r="Y183" s="2"/>
      <c r="Z183" s="2"/>
    </row>
    <row r="184" spans="1:26" ht="13.8" x14ac:dyDescent="0.3">
      <c r="A184" s="2"/>
      <c r="B184" s="2"/>
      <c r="C184" s="10"/>
      <c r="D184" s="10"/>
      <c r="E184" s="10"/>
      <c r="F184" s="10"/>
      <c r="G184" s="69"/>
      <c r="H184" s="69"/>
      <c r="I184" s="69"/>
      <c r="J184" s="70"/>
      <c r="K184" s="69"/>
      <c r="L184" s="69"/>
      <c r="M184" s="69"/>
      <c r="N184" s="69"/>
      <c r="O184" s="2"/>
      <c r="P184" s="2"/>
      <c r="Q184" s="32"/>
      <c r="R184" s="32"/>
      <c r="S184" s="32"/>
      <c r="T184" s="32"/>
      <c r="U184" s="2"/>
      <c r="V184" s="2"/>
      <c r="W184" s="2"/>
      <c r="X184" s="2"/>
      <c r="Y184" s="2"/>
      <c r="Z184" s="2"/>
    </row>
    <row r="185" spans="1:26" ht="13.8" x14ac:dyDescent="0.3">
      <c r="A185" s="2"/>
      <c r="B185" s="2"/>
      <c r="C185" s="10"/>
      <c r="D185" s="10"/>
      <c r="E185" s="10"/>
      <c r="F185" s="10"/>
      <c r="G185" s="69"/>
      <c r="H185" s="69"/>
      <c r="I185" s="69"/>
      <c r="J185" s="70"/>
      <c r="K185" s="69"/>
      <c r="L185" s="69"/>
      <c r="M185" s="69"/>
      <c r="N185" s="69"/>
      <c r="O185" s="2"/>
      <c r="P185" s="2"/>
      <c r="Q185" s="32"/>
      <c r="R185" s="32"/>
      <c r="S185" s="32"/>
      <c r="T185" s="3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2"/>
      <c r="C186" s="10"/>
      <c r="D186" s="10"/>
      <c r="E186" s="10"/>
      <c r="F186" s="10"/>
      <c r="G186" s="69"/>
      <c r="H186" s="69"/>
      <c r="I186" s="69"/>
      <c r="J186" s="70"/>
      <c r="K186" s="69"/>
      <c r="L186" s="69"/>
      <c r="M186" s="69"/>
      <c r="N186" s="69"/>
      <c r="O186" s="2"/>
      <c r="P186" s="2"/>
      <c r="Q186" s="32"/>
      <c r="R186" s="32"/>
      <c r="S186" s="32"/>
      <c r="T186" s="3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2"/>
      <c r="C187" s="10"/>
      <c r="D187" s="10"/>
      <c r="E187" s="10"/>
      <c r="F187" s="10"/>
      <c r="G187" s="69"/>
      <c r="H187" s="69"/>
      <c r="I187" s="69"/>
      <c r="J187" s="70"/>
      <c r="K187" s="69"/>
      <c r="L187" s="69"/>
      <c r="M187" s="69"/>
      <c r="N187" s="69"/>
      <c r="O187" s="2"/>
      <c r="P187" s="2"/>
      <c r="Q187" s="32"/>
      <c r="R187" s="32"/>
      <c r="S187" s="32"/>
      <c r="T187" s="3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2"/>
      <c r="C188" s="10"/>
      <c r="D188" s="10"/>
      <c r="E188" s="10"/>
      <c r="F188" s="10"/>
      <c r="G188" s="69"/>
      <c r="H188" s="69"/>
      <c r="I188" s="69"/>
      <c r="J188" s="70"/>
      <c r="K188" s="69"/>
      <c r="L188" s="69"/>
      <c r="M188" s="69"/>
      <c r="N188" s="69"/>
      <c r="O188" s="2"/>
      <c r="P188" s="2"/>
      <c r="Q188" s="32"/>
      <c r="R188" s="32"/>
      <c r="S188" s="32"/>
      <c r="T188" s="32"/>
      <c r="U188" s="2"/>
      <c r="V188" s="2"/>
      <c r="W188" s="2"/>
      <c r="X188" s="2"/>
      <c r="Y188" s="2"/>
      <c r="Z188" s="2"/>
    </row>
    <row r="189" spans="1:26" ht="13.8" x14ac:dyDescent="0.3">
      <c r="A189" s="2"/>
      <c r="B189" s="2"/>
      <c r="C189" s="10"/>
      <c r="D189" s="10"/>
      <c r="E189" s="10"/>
      <c r="F189" s="10"/>
      <c r="G189" s="69"/>
      <c r="H189" s="69"/>
      <c r="I189" s="69"/>
      <c r="J189" s="70"/>
      <c r="K189" s="69"/>
      <c r="L189" s="69"/>
      <c r="M189" s="69"/>
      <c r="N189" s="69"/>
      <c r="O189" s="2"/>
      <c r="P189" s="2"/>
      <c r="Q189" s="32"/>
      <c r="R189" s="32"/>
      <c r="S189" s="32"/>
      <c r="T189" s="32"/>
      <c r="U189" s="2"/>
      <c r="V189" s="2"/>
      <c r="W189" s="2"/>
      <c r="X189" s="2"/>
      <c r="Y189" s="2"/>
      <c r="Z189" s="2"/>
    </row>
    <row r="190" spans="1:26" ht="13.8" x14ac:dyDescent="0.3">
      <c r="A190" s="2"/>
      <c r="B190" s="2"/>
      <c r="C190" s="10"/>
      <c r="D190" s="10"/>
      <c r="E190" s="10"/>
      <c r="F190" s="10"/>
      <c r="G190" s="69"/>
      <c r="H190" s="69"/>
      <c r="I190" s="69"/>
      <c r="J190" s="70"/>
      <c r="K190" s="69"/>
      <c r="L190" s="69"/>
      <c r="M190" s="69"/>
      <c r="N190" s="69"/>
      <c r="O190" s="2"/>
      <c r="P190" s="2"/>
      <c r="Q190" s="32"/>
      <c r="R190" s="32"/>
      <c r="S190" s="32"/>
      <c r="T190" s="32"/>
      <c r="U190" s="2"/>
      <c r="V190" s="2"/>
      <c r="W190" s="2"/>
      <c r="X190" s="2"/>
      <c r="Y190" s="2"/>
      <c r="Z190" s="2"/>
    </row>
    <row r="191" spans="1:26" ht="13.8" x14ac:dyDescent="0.3">
      <c r="A191" s="2"/>
      <c r="B191" s="2"/>
      <c r="C191" s="10"/>
      <c r="D191" s="10"/>
      <c r="E191" s="10"/>
      <c r="F191" s="10"/>
      <c r="G191" s="69"/>
      <c r="H191" s="69"/>
      <c r="I191" s="69"/>
      <c r="J191" s="70"/>
      <c r="K191" s="69"/>
      <c r="L191" s="69"/>
      <c r="M191" s="69"/>
      <c r="N191" s="69"/>
      <c r="O191" s="2"/>
      <c r="P191" s="2"/>
      <c r="Q191" s="32"/>
      <c r="R191" s="32"/>
      <c r="S191" s="32"/>
      <c r="T191" s="32"/>
      <c r="U191" s="2"/>
      <c r="V191" s="2"/>
      <c r="W191" s="2"/>
      <c r="X191" s="2"/>
      <c r="Y191" s="2"/>
      <c r="Z191" s="2"/>
    </row>
    <row r="192" spans="1:26" ht="13.8" x14ac:dyDescent="0.3">
      <c r="A192" s="2"/>
      <c r="B192" s="2"/>
      <c r="C192" s="10"/>
      <c r="D192" s="10"/>
      <c r="E192" s="10"/>
      <c r="F192" s="10"/>
      <c r="G192" s="69"/>
      <c r="H192" s="69"/>
      <c r="I192" s="69"/>
      <c r="J192" s="70"/>
      <c r="K192" s="69"/>
      <c r="L192" s="69"/>
      <c r="M192" s="69"/>
      <c r="N192" s="69"/>
      <c r="O192" s="2"/>
      <c r="P192" s="2"/>
      <c r="Q192" s="32"/>
      <c r="R192" s="32"/>
      <c r="S192" s="32"/>
      <c r="T192" s="32"/>
      <c r="U192" s="2"/>
      <c r="V192" s="2"/>
      <c r="W192" s="2"/>
      <c r="X192" s="2"/>
      <c r="Y192" s="2"/>
      <c r="Z192" s="2"/>
    </row>
    <row r="193" spans="1:26" ht="13.8" x14ac:dyDescent="0.3">
      <c r="A193" s="2"/>
      <c r="B193" s="2"/>
      <c r="C193" s="10"/>
      <c r="D193" s="10"/>
      <c r="E193" s="10"/>
      <c r="F193" s="10"/>
      <c r="G193" s="69"/>
      <c r="H193" s="69"/>
      <c r="I193" s="69"/>
      <c r="J193" s="70"/>
      <c r="K193" s="69"/>
      <c r="L193" s="69"/>
      <c r="M193" s="69"/>
      <c r="N193" s="69"/>
      <c r="O193" s="2"/>
      <c r="P193" s="2"/>
      <c r="Q193" s="32"/>
      <c r="R193" s="32"/>
      <c r="S193" s="32"/>
      <c r="T193" s="32"/>
      <c r="U193" s="2"/>
      <c r="V193" s="2"/>
      <c r="W193" s="2"/>
      <c r="X193" s="2"/>
      <c r="Y193" s="2"/>
      <c r="Z193" s="2"/>
    </row>
    <row r="194" spans="1:26" ht="13.8" x14ac:dyDescent="0.3">
      <c r="A194" s="2"/>
      <c r="B194" s="2"/>
      <c r="C194" s="10"/>
      <c r="D194" s="10"/>
      <c r="E194" s="10"/>
      <c r="F194" s="10"/>
      <c r="G194" s="69"/>
      <c r="H194" s="69"/>
      <c r="I194" s="69"/>
      <c r="J194" s="70"/>
      <c r="K194" s="69"/>
      <c r="L194" s="69"/>
      <c r="M194" s="69"/>
      <c r="N194" s="69"/>
      <c r="O194" s="2"/>
      <c r="P194" s="2"/>
      <c r="Q194" s="32"/>
      <c r="R194" s="32"/>
      <c r="S194" s="32"/>
      <c r="T194" s="32"/>
      <c r="U194" s="2"/>
      <c r="V194" s="2"/>
      <c r="W194" s="2"/>
      <c r="X194" s="2"/>
      <c r="Y194" s="2"/>
      <c r="Z194" s="2"/>
    </row>
    <row r="195" spans="1:26" ht="13.8" x14ac:dyDescent="0.3">
      <c r="A195" s="2"/>
      <c r="B195" s="2"/>
      <c r="C195" s="10"/>
      <c r="D195" s="10"/>
      <c r="E195" s="10"/>
      <c r="F195" s="10"/>
      <c r="G195" s="69"/>
      <c r="H195" s="69"/>
      <c r="I195" s="69"/>
      <c r="J195" s="70"/>
      <c r="K195" s="69"/>
      <c r="L195" s="69"/>
      <c r="M195" s="69"/>
      <c r="N195" s="69"/>
      <c r="O195" s="2"/>
      <c r="P195" s="2"/>
      <c r="Q195" s="32"/>
      <c r="R195" s="32"/>
      <c r="S195" s="32"/>
      <c r="T195" s="32"/>
      <c r="U195" s="2"/>
      <c r="V195" s="2"/>
      <c r="W195" s="2"/>
      <c r="X195" s="2"/>
      <c r="Y195" s="2"/>
      <c r="Z195" s="2"/>
    </row>
    <row r="196" spans="1:26" ht="13.8" x14ac:dyDescent="0.3">
      <c r="A196" s="2"/>
      <c r="B196" s="2"/>
      <c r="C196" s="10"/>
      <c r="D196" s="10"/>
      <c r="E196" s="10"/>
      <c r="F196" s="10"/>
      <c r="G196" s="69"/>
      <c r="H196" s="69"/>
      <c r="I196" s="69"/>
      <c r="J196" s="70"/>
      <c r="K196" s="69"/>
      <c r="L196" s="69"/>
      <c r="M196" s="69"/>
      <c r="N196" s="69"/>
      <c r="O196" s="2"/>
      <c r="P196" s="2"/>
      <c r="Q196" s="32"/>
      <c r="R196" s="32"/>
      <c r="S196" s="32"/>
      <c r="T196" s="32"/>
      <c r="U196" s="2"/>
      <c r="V196" s="2"/>
      <c r="W196" s="2"/>
      <c r="X196" s="2"/>
      <c r="Y196" s="2"/>
      <c r="Z196" s="2"/>
    </row>
    <row r="197" spans="1:26" ht="13.8" x14ac:dyDescent="0.3">
      <c r="A197" s="2"/>
      <c r="B197" s="2"/>
      <c r="C197" s="10"/>
      <c r="D197" s="10"/>
      <c r="E197" s="10"/>
      <c r="F197" s="10"/>
      <c r="G197" s="69"/>
      <c r="H197" s="69"/>
      <c r="I197" s="69"/>
      <c r="J197" s="70"/>
      <c r="K197" s="69"/>
      <c r="L197" s="69"/>
      <c r="M197" s="69"/>
      <c r="N197" s="69"/>
      <c r="O197" s="2"/>
      <c r="P197" s="2"/>
      <c r="Q197" s="32"/>
      <c r="R197" s="32"/>
      <c r="S197" s="32"/>
      <c r="T197" s="32"/>
      <c r="U197" s="2"/>
      <c r="V197" s="2"/>
      <c r="W197" s="2"/>
      <c r="X197" s="2"/>
      <c r="Y197" s="2"/>
      <c r="Z197" s="2"/>
    </row>
    <row r="198" spans="1:26" ht="13.8" x14ac:dyDescent="0.3">
      <c r="A198" s="2"/>
      <c r="B198" s="2"/>
      <c r="C198" s="10"/>
      <c r="D198" s="10"/>
      <c r="E198" s="10"/>
      <c r="F198" s="10"/>
      <c r="G198" s="69"/>
      <c r="H198" s="69"/>
      <c r="I198" s="69"/>
      <c r="J198" s="70"/>
      <c r="K198" s="69"/>
      <c r="L198" s="69"/>
      <c r="M198" s="69"/>
      <c r="N198" s="69"/>
      <c r="O198" s="2"/>
      <c r="P198" s="2"/>
      <c r="Q198" s="32"/>
      <c r="R198" s="32"/>
      <c r="S198" s="32"/>
      <c r="T198" s="32"/>
      <c r="U198" s="2"/>
      <c r="V198" s="2"/>
      <c r="W198" s="2"/>
      <c r="X198" s="2"/>
      <c r="Y198" s="2"/>
      <c r="Z198" s="2"/>
    </row>
    <row r="199" spans="1:26" ht="13.8" x14ac:dyDescent="0.3">
      <c r="A199" s="2"/>
      <c r="B199" s="2"/>
      <c r="C199" s="10"/>
      <c r="D199" s="10"/>
      <c r="E199" s="10"/>
      <c r="F199" s="10"/>
      <c r="G199" s="69"/>
      <c r="H199" s="69"/>
      <c r="I199" s="69"/>
      <c r="J199" s="70"/>
      <c r="K199" s="69"/>
      <c r="L199" s="69"/>
      <c r="M199" s="69"/>
      <c r="N199" s="69"/>
      <c r="O199" s="2"/>
      <c r="P199" s="2"/>
      <c r="Q199" s="32"/>
      <c r="R199" s="32"/>
      <c r="S199" s="32"/>
      <c r="T199" s="32"/>
      <c r="U199" s="2"/>
      <c r="V199" s="2"/>
      <c r="W199" s="2"/>
      <c r="X199" s="2"/>
      <c r="Y199" s="2"/>
      <c r="Z199" s="2"/>
    </row>
    <row r="200" spans="1:26" ht="13.8" x14ac:dyDescent="0.3">
      <c r="A200" s="2"/>
      <c r="B200" s="2"/>
      <c r="C200" s="10"/>
      <c r="D200" s="10"/>
      <c r="E200" s="10"/>
      <c r="F200" s="10"/>
      <c r="G200" s="69"/>
      <c r="H200" s="69"/>
      <c r="I200" s="69"/>
      <c r="J200" s="70"/>
      <c r="K200" s="69"/>
      <c r="L200" s="69"/>
      <c r="M200" s="69"/>
      <c r="N200" s="69"/>
      <c r="O200" s="2"/>
      <c r="P200" s="2"/>
      <c r="Q200" s="32"/>
      <c r="R200" s="32"/>
      <c r="S200" s="32"/>
      <c r="T200" s="32"/>
      <c r="U200" s="2"/>
      <c r="V200" s="2"/>
      <c r="W200" s="2"/>
      <c r="X200" s="2"/>
      <c r="Y200" s="2"/>
      <c r="Z200" s="2"/>
    </row>
    <row r="201" spans="1:26" ht="13.8" x14ac:dyDescent="0.3">
      <c r="A201" s="2"/>
      <c r="B201" s="2"/>
      <c r="C201" s="10"/>
      <c r="D201" s="10"/>
      <c r="E201" s="10"/>
      <c r="F201" s="10"/>
      <c r="G201" s="69"/>
      <c r="H201" s="69"/>
      <c r="I201" s="69"/>
      <c r="J201" s="70"/>
      <c r="K201" s="69"/>
      <c r="L201" s="69"/>
      <c r="M201" s="69"/>
      <c r="N201" s="69"/>
      <c r="O201" s="2"/>
      <c r="P201" s="2"/>
      <c r="Q201" s="32"/>
      <c r="R201" s="32"/>
      <c r="S201" s="32"/>
      <c r="T201" s="32"/>
      <c r="U201" s="2"/>
      <c r="V201" s="2"/>
      <c r="W201" s="2"/>
      <c r="X201" s="2"/>
      <c r="Y201" s="2"/>
      <c r="Z201" s="2"/>
    </row>
    <row r="202" spans="1:26" ht="13.8" x14ac:dyDescent="0.3">
      <c r="A202" s="2"/>
      <c r="B202" s="2"/>
      <c r="C202" s="10"/>
      <c r="D202" s="10"/>
      <c r="E202" s="10"/>
      <c r="F202" s="10"/>
      <c r="G202" s="69"/>
      <c r="H202" s="69"/>
      <c r="I202" s="69"/>
      <c r="J202" s="70"/>
      <c r="K202" s="69"/>
      <c r="L202" s="69"/>
      <c r="M202" s="69"/>
      <c r="N202" s="69"/>
      <c r="O202" s="2"/>
      <c r="P202" s="2"/>
      <c r="Q202" s="32"/>
      <c r="R202" s="32"/>
      <c r="S202" s="32"/>
      <c r="T202" s="32"/>
      <c r="U202" s="2"/>
      <c r="V202" s="2"/>
      <c r="W202" s="2"/>
      <c r="X202" s="2"/>
      <c r="Y202" s="2"/>
      <c r="Z202" s="2"/>
    </row>
    <row r="203" spans="1:26" ht="13.8" x14ac:dyDescent="0.3">
      <c r="A203" s="2"/>
      <c r="B203" s="2"/>
      <c r="C203" s="10"/>
      <c r="D203" s="10"/>
      <c r="E203" s="10"/>
      <c r="F203" s="10"/>
      <c r="G203" s="69"/>
      <c r="H203" s="69"/>
      <c r="I203" s="69"/>
      <c r="J203" s="70"/>
      <c r="K203" s="69"/>
      <c r="L203" s="69"/>
      <c r="M203" s="69"/>
      <c r="N203" s="69"/>
      <c r="O203" s="2"/>
      <c r="P203" s="2"/>
      <c r="Q203" s="32"/>
      <c r="R203" s="32"/>
      <c r="S203" s="32"/>
      <c r="T203" s="32"/>
      <c r="U203" s="2"/>
      <c r="V203" s="2"/>
      <c r="W203" s="2"/>
      <c r="X203" s="2"/>
      <c r="Y203" s="2"/>
      <c r="Z203" s="2"/>
    </row>
    <row r="204" spans="1:26" ht="13.8" x14ac:dyDescent="0.3">
      <c r="A204" s="2"/>
      <c r="B204" s="2"/>
      <c r="C204" s="10"/>
      <c r="D204" s="10"/>
      <c r="E204" s="10"/>
      <c r="F204" s="10"/>
      <c r="G204" s="69"/>
      <c r="H204" s="69"/>
      <c r="I204" s="69"/>
      <c r="J204" s="70"/>
      <c r="K204" s="69"/>
      <c r="L204" s="69"/>
      <c r="M204" s="69"/>
      <c r="N204" s="69"/>
      <c r="O204" s="2"/>
      <c r="P204" s="2"/>
      <c r="Q204" s="32"/>
      <c r="R204" s="32"/>
      <c r="S204" s="32"/>
      <c r="T204" s="32"/>
      <c r="U204" s="2"/>
      <c r="V204" s="2"/>
      <c r="W204" s="2"/>
      <c r="X204" s="2"/>
      <c r="Y204" s="2"/>
      <c r="Z204" s="2"/>
    </row>
    <row r="205" spans="1:26" ht="13.8" x14ac:dyDescent="0.3">
      <c r="A205" s="2"/>
      <c r="B205" s="2"/>
      <c r="C205" s="10"/>
      <c r="D205" s="10"/>
      <c r="E205" s="10"/>
      <c r="F205" s="10"/>
      <c r="G205" s="69"/>
      <c r="H205" s="69"/>
      <c r="I205" s="69"/>
      <c r="J205" s="70"/>
      <c r="K205" s="69"/>
      <c r="L205" s="69"/>
      <c r="M205" s="69"/>
      <c r="N205" s="69"/>
      <c r="O205" s="2"/>
      <c r="P205" s="2"/>
      <c r="Q205" s="32"/>
      <c r="R205" s="32"/>
      <c r="S205" s="32"/>
      <c r="T205" s="32"/>
      <c r="U205" s="2"/>
      <c r="V205" s="2"/>
      <c r="W205" s="2"/>
      <c r="X205" s="2"/>
      <c r="Y205" s="2"/>
      <c r="Z205" s="2"/>
    </row>
    <row r="206" spans="1:26" ht="13.8" x14ac:dyDescent="0.3">
      <c r="A206" s="2"/>
      <c r="B206" s="2"/>
      <c r="C206" s="10"/>
      <c r="D206" s="10"/>
      <c r="E206" s="10"/>
      <c r="F206" s="10"/>
      <c r="G206" s="69"/>
      <c r="H206" s="69"/>
      <c r="I206" s="69"/>
      <c r="J206" s="70"/>
      <c r="K206" s="69"/>
      <c r="L206" s="69"/>
      <c r="M206" s="69"/>
      <c r="N206" s="69"/>
      <c r="O206" s="2"/>
      <c r="P206" s="2"/>
      <c r="Q206" s="32"/>
      <c r="R206" s="32"/>
      <c r="S206" s="32"/>
      <c r="T206" s="32"/>
      <c r="U206" s="2"/>
      <c r="V206" s="2"/>
      <c r="W206" s="2"/>
      <c r="X206" s="2"/>
      <c r="Y206" s="2"/>
      <c r="Z206" s="2"/>
    </row>
    <row r="207" spans="1:26" ht="13.8" x14ac:dyDescent="0.3">
      <c r="A207" s="2"/>
      <c r="B207" s="2"/>
      <c r="C207" s="10"/>
      <c r="D207" s="10"/>
      <c r="E207" s="10"/>
      <c r="F207" s="10"/>
      <c r="G207" s="69"/>
      <c r="H207" s="69"/>
      <c r="I207" s="69"/>
      <c r="J207" s="70"/>
      <c r="K207" s="69"/>
      <c r="L207" s="69"/>
      <c r="M207" s="69"/>
      <c r="N207" s="69"/>
      <c r="O207" s="2"/>
      <c r="P207" s="2"/>
      <c r="Q207" s="32"/>
      <c r="R207" s="32"/>
      <c r="S207" s="32"/>
      <c r="T207" s="32"/>
      <c r="U207" s="2"/>
      <c r="V207" s="2"/>
      <c r="W207" s="2"/>
      <c r="X207" s="2"/>
      <c r="Y207" s="2"/>
      <c r="Z207" s="2"/>
    </row>
    <row r="208" spans="1:26" ht="13.8" x14ac:dyDescent="0.3">
      <c r="A208" s="2"/>
      <c r="B208" s="2"/>
      <c r="C208" s="10"/>
      <c r="D208" s="10"/>
      <c r="E208" s="10"/>
      <c r="F208" s="10"/>
      <c r="G208" s="69"/>
      <c r="H208" s="69"/>
      <c r="I208" s="69"/>
      <c r="J208" s="70"/>
      <c r="K208" s="69"/>
      <c r="L208" s="69"/>
      <c r="M208" s="69"/>
      <c r="N208" s="69"/>
      <c r="O208" s="2"/>
      <c r="P208" s="2"/>
      <c r="Q208" s="32"/>
      <c r="R208" s="32"/>
      <c r="S208" s="32"/>
      <c r="T208" s="32"/>
      <c r="U208" s="2"/>
      <c r="V208" s="2"/>
      <c r="W208" s="2"/>
      <c r="X208" s="2"/>
      <c r="Y208" s="2"/>
      <c r="Z208" s="2"/>
    </row>
    <row r="209" spans="1:26" ht="13.8" x14ac:dyDescent="0.3">
      <c r="A209" s="2"/>
      <c r="B209" s="2"/>
      <c r="C209" s="10"/>
      <c r="D209" s="10"/>
      <c r="E209" s="10"/>
      <c r="F209" s="10"/>
      <c r="G209" s="69"/>
      <c r="H209" s="69"/>
      <c r="I209" s="69"/>
      <c r="J209" s="70"/>
      <c r="K209" s="69"/>
      <c r="L209" s="69"/>
      <c r="M209" s="69"/>
      <c r="N209" s="69"/>
      <c r="O209" s="2"/>
      <c r="P209" s="2"/>
      <c r="Q209" s="32"/>
      <c r="R209" s="32"/>
      <c r="S209" s="32"/>
      <c r="T209" s="32"/>
      <c r="U209" s="2"/>
      <c r="V209" s="2"/>
      <c r="W209" s="2"/>
      <c r="X209" s="2"/>
      <c r="Y209" s="2"/>
      <c r="Z209" s="2"/>
    </row>
    <row r="210" spans="1:26" ht="13.8" x14ac:dyDescent="0.3">
      <c r="A210" s="2"/>
      <c r="B210" s="2"/>
      <c r="C210" s="10"/>
      <c r="D210" s="10"/>
      <c r="E210" s="10"/>
      <c r="F210" s="10"/>
      <c r="G210" s="69"/>
      <c r="H210" s="69"/>
      <c r="I210" s="69"/>
      <c r="J210" s="70"/>
      <c r="K210" s="69"/>
      <c r="L210" s="69"/>
      <c r="M210" s="69"/>
      <c r="N210" s="69"/>
      <c r="O210" s="2"/>
      <c r="P210" s="2"/>
      <c r="Q210" s="32"/>
      <c r="R210" s="32"/>
      <c r="S210" s="32"/>
      <c r="T210" s="32"/>
      <c r="U210" s="2"/>
      <c r="V210" s="2"/>
      <c r="W210" s="2"/>
      <c r="X210" s="2"/>
      <c r="Y210" s="2"/>
      <c r="Z210" s="2"/>
    </row>
    <row r="211" spans="1:26" ht="13.8" x14ac:dyDescent="0.3">
      <c r="A211" s="2"/>
      <c r="B211" s="2"/>
      <c r="C211" s="10"/>
      <c r="D211" s="10"/>
      <c r="E211" s="10"/>
      <c r="F211" s="10"/>
      <c r="G211" s="69"/>
      <c r="H211" s="69"/>
      <c r="I211" s="69"/>
      <c r="J211" s="70"/>
      <c r="K211" s="69"/>
      <c r="L211" s="69"/>
      <c r="M211" s="69"/>
      <c r="N211" s="69"/>
      <c r="O211" s="2"/>
      <c r="P211" s="2"/>
      <c r="Q211" s="32"/>
      <c r="R211" s="32"/>
      <c r="S211" s="32"/>
      <c r="T211" s="32"/>
      <c r="U211" s="2"/>
      <c r="V211" s="2"/>
      <c r="W211" s="2"/>
      <c r="X211" s="2"/>
      <c r="Y211" s="2"/>
      <c r="Z211" s="2"/>
    </row>
    <row r="212" spans="1:26" ht="13.8" x14ac:dyDescent="0.3">
      <c r="A212" s="2"/>
      <c r="B212" s="2"/>
      <c r="C212" s="10"/>
      <c r="D212" s="10"/>
      <c r="E212" s="10"/>
      <c r="F212" s="10"/>
      <c r="G212" s="69"/>
      <c r="H212" s="69"/>
      <c r="I212" s="69"/>
      <c r="J212" s="70"/>
      <c r="K212" s="69"/>
      <c r="L212" s="69"/>
      <c r="M212" s="69"/>
      <c r="N212" s="69"/>
      <c r="O212" s="2"/>
      <c r="P212" s="2"/>
      <c r="Q212" s="32"/>
      <c r="R212" s="32"/>
      <c r="S212" s="32"/>
      <c r="T212" s="3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2"/>
      <c r="C213" s="10"/>
      <c r="D213" s="10"/>
      <c r="E213" s="10"/>
      <c r="F213" s="10"/>
      <c r="G213" s="69"/>
      <c r="H213" s="69"/>
      <c r="I213" s="69"/>
      <c r="J213" s="70"/>
      <c r="K213" s="69"/>
      <c r="L213" s="69"/>
      <c r="M213" s="69"/>
      <c r="N213" s="69"/>
      <c r="O213" s="2"/>
      <c r="P213" s="2"/>
      <c r="Q213" s="32"/>
      <c r="R213" s="32"/>
      <c r="S213" s="32"/>
      <c r="T213" s="32"/>
      <c r="U213" s="2"/>
      <c r="V213" s="2"/>
      <c r="W213" s="2"/>
      <c r="X213" s="2"/>
      <c r="Y213" s="2"/>
      <c r="Z213" s="2"/>
    </row>
    <row r="214" spans="1:26" ht="13.8" x14ac:dyDescent="0.3">
      <c r="A214" s="2"/>
      <c r="B214" s="2"/>
      <c r="C214" s="10"/>
      <c r="D214" s="10"/>
      <c r="E214" s="10"/>
      <c r="F214" s="10"/>
      <c r="G214" s="69"/>
      <c r="H214" s="69"/>
      <c r="I214" s="69"/>
      <c r="J214" s="70"/>
      <c r="K214" s="69"/>
      <c r="L214" s="69"/>
      <c r="M214" s="69"/>
      <c r="N214" s="69"/>
      <c r="O214" s="2"/>
      <c r="P214" s="2"/>
      <c r="Q214" s="32"/>
      <c r="R214" s="32"/>
      <c r="S214" s="32"/>
      <c r="T214" s="32"/>
      <c r="U214" s="2"/>
      <c r="V214" s="2"/>
      <c r="W214" s="2"/>
      <c r="X214" s="2"/>
      <c r="Y214" s="2"/>
      <c r="Z214" s="2"/>
    </row>
    <row r="215" spans="1:26" ht="13.8" x14ac:dyDescent="0.3">
      <c r="A215" s="2"/>
      <c r="B215" s="2"/>
      <c r="C215" s="10"/>
      <c r="D215" s="10"/>
      <c r="E215" s="10"/>
      <c r="F215" s="10"/>
      <c r="G215" s="69"/>
      <c r="H215" s="69"/>
      <c r="I215" s="69"/>
      <c r="J215" s="70"/>
      <c r="K215" s="69"/>
      <c r="L215" s="69"/>
      <c r="M215" s="69"/>
      <c r="N215" s="69"/>
      <c r="O215" s="2"/>
      <c r="P215" s="2"/>
      <c r="Q215" s="32"/>
      <c r="R215" s="32"/>
      <c r="S215" s="32"/>
      <c r="T215" s="32"/>
      <c r="U215" s="2"/>
      <c r="V215" s="2"/>
      <c r="W215" s="2"/>
      <c r="X215" s="2"/>
      <c r="Y215" s="2"/>
      <c r="Z215" s="2"/>
    </row>
    <row r="216" spans="1:26" ht="13.8" x14ac:dyDescent="0.3">
      <c r="A216" s="2"/>
      <c r="B216" s="2"/>
      <c r="C216" s="10"/>
      <c r="D216" s="10"/>
      <c r="E216" s="10"/>
      <c r="F216" s="10"/>
      <c r="G216" s="69"/>
      <c r="H216" s="69"/>
      <c r="I216" s="69"/>
      <c r="J216" s="70"/>
      <c r="K216" s="69"/>
      <c r="L216" s="69"/>
      <c r="M216" s="69"/>
      <c r="N216" s="69"/>
      <c r="O216" s="2"/>
      <c r="P216" s="2"/>
      <c r="Q216" s="32"/>
      <c r="R216" s="32"/>
      <c r="S216" s="32"/>
      <c r="T216" s="32"/>
      <c r="U216" s="2"/>
      <c r="V216" s="2"/>
      <c r="W216" s="2"/>
      <c r="X216" s="2"/>
      <c r="Y216" s="2"/>
      <c r="Z216" s="2"/>
    </row>
    <row r="217" spans="1:26" ht="13.8" x14ac:dyDescent="0.3">
      <c r="A217" s="2"/>
      <c r="B217" s="2"/>
      <c r="C217" s="10"/>
      <c r="D217" s="10"/>
      <c r="E217" s="10"/>
      <c r="F217" s="10"/>
      <c r="G217" s="69"/>
      <c r="H217" s="69"/>
      <c r="I217" s="69"/>
      <c r="J217" s="70"/>
      <c r="K217" s="69"/>
      <c r="L217" s="69"/>
      <c r="M217" s="69"/>
      <c r="N217" s="69"/>
      <c r="O217" s="2"/>
      <c r="P217" s="2"/>
      <c r="Q217" s="32"/>
      <c r="R217" s="32"/>
      <c r="S217" s="32"/>
      <c r="T217" s="32"/>
      <c r="U217" s="2"/>
      <c r="V217" s="2"/>
      <c r="W217" s="2"/>
      <c r="X217" s="2"/>
      <c r="Y217" s="2"/>
      <c r="Z217" s="2"/>
    </row>
    <row r="218" spans="1:26" ht="13.8" x14ac:dyDescent="0.3">
      <c r="A218" s="2"/>
      <c r="B218" s="2"/>
      <c r="C218" s="10"/>
      <c r="D218" s="10"/>
      <c r="E218" s="10"/>
      <c r="F218" s="10"/>
      <c r="G218" s="69"/>
      <c r="H218" s="69"/>
      <c r="I218" s="69"/>
      <c r="J218" s="70"/>
      <c r="K218" s="69"/>
      <c r="L218" s="69"/>
      <c r="M218" s="69"/>
      <c r="N218" s="69"/>
      <c r="O218" s="2"/>
      <c r="P218" s="2"/>
      <c r="Q218" s="32"/>
      <c r="R218" s="32"/>
      <c r="S218" s="32"/>
      <c r="T218" s="32"/>
      <c r="U218" s="2"/>
      <c r="V218" s="2"/>
      <c r="W218" s="2"/>
      <c r="X218" s="2"/>
      <c r="Y218" s="2"/>
      <c r="Z218" s="2"/>
    </row>
    <row r="219" spans="1:26" ht="13.8" x14ac:dyDescent="0.3">
      <c r="A219" s="2"/>
      <c r="B219" s="2"/>
      <c r="C219" s="10"/>
      <c r="D219" s="10"/>
      <c r="E219" s="10"/>
      <c r="F219" s="10"/>
      <c r="G219" s="69"/>
      <c r="H219" s="69"/>
      <c r="I219" s="69"/>
      <c r="J219" s="70"/>
      <c r="K219" s="69"/>
      <c r="L219" s="69"/>
      <c r="M219" s="69"/>
      <c r="N219" s="69"/>
      <c r="O219" s="2"/>
      <c r="P219" s="2"/>
      <c r="Q219" s="32"/>
      <c r="R219" s="32"/>
      <c r="S219" s="32"/>
      <c r="T219" s="32"/>
      <c r="U219" s="2"/>
      <c r="V219" s="2"/>
      <c r="W219" s="2"/>
      <c r="X219" s="2"/>
      <c r="Y219" s="2"/>
      <c r="Z219" s="2"/>
    </row>
    <row r="220" spans="1:26" ht="13.8" x14ac:dyDescent="0.3">
      <c r="A220" s="2"/>
      <c r="B220" s="2"/>
      <c r="C220" s="10"/>
      <c r="D220" s="10"/>
      <c r="E220" s="10"/>
      <c r="F220" s="10"/>
      <c r="G220" s="69"/>
      <c r="H220" s="69"/>
      <c r="I220" s="69"/>
      <c r="J220" s="70"/>
      <c r="K220" s="69"/>
      <c r="L220" s="69"/>
      <c r="M220" s="69"/>
      <c r="N220" s="69"/>
      <c r="O220" s="2"/>
      <c r="P220" s="2"/>
      <c r="Q220" s="32"/>
      <c r="R220" s="32"/>
      <c r="S220" s="32"/>
      <c r="T220" s="32"/>
      <c r="U220" s="2"/>
      <c r="V220" s="2"/>
      <c r="W220" s="2"/>
      <c r="X220" s="2"/>
      <c r="Y220" s="2"/>
      <c r="Z220" s="2"/>
    </row>
    <row r="221" spans="1:26" ht="13.8" x14ac:dyDescent="0.3">
      <c r="A221" s="2"/>
      <c r="B221" s="2"/>
      <c r="C221" s="10"/>
      <c r="D221" s="10"/>
      <c r="E221" s="10"/>
      <c r="F221" s="10"/>
      <c r="G221" s="69"/>
      <c r="H221" s="69"/>
      <c r="I221" s="69"/>
      <c r="J221" s="70"/>
      <c r="K221" s="69"/>
      <c r="L221" s="69"/>
      <c r="M221" s="69"/>
      <c r="N221" s="69"/>
      <c r="O221" s="2"/>
      <c r="P221" s="2"/>
      <c r="Q221" s="32"/>
      <c r="R221" s="32"/>
      <c r="S221" s="32"/>
      <c r="T221" s="3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2"/>
      <c r="C222" s="10"/>
      <c r="D222" s="10"/>
      <c r="E222" s="10"/>
      <c r="F222" s="10"/>
      <c r="G222" s="69"/>
      <c r="H222" s="69"/>
      <c r="I222" s="69"/>
      <c r="J222" s="70"/>
      <c r="K222" s="69"/>
      <c r="L222" s="69"/>
      <c r="M222" s="69"/>
      <c r="N222" s="69"/>
      <c r="O222" s="2"/>
      <c r="P222" s="2"/>
      <c r="Q222" s="32"/>
      <c r="R222" s="32"/>
      <c r="S222" s="32"/>
      <c r="T222" s="3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2"/>
      <c r="C223" s="10"/>
      <c r="D223" s="10"/>
      <c r="E223" s="10"/>
      <c r="F223" s="10"/>
      <c r="G223" s="69"/>
      <c r="H223" s="69"/>
      <c r="I223" s="69"/>
      <c r="J223" s="70"/>
      <c r="K223" s="69"/>
      <c r="L223" s="69"/>
      <c r="M223" s="69"/>
      <c r="N223" s="69"/>
      <c r="O223" s="2"/>
      <c r="P223" s="2"/>
      <c r="Q223" s="32"/>
      <c r="R223" s="32"/>
      <c r="S223" s="32"/>
      <c r="T223" s="3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2"/>
      <c r="C224" s="10"/>
      <c r="D224" s="10"/>
      <c r="E224" s="10"/>
      <c r="F224" s="10"/>
      <c r="G224" s="69"/>
      <c r="H224" s="69"/>
      <c r="I224" s="69"/>
      <c r="J224" s="70"/>
      <c r="K224" s="69"/>
      <c r="L224" s="69"/>
      <c r="M224" s="69"/>
      <c r="N224" s="69"/>
      <c r="O224" s="2"/>
      <c r="P224" s="2"/>
      <c r="Q224" s="32"/>
      <c r="R224" s="32"/>
      <c r="S224" s="32"/>
      <c r="T224" s="3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2"/>
      <c r="C225" s="10"/>
      <c r="D225" s="10"/>
      <c r="E225" s="10"/>
      <c r="F225" s="10"/>
      <c r="G225" s="69"/>
      <c r="H225" s="69"/>
      <c r="I225" s="69"/>
      <c r="J225" s="70"/>
      <c r="K225" s="69"/>
      <c r="L225" s="69"/>
      <c r="M225" s="69"/>
      <c r="N225" s="69"/>
      <c r="O225" s="2"/>
      <c r="P225" s="2"/>
      <c r="Q225" s="32"/>
      <c r="R225" s="32"/>
      <c r="S225" s="32"/>
      <c r="T225" s="3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2"/>
      <c r="C226" s="10"/>
      <c r="D226" s="10"/>
      <c r="E226" s="10"/>
      <c r="F226" s="10"/>
      <c r="G226" s="69"/>
      <c r="H226" s="69"/>
      <c r="I226" s="69"/>
      <c r="J226" s="70"/>
      <c r="K226" s="69"/>
      <c r="L226" s="69"/>
      <c r="M226" s="69"/>
      <c r="N226" s="69"/>
      <c r="O226" s="2"/>
      <c r="P226" s="2"/>
      <c r="Q226" s="32"/>
      <c r="R226" s="32"/>
      <c r="S226" s="32"/>
      <c r="T226" s="32"/>
      <c r="U226" s="2"/>
      <c r="V226" s="2"/>
      <c r="W226" s="2"/>
      <c r="X226" s="2"/>
      <c r="Y226" s="2"/>
      <c r="Z226" s="2"/>
    </row>
    <row r="227" spans="1:26" ht="13.8" x14ac:dyDescent="0.3">
      <c r="A227" s="2"/>
      <c r="B227" s="2"/>
      <c r="C227" s="10"/>
      <c r="D227" s="10"/>
      <c r="E227" s="10"/>
      <c r="F227" s="10"/>
      <c r="G227" s="69"/>
      <c r="H227" s="69"/>
      <c r="I227" s="69"/>
      <c r="J227" s="70"/>
      <c r="K227" s="69"/>
      <c r="L227" s="69"/>
      <c r="M227" s="69"/>
      <c r="N227" s="69"/>
      <c r="O227" s="2"/>
      <c r="P227" s="2"/>
      <c r="Q227" s="32"/>
      <c r="R227" s="32"/>
      <c r="S227" s="32"/>
      <c r="T227" s="32"/>
      <c r="U227" s="2"/>
      <c r="V227" s="2"/>
      <c r="W227" s="2"/>
      <c r="X227" s="2"/>
      <c r="Y227" s="2"/>
      <c r="Z227" s="2"/>
    </row>
    <row r="228" spans="1:26" ht="13.8" x14ac:dyDescent="0.3">
      <c r="A228" s="2"/>
      <c r="B228" s="2"/>
      <c r="C228" s="10"/>
      <c r="D228" s="10"/>
      <c r="E228" s="10"/>
      <c r="F228" s="10"/>
      <c r="G228" s="69"/>
      <c r="H228" s="69"/>
      <c r="I228" s="69"/>
      <c r="J228" s="70"/>
      <c r="K228" s="69"/>
      <c r="L228" s="69"/>
      <c r="M228" s="69"/>
      <c r="N228" s="69"/>
      <c r="O228" s="2"/>
      <c r="P228" s="2"/>
      <c r="Q228" s="32"/>
      <c r="R228" s="32"/>
      <c r="S228" s="32"/>
      <c r="T228" s="32"/>
      <c r="U228" s="2"/>
      <c r="V228" s="2"/>
      <c r="W228" s="2"/>
      <c r="X228" s="2"/>
      <c r="Y228" s="2"/>
      <c r="Z228" s="2"/>
    </row>
    <row r="229" spans="1:26" ht="13.8" x14ac:dyDescent="0.3">
      <c r="A229" s="2"/>
      <c r="B229" s="2"/>
      <c r="C229" s="10"/>
      <c r="D229" s="10"/>
      <c r="E229" s="10"/>
      <c r="F229" s="10"/>
      <c r="G229" s="69"/>
      <c r="H229" s="69"/>
      <c r="I229" s="69"/>
      <c r="J229" s="70"/>
      <c r="K229" s="69"/>
      <c r="L229" s="69"/>
      <c r="M229" s="69"/>
      <c r="N229" s="69"/>
      <c r="O229" s="2"/>
      <c r="P229" s="2"/>
      <c r="Q229" s="32"/>
      <c r="R229" s="32"/>
      <c r="S229" s="32"/>
      <c r="T229" s="32"/>
      <c r="U229" s="2"/>
      <c r="V229" s="2"/>
      <c r="W229" s="2"/>
      <c r="X229" s="2"/>
      <c r="Y229" s="2"/>
      <c r="Z229" s="2"/>
    </row>
    <row r="230" spans="1:26" ht="13.8" x14ac:dyDescent="0.3">
      <c r="A230" s="2"/>
      <c r="B230" s="2"/>
      <c r="C230" s="10"/>
      <c r="D230" s="10"/>
      <c r="E230" s="10"/>
      <c r="F230" s="10"/>
      <c r="G230" s="69"/>
      <c r="H230" s="69"/>
      <c r="I230" s="69"/>
      <c r="J230" s="70"/>
      <c r="K230" s="69"/>
      <c r="L230" s="69"/>
      <c r="M230" s="69"/>
      <c r="N230" s="69"/>
      <c r="O230" s="2"/>
      <c r="P230" s="2"/>
      <c r="Q230" s="32"/>
      <c r="R230" s="32"/>
      <c r="S230" s="32"/>
      <c r="T230" s="32"/>
      <c r="U230" s="2"/>
      <c r="V230" s="2"/>
      <c r="W230" s="2"/>
      <c r="X230" s="2"/>
      <c r="Y230" s="2"/>
      <c r="Z230" s="2"/>
    </row>
    <row r="231" spans="1:26" ht="13.8" x14ac:dyDescent="0.3">
      <c r="A231" s="2"/>
      <c r="B231" s="2"/>
      <c r="C231" s="10"/>
      <c r="D231" s="10"/>
      <c r="E231" s="10"/>
      <c r="F231" s="10"/>
      <c r="G231" s="69"/>
      <c r="H231" s="69"/>
      <c r="I231" s="69"/>
      <c r="J231" s="70"/>
      <c r="K231" s="69"/>
      <c r="L231" s="69"/>
      <c r="M231" s="69"/>
      <c r="N231" s="69"/>
      <c r="O231" s="2"/>
      <c r="P231" s="2"/>
      <c r="Q231" s="32"/>
      <c r="R231" s="32"/>
      <c r="S231" s="32"/>
      <c r="T231" s="32"/>
      <c r="U231" s="2"/>
      <c r="V231" s="2"/>
      <c r="W231" s="2"/>
      <c r="X231" s="2"/>
      <c r="Y231" s="2"/>
      <c r="Z231" s="2"/>
    </row>
    <row r="232" spans="1:26" ht="13.8" x14ac:dyDescent="0.3">
      <c r="A232" s="2"/>
      <c r="B232" s="2"/>
      <c r="C232" s="10"/>
      <c r="D232" s="10"/>
      <c r="E232" s="10"/>
      <c r="F232" s="10"/>
      <c r="G232" s="69"/>
      <c r="H232" s="69"/>
      <c r="I232" s="69"/>
      <c r="J232" s="70"/>
      <c r="K232" s="69"/>
      <c r="L232" s="69"/>
      <c r="M232" s="69"/>
      <c r="N232" s="69"/>
      <c r="O232" s="2"/>
      <c r="P232" s="2"/>
      <c r="Q232" s="32"/>
      <c r="R232" s="32"/>
      <c r="S232" s="32"/>
      <c r="T232" s="3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2"/>
      <c r="C233" s="10"/>
      <c r="D233" s="10"/>
      <c r="E233" s="10"/>
      <c r="F233" s="10"/>
      <c r="G233" s="69"/>
      <c r="H233" s="69"/>
      <c r="I233" s="69"/>
      <c r="J233" s="70"/>
      <c r="K233" s="69"/>
      <c r="L233" s="69"/>
      <c r="M233" s="69"/>
      <c r="N233" s="69"/>
      <c r="O233" s="2"/>
      <c r="P233" s="2"/>
      <c r="Q233" s="32"/>
      <c r="R233" s="32"/>
      <c r="S233" s="32"/>
      <c r="T233" s="3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10"/>
      <c r="F234" s="10"/>
      <c r="G234" s="69"/>
      <c r="H234" s="69"/>
      <c r="I234" s="69"/>
      <c r="J234" s="70"/>
      <c r="K234" s="69"/>
      <c r="L234" s="69"/>
      <c r="M234" s="69"/>
      <c r="N234" s="69"/>
      <c r="O234" s="2"/>
      <c r="P234" s="2"/>
      <c r="Q234" s="32"/>
      <c r="R234" s="32"/>
      <c r="S234" s="32"/>
      <c r="T234" s="3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"/>
      <c r="C235" s="10"/>
      <c r="D235" s="10"/>
      <c r="E235" s="10"/>
      <c r="F235" s="10"/>
      <c r="G235" s="69"/>
      <c r="H235" s="69"/>
      <c r="I235" s="69"/>
      <c r="J235" s="70"/>
      <c r="K235" s="69"/>
      <c r="L235" s="69"/>
      <c r="M235" s="69"/>
      <c r="N235" s="69"/>
      <c r="O235" s="2"/>
      <c r="P235" s="2"/>
      <c r="Q235" s="32"/>
      <c r="R235" s="32"/>
      <c r="S235" s="32"/>
      <c r="T235" s="3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2"/>
      <c r="C236" s="10"/>
      <c r="D236" s="10"/>
      <c r="E236" s="10"/>
      <c r="F236" s="10"/>
      <c r="G236" s="69"/>
      <c r="H236" s="69"/>
      <c r="I236" s="69"/>
      <c r="J236" s="70"/>
      <c r="K236" s="69"/>
      <c r="L236" s="69"/>
      <c r="M236" s="69"/>
      <c r="N236" s="69"/>
      <c r="O236" s="2"/>
      <c r="P236" s="2"/>
      <c r="Q236" s="32"/>
      <c r="R236" s="32"/>
      <c r="S236" s="32"/>
      <c r="T236" s="3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2"/>
      <c r="C237" s="10"/>
      <c r="D237" s="10"/>
      <c r="E237" s="10"/>
      <c r="F237" s="10"/>
      <c r="G237" s="69"/>
      <c r="H237" s="69"/>
      <c r="I237" s="69"/>
      <c r="J237" s="70"/>
      <c r="K237" s="69"/>
      <c r="L237" s="69"/>
      <c r="M237" s="69"/>
      <c r="N237" s="69"/>
      <c r="O237" s="2"/>
      <c r="P237" s="2"/>
      <c r="Q237" s="32"/>
      <c r="R237" s="32"/>
      <c r="S237" s="32"/>
      <c r="T237" s="3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2"/>
      <c r="C238" s="10"/>
      <c r="D238" s="10"/>
      <c r="E238" s="10"/>
      <c r="F238" s="10"/>
      <c r="G238" s="69"/>
      <c r="H238" s="69"/>
      <c r="I238" s="69"/>
      <c r="J238" s="70"/>
      <c r="K238" s="69"/>
      <c r="L238" s="69"/>
      <c r="M238" s="69"/>
      <c r="N238" s="69"/>
      <c r="O238" s="2"/>
      <c r="P238" s="2"/>
      <c r="Q238" s="32"/>
      <c r="R238" s="32"/>
      <c r="S238" s="32"/>
      <c r="T238" s="3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10"/>
      <c r="F239" s="10"/>
      <c r="G239" s="69"/>
      <c r="H239" s="69"/>
      <c r="I239" s="69"/>
      <c r="J239" s="70"/>
      <c r="K239" s="69"/>
      <c r="L239" s="69"/>
      <c r="M239" s="69"/>
      <c r="N239" s="69"/>
      <c r="O239" s="2"/>
      <c r="P239" s="2"/>
      <c r="Q239" s="32"/>
      <c r="R239" s="32"/>
      <c r="S239" s="32"/>
      <c r="T239" s="32"/>
      <c r="U239" s="2"/>
      <c r="V239" s="2"/>
      <c r="W239" s="2"/>
      <c r="X239" s="2"/>
      <c r="Y239" s="2"/>
      <c r="Z239" s="2"/>
    </row>
    <row r="240" spans="1:26" ht="13.8" x14ac:dyDescent="0.3">
      <c r="A240" s="2"/>
      <c r="B240" s="2"/>
      <c r="C240" s="10"/>
      <c r="D240" s="10"/>
      <c r="E240" s="10"/>
      <c r="F240" s="10"/>
      <c r="G240" s="69"/>
      <c r="H240" s="69"/>
      <c r="I240" s="69"/>
      <c r="J240" s="70"/>
      <c r="K240" s="69"/>
      <c r="L240" s="69"/>
      <c r="M240" s="69"/>
      <c r="N240" s="69"/>
      <c r="O240" s="2"/>
      <c r="P240" s="2"/>
      <c r="Q240" s="32"/>
      <c r="R240" s="32"/>
      <c r="S240" s="32"/>
      <c r="T240" s="32"/>
      <c r="U240" s="2"/>
      <c r="V240" s="2"/>
      <c r="W240" s="2"/>
      <c r="X240" s="2"/>
      <c r="Y240" s="2"/>
      <c r="Z240" s="2"/>
    </row>
    <row r="241" spans="1:26" ht="13.8" x14ac:dyDescent="0.3">
      <c r="A241" s="2"/>
      <c r="B241" s="2"/>
      <c r="C241" s="10"/>
      <c r="D241" s="10"/>
      <c r="E241" s="10"/>
      <c r="F241" s="10"/>
      <c r="G241" s="69"/>
      <c r="H241" s="69"/>
      <c r="I241" s="69"/>
      <c r="J241" s="70"/>
      <c r="K241" s="69"/>
      <c r="L241" s="69"/>
      <c r="M241" s="69"/>
      <c r="N241" s="69"/>
      <c r="O241" s="2"/>
      <c r="P241" s="2"/>
      <c r="Q241" s="32"/>
      <c r="R241" s="32"/>
      <c r="S241" s="32"/>
      <c r="T241" s="32"/>
      <c r="U241" s="2"/>
      <c r="V241" s="2"/>
      <c r="W241" s="2"/>
      <c r="X241" s="2"/>
      <c r="Y241" s="2"/>
      <c r="Z241" s="2"/>
    </row>
    <row r="242" spans="1:26" ht="13.8" x14ac:dyDescent="0.3">
      <c r="A242" s="2"/>
      <c r="B242" s="2"/>
      <c r="C242" s="10"/>
      <c r="D242" s="10"/>
      <c r="E242" s="10"/>
      <c r="F242" s="10"/>
      <c r="G242" s="69"/>
      <c r="H242" s="69"/>
      <c r="I242" s="69"/>
      <c r="J242" s="70"/>
      <c r="K242" s="69"/>
      <c r="L242" s="69"/>
      <c r="M242" s="69"/>
      <c r="N242" s="69"/>
      <c r="O242" s="2"/>
      <c r="P242" s="2"/>
      <c r="Q242" s="32"/>
      <c r="R242" s="32"/>
      <c r="S242" s="32"/>
      <c r="T242" s="3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2"/>
      <c r="C243" s="10"/>
      <c r="D243" s="10"/>
      <c r="E243" s="10"/>
      <c r="F243" s="10"/>
      <c r="G243" s="69"/>
      <c r="H243" s="69"/>
      <c r="I243" s="69"/>
      <c r="J243" s="70"/>
      <c r="K243" s="69"/>
      <c r="L243" s="69"/>
      <c r="M243" s="69"/>
      <c r="N243" s="69"/>
      <c r="O243" s="2"/>
      <c r="P243" s="2"/>
      <c r="Q243" s="32"/>
      <c r="R243" s="32"/>
      <c r="S243" s="32"/>
      <c r="T243" s="3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2"/>
      <c r="C244" s="10"/>
      <c r="D244" s="10"/>
      <c r="E244" s="10"/>
      <c r="F244" s="10"/>
      <c r="G244" s="69"/>
      <c r="H244" s="69"/>
      <c r="I244" s="69"/>
      <c r="J244" s="70"/>
      <c r="K244" s="69"/>
      <c r="L244" s="69"/>
      <c r="M244" s="69"/>
      <c r="N244" s="69"/>
      <c r="O244" s="2"/>
      <c r="P244" s="2"/>
      <c r="Q244" s="32"/>
      <c r="R244" s="32"/>
      <c r="S244" s="32"/>
      <c r="T244" s="3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2"/>
      <c r="C245" s="10"/>
      <c r="D245" s="10"/>
      <c r="E245" s="10"/>
      <c r="F245" s="10"/>
      <c r="G245" s="69"/>
      <c r="H245" s="69"/>
      <c r="I245" s="69"/>
      <c r="J245" s="70"/>
      <c r="K245" s="69"/>
      <c r="L245" s="69"/>
      <c r="M245" s="69"/>
      <c r="N245" s="69"/>
      <c r="O245" s="2"/>
      <c r="P245" s="2"/>
      <c r="Q245" s="32"/>
      <c r="R245" s="32"/>
      <c r="S245" s="32"/>
      <c r="T245" s="3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2"/>
      <c r="C246" s="10"/>
      <c r="D246" s="10"/>
      <c r="E246" s="10"/>
      <c r="F246" s="10"/>
      <c r="G246" s="69"/>
      <c r="H246" s="69"/>
      <c r="I246" s="69"/>
      <c r="J246" s="70"/>
      <c r="K246" s="69"/>
      <c r="L246" s="69"/>
      <c r="M246" s="69"/>
      <c r="N246" s="69"/>
      <c r="O246" s="2"/>
      <c r="P246" s="2"/>
      <c r="Q246" s="32"/>
      <c r="R246" s="32"/>
      <c r="S246" s="32"/>
      <c r="T246" s="3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10"/>
      <c r="F247" s="10"/>
      <c r="G247" s="69"/>
      <c r="H247" s="69"/>
      <c r="I247" s="69"/>
      <c r="J247" s="70"/>
      <c r="K247" s="69"/>
      <c r="L247" s="69"/>
      <c r="M247" s="69"/>
      <c r="N247" s="69"/>
      <c r="O247" s="2"/>
      <c r="P247" s="2"/>
      <c r="Q247" s="32"/>
      <c r="R247" s="32"/>
      <c r="S247" s="32"/>
      <c r="T247" s="32"/>
      <c r="U247" s="2"/>
      <c r="V247" s="2"/>
      <c r="W247" s="2"/>
      <c r="X247" s="2"/>
      <c r="Y247" s="2"/>
      <c r="Z247" s="2"/>
    </row>
    <row r="248" spans="1:26" ht="13.8" x14ac:dyDescent="0.3">
      <c r="A248" s="2"/>
      <c r="B248" s="2"/>
      <c r="C248" s="10"/>
      <c r="D248" s="10"/>
      <c r="E248" s="10"/>
      <c r="F248" s="10"/>
      <c r="G248" s="69"/>
      <c r="H248" s="69"/>
      <c r="I248" s="69"/>
      <c r="J248" s="70"/>
      <c r="K248" s="69"/>
      <c r="L248" s="69"/>
      <c r="M248" s="69"/>
      <c r="N248" s="69"/>
      <c r="O248" s="2"/>
      <c r="P248" s="2"/>
      <c r="Q248" s="32"/>
      <c r="R248" s="32"/>
      <c r="S248" s="32"/>
      <c r="T248" s="32"/>
      <c r="U248" s="2"/>
      <c r="V248" s="2"/>
      <c r="W248" s="2"/>
      <c r="X248" s="2"/>
      <c r="Y248" s="2"/>
      <c r="Z248" s="2"/>
    </row>
    <row r="249" spans="1:26" ht="13.8" x14ac:dyDescent="0.3">
      <c r="A249" s="2"/>
      <c r="B249" s="2"/>
      <c r="C249" s="10"/>
      <c r="D249" s="10"/>
      <c r="E249" s="10"/>
      <c r="F249" s="10"/>
      <c r="G249" s="69"/>
      <c r="H249" s="69"/>
      <c r="I249" s="69"/>
      <c r="J249" s="70"/>
      <c r="K249" s="69"/>
      <c r="L249" s="69"/>
      <c r="M249" s="69"/>
      <c r="N249" s="69"/>
      <c r="O249" s="2"/>
      <c r="P249" s="2"/>
      <c r="Q249" s="32"/>
      <c r="R249" s="32"/>
      <c r="S249" s="32"/>
      <c r="T249" s="32"/>
      <c r="U249" s="2"/>
      <c r="V249" s="2"/>
      <c r="W249" s="2"/>
      <c r="X249" s="2"/>
      <c r="Y249" s="2"/>
      <c r="Z249" s="2"/>
    </row>
    <row r="250" spans="1:26" ht="13.8" x14ac:dyDescent="0.3">
      <c r="A250" s="2"/>
      <c r="B250" s="2"/>
      <c r="C250" s="10"/>
      <c r="D250" s="10"/>
      <c r="E250" s="10"/>
      <c r="F250" s="10"/>
      <c r="G250" s="69"/>
      <c r="H250" s="69"/>
      <c r="I250" s="69"/>
      <c r="J250" s="70"/>
      <c r="K250" s="69"/>
      <c r="L250" s="69"/>
      <c r="M250" s="69"/>
      <c r="N250" s="69"/>
      <c r="O250" s="2"/>
      <c r="P250" s="2"/>
      <c r="Q250" s="32"/>
      <c r="R250" s="32"/>
      <c r="S250" s="32"/>
      <c r="T250" s="3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2"/>
      <c r="C251" s="10"/>
      <c r="D251" s="10"/>
      <c r="E251" s="10"/>
      <c r="F251" s="10"/>
      <c r="G251" s="69"/>
      <c r="H251" s="69"/>
      <c r="I251" s="69"/>
      <c r="J251" s="70"/>
      <c r="K251" s="69"/>
      <c r="L251" s="69"/>
      <c r="M251" s="69"/>
      <c r="N251" s="69"/>
      <c r="O251" s="2"/>
      <c r="P251" s="2"/>
      <c r="Q251" s="32"/>
      <c r="R251" s="32"/>
      <c r="S251" s="32"/>
      <c r="T251" s="3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10"/>
      <c r="F252" s="10"/>
      <c r="G252" s="69"/>
      <c r="H252" s="69"/>
      <c r="I252" s="69"/>
      <c r="J252" s="70"/>
      <c r="K252" s="69"/>
      <c r="L252" s="69"/>
      <c r="M252" s="69"/>
      <c r="N252" s="69"/>
      <c r="O252" s="2"/>
      <c r="P252" s="2"/>
      <c r="Q252" s="32"/>
      <c r="R252" s="32"/>
      <c r="S252" s="32"/>
      <c r="T252" s="32"/>
      <c r="U252" s="2"/>
      <c r="V252" s="2"/>
      <c r="W252" s="2"/>
      <c r="X252" s="2"/>
      <c r="Y252" s="2"/>
      <c r="Z252" s="2"/>
    </row>
    <row r="253" spans="1:26" ht="13.8" x14ac:dyDescent="0.3">
      <c r="A253" s="2"/>
      <c r="B253" s="2"/>
      <c r="C253" s="10"/>
      <c r="D253" s="10"/>
      <c r="E253" s="10"/>
      <c r="F253" s="10"/>
      <c r="G253" s="69"/>
      <c r="H253" s="69"/>
      <c r="I253" s="69"/>
      <c r="J253" s="70"/>
      <c r="K253" s="69"/>
      <c r="L253" s="69"/>
      <c r="M253" s="69"/>
      <c r="N253" s="69"/>
      <c r="O253" s="2"/>
      <c r="P253" s="2"/>
      <c r="Q253" s="32"/>
      <c r="R253" s="32"/>
      <c r="S253" s="32"/>
      <c r="T253" s="32"/>
      <c r="U253" s="2"/>
      <c r="V253" s="2"/>
      <c r="W253" s="2"/>
      <c r="X253" s="2"/>
      <c r="Y253" s="2"/>
      <c r="Z253" s="2"/>
    </row>
    <row r="254" spans="1:26" ht="13.8" x14ac:dyDescent="0.3">
      <c r="A254" s="2"/>
      <c r="B254" s="2"/>
      <c r="C254" s="10"/>
      <c r="D254" s="10"/>
      <c r="E254" s="10"/>
      <c r="F254" s="10"/>
      <c r="G254" s="69"/>
      <c r="H254" s="69"/>
      <c r="I254" s="69"/>
      <c r="J254" s="70"/>
      <c r="K254" s="69"/>
      <c r="L254" s="69"/>
      <c r="M254" s="69"/>
      <c r="N254" s="69"/>
      <c r="O254" s="2"/>
      <c r="P254" s="2"/>
      <c r="Q254" s="32"/>
      <c r="R254" s="32"/>
      <c r="S254" s="32"/>
      <c r="T254" s="32"/>
      <c r="U254" s="2"/>
      <c r="V254" s="2"/>
      <c r="W254" s="2"/>
      <c r="X254" s="2"/>
      <c r="Y254" s="2"/>
      <c r="Z254" s="2"/>
    </row>
    <row r="255" spans="1:26" ht="13.8" x14ac:dyDescent="0.3">
      <c r="A255" s="2"/>
      <c r="B255" s="2"/>
      <c r="C255" s="10"/>
      <c r="D255" s="10"/>
      <c r="E255" s="10"/>
      <c r="F255" s="10"/>
      <c r="G255" s="69"/>
      <c r="H255" s="69"/>
      <c r="I255" s="69"/>
      <c r="J255" s="70"/>
      <c r="K255" s="69"/>
      <c r="L255" s="69"/>
      <c r="M255" s="69"/>
      <c r="N255" s="69"/>
      <c r="O255" s="2"/>
      <c r="P255" s="2"/>
      <c r="Q255" s="32"/>
      <c r="R255" s="32"/>
      <c r="S255" s="32"/>
      <c r="T255" s="3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2"/>
      <c r="C256" s="10"/>
      <c r="D256" s="10"/>
      <c r="E256" s="10"/>
      <c r="F256" s="10"/>
      <c r="G256" s="69"/>
      <c r="H256" s="69"/>
      <c r="I256" s="69"/>
      <c r="J256" s="70"/>
      <c r="K256" s="69"/>
      <c r="L256" s="69"/>
      <c r="M256" s="69"/>
      <c r="N256" s="69"/>
      <c r="O256" s="2"/>
      <c r="P256" s="2"/>
      <c r="Q256" s="32"/>
      <c r="R256" s="32"/>
      <c r="S256" s="32"/>
      <c r="T256" s="3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2"/>
      <c r="C257" s="10"/>
      <c r="D257" s="10"/>
      <c r="E257" s="10"/>
      <c r="F257" s="10"/>
      <c r="G257" s="69"/>
      <c r="H257" s="69"/>
      <c r="I257" s="69"/>
      <c r="J257" s="70"/>
      <c r="K257" s="69"/>
      <c r="L257" s="69"/>
      <c r="M257" s="69"/>
      <c r="N257" s="69"/>
      <c r="O257" s="2"/>
      <c r="P257" s="2"/>
      <c r="Q257" s="32"/>
      <c r="R257" s="32"/>
      <c r="S257" s="32"/>
      <c r="T257" s="3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2"/>
      <c r="C258" s="10"/>
      <c r="D258" s="10"/>
      <c r="E258" s="10"/>
      <c r="F258" s="10"/>
      <c r="G258" s="69"/>
      <c r="H258" s="69"/>
      <c r="I258" s="69"/>
      <c r="J258" s="70"/>
      <c r="K258" s="69"/>
      <c r="L258" s="69"/>
      <c r="M258" s="69"/>
      <c r="N258" s="69"/>
      <c r="O258" s="2"/>
      <c r="P258" s="2"/>
      <c r="Q258" s="32"/>
      <c r="R258" s="32"/>
      <c r="S258" s="32"/>
      <c r="T258" s="3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2"/>
      <c r="C259" s="10"/>
      <c r="D259" s="10"/>
      <c r="E259" s="10"/>
      <c r="F259" s="10"/>
      <c r="G259" s="69"/>
      <c r="H259" s="69"/>
      <c r="I259" s="69"/>
      <c r="J259" s="70"/>
      <c r="K259" s="69"/>
      <c r="L259" s="69"/>
      <c r="M259" s="69"/>
      <c r="N259" s="69"/>
      <c r="O259" s="2"/>
      <c r="P259" s="2"/>
      <c r="Q259" s="32"/>
      <c r="R259" s="32"/>
      <c r="S259" s="32"/>
      <c r="T259" s="3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2"/>
      <c r="C260" s="10"/>
      <c r="D260" s="10"/>
      <c r="E260" s="10"/>
      <c r="F260" s="10"/>
      <c r="G260" s="69"/>
      <c r="H260" s="69"/>
      <c r="I260" s="69"/>
      <c r="J260" s="70"/>
      <c r="K260" s="69"/>
      <c r="L260" s="69"/>
      <c r="M260" s="69"/>
      <c r="N260" s="69"/>
      <c r="O260" s="2"/>
      <c r="P260" s="2"/>
      <c r="Q260" s="32"/>
      <c r="R260" s="32"/>
      <c r="S260" s="32"/>
      <c r="T260" s="3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2"/>
      <c r="C261" s="10"/>
      <c r="D261" s="10"/>
      <c r="E261" s="10"/>
      <c r="F261" s="10"/>
      <c r="G261" s="69"/>
      <c r="H261" s="69"/>
      <c r="I261" s="69"/>
      <c r="J261" s="70"/>
      <c r="K261" s="69"/>
      <c r="L261" s="69"/>
      <c r="M261" s="69"/>
      <c r="N261" s="69"/>
      <c r="O261" s="2"/>
      <c r="P261" s="2"/>
      <c r="Q261" s="32"/>
      <c r="R261" s="32"/>
      <c r="S261" s="32"/>
      <c r="T261" s="3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2"/>
      <c r="C262" s="10"/>
      <c r="D262" s="10"/>
      <c r="E262" s="10"/>
      <c r="F262" s="10"/>
      <c r="G262" s="69"/>
      <c r="H262" s="69"/>
      <c r="I262" s="69"/>
      <c r="J262" s="70"/>
      <c r="K262" s="69"/>
      <c r="L262" s="69"/>
      <c r="M262" s="69"/>
      <c r="N262" s="69"/>
      <c r="O262" s="2"/>
      <c r="P262" s="2"/>
      <c r="Q262" s="32"/>
      <c r="R262" s="32"/>
      <c r="S262" s="32"/>
      <c r="T262" s="3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2"/>
      <c r="C263" s="10"/>
      <c r="D263" s="10"/>
      <c r="E263" s="10"/>
      <c r="F263" s="10"/>
      <c r="G263" s="69"/>
      <c r="H263" s="69"/>
      <c r="I263" s="69"/>
      <c r="J263" s="70"/>
      <c r="K263" s="69"/>
      <c r="L263" s="69"/>
      <c r="M263" s="69"/>
      <c r="N263" s="69"/>
      <c r="O263" s="2"/>
      <c r="P263" s="2"/>
      <c r="Q263" s="32"/>
      <c r="R263" s="32"/>
      <c r="S263" s="32"/>
      <c r="T263" s="3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2"/>
      <c r="C264" s="10"/>
      <c r="D264" s="10"/>
      <c r="E264" s="10"/>
      <c r="F264" s="10"/>
      <c r="G264" s="69"/>
      <c r="H264" s="69"/>
      <c r="I264" s="69"/>
      <c r="J264" s="70"/>
      <c r="K264" s="69"/>
      <c r="L264" s="69"/>
      <c r="M264" s="69"/>
      <c r="N264" s="69"/>
      <c r="O264" s="2"/>
      <c r="P264" s="2"/>
      <c r="Q264" s="32"/>
      <c r="R264" s="32"/>
      <c r="S264" s="32"/>
      <c r="T264" s="3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2"/>
      <c r="C265" s="10"/>
      <c r="D265" s="10"/>
      <c r="E265" s="10"/>
      <c r="F265" s="10"/>
      <c r="G265" s="69"/>
      <c r="H265" s="69"/>
      <c r="I265" s="69"/>
      <c r="J265" s="70"/>
      <c r="K265" s="69"/>
      <c r="L265" s="69"/>
      <c r="M265" s="69"/>
      <c r="N265" s="69"/>
      <c r="O265" s="2"/>
      <c r="P265" s="2"/>
      <c r="Q265" s="32"/>
      <c r="R265" s="32"/>
      <c r="S265" s="32"/>
      <c r="T265" s="3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2"/>
      <c r="C266" s="10"/>
      <c r="D266" s="10"/>
      <c r="E266" s="10"/>
      <c r="F266" s="10"/>
      <c r="G266" s="69"/>
      <c r="H266" s="69"/>
      <c r="I266" s="69"/>
      <c r="J266" s="70"/>
      <c r="K266" s="69"/>
      <c r="L266" s="69"/>
      <c r="M266" s="69"/>
      <c r="N266" s="69"/>
      <c r="O266" s="2"/>
      <c r="P266" s="2"/>
      <c r="Q266" s="32"/>
      <c r="R266" s="32"/>
      <c r="S266" s="32"/>
      <c r="T266" s="3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2"/>
      <c r="C267" s="10"/>
      <c r="D267" s="10"/>
      <c r="E267" s="10"/>
      <c r="F267" s="10"/>
      <c r="G267" s="69"/>
      <c r="H267" s="69"/>
      <c r="I267" s="69"/>
      <c r="J267" s="70"/>
      <c r="K267" s="69"/>
      <c r="L267" s="69"/>
      <c r="M267" s="69"/>
      <c r="N267" s="69"/>
      <c r="O267" s="2"/>
      <c r="P267" s="2"/>
      <c r="Q267" s="32"/>
      <c r="R267" s="32"/>
      <c r="S267" s="32"/>
      <c r="T267" s="3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2"/>
      <c r="C268" s="10"/>
      <c r="D268" s="10"/>
      <c r="E268" s="10"/>
      <c r="F268" s="10"/>
      <c r="G268" s="69"/>
      <c r="H268" s="69"/>
      <c r="I268" s="69"/>
      <c r="J268" s="70"/>
      <c r="K268" s="69"/>
      <c r="L268" s="69"/>
      <c r="M268" s="69"/>
      <c r="N268" s="69"/>
      <c r="O268" s="2"/>
      <c r="P268" s="2"/>
      <c r="Q268" s="32"/>
      <c r="R268" s="32"/>
      <c r="S268" s="32"/>
      <c r="T268" s="3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2"/>
      <c r="C269" s="10"/>
      <c r="D269" s="10"/>
      <c r="E269" s="10"/>
      <c r="F269" s="10"/>
      <c r="G269" s="69"/>
      <c r="H269" s="69"/>
      <c r="I269" s="69"/>
      <c r="J269" s="70"/>
      <c r="K269" s="69"/>
      <c r="L269" s="69"/>
      <c r="M269" s="69"/>
      <c r="N269" s="69"/>
      <c r="O269" s="2"/>
      <c r="P269" s="2"/>
      <c r="Q269" s="32"/>
      <c r="R269" s="32"/>
      <c r="S269" s="32"/>
      <c r="T269" s="3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2"/>
      <c r="C270" s="10"/>
      <c r="D270" s="10"/>
      <c r="E270" s="10"/>
      <c r="F270" s="10"/>
      <c r="G270" s="69"/>
      <c r="H270" s="69"/>
      <c r="I270" s="69"/>
      <c r="J270" s="70"/>
      <c r="K270" s="69"/>
      <c r="L270" s="69"/>
      <c r="M270" s="69"/>
      <c r="N270" s="69"/>
      <c r="O270" s="2"/>
      <c r="P270" s="2"/>
      <c r="Q270" s="32"/>
      <c r="R270" s="32"/>
      <c r="S270" s="32"/>
      <c r="T270" s="3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2"/>
      <c r="C271" s="10"/>
      <c r="D271" s="10"/>
      <c r="E271" s="10"/>
      <c r="F271" s="10"/>
      <c r="G271" s="69"/>
      <c r="H271" s="69"/>
      <c r="I271" s="69"/>
      <c r="J271" s="70"/>
      <c r="K271" s="69"/>
      <c r="L271" s="69"/>
      <c r="M271" s="69"/>
      <c r="N271" s="69"/>
      <c r="O271" s="2"/>
      <c r="P271" s="2"/>
      <c r="Q271" s="32"/>
      <c r="R271" s="32"/>
      <c r="S271" s="32"/>
      <c r="T271" s="3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2"/>
      <c r="C272" s="10"/>
      <c r="D272" s="10"/>
      <c r="E272" s="10"/>
      <c r="F272" s="10"/>
      <c r="G272" s="69"/>
      <c r="H272" s="69"/>
      <c r="I272" s="69"/>
      <c r="J272" s="70"/>
      <c r="K272" s="69"/>
      <c r="L272" s="69"/>
      <c r="M272" s="69"/>
      <c r="N272" s="69"/>
      <c r="O272" s="2"/>
      <c r="P272" s="2"/>
      <c r="Q272" s="32"/>
      <c r="R272" s="32"/>
      <c r="S272" s="32"/>
      <c r="T272" s="3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2"/>
      <c r="C273" s="10"/>
      <c r="D273" s="10"/>
      <c r="E273" s="10"/>
      <c r="F273" s="10"/>
      <c r="G273" s="69"/>
      <c r="H273" s="69"/>
      <c r="I273" s="69"/>
      <c r="J273" s="70"/>
      <c r="K273" s="69"/>
      <c r="L273" s="69"/>
      <c r="M273" s="69"/>
      <c r="N273" s="69"/>
      <c r="O273" s="2"/>
      <c r="P273" s="2"/>
      <c r="Q273" s="32"/>
      <c r="R273" s="32"/>
      <c r="S273" s="32"/>
      <c r="T273" s="3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2"/>
      <c r="C274" s="10"/>
      <c r="D274" s="10"/>
      <c r="E274" s="10"/>
      <c r="F274" s="10"/>
      <c r="G274" s="69"/>
      <c r="H274" s="69"/>
      <c r="I274" s="69"/>
      <c r="J274" s="70"/>
      <c r="K274" s="69"/>
      <c r="L274" s="69"/>
      <c r="M274" s="69"/>
      <c r="N274" s="69"/>
      <c r="O274" s="2"/>
      <c r="P274" s="2"/>
      <c r="Q274" s="32"/>
      <c r="R274" s="32"/>
      <c r="S274" s="32"/>
      <c r="T274" s="3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2"/>
      <c r="C275" s="10"/>
      <c r="D275" s="10"/>
      <c r="E275" s="10"/>
      <c r="F275" s="10"/>
      <c r="G275" s="69"/>
      <c r="H275" s="69"/>
      <c r="I275" s="69"/>
      <c r="J275" s="70"/>
      <c r="K275" s="69"/>
      <c r="L275" s="69"/>
      <c r="M275" s="69"/>
      <c r="N275" s="69"/>
      <c r="O275" s="2"/>
      <c r="P275" s="2"/>
      <c r="Q275" s="32"/>
      <c r="R275" s="32"/>
      <c r="S275" s="32"/>
      <c r="T275" s="3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2"/>
      <c r="C276" s="10"/>
      <c r="D276" s="10"/>
      <c r="E276" s="10"/>
      <c r="F276" s="10"/>
      <c r="G276" s="69"/>
      <c r="H276" s="69"/>
      <c r="I276" s="69"/>
      <c r="J276" s="70"/>
      <c r="K276" s="69"/>
      <c r="L276" s="69"/>
      <c r="M276" s="69"/>
      <c r="N276" s="69"/>
      <c r="O276" s="2"/>
      <c r="P276" s="2"/>
      <c r="Q276" s="32"/>
      <c r="R276" s="32"/>
      <c r="S276" s="32"/>
      <c r="T276" s="3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2"/>
      <c r="C277" s="10"/>
      <c r="D277" s="10"/>
      <c r="E277" s="10"/>
      <c r="F277" s="10"/>
      <c r="G277" s="69"/>
      <c r="H277" s="69"/>
      <c r="I277" s="69"/>
      <c r="J277" s="70"/>
      <c r="K277" s="69"/>
      <c r="L277" s="69"/>
      <c r="M277" s="69"/>
      <c r="N277" s="69"/>
      <c r="O277" s="2"/>
      <c r="P277" s="2"/>
      <c r="Q277" s="32"/>
      <c r="R277" s="32"/>
      <c r="S277" s="32"/>
      <c r="T277" s="3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2"/>
      <c r="C278" s="10"/>
      <c r="D278" s="10"/>
      <c r="E278" s="10"/>
      <c r="F278" s="10"/>
      <c r="G278" s="69"/>
      <c r="H278" s="69"/>
      <c r="I278" s="69"/>
      <c r="J278" s="70"/>
      <c r="K278" s="69"/>
      <c r="L278" s="69"/>
      <c r="M278" s="69"/>
      <c r="N278" s="69"/>
      <c r="O278" s="2"/>
      <c r="P278" s="2"/>
      <c r="Q278" s="32"/>
      <c r="R278" s="32"/>
      <c r="S278" s="32"/>
      <c r="T278" s="3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2"/>
      <c r="C279" s="10"/>
      <c r="D279" s="10"/>
      <c r="E279" s="10"/>
      <c r="F279" s="10"/>
      <c r="G279" s="69"/>
      <c r="H279" s="69"/>
      <c r="I279" s="69"/>
      <c r="J279" s="70"/>
      <c r="K279" s="69"/>
      <c r="L279" s="69"/>
      <c r="M279" s="69"/>
      <c r="N279" s="69"/>
      <c r="O279" s="2"/>
      <c r="P279" s="2"/>
      <c r="Q279" s="32"/>
      <c r="R279" s="32"/>
      <c r="S279" s="32"/>
      <c r="T279" s="3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2"/>
      <c r="C280" s="10"/>
      <c r="D280" s="10"/>
      <c r="E280" s="10"/>
      <c r="F280" s="10"/>
      <c r="G280" s="69"/>
      <c r="H280" s="69"/>
      <c r="I280" s="69"/>
      <c r="J280" s="70"/>
      <c r="K280" s="69"/>
      <c r="L280" s="69"/>
      <c r="M280" s="69"/>
      <c r="N280" s="69"/>
      <c r="O280" s="2"/>
      <c r="P280" s="2"/>
      <c r="Q280" s="32"/>
      <c r="R280" s="32"/>
      <c r="S280" s="32"/>
      <c r="T280" s="3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2"/>
      <c r="C281" s="10"/>
      <c r="D281" s="10"/>
      <c r="E281" s="10"/>
      <c r="F281" s="10"/>
      <c r="G281" s="69"/>
      <c r="H281" s="69"/>
      <c r="I281" s="69"/>
      <c r="J281" s="70"/>
      <c r="K281" s="69"/>
      <c r="L281" s="69"/>
      <c r="M281" s="69"/>
      <c r="N281" s="69"/>
      <c r="O281" s="2"/>
      <c r="P281" s="2"/>
      <c r="Q281" s="32"/>
      <c r="R281" s="32"/>
      <c r="S281" s="32"/>
      <c r="T281" s="3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2"/>
      <c r="C282" s="10"/>
      <c r="D282" s="10"/>
      <c r="E282" s="10"/>
      <c r="F282" s="10"/>
      <c r="G282" s="69"/>
      <c r="H282" s="69"/>
      <c r="I282" s="69"/>
      <c r="J282" s="70"/>
      <c r="K282" s="69"/>
      <c r="L282" s="69"/>
      <c r="M282" s="69"/>
      <c r="N282" s="69"/>
      <c r="O282" s="2"/>
      <c r="P282" s="2"/>
      <c r="Q282" s="32"/>
      <c r="R282" s="32"/>
      <c r="S282" s="32"/>
      <c r="T282" s="3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2"/>
      <c r="C283" s="10"/>
      <c r="D283" s="10"/>
      <c r="E283" s="10"/>
      <c r="F283" s="10"/>
      <c r="G283" s="69"/>
      <c r="H283" s="69"/>
      <c r="I283" s="69"/>
      <c r="J283" s="70"/>
      <c r="K283" s="69"/>
      <c r="L283" s="69"/>
      <c r="M283" s="69"/>
      <c r="N283" s="69"/>
      <c r="O283" s="2"/>
      <c r="P283" s="2"/>
      <c r="Q283" s="32"/>
      <c r="R283" s="32"/>
      <c r="S283" s="32"/>
      <c r="T283" s="3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2"/>
      <c r="C284" s="10"/>
      <c r="D284" s="10"/>
      <c r="E284" s="10"/>
      <c r="F284" s="10"/>
      <c r="G284" s="69"/>
      <c r="H284" s="69"/>
      <c r="I284" s="69"/>
      <c r="J284" s="70"/>
      <c r="K284" s="69"/>
      <c r="L284" s="69"/>
      <c r="M284" s="69"/>
      <c r="N284" s="69"/>
      <c r="O284" s="2"/>
      <c r="P284" s="2"/>
      <c r="Q284" s="32"/>
      <c r="R284" s="32"/>
      <c r="S284" s="32"/>
      <c r="T284" s="3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2"/>
      <c r="C285" s="10"/>
      <c r="D285" s="10"/>
      <c r="E285" s="10"/>
      <c r="F285" s="10"/>
      <c r="G285" s="69"/>
      <c r="H285" s="69"/>
      <c r="I285" s="69"/>
      <c r="J285" s="70"/>
      <c r="K285" s="69"/>
      <c r="L285" s="69"/>
      <c r="M285" s="69"/>
      <c r="N285" s="69"/>
      <c r="O285" s="2"/>
      <c r="P285" s="2"/>
      <c r="Q285" s="32"/>
      <c r="R285" s="32"/>
      <c r="S285" s="32"/>
      <c r="T285" s="3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2"/>
      <c r="C286" s="10"/>
      <c r="D286" s="10"/>
      <c r="E286" s="10"/>
      <c r="F286" s="10"/>
      <c r="G286" s="69"/>
      <c r="H286" s="69"/>
      <c r="I286" s="69"/>
      <c r="J286" s="70"/>
      <c r="K286" s="69"/>
      <c r="L286" s="69"/>
      <c r="M286" s="69"/>
      <c r="N286" s="69"/>
      <c r="O286" s="2"/>
      <c r="P286" s="2"/>
      <c r="Q286" s="32"/>
      <c r="R286" s="32"/>
      <c r="S286" s="32"/>
      <c r="T286" s="3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2"/>
      <c r="C287" s="10"/>
      <c r="D287" s="10"/>
      <c r="E287" s="10"/>
      <c r="F287" s="10"/>
      <c r="G287" s="69"/>
      <c r="H287" s="69"/>
      <c r="I287" s="69"/>
      <c r="J287" s="70"/>
      <c r="K287" s="69"/>
      <c r="L287" s="69"/>
      <c r="M287" s="69"/>
      <c r="N287" s="69"/>
      <c r="O287" s="2"/>
      <c r="P287" s="2"/>
      <c r="Q287" s="32"/>
      <c r="R287" s="32"/>
      <c r="S287" s="32"/>
      <c r="T287" s="3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2"/>
      <c r="C288" s="10"/>
      <c r="D288" s="10"/>
      <c r="E288" s="10"/>
      <c r="F288" s="10"/>
      <c r="G288" s="69"/>
      <c r="H288" s="69"/>
      <c r="I288" s="69"/>
      <c r="J288" s="70"/>
      <c r="K288" s="69"/>
      <c r="L288" s="69"/>
      <c r="M288" s="69"/>
      <c r="N288" s="69"/>
      <c r="O288" s="2"/>
      <c r="P288" s="2"/>
      <c r="Q288" s="32"/>
      <c r="R288" s="32"/>
      <c r="S288" s="32"/>
      <c r="T288" s="3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2"/>
      <c r="C289" s="10"/>
      <c r="D289" s="10"/>
      <c r="E289" s="10"/>
      <c r="F289" s="10"/>
      <c r="G289" s="69"/>
      <c r="H289" s="69"/>
      <c r="I289" s="69"/>
      <c r="J289" s="70"/>
      <c r="K289" s="69"/>
      <c r="L289" s="69"/>
      <c r="M289" s="69"/>
      <c r="N289" s="69"/>
      <c r="O289" s="2"/>
      <c r="P289" s="2"/>
      <c r="Q289" s="32"/>
      <c r="R289" s="32"/>
      <c r="S289" s="32"/>
      <c r="T289" s="3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2"/>
      <c r="C290" s="10"/>
      <c r="D290" s="10"/>
      <c r="E290" s="10"/>
      <c r="F290" s="10"/>
      <c r="G290" s="69"/>
      <c r="H290" s="69"/>
      <c r="I290" s="69"/>
      <c r="J290" s="70"/>
      <c r="K290" s="69"/>
      <c r="L290" s="69"/>
      <c r="M290" s="69"/>
      <c r="N290" s="69"/>
      <c r="O290" s="2"/>
      <c r="P290" s="2"/>
      <c r="Q290" s="32"/>
      <c r="R290" s="32"/>
      <c r="S290" s="32"/>
      <c r="T290" s="3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2"/>
      <c r="C291" s="10"/>
      <c r="D291" s="10"/>
      <c r="E291" s="10"/>
      <c r="F291" s="10"/>
      <c r="G291" s="69"/>
      <c r="H291" s="69"/>
      <c r="I291" s="69"/>
      <c r="J291" s="70"/>
      <c r="K291" s="69"/>
      <c r="L291" s="69"/>
      <c r="M291" s="69"/>
      <c r="N291" s="69"/>
      <c r="O291" s="2"/>
      <c r="P291" s="2"/>
      <c r="Q291" s="32"/>
      <c r="R291" s="32"/>
      <c r="S291" s="32"/>
      <c r="T291" s="3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2"/>
      <c r="C292" s="10"/>
      <c r="D292" s="10"/>
      <c r="E292" s="10"/>
      <c r="F292" s="10"/>
      <c r="G292" s="69"/>
      <c r="H292" s="69"/>
      <c r="I292" s="69"/>
      <c r="J292" s="70"/>
      <c r="K292" s="69"/>
      <c r="L292" s="69"/>
      <c r="M292" s="69"/>
      <c r="N292" s="69"/>
      <c r="O292" s="2"/>
      <c r="P292" s="2"/>
      <c r="Q292" s="32"/>
      <c r="R292" s="32"/>
      <c r="S292" s="32"/>
      <c r="T292" s="3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2"/>
      <c r="C293" s="10"/>
      <c r="D293" s="10"/>
      <c r="E293" s="10"/>
      <c r="F293" s="10"/>
      <c r="G293" s="69"/>
      <c r="H293" s="69"/>
      <c r="I293" s="69"/>
      <c r="J293" s="70"/>
      <c r="K293" s="69"/>
      <c r="L293" s="69"/>
      <c r="M293" s="69"/>
      <c r="N293" s="69"/>
      <c r="O293" s="2"/>
      <c r="P293" s="2"/>
      <c r="Q293" s="32"/>
      <c r="R293" s="32"/>
      <c r="S293" s="32"/>
      <c r="T293" s="3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2"/>
      <c r="C294" s="10"/>
      <c r="D294" s="10"/>
      <c r="E294" s="10"/>
      <c r="F294" s="10"/>
      <c r="G294" s="69"/>
      <c r="H294" s="69"/>
      <c r="I294" s="69"/>
      <c r="J294" s="70"/>
      <c r="K294" s="69"/>
      <c r="L294" s="69"/>
      <c r="M294" s="69"/>
      <c r="N294" s="69"/>
      <c r="O294" s="2"/>
      <c r="P294" s="2"/>
      <c r="Q294" s="32"/>
      <c r="R294" s="32"/>
      <c r="S294" s="32"/>
      <c r="T294" s="3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2"/>
      <c r="C295" s="10"/>
      <c r="D295" s="10"/>
      <c r="E295" s="10"/>
      <c r="F295" s="10"/>
      <c r="G295" s="69"/>
      <c r="H295" s="69"/>
      <c r="I295" s="69"/>
      <c r="J295" s="70"/>
      <c r="K295" s="69"/>
      <c r="L295" s="69"/>
      <c r="M295" s="69"/>
      <c r="N295" s="69"/>
      <c r="O295" s="2"/>
      <c r="P295" s="2"/>
      <c r="Q295" s="32"/>
      <c r="R295" s="32"/>
      <c r="S295" s="32"/>
      <c r="T295" s="3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2"/>
      <c r="C296" s="10"/>
      <c r="D296" s="10"/>
      <c r="E296" s="10"/>
      <c r="F296" s="10"/>
      <c r="G296" s="69"/>
      <c r="H296" s="69"/>
      <c r="I296" s="69"/>
      <c r="J296" s="70"/>
      <c r="K296" s="69"/>
      <c r="L296" s="69"/>
      <c r="M296" s="69"/>
      <c r="N296" s="69"/>
      <c r="O296" s="2"/>
      <c r="P296" s="2"/>
      <c r="Q296" s="32"/>
      <c r="R296" s="32"/>
      <c r="S296" s="32"/>
      <c r="T296" s="3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2"/>
      <c r="C297" s="10"/>
      <c r="D297" s="10"/>
      <c r="E297" s="10"/>
      <c r="F297" s="10"/>
      <c r="G297" s="69"/>
      <c r="H297" s="69"/>
      <c r="I297" s="69"/>
      <c r="J297" s="70"/>
      <c r="K297" s="69"/>
      <c r="L297" s="69"/>
      <c r="M297" s="69"/>
      <c r="N297" s="69"/>
      <c r="O297" s="2"/>
      <c r="P297" s="2"/>
      <c r="Q297" s="32"/>
      <c r="R297" s="32"/>
      <c r="S297" s="32"/>
      <c r="T297" s="3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2"/>
      <c r="C298" s="10"/>
      <c r="D298" s="10"/>
      <c r="E298" s="10"/>
      <c r="F298" s="10"/>
      <c r="G298" s="69"/>
      <c r="H298" s="69"/>
      <c r="I298" s="69"/>
      <c r="J298" s="70"/>
      <c r="K298" s="69"/>
      <c r="L298" s="69"/>
      <c r="M298" s="69"/>
      <c r="N298" s="69"/>
      <c r="O298" s="2"/>
      <c r="P298" s="2"/>
      <c r="Q298" s="32"/>
      <c r="R298" s="32"/>
      <c r="S298" s="32"/>
      <c r="T298" s="3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2"/>
      <c r="C299" s="10"/>
      <c r="D299" s="10"/>
      <c r="E299" s="10"/>
      <c r="F299" s="10"/>
      <c r="G299" s="69"/>
      <c r="H299" s="69"/>
      <c r="I299" s="69"/>
      <c r="J299" s="70"/>
      <c r="K299" s="69"/>
      <c r="L299" s="69"/>
      <c r="M299" s="69"/>
      <c r="N299" s="69"/>
      <c r="O299" s="2"/>
      <c r="P299" s="2"/>
      <c r="Q299" s="32"/>
      <c r="R299" s="32"/>
      <c r="S299" s="32"/>
      <c r="T299" s="3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2"/>
      <c r="C300" s="10"/>
      <c r="D300" s="10"/>
      <c r="E300" s="10"/>
      <c r="F300" s="10"/>
      <c r="G300" s="69"/>
      <c r="H300" s="69"/>
      <c r="I300" s="69"/>
      <c r="J300" s="70"/>
      <c r="K300" s="69"/>
      <c r="L300" s="69"/>
      <c r="M300" s="69"/>
      <c r="N300" s="69"/>
      <c r="O300" s="2"/>
      <c r="P300" s="2"/>
      <c r="Q300" s="32"/>
      <c r="R300" s="32"/>
      <c r="S300" s="32"/>
      <c r="T300" s="3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2"/>
      <c r="C301" s="10"/>
      <c r="D301" s="10"/>
      <c r="E301" s="10"/>
      <c r="F301" s="10"/>
      <c r="G301" s="69"/>
      <c r="H301" s="69"/>
      <c r="I301" s="69"/>
      <c r="J301" s="70"/>
      <c r="K301" s="69"/>
      <c r="L301" s="69"/>
      <c r="M301" s="69"/>
      <c r="N301" s="69"/>
      <c r="O301" s="2"/>
      <c r="P301" s="2"/>
      <c r="Q301" s="32"/>
      <c r="R301" s="32"/>
      <c r="S301" s="32"/>
      <c r="T301" s="3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2"/>
      <c r="C302" s="10"/>
      <c r="D302" s="10"/>
      <c r="E302" s="10"/>
      <c r="F302" s="10"/>
      <c r="G302" s="69"/>
      <c r="H302" s="69"/>
      <c r="I302" s="69"/>
      <c r="J302" s="70"/>
      <c r="K302" s="69"/>
      <c r="L302" s="69"/>
      <c r="M302" s="69"/>
      <c r="N302" s="69"/>
      <c r="O302" s="2"/>
      <c r="P302" s="2"/>
      <c r="Q302" s="32"/>
      <c r="R302" s="32"/>
      <c r="S302" s="32"/>
      <c r="T302" s="3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2"/>
      <c r="C303" s="10"/>
      <c r="D303" s="10"/>
      <c r="E303" s="10"/>
      <c r="F303" s="10"/>
      <c r="G303" s="69"/>
      <c r="H303" s="69"/>
      <c r="I303" s="69"/>
      <c r="J303" s="70"/>
      <c r="K303" s="69"/>
      <c r="L303" s="69"/>
      <c r="M303" s="69"/>
      <c r="N303" s="69"/>
      <c r="O303" s="2"/>
      <c r="P303" s="2"/>
      <c r="Q303" s="32"/>
      <c r="R303" s="32"/>
      <c r="S303" s="32"/>
      <c r="T303" s="3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2"/>
      <c r="C304" s="10"/>
      <c r="D304" s="10"/>
      <c r="E304" s="10"/>
      <c r="F304" s="10"/>
      <c r="G304" s="69"/>
      <c r="H304" s="69"/>
      <c r="I304" s="69"/>
      <c r="J304" s="70"/>
      <c r="K304" s="69"/>
      <c r="L304" s="69"/>
      <c r="M304" s="69"/>
      <c r="N304" s="69"/>
      <c r="O304" s="2"/>
      <c r="P304" s="2"/>
      <c r="Q304" s="32"/>
      <c r="R304" s="32"/>
      <c r="S304" s="32"/>
      <c r="T304" s="3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2"/>
      <c r="C305" s="10"/>
      <c r="D305" s="10"/>
      <c r="E305" s="10"/>
      <c r="F305" s="10"/>
      <c r="G305" s="69"/>
      <c r="H305" s="69"/>
      <c r="I305" s="69"/>
      <c r="J305" s="70"/>
      <c r="K305" s="69"/>
      <c r="L305" s="69"/>
      <c r="M305" s="69"/>
      <c r="N305" s="69"/>
      <c r="O305" s="2"/>
      <c r="P305" s="2"/>
      <c r="Q305" s="32"/>
      <c r="R305" s="32"/>
      <c r="S305" s="32"/>
      <c r="T305" s="3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2"/>
      <c r="C306" s="10"/>
      <c r="D306" s="10"/>
      <c r="E306" s="10"/>
      <c r="F306" s="10"/>
      <c r="G306" s="69"/>
      <c r="H306" s="69"/>
      <c r="I306" s="69"/>
      <c r="J306" s="70"/>
      <c r="K306" s="69"/>
      <c r="L306" s="69"/>
      <c r="M306" s="69"/>
      <c r="N306" s="69"/>
      <c r="O306" s="2"/>
      <c r="P306" s="2"/>
      <c r="Q306" s="32"/>
      <c r="R306" s="32"/>
      <c r="S306" s="32"/>
      <c r="T306" s="3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2"/>
      <c r="C307" s="10"/>
      <c r="D307" s="10"/>
      <c r="E307" s="10"/>
      <c r="F307" s="10"/>
      <c r="G307" s="69"/>
      <c r="H307" s="69"/>
      <c r="I307" s="69"/>
      <c r="J307" s="70"/>
      <c r="K307" s="69"/>
      <c r="L307" s="69"/>
      <c r="M307" s="69"/>
      <c r="N307" s="69"/>
      <c r="O307" s="2"/>
      <c r="P307" s="2"/>
      <c r="Q307" s="32"/>
      <c r="R307" s="32"/>
      <c r="S307" s="32"/>
      <c r="T307" s="3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2"/>
      <c r="C308" s="10"/>
      <c r="D308" s="10"/>
      <c r="E308" s="10"/>
      <c r="F308" s="10"/>
      <c r="G308" s="69"/>
      <c r="H308" s="69"/>
      <c r="I308" s="69"/>
      <c r="J308" s="70"/>
      <c r="K308" s="69"/>
      <c r="L308" s="69"/>
      <c r="M308" s="69"/>
      <c r="N308" s="69"/>
      <c r="O308" s="2"/>
      <c r="P308" s="2"/>
      <c r="Q308" s="32"/>
      <c r="R308" s="32"/>
      <c r="S308" s="32"/>
      <c r="T308" s="3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2"/>
      <c r="C309" s="10"/>
      <c r="D309" s="10"/>
      <c r="E309" s="10"/>
      <c r="F309" s="10"/>
      <c r="G309" s="69"/>
      <c r="H309" s="69"/>
      <c r="I309" s="69"/>
      <c r="J309" s="70"/>
      <c r="K309" s="69"/>
      <c r="L309" s="69"/>
      <c r="M309" s="69"/>
      <c r="N309" s="69"/>
      <c r="O309" s="2"/>
      <c r="P309" s="2"/>
      <c r="Q309" s="32"/>
      <c r="R309" s="32"/>
      <c r="S309" s="32"/>
      <c r="T309" s="3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2"/>
      <c r="C310" s="10"/>
      <c r="D310" s="10"/>
      <c r="E310" s="10"/>
      <c r="F310" s="10"/>
      <c r="G310" s="69"/>
      <c r="H310" s="69"/>
      <c r="I310" s="69"/>
      <c r="J310" s="70"/>
      <c r="K310" s="69"/>
      <c r="L310" s="69"/>
      <c r="M310" s="69"/>
      <c r="N310" s="69"/>
      <c r="O310" s="2"/>
      <c r="P310" s="2"/>
      <c r="Q310" s="32"/>
      <c r="R310" s="32"/>
      <c r="S310" s="32"/>
      <c r="T310" s="3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2"/>
      <c r="C311" s="10"/>
      <c r="D311" s="10"/>
      <c r="E311" s="10"/>
      <c r="F311" s="10"/>
      <c r="G311" s="69"/>
      <c r="H311" s="69"/>
      <c r="I311" s="69"/>
      <c r="J311" s="70"/>
      <c r="K311" s="69"/>
      <c r="L311" s="69"/>
      <c r="M311" s="69"/>
      <c r="N311" s="69"/>
      <c r="O311" s="2"/>
      <c r="P311" s="2"/>
      <c r="Q311" s="32"/>
      <c r="R311" s="32"/>
      <c r="S311" s="32"/>
      <c r="T311" s="3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2"/>
      <c r="C312" s="10"/>
      <c r="D312" s="10"/>
      <c r="E312" s="10"/>
      <c r="F312" s="10"/>
      <c r="G312" s="69"/>
      <c r="H312" s="69"/>
      <c r="I312" s="69"/>
      <c r="J312" s="70"/>
      <c r="K312" s="69"/>
      <c r="L312" s="69"/>
      <c r="M312" s="69"/>
      <c r="N312" s="69"/>
      <c r="O312" s="2"/>
      <c r="P312" s="2"/>
      <c r="Q312" s="32"/>
      <c r="R312" s="32"/>
      <c r="S312" s="32"/>
      <c r="T312" s="3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2"/>
      <c r="C313" s="10"/>
      <c r="D313" s="10"/>
      <c r="E313" s="10"/>
      <c r="F313" s="10"/>
      <c r="G313" s="69"/>
      <c r="H313" s="69"/>
      <c r="I313" s="69"/>
      <c r="J313" s="70"/>
      <c r="K313" s="69"/>
      <c r="L313" s="69"/>
      <c r="M313" s="69"/>
      <c r="N313" s="69"/>
      <c r="O313" s="2"/>
      <c r="P313" s="2"/>
      <c r="Q313" s="32"/>
      <c r="R313" s="32"/>
      <c r="S313" s="32"/>
      <c r="T313" s="3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2"/>
      <c r="C314" s="10"/>
      <c r="D314" s="10"/>
      <c r="E314" s="10"/>
      <c r="F314" s="10"/>
      <c r="G314" s="69"/>
      <c r="H314" s="69"/>
      <c r="I314" s="69"/>
      <c r="J314" s="70"/>
      <c r="K314" s="69"/>
      <c r="L314" s="69"/>
      <c r="M314" s="69"/>
      <c r="N314" s="69"/>
      <c r="O314" s="2"/>
      <c r="P314" s="2"/>
      <c r="Q314" s="32"/>
      <c r="R314" s="32"/>
      <c r="S314" s="32"/>
      <c r="T314" s="3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2"/>
      <c r="C315" s="10"/>
      <c r="D315" s="10"/>
      <c r="E315" s="10"/>
      <c r="F315" s="10"/>
      <c r="G315" s="69"/>
      <c r="H315" s="69"/>
      <c r="I315" s="69"/>
      <c r="J315" s="70"/>
      <c r="K315" s="69"/>
      <c r="L315" s="69"/>
      <c r="M315" s="69"/>
      <c r="N315" s="69"/>
      <c r="O315" s="2"/>
      <c r="P315" s="2"/>
      <c r="Q315" s="32"/>
      <c r="R315" s="32"/>
      <c r="S315" s="32"/>
      <c r="T315" s="3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2"/>
      <c r="C316" s="10"/>
      <c r="D316" s="10"/>
      <c r="E316" s="10"/>
      <c r="F316" s="10"/>
      <c r="G316" s="69"/>
      <c r="H316" s="69"/>
      <c r="I316" s="69"/>
      <c r="J316" s="70"/>
      <c r="K316" s="69"/>
      <c r="L316" s="69"/>
      <c r="M316" s="69"/>
      <c r="N316" s="69"/>
      <c r="O316" s="2"/>
      <c r="P316" s="2"/>
      <c r="Q316" s="32"/>
      <c r="R316" s="32"/>
      <c r="S316" s="32"/>
      <c r="T316" s="3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2"/>
      <c r="C317" s="10"/>
      <c r="D317" s="10"/>
      <c r="E317" s="10"/>
      <c r="F317" s="10"/>
      <c r="G317" s="69"/>
      <c r="H317" s="69"/>
      <c r="I317" s="69"/>
      <c r="J317" s="70"/>
      <c r="K317" s="69"/>
      <c r="L317" s="69"/>
      <c r="M317" s="69"/>
      <c r="N317" s="69"/>
      <c r="O317" s="2"/>
      <c r="P317" s="2"/>
      <c r="Q317" s="32"/>
      <c r="R317" s="32"/>
      <c r="S317" s="32"/>
      <c r="T317" s="3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2"/>
      <c r="C318" s="10"/>
      <c r="D318" s="10"/>
      <c r="E318" s="10"/>
      <c r="F318" s="10"/>
      <c r="G318" s="69"/>
      <c r="H318" s="69"/>
      <c r="I318" s="69"/>
      <c r="J318" s="70"/>
      <c r="K318" s="69"/>
      <c r="L318" s="69"/>
      <c r="M318" s="69"/>
      <c r="N318" s="69"/>
      <c r="O318" s="2"/>
      <c r="P318" s="2"/>
      <c r="Q318" s="32"/>
      <c r="R318" s="32"/>
      <c r="S318" s="32"/>
      <c r="T318" s="3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2"/>
      <c r="C319" s="10"/>
      <c r="D319" s="10"/>
      <c r="E319" s="10"/>
      <c r="F319" s="10"/>
      <c r="G319" s="69"/>
      <c r="H319" s="69"/>
      <c r="I319" s="69"/>
      <c r="J319" s="70"/>
      <c r="K319" s="69"/>
      <c r="L319" s="69"/>
      <c r="M319" s="69"/>
      <c r="N319" s="69"/>
      <c r="O319" s="2"/>
      <c r="P319" s="2"/>
      <c r="Q319" s="32"/>
      <c r="R319" s="32"/>
      <c r="S319" s="32"/>
      <c r="T319" s="3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2"/>
      <c r="C320" s="10"/>
      <c r="D320" s="10"/>
      <c r="E320" s="10"/>
      <c r="F320" s="10"/>
      <c r="G320" s="69"/>
      <c r="H320" s="69"/>
      <c r="I320" s="69"/>
      <c r="J320" s="70"/>
      <c r="K320" s="69"/>
      <c r="L320" s="69"/>
      <c r="M320" s="69"/>
      <c r="N320" s="69"/>
      <c r="O320" s="2"/>
      <c r="P320" s="2"/>
      <c r="Q320" s="32"/>
      <c r="R320" s="32"/>
      <c r="S320" s="32"/>
      <c r="T320" s="3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2"/>
      <c r="C321" s="10"/>
      <c r="D321" s="10"/>
      <c r="E321" s="10"/>
      <c r="F321" s="10"/>
      <c r="G321" s="69"/>
      <c r="H321" s="69"/>
      <c r="I321" s="69"/>
      <c r="J321" s="70"/>
      <c r="K321" s="69"/>
      <c r="L321" s="69"/>
      <c r="M321" s="69"/>
      <c r="N321" s="69"/>
      <c r="O321" s="2"/>
      <c r="P321" s="2"/>
      <c r="Q321" s="32"/>
      <c r="R321" s="32"/>
      <c r="S321" s="32"/>
      <c r="T321" s="3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2"/>
      <c r="C322" s="10"/>
      <c r="D322" s="10"/>
      <c r="E322" s="10"/>
      <c r="F322" s="10"/>
      <c r="G322" s="69"/>
      <c r="H322" s="69"/>
      <c r="I322" s="69"/>
      <c r="J322" s="70"/>
      <c r="K322" s="69"/>
      <c r="L322" s="69"/>
      <c r="M322" s="69"/>
      <c r="N322" s="69"/>
      <c r="O322" s="2"/>
      <c r="P322" s="2"/>
      <c r="Q322" s="32"/>
      <c r="R322" s="32"/>
      <c r="S322" s="32"/>
      <c r="T322" s="3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2"/>
      <c r="C323" s="10"/>
      <c r="D323" s="10"/>
      <c r="E323" s="10"/>
      <c r="F323" s="10"/>
      <c r="G323" s="69"/>
      <c r="H323" s="69"/>
      <c r="I323" s="69"/>
      <c r="J323" s="70"/>
      <c r="K323" s="69"/>
      <c r="L323" s="69"/>
      <c r="M323" s="69"/>
      <c r="N323" s="69"/>
      <c r="O323" s="2"/>
      <c r="P323" s="2"/>
      <c r="Q323" s="32"/>
      <c r="R323" s="32"/>
      <c r="S323" s="32"/>
      <c r="T323" s="3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2"/>
      <c r="C324" s="10"/>
      <c r="D324" s="10"/>
      <c r="E324" s="10"/>
      <c r="F324" s="10"/>
      <c r="G324" s="69"/>
      <c r="H324" s="69"/>
      <c r="I324" s="69"/>
      <c r="J324" s="70"/>
      <c r="K324" s="69"/>
      <c r="L324" s="69"/>
      <c r="M324" s="69"/>
      <c r="N324" s="69"/>
      <c r="O324" s="2"/>
      <c r="P324" s="2"/>
      <c r="Q324" s="32"/>
      <c r="R324" s="32"/>
      <c r="S324" s="32"/>
      <c r="T324" s="3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2"/>
      <c r="C325" s="10"/>
      <c r="D325" s="10"/>
      <c r="E325" s="10"/>
      <c r="F325" s="10"/>
      <c r="G325" s="69"/>
      <c r="H325" s="69"/>
      <c r="I325" s="69"/>
      <c r="J325" s="70"/>
      <c r="K325" s="69"/>
      <c r="L325" s="69"/>
      <c r="M325" s="69"/>
      <c r="N325" s="69"/>
      <c r="O325" s="2"/>
      <c r="P325" s="2"/>
      <c r="Q325" s="32"/>
      <c r="R325" s="32"/>
      <c r="S325" s="32"/>
      <c r="T325" s="3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2"/>
      <c r="C326" s="10"/>
      <c r="D326" s="10"/>
      <c r="E326" s="10"/>
      <c r="F326" s="10"/>
      <c r="G326" s="69"/>
      <c r="H326" s="69"/>
      <c r="I326" s="69"/>
      <c r="J326" s="70"/>
      <c r="K326" s="69"/>
      <c r="L326" s="69"/>
      <c r="M326" s="69"/>
      <c r="N326" s="69"/>
      <c r="O326" s="2"/>
      <c r="P326" s="2"/>
      <c r="Q326" s="32"/>
      <c r="R326" s="32"/>
      <c r="S326" s="32"/>
      <c r="T326" s="3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2"/>
      <c r="C327" s="10"/>
      <c r="D327" s="10"/>
      <c r="E327" s="10"/>
      <c r="F327" s="10"/>
      <c r="G327" s="69"/>
      <c r="H327" s="69"/>
      <c r="I327" s="69"/>
      <c r="J327" s="70"/>
      <c r="K327" s="69"/>
      <c r="L327" s="69"/>
      <c r="M327" s="69"/>
      <c r="N327" s="69"/>
      <c r="O327" s="2"/>
      <c r="P327" s="2"/>
      <c r="Q327" s="32"/>
      <c r="R327" s="32"/>
      <c r="S327" s="32"/>
      <c r="T327" s="3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2"/>
      <c r="C328" s="10"/>
      <c r="D328" s="10"/>
      <c r="E328" s="10"/>
      <c r="F328" s="10"/>
      <c r="G328" s="69"/>
      <c r="H328" s="69"/>
      <c r="I328" s="69"/>
      <c r="J328" s="70"/>
      <c r="K328" s="69"/>
      <c r="L328" s="69"/>
      <c r="M328" s="69"/>
      <c r="N328" s="69"/>
      <c r="O328" s="2"/>
      <c r="P328" s="2"/>
      <c r="Q328" s="32"/>
      <c r="R328" s="32"/>
      <c r="S328" s="32"/>
      <c r="T328" s="3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2"/>
      <c r="C329" s="10"/>
      <c r="D329" s="10"/>
      <c r="E329" s="10"/>
      <c r="F329" s="10"/>
      <c r="G329" s="69"/>
      <c r="H329" s="69"/>
      <c r="I329" s="69"/>
      <c r="J329" s="70"/>
      <c r="K329" s="69"/>
      <c r="L329" s="69"/>
      <c r="M329" s="69"/>
      <c r="N329" s="69"/>
      <c r="O329" s="2"/>
      <c r="P329" s="2"/>
      <c r="Q329" s="32"/>
      <c r="R329" s="32"/>
      <c r="S329" s="32"/>
      <c r="T329" s="3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2"/>
      <c r="C330" s="10"/>
      <c r="D330" s="10"/>
      <c r="E330" s="10"/>
      <c r="F330" s="10"/>
      <c r="G330" s="69"/>
      <c r="H330" s="69"/>
      <c r="I330" s="69"/>
      <c r="J330" s="70"/>
      <c r="K330" s="69"/>
      <c r="L330" s="69"/>
      <c r="M330" s="69"/>
      <c r="N330" s="69"/>
      <c r="O330" s="2"/>
      <c r="P330" s="2"/>
      <c r="Q330" s="32"/>
      <c r="R330" s="32"/>
      <c r="S330" s="32"/>
      <c r="T330" s="3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2"/>
      <c r="C331" s="10"/>
      <c r="D331" s="10"/>
      <c r="E331" s="10"/>
      <c r="F331" s="10"/>
      <c r="G331" s="69"/>
      <c r="H331" s="69"/>
      <c r="I331" s="69"/>
      <c r="J331" s="70"/>
      <c r="K331" s="69"/>
      <c r="L331" s="69"/>
      <c r="M331" s="69"/>
      <c r="N331" s="69"/>
      <c r="O331" s="2"/>
      <c r="P331" s="2"/>
      <c r="Q331" s="32"/>
      <c r="R331" s="32"/>
      <c r="S331" s="32"/>
      <c r="T331" s="3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2"/>
      <c r="C332" s="10"/>
      <c r="D332" s="10"/>
      <c r="E332" s="10"/>
      <c r="F332" s="10"/>
      <c r="G332" s="69"/>
      <c r="H332" s="69"/>
      <c r="I332" s="69"/>
      <c r="J332" s="70"/>
      <c r="K332" s="69"/>
      <c r="L332" s="69"/>
      <c r="M332" s="69"/>
      <c r="N332" s="69"/>
      <c r="O332" s="2"/>
      <c r="P332" s="2"/>
      <c r="Q332" s="32"/>
      <c r="R332" s="32"/>
      <c r="S332" s="32"/>
      <c r="T332" s="3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2"/>
      <c r="C333" s="10"/>
      <c r="D333" s="10"/>
      <c r="E333" s="10"/>
      <c r="F333" s="10"/>
      <c r="G333" s="69"/>
      <c r="H333" s="69"/>
      <c r="I333" s="69"/>
      <c r="J333" s="70"/>
      <c r="K333" s="69"/>
      <c r="L333" s="69"/>
      <c r="M333" s="69"/>
      <c r="N333" s="69"/>
      <c r="O333" s="2"/>
      <c r="P333" s="2"/>
      <c r="Q333" s="32"/>
      <c r="R333" s="32"/>
      <c r="S333" s="32"/>
      <c r="T333" s="3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2"/>
      <c r="C334" s="10"/>
      <c r="D334" s="10"/>
      <c r="E334" s="10"/>
      <c r="F334" s="10"/>
      <c r="G334" s="69"/>
      <c r="H334" s="69"/>
      <c r="I334" s="69"/>
      <c r="J334" s="70"/>
      <c r="K334" s="69"/>
      <c r="L334" s="69"/>
      <c r="M334" s="69"/>
      <c r="N334" s="69"/>
      <c r="O334" s="2"/>
      <c r="P334" s="2"/>
      <c r="Q334" s="32"/>
      <c r="R334" s="32"/>
      <c r="S334" s="32"/>
      <c r="T334" s="3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2"/>
      <c r="C335" s="10"/>
      <c r="D335" s="10"/>
      <c r="E335" s="10"/>
      <c r="F335" s="10"/>
      <c r="G335" s="69"/>
      <c r="H335" s="69"/>
      <c r="I335" s="69"/>
      <c r="J335" s="70"/>
      <c r="K335" s="69"/>
      <c r="L335" s="69"/>
      <c r="M335" s="69"/>
      <c r="N335" s="69"/>
      <c r="O335" s="2"/>
      <c r="P335" s="2"/>
      <c r="Q335" s="32"/>
      <c r="R335" s="32"/>
      <c r="S335" s="32"/>
      <c r="T335" s="3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2"/>
      <c r="C336" s="10"/>
      <c r="D336" s="10"/>
      <c r="E336" s="10"/>
      <c r="F336" s="10"/>
      <c r="G336" s="69"/>
      <c r="H336" s="69"/>
      <c r="I336" s="69"/>
      <c r="J336" s="70"/>
      <c r="K336" s="69"/>
      <c r="L336" s="69"/>
      <c r="M336" s="69"/>
      <c r="N336" s="69"/>
      <c r="O336" s="2"/>
      <c r="P336" s="2"/>
      <c r="Q336" s="32"/>
      <c r="R336" s="32"/>
      <c r="S336" s="32"/>
      <c r="T336" s="3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2"/>
      <c r="C337" s="10"/>
      <c r="D337" s="10"/>
      <c r="E337" s="10"/>
      <c r="F337" s="10"/>
      <c r="G337" s="69"/>
      <c r="H337" s="69"/>
      <c r="I337" s="69"/>
      <c r="J337" s="70"/>
      <c r="K337" s="69"/>
      <c r="L337" s="69"/>
      <c r="M337" s="69"/>
      <c r="N337" s="69"/>
      <c r="O337" s="2"/>
      <c r="P337" s="2"/>
      <c r="Q337" s="32"/>
      <c r="R337" s="32"/>
      <c r="S337" s="32"/>
      <c r="T337" s="3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2"/>
      <c r="C338" s="10"/>
      <c r="D338" s="10"/>
      <c r="E338" s="10"/>
      <c r="F338" s="10"/>
      <c r="G338" s="69"/>
      <c r="H338" s="69"/>
      <c r="I338" s="69"/>
      <c r="J338" s="70"/>
      <c r="K338" s="69"/>
      <c r="L338" s="69"/>
      <c r="M338" s="69"/>
      <c r="N338" s="69"/>
      <c r="O338" s="2"/>
      <c r="P338" s="2"/>
      <c r="Q338" s="32"/>
      <c r="R338" s="32"/>
      <c r="S338" s="32"/>
      <c r="T338" s="3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2"/>
      <c r="C339" s="10"/>
      <c r="D339" s="10"/>
      <c r="E339" s="10"/>
      <c r="F339" s="10"/>
      <c r="G339" s="69"/>
      <c r="H339" s="69"/>
      <c r="I339" s="69"/>
      <c r="J339" s="70"/>
      <c r="K339" s="69"/>
      <c r="L339" s="69"/>
      <c r="M339" s="69"/>
      <c r="N339" s="69"/>
      <c r="O339" s="2"/>
      <c r="P339" s="2"/>
      <c r="Q339" s="32"/>
      <c r="R339" s="32"/>
      <c r="S339" s="32"/>
      <c r="T339" s="3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2"/>
      <c r="C340" s="10"/>
      <c r="D340" s="10"/>
      <c r="E340" s="10"/>
      <c r="F340" s="10"/>
      <c r="G340" s="69"/>
      <c r="H340" s="69"/>
      <c r="I340" s="69"/>
      <c r="J340" s="70"/>
      <c r="K340" s="69"/>
      <c r="L340" s="69"/>
      <c r="M340" s="69"/>
      <c r="N340" s="69"/>
      <c r="O340" s="2"/>
      <c r="P340" s="2"/>
      <c r="Q340" s="32"/>
      <c r="R340" s="32"/>
      <c r="S340" s="32"/>
      <c r="T340" s="3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2"/>
      <c r="C341" s="10"/>
      <c r="D341" s="10"/>
      <c r="E341" s="10"/>
      <c r="F341" s="10"/>
      <c r="G341" s="69"/>
      <c r="H341" s="69"/>
      <c r="I341" s="69"/>
      <c r="J341" s="70"/>
      <c r="K341" s="69"/>
      <c r="L341" s="69"/>
      <c r="M341" s="69"/>
      <c r="N341" s="69"/>
      <c r="O341" s="2"/>
      <c r="P341" s="2"/>
      <c r="Q341" s="32"/>
      <c r="R341" s="32"/>
      <c r="S341" s="32"/>
      <c r="T341" s="3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2"/>
      <c r="C342" s="10"/>
      <c r="D342" s="10"/>
      <c r="E342" s="10"/>
      <c r="F342" s="10"/>
      <c r="G342" s="69"/>
      <c r="H342" s="69"/>
      <c r="I342" s="69"/>
      <c r="J342" s="70"/>
      <c r="K342" s="69"/>
      <c r="L342" s="69"/>
      <c r="M342" s="69"/>
      <c r="N342" s="69"/>
      <c r="O342" s="2"/>
      <c r="P342" s="2"/>
      <c r="Q342" s="32"/>
      <c r="R342" s="32"/>
      <c r="S342" s="32"/>
      <c r="T342" s="3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2"/>
      <c r="C343" s="10"/>
      <c r="D343" s="10"/>
      <c r="E343" s="10"/>
      <c r="F343" s="10"/>
      <c r="G343" s="69"/>
      <c r="H343" s="69"/>
      <c r="I343" s="69"/>
      <c r="J343" s="70"/>
      <c r="K343" s="69"/>
      <c r="L343" s="69"/>
      <c r="M343" s="69"/>
      <c r="N343" s="69"/>
      <c r="O343" s="2"/>
      <c r="P343" s="2"/>
      <c r="Q343" s="32"/>
      <c r="R343" s="32"/>
      <c r="S343" s="32"/>
      <c r="T343" s="3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2"/>
      <c r="C344" s="10"/>
      <c r="D344" s="10"/>
      <c r="E344" s="10"/>
      <c r="F344" s="10"/>
      <c r="G344" s="69"/>
      <c r="H344" s="69"/>
      <c r="I344" s="69"/>
      <c r="J344" s="70"/>
      <c r="K344" s="69"/>
      <c r="L344" s="69"/>
      <c r="M344" s="69"/>
      <c r="N344" s="69"/>
      <c r="O344" s="2"/>
      <c r="P344" s="2"/>
      <c r="Q344" s="32"/>
      <c r="R344" s="32"/>
      <c r="S344" s="32"/>
      <c r="T344" s="3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2"/>
      <c r="C345" s="10"/>
      <c r="D345" s="10"/>
      <c r="E345" s="10"/>
      <c r="F345" s="10"/>
      <c r="G345" s="69"/>
      <c r="H345" s="69"/>
      <c r="I345" s="69"/>
      <c r="J345" s="70"/>
      <c r="K345" s="69"/>
      <c r="L345" s="69"/>
      <c r="M345" s="69"/>
      <c r="N345" s="69"/>
      <c r="O345" s="2"/>
      <c r="P345" s="2"/>
      <c r="Q345" s="32"/>
      <c r="R345" s="32"/>
      <c r="S345" s="32"/>
      <c r="T345" s="3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2"/>
      <c r="C346" s="10"/>
      <c r="D346" s="10"/>
      <c r="E346" s="10"/>
      <c r="F346" s="10"/>
      <c r="G346" s="69"/>
      <c r="H346" s="69"/>
      <c r="I346" s="69"/>
      <c r="J346" s="70"/>
      <c r="K346" s="69"/>
      <c r="L346" s="69"/>
      <c r="M346" s="69"/>
      <c r="N346" s="69"/>
      <c r="O346" s="2"/>
      <c r="P346" s="2"/>
      <c r="Q346" s="32"/>
      <c r="R346" s="32"/>
      <c r="S346" s="32"/>
      <c r="T346" s="3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2"/>
      <c r="C347" s="10"/>
      <c r="D347" s="10"/>
      <c r="E347" s="10"/>
      <c r="F347" s="10"/>
      <c r="G347" s="69"/>
      <c r="H347" s="69"/>
      <c r="I347" s="69"/>
      <c r="J347" s="70"/>
      <c r="K347" s="69"/>
      <c r="L347" s="69"/>
      <c r="M347" s="69"/>
      <c r="N347" s="69"/>
      <c r="O347" s="2"/>
      <c r="P347" s="2"/>
      <c r="Q347" s="32"/>
      <c r="R347" s="32"/>
      <c r="S347" s="32"/>
      <c r="T347" s="3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2"/>
      <c r="C348" s="10"/>
      <c r="D348" s="10"/>
      <c r="E348" s="10"/>
      <c r="F348" s="10"/>
      <c r="G348" s="69"/>
      <c r="H348" s="69"/>
      <c r="I348" s="69"/>
      <c r="J348" s="70"/>
      <c r="K348" s="69"/>
      <c r="L348" s="69"/>
      <c r="M348" s="69"/>
      <c r="N348" s="69"/>
      <c r="O348" s="2"/>
      <c r="P348" s="2"/>
      <c r="Q348" s="32"/>
      <c r="R348" s="32"/>
      <c r="S348" s="32"/>
      <c r="T348" s="3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2"/>
      <c r="C349" s="10"/>
      <c r="D349" s="10"/>
      <c r="E349" s="10"/>
      <c r="F349" s="10"/>
      <c r="G349" s="69"/>
      <c r="H349" s="69"/>
      <c r="I349" s="69"/>
      <c r="J349" s="70"/>
      <c r="K349" s="69"/>
      <c r="L349" s="69"/>
      <c r="M349" s="69"/>
      <c r="N349" s="69"/>
      <c r="O349" s="2"/>
      <c r="P349" s="2"/>
      <c r="Q349" s="32"/>
      <c r="R349" s="32"/>
      <c r="S349" s="32"/>
      <c r="T349" s="3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2"/>
      <c r="C350" s="10"/>
      <c r="D350" s="10"/>
      <c r="E350" s="10"/>
      <c r="F350" s="10"/>
      <c r="G350" s="69"/>
      <c r="H350" s="69"/>
      <c r="I350" s="69"/>
      <c r="J350" s="70"/>
      <c r="K350" s="69"/>
      <c r="L350" s="69"/>
      <c r="M350" s="69"/>
      <c r="N350" s="69"/>
      <c r="O350" s="2"/>
      <c r="P350" s="2"/>
      <c r="Q350" s="32"/>
      <c r="R350" s="32"/>
      <c r="S350" s="32"/>
      <c r="T350" s="3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2"/>
      <c r="C351" s="10"/>
      <c r="D351" s="10"/>
      <c r="E351" s="10"/>
      <c r="F351" s="10"/>
      <c r="G351" s="69"/>
      <c r="H351" s="69"/>
      <c r="I351" s="69"/>
      <c r="J351" s="70"/>
      <c r="K351" s="69"/>
      <c r="L351" s="69"/>
      <c r="M351" s="69"/>
      <c r="N351" s="69"/>
      <c r="O351" s="2"/>
      <c r="P351" s="2"/>
      <c r="Q351" s="32"/>
      <c r="R351" s="32"/>
      <c r="S351" s="32"/>
      <c r="T351" s="3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2"/>
      <c r="C352" s="10"/>
      <c r="D352" s="10"/>
      <c r="E352" s="10"/>
      <c r="F352" s="10"/>
      <c r="G352" s="69"/>
      <c r="H352" s="69"/>
      <c r="I352" s="69"/>
      <c r="J352" s="70"/>
      <c r="K352" s="69"/>
      <c r="L352" s="69"/>
      <c r="M352" s="69"/>
      <c r="N352" s="69"/>
      <c r="O352" s="2"/>
      <c r="P352" s="2"/>
      <c r="Q352" s="32"/>
      <c r="R352" s="32"/>
      <c r="S352" s="32"/>
      <c r="T352" s="3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2"/>
      <c r="C353" s="10"/>
      <c r="D353" s="10"/>
      <c r="E353" s="10"/>
      <c r="F353" s="10"/>
      <c r="G353" s="69"/>
      <c r="H353" s="69"/>
      <c r="I353" s="69"/>
      <c r="J353" s="70"/>
      <c r="K353" s="69"/>
      <c r="L353" s="69"/>
      <c r="M353" s="69"/>
      <c r="N353" s="69"/>
      <c r="O353" s="2"/>
      <c r="P353" s="2"/>
      <c r="Q353" s="32"/>
      <c r="R353" s="32"/>
      <c r="S353" s="32"/>
      <c r="T353" s="3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2"/>
      <c r="C354" s="10"/>
      <c r="D354" s="10"/>
      <c r="E354" s="10"/>
      <c r="F354" s="10"/>
      <c r="G354" s="69"/>
      <c r="H354" s="69"/>
      <c r="I354" s="69"/>
      <c r="J354" s="70"/>
      <c r="K354" s="69"/>
      <c r="L354" s="69"/>
      <c r="M354" s="69"/>
      <c r="N354" s="69"/>
      <c r="O354" s="2"/>
      <c r="P354" s="2"/>
      <c r="Q354" s="32"/>
      <c r="R354" s="32"/>
      <c r="S354" s="32"/>
      <c r="T354" s="3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2"/>
      <c r="C355" s="10"/>
      <c r="D355" s="10"/>
      <c r="E355" s="10"/>
      <c r="F355" s="10"/>
      <c r="G355" s="69"/>
      <c r="H355" s="69"/>
      <c r="I355" s="69"/>
      <c r="J355" s="70"/>
      <c r="K355" s="69"/>
      <c r="L355" s="69"/>
      <c r="M355" s="69"/>
      <c r="N355" s="69"/>
      <c r="O355" s="2"/>
      <c r="P355" s="2"/>
      <c r="Q355" s="32"/>
      <c r="R355" s="32"/>
      <c r="S355" s="32"/>
      <c r="T355" s="3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2"/>
      <c r="C356" s="10"/>
      <c r="D356" s="10"/>
      <c r="E356" s="10"/>
      <c r="F356" s="10"/>
      <c r="G356" s="69"/>
      <c r="H356" s="69"/>
      <c r="I356" s="69"/>
      <c r="J356" s="70"/>
      <c r="K356" s="69"/>
      <c r="L356" s="69"/>
      <c r="M356" s="69"/>
      <c r="N356" s="69"/>
      <c r="O356" s="2"/>
      <c r="P356" s="2"/>
      <c r="Q356" s="32"/>
      <c r="R356" s="32"/>
      <c r="S356" s="32"/>
      <c r="T356" s="3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2"/>
      <c r="C357" s="10"/>
      <c r="D357" s="10"/>
      <c r="E357" s="10"/>
      <c r="F357" s="10"/>
      <c r="G357" s="69"/>
      <c r="H357" s="69"/>
      <c r="I357" s="69"/>
      <c r="J357" s="70"/>
      <c r="K357" s="69"/>
      <c r="L357" s="69"/>
      <c r="M357" s="69"/>
      <c r="N357" s="69"/>
      <c r="O357" s="2"/>
      <c r="P357" s="2"/>
      <c r="Q357" s="32"/>
      <c r="R357" s="32"/>
      <c r="S357" s="32"/>
      <c r="T357" s="3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2"/>
      <c r="C358" s="10"/>
      <c r="D358" s="10"/>
      <c r="E358" s="10"/>
      <c r="F358" s="10"/>
      <c r="G358" s="69"/>
      <c r="H358" s="69"/>
      <c r="I358" s="69"/>
      <c r="J358" s="70"/>
      <c r="K358" s="69"/>
      <c r="L358" s="69"/>
      <c r="M358" s="69"/>
      <c r="N358" s="69"/>
      <c r="O358" s="2"/>
      <c r="P358" s="2"/>
      <c r="Q358" s="32"/>
      <c r="R358" s="32"/>
      <c r="S358" s="32"/>
      <c r="T358" s="3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2"/>
      <c r="C359" s="10"/>
      <c r="D359" s="10"/>
      <c r="E359" s="10"/>
      <c r="F359" s="10"/>
      <c r="G359" s="69"/>
      <c r="H359" s="69"/>
      <c r="I359" s="69"/>
      <c r="J359" s="70"/>
      <c r="K359" s="69"/>
      <c r="L359" s="69"/>
      <c r="M359" s="69"/>
      <c r="N359" s="69"/>
      <c r="O359" s="2"/>
      <c r="P359" s="2"/>
      <c r="Q359" s="32"/>
      <c r="R359" s="32"/>
      <c r="S359" s="32"/>
      <c r="T359" s="3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2"/>
      <c r="C360" s="10"/>
      <c r="D360" s="10"/>
      <c r="E360" s="10"/>
      <c r="F360" s="10"/>
      <c r="G360" s="69"/>
      <c r="H360" s="69"/>
      <c r="I360" s="69"/>
      <c r="J360" s="70"/>
      <c r="K360" s="69"/>
      <c r="L360" s="69"/>
      <c r="M360" s="69"/>
      <c r="N360" s="69"/>
      <c r="O360" s="2"/>
      <c r="P360" s="2"/>
      <c r="Q360" s="32"/>
      <c r="R360" s="32"/>
      <c r="S360" s="32"/>
      <c r="T360" s="3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2"/>
      <c r="C361" s="10"/>
      <c r="D361" s="10"/>
      <c r="E361" s="10"/>
      <c r="F361" s="10"/>
      <c r="G361" s="69"/>
      <c r="H361" s="69"/>
      <c r="I361" s="69"/>
      <c r="J361" s="70"/>
      <c r="K361" s="69"/>
      <c r="L361" s="69"/>
      <c r="M361" s="69"/>
      <c r="N361" s="69"/>
      <c r="O361" s="2"/>
      <c r="P361" s="2"/>
      <c r="Q361" s="32"/>
      <c r="R361" s="32"/>
      <c r="S361" s="32"/>
      <c r="T361" s="3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2"/>
      <c r="C362" s="10"/>
      <c r="D362" s="10"/>
      <c r="E362" s="10"/>
      <c r="F362" s="10"/>
      <c r="G362" s="69"/>
      <c r="H362" s="69"/>
      <c r="I362" s="69"/>
      <c r="J362" s="70"/>
      <c r="K362" s="69"/>
      <c r="L362" s="69"/>
      <c r="M362" s="69"/>
      <c r="N362" s="69"/>
      <c r="O362" s="2"/>
      <c r="P362" s="2"/>
      <c r="Q362" s="32"/>
      <c r="R362" s="32"/>
      <c r="S362" s="32"/>
      <c r="T362" s="3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2"/>
      <c r="C363" s="10"/>
      <c r="D363" s="10"/>
      <c r="E363" s="10"/>
      <c r="F363" s="10"/>
      <c r="G363" s="69"/>
      <c r="H363" s="69"/>
      <c r="I363" s="69"/>
      <c r="J363" s="70"/>
      <c r="K363" s="69"/>
      <c r="L363" s="69"/>
      <c r="M363" s="69"/>
      <c r="N363" s="69"/>
      <c r="O363" s="2"/>
      <c r="P363" s="2"/>
      <c r="Q363" s="32"/>
      <c r="R363" s="32"/>
      <c r="S363" s="32"/>
      <c r="T363" s="3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2"/>
      <c r="C364" s="10"/>
      <c r="D364" s="10"/>
      <c r="E364" s="10"/>
      <c r="F364" s="10"/>
      <c r="G364" s="69"/>
      <c r="H364" s="69"/>
      <c r="I364" s="69"/>
      <c r="J364" s="70"/>
      <c r="K364" s="69"/>
      <c r="L364" s="69"/>
      <c r="M364" s="69"/>
      <c r="N364" s="69"/>
      <c r="O364" s="2"/>
      <c r="P364" s="2"/>
      <c r="Q364" s="32"/>
      <c r="R364" s="32"/>
      <c r="S364" s="32"/>
      <c r="T364" s="3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2"/>
      <c r="C365" s="10"/>
      <c r="D365" s="10"/>
      <c r="E365" s="10"/>
      <c r="F365" s="10"/>
      <c r="G365" s="69"/>
      <c r="H365" s="69"/>
      <c r="I365" s="69"/>
      <c r="J365" s="70"/>
      <c r="K365" s="69"/>
      <c r="L365" s="69"/>
      <c r="M365" s="69"/>
      <c r="N365" s="69"/>
      <c r="O365" s="2"/>
      <c r="P365" s="2"/>
      <c r="Q365" s="32"/>
      <c r="R365" s="32"/>
      <c r="S365" s="32"/>
      <c r="T365" s="3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2"/>
      <c r="C366" s="10"/>
      <c r="D366" s="10"/>
      <c r="E366" s="10"/>
      <c r="F366" s="10"/>
      <c r="G366" s="69"/>
      <c r="H366" s="69"/>
      <c r="I366" s="69"/>
      <c r="J366" s="70"/>
      <c r="K366" s="69"/>
      <c r="L366" s="69"/>
      <c r="M366" s="69"/>
      <c r="N366" s="69"/>
      <c r="O366" s="2"/>
      <c r="P366" s="2"/>
      <c r="Q366" s="32"/>
      <c r="R366" s="32"/>
      <c r="S366" s="32"/>
      <c r="T366" s="3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2"/>
      <c r="C367" s="10"/>
      <c r="D367" s="10"/>
      <c r="E367" s="10"/>
      <c r="F367" s="10"/>
      <c r="G367" s="69"/>
      <c r="H367" s="69"/>
      <c r="I367" s="69"/>
      <c r="J367" s="70"/>
      <c r="K367" s="69"/>
      <c r="L367" s="69"/>
      <c r="M367" s="69"/>
      <c r="N367" s="69"/>
      <c r="O367" s="2"/>
      <c r="P367" s="2"/>
      <c r="Q367" s="32"/>
      <c r="R367" s="32"/>
      <c r="S367" s="32"/>
      <c r="T367" s="3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2"/>
      <c r="C368" s="10"/>
      <c r="D368" s="10"/>
      <c r="E368" s="10"/>
      <c r="F368" s="10"/>
      <c r="G368" s="69"/>
      <c r="H368" s="69"/>
      <c r="I368" s="69"/>
      <c r="J368" s="70"/>
      <c r="K368" s="69"/>
      <c r="L368" s="69"/>
      <c r="M368" s="69"/>
      <c r="N368" s="69"/>
      <c r="O368" s="2"/>
      <c r="P368" s="2"/>
      <c r="Q368" s="32"/>
      <c r="R368" s="32"/>
      <c r="S368" s="32"/>
      <c r="T368" s="3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2"/>
      <c r="C369" s="10"/>
      <c r="D369" s="10"/>
      <c r="E369" s="10"/>
      <c r="F369" s="10"/>
      <c r="G369" s="69"/>
      <c r="H369" s="69"/>
      <c r="I369" s="69"/>
      <c r="J369" s="70"/>
      <c r="K369" s="69"/>
      <c r="L369" s="69"/>
      <c r="M369" s="69"/>
      <c r="N369" s="69"/>
      <c r="O369" s="2"/>
      <c r="P369" s="2"/>
      <c r="Q369" s="32"/>
      <c r="R369" s="32"/>
      <c r="S369" s="32"/>
      <c r="T369" s="3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2"/>
      <c r="C370" s="10"/>
      <c r="D370" s="10"/>
      <c r="E370" s="10"/>
      <c r="F370" s="10"/>
      <c r="G370" s="69"/>
      <c r="H370" s="69"/>
      <c r="I370" s="69"/>
      <c r="J370" s="70"/>
      <c r="K370" s="69"/>
      <c r="L370" s="69"/>
      <c r="M370" s="69"/>
      <c r="N370" s="69"/>
      <c r="O370" s="2"/>
      <c r="P370" s="2"/>
      <c r="Q370" s="32"/>
      <c r="R370" s="32"/>
      <c r="S370" s="32"/>
      <c r="T370" s="3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2"/>
      <c r="C371" s="10"/>
      <c r="D371" s="10"/>
      <c r="E371" s="10"/>
      <c r="F371" s="10"/>
      <c r="G371" s="69"/>
      <c r="H371" s="69"/>
      <c r="I371" s="69"/>
      <c r="J371" s="70"/>
      <c r="K371" s="69"/>
      <c r="L371" s="69"/>
      <c r="M371" s="69"/>
      <c r="N371" s="69"/>
      <c r="O371" s="2"/>
      <c r="P371" s="2"/>
      <c r="Q371" s="32"/>
      <c r="R371" s="32"/>
      <c r="S371" s="32"/>
      <c r="T371" s="3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2"/>
      <c r="C372" s="10"/>
      <c r="D372" s="10"/>
      <c r="E372" s="10"/>
      <c r="F372" s="10"/>
      <c r="G372" s="69"/>
      <c r="H372" s="69"/>
      <c r="I372" s="69"/>
      <c r="J372" s="70"/>
      <c r="K372" s="69"/>
      <c r="L372" s="69"/>
      <c r="M372" s="69"/>
      <c r="N372" s="69"/>
      <c r="O372" s="2"/>
      <c r="P372" s="2"/>
      <c r="Q372" s="32"/>
      <c r="R372" s="32"/>
      <c r="S372" s="32"/>
      <c r="T372" s="3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2"/>
      <c r="C373" s="10"/>
      <c r="D373" s="10"/>
      <c r="E373" s="10"/>
      <c r="F373" s="10"/>
      <c r="G373" s="69"/>
      <c r="H373" s="69"/>
      <c r="I373" s="69"/>
      <c r="J373" s="70"/>
      <c r="K373" s="69"/>
      <c r="L373" s="69"/>
      <c r="M373" s="69"/>
      <c r="N373" s="69"/>
      <c r="O373" s="2"/>
      <c r="P373" s="2"/>
      <c r="Q373" s="32"/>
      <c r="R373" s="32"/>
      <c r="S373" s="32"/>
      <c r="T373" s="3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2"/>
      <c r="C374" s="10"/>
      <c r="D374" s="10"/>
      <c r="E374" s="10"/>
      <c r="F374" s="10"/>
      <c r="G374" s="69"/>
      <c r="H374" s="69"/>
      <c r="I374" s="69"/>
      <c r="J374" s="70"/>
      <c r="K374" s="69"/>
      <c r="L374" s="69"/>
      <c r="M374" s="69"/>
      <c r="N374" s="69"/>
      <c r="O374" s="2"/>
      <c r="P374" s="2"/>
      <c r="Q374" s="32"/>
      <c r="R374" s="32"/>
      <c r="S374" s="32"/>
      <c r="T374" s="3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2"/>
      <c r="C375" s="10"/>
      <c r="D375" s="10"/>
      <c r="E375" s="10"/>
      <c r="F375" s="10"/>
      <c r="G375" s="69"/>
      <c r="H375" s="69"/>
      <c r="I375" s="69"/>
      <c r="J375" s="70"/>
      <c r="K375" s="69"/>
      <c r="L375" s="69"/>
      <c r="M375" s="69"/>
      <c r="N375" s="69"/>
      <c r="O375" s="2"/>
      <c r="P375" s="2"/>
      <c r="Q375" s="32"/>
      <c r="R375" s="32"/>
      <c r="S375" s="32"/>
      <c r="T375" s="3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2"/>
      <c r="C376" s="10"/>
      <c r="D376" s="10"/>
      <c r="E376" s="10"/>
      <c r="F376" s="10"/>
      <c r="G376" s="69"/>
      <c r="H376" s="69"/>
      <c r="I376" s="69"/>
      <c r="J376" s="70"/>
      <c r="K376" s="69"/>
      <c r="L376" s="69"/>
      <c r="M376" s="69"/>
      <c r="N376" s="69"/>
      <c r="O376" s="2"/>
      <c r="P376" s="2"/>
      <c r="Q376" s="32"/>
      <c r="R376" s="32"/>
      <c r="S376" s="32"/>
      <c r="T376" s="3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2"/>
      <c r="C377" s="10"/>
      <c r="D377" s="10"/>
      <c r="E377" s="10"/>
      <c r="F377" s="10"/>
      <c r="G377" s="69"/>
      <c r="H377" s="69"/>
      <c r="I377" s="69"/>
      <c r="J377" s="70"/>
      <c r="K377" s="69"/>
      <c r="L377" s="69"/>
      <c r="M377" s="69"/>
      <c r="N377" s="69"/>
      <c r="O377" s="2"/>
      <c r="P377" s="2"/>
      <c r="Q377" s="32"/>
      <c r="R377" s="32"/>
      <c r="S377" s="32"/>
      <c r="T377" s="3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2"/>
      <c r="C378" s="10"/>
      <c r="D378" s="10"/>
      <c r="E378" s="10"/>
      <c r="F378" s="10"/>
      <c r="G378" s="69"/>
      <c r="H378" s="69"/>
      <c r="I378" s="69"/>
      <c r="J378" s="70"/>
      <c r="K378" s="69"/>
      <c r="L378" s="69"/>
      <c r="M378" s="69"/>
      <c r="N378" s="69"/>
      <c r="O378" s="2"/>
      <c r="P378" s="2"/>
      <c r="Q378" s="32"/>
      <c r="R378" s="32"/>
      <c r="S378" s="32"/>
      <c r="T378" s="3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2"/>
      <c r="C379" s="10"/>
      <c r="D379" s="10"/>
      <c r="E379" s="10"/>
      <c r="F379" s="10"/>
      <c r="G379" s="69"/>
      <c r="H379" s="69"/>
      <c r="I379" s="69"/>
      <c r="J379" s="70"/>
      <c r="K379" s="69"/>
      <c r="L379" s="69"/>
      <c r="M379" s="69"/>
      <c r="N379" s="69"/>
      <c r="O379" s="2"/>
      <c r="P379" s="2"/>
      <c r="Q379" s="32"/>
      <c r="R379" s="32"/>
      <c r="S379" s="32"/>
      <c r="T379" s="3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2"/>
      <c r="C380" s="10"/>
      <c r="D380" s="10"/>
      <c r="E380" s="10"/>
      <c r="F380" s="10"/>
      <c r="G380" s="69"/>
      <c r="H380" s="69"/>
      <c r="I380" s="69"/>
      <c r="J380" s="70"/>
      <c r="K380" s="69"/>
      <c r="L380" s="69"/>
      <c r="M380" s="69"/>
      <c r="N380" s="69"/>
      <c r="O380" s="2"/>
      <c r="P380" s="2"/>
      <c r="Q380" s="32"/>
      <c r="R380" s="32"/>
      <c r="S380" s="32"/>
      <c r="T380" s="3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2"/>
      <c r="C381" s="10"/>
      <c r="D381" s="10"/>
      <c r="E381" s="10"/>
      <c r="F381" s="10"/>
      <c r="G381" s="69"/>
      <c r="H381" s="69"/>
      <c r="I381" s="69"/>
      <c r="J381" s="70"/>
      <c r="K381" s="69"/>
      <c r="L381" s="69"/>
      <c r="M381" s="69"/>
      <c r="N381" s="69"/>
      <c r="O381" s="2"/>
      <c r="P381" s="2"/>
      <c r="Q381" s="32"/>
      <c r="R381" s="32"/>
      <c r="S381" s="32"/>
      <c r="T381" s="3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2"/>
      <c r="C382" s="10"/>
      <c r="D382" s="10"/>
      <c r="E382" s="10"/>
      <c r="F382" s="10"/>
      <c r="G382" s="69"/>
      <c r="H382" s="69"/>
      <c r="I382" s="69"/>
      <c r="J382" s="70"/>
      <c r="K382" s="69"/>
      <c r="L382" s="69"/>
      <c r="M382" s="69"/>
      <c r="N382" s="69"/>
      <c r="O382" s="2"/>
      <c r="P382" s="2"/>
      <c r="Q382" s="32"/>
      <c r="R382" s="32"/>
      <c r="S382" s="32"/>
      <c r="T382" s="3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2"/>
      <c r="C383" s="10"/>
      <c r="D383" s="10"/>
      <c r="E383" s="10"/>
      <c r="F383" s="10"/>
      <c r="G383" s="69"/>
      <c r="H383" s="69"/>
      <c r="I383" s="69"/>
      <c r="J383" s="70"/>
      <c r="K383" s="69"/>
      <c r="L383" s="69"/>
      <c r="M383" s="69"/>
      <c r="N383" s="69"/>
      <c r="O383" s="2"/>
      <c r="P383" s="2"/>
      <c r="Q383" s="32"/>
      <c r="R383" s="32"/>
      <c r="S383" s="32"/>
      <c r="T383" s="3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2"/>
      <c r="C384" s="10"/>
      <c r="D384" s="10"/>
      <c r="E384" s="10"/>
      <c r="F384" s="10"/>
      <c r="G384" s="69"/>
      <c r="H384" s="69"/>
      <c r="I384" s="69"/>
      <c r="J384" s="70"/>
      <c r="K384" s="69"/>
      <c r="L384" s="69"/>
      <c r="M384" s="69"/>
      <c r="N384" s="69"/>
      <c r="O384" s="2"/>
      <c r="P384" s="2"/>
      <c r="Q384" s="32"/>
      <c r="R384" s="32"/>
      <c r="S384" s="32"/>
      <c r="T384" s="3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2"/>
      <c r="C385" s="10"/>
      <c r="D385" s="10"/>
      <c r="E385" s="10"/>
      <c r="F385" s="10"/>
      <c r="G385" s="69"/>
      <c r="H385" s="69"/>
      <c r="I385" s="69"/>
      <c r="J385" s="70"/>
      <c r="K385" s="69"/>
      <c r="L385" s="69"/>
      <c r="M385" s="69"/>
      <c r="N385" s="69"/>
      <c r="O385" s="2"/>
      <c r="P385" s="2"/>
      <c r="Q385" s="32"/>
      <c r="R385" s="32"/>
      <c r="S385" s="32"/>
      <c r="T385" s="3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2"/>
      <c r="C386" s="10"/>
      <c r="D386" s="10"/>
      <c r="E386" s="10"/>
      <c r="F386" s="10"/>
      <c r="G386" s="69"/>
      <c r="H386" s="69"/>
      <c r="I386" s="69"/>
      <c r="J386" s="70"/>
      <c r="K386" s="69"/>
      <c r="L386" s="69"/>
      <c r="M386" s="69"/>
      <c r="N386" s="69"/>
      <c r="O386" s="2"/>
      <c r="P386" s="2"/>
      <c r="Q386" s="32"/>
      <c r="R386" s="32"/>
      <c r="S386" s="32"/>
      <c r="T386" s="3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2"/>
      <c r="C387" s="10"/>
      <c r="D387" s="10"/>
      <c r="E387" s="10"/>
      <c r="F387" s="10"/>
      <c r="G387" s="69"/>
      <c r="H387" s="69"/>
      <c r="I387" s="69"/>
      <c r="J387" s="70"/>
      <c r="K387" s="69"/>
      <c r="L387" s="69"/>
      <c r="M387" s="69"/>
      <c r="N387" s="69"/>
      <c r="O387" s="2"/>
      <c r="P387" s="2"/>
      <c r="Q387" s="32"/>
      <c r="R387" s="32"/>
      <c r="S387" s="32"/>
      <c r="T387" s="3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2"/>
      <c r="C388" s="10"/>
      <c r="D388" s="10"/>
      <c r="E388" s="10"/>
      <c r="F388" s="10"/>
      <c r="G388" s="69"/>
      <c r="H388" s="69"/>
      <c r="I388" s="69"/>
      <c r="J388" s="70"/>
      <c r="K388" s="69"/>
      <c r="L388" s="69"/>
      <c r="M388" s="69"/>
      <c r="N388" s="69"/>
      <c r="O388" s="2"/>
      <c r="P388" s="2"/>
      <c r="Q388" s="32"/>
      <c r="R388" s="32"/>
      <c r="S388" s="32"/>
      <c r="T388" s="3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2"/>
      <c r="C389" s="10"/>
      <c r="D389" s="10"/>
      <c r="E389" s="10"/>
      <c r="F389" s="10"/>
      <c r="G389" s="69"/>
      <c r="H389" s="69"/>
      <c r="I389" s="69"/>
      <c r="J389" s="70"/>
      <c r="K389" s="69"/>
      <c r="L389" s="69"/>
      <c r="M389" s="69"/>
      <c r="N389" s="69"/>
      <c r="O389" s="2"/>
      <c r="P389" s="2"/>
      <c r="Q389" s="32"/>
      <c r="R389" s="32"/>
      <c r="S389" s="32"/>
      <c r="T389" s="3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2"/>
      <c r="C390" s="10"/>
      <c r="D390" s="10"/>
      <c r="E390" s="10"/>
      <c r="F390" s="10"/>
      <c r="G390" s="69"/>
      <c r="H390" s="69"/>
      <c r="I390" s="69"/>
      <c r="J390" s="70"/>
      <c r="K390" s="69"/>
      <c r="L390" s="69"/>
      <c r="M390" s="69"/>
      <c r="N390" s="69"/>
      <c r="O390" s="2"/>
      <c r="P390" s="2"/>
      <c r="Q390" s="32"/>
      <c r="R390" s="32"/>
      <c r="S390" s="32"/>
      <c r="T390" s="3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2"/>
      <c r="C391" s="10"/>
      <c r="D391" s="10"/>
      <c r="E391" s="10"/>
      <c r="F391" s="10"/>
      <c r="G391" s="69"/>
      <c r="H391" s="69"/>
      <c r="I391" s="69"/>
      <c r="J391" s="70"/>
      <c r="K391" s="69"/>
      <c r="L391" s="69"/>
      <c r="M391" s="69"/>
      <c r="N391" s="69"/>
      <c r="O391" s="2"/>
      <c r="P391" s="2"/>
      <c r="Q391" s="32"/>
      <c r="R391" s="32"/>
      <c r="S391" s="32"/>
      <c r="T391" s="3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2"/>
      <c r="C392" s="10"/>
      <c r="D392" s="10"/>
      <c r="E392" s="10"/>
      <c r="F392" s="10"/>
      <c r="G392" s="69"/>
      <c r="H392" s="69"/>
      <c r="I392" s="69"/>
      <c r="J392" s="70"/>
      <c r="K392" s="69"/>
      <c r="L392" s="69"/>
      <c r="M392" s="69"/>
      <c r="N392" s="69"/>
      <c r="O392" s="2"/>
      <c r="P392" s="2"/>
      <c r="Q392" s="32"/>
      <c r="R392" s="32"/>
      <c r="S392" s="32"/>
      <c r="T392" s="3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2"/>
      <c r="C393" s="10"/>
      <c r="D393" s="10"/>
      <c r="E393" s="10"/>
      <c r="F393" s="10"/>
      <c r="G393" s="69"/>
      <c r="H393" s="69"/>
      <c r="I393" s="69"/>
      <c r="J393" s="70"/>
      <c r="K393" s="69"/>
      <c r="L393" s="69"/>
      <c r="M393" s="69"/>
      <c r="N393" s="69"/>
      <c r="O393" s="2"/>
      <c r="P393" s="2"/>
      <c r="Q393" s="32"/>
      <c r="R393" s="32"/>
      <c r="S393" s="32"/>
      <c r="T393" s="3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2"/>
      <c r="C394" s="10"/>
      <c r="D394" s="10"/>
      <c r="E394" s="10"/>
      <c r="F394" s="10"/>
      <c r="G394" s="69"/>
      <c r="H394" s="69"/>
      <c r="I394" s="69"/>
      <c r="J394" s="70"/>
      <c r="K394" s="69"/>
      <c r="L394" s="69"/>
      <c r="M394" s="69"/>
      <c r="N394" s="69"/>
      <c r="O394" s="2"/>
      <c r="P394" s="2"/>
      <c r="Q394" s="32"/>
      <c r="R394" s="32"/>
      <c r="S394" s="32"/>
      <c r="T394" s="3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2"/>
      <c r="C395" s="10"/>
      <c r="D395" s="10"/>
      <c r="E395" s="10"/>
      <c r="F395" s="10"/>
      <c r="G395" s="69"/>
      <c r="H395" s="69"/>
      <c r="I395" s="69"/>
      <c r="J395" s="70"/>
      <c r="K395" s="69"/>
      <c r="L395" s="69"/>
      <c r="M395" s="69"/>
      <c r="N395" s="69"/>
      <c r="O395" s="2"/>
      <c r="P395" s="2"/>
      <c r="Q395" s="32"/>
      <c r="R395" s="32"/>
      <c r="S395" s="32"/>
      <c r="T395" s="3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2"/>
      <c r="C396" s="10"/>
      <c r="D396" s="10"/>
      <c r="E396" s="10"/>
      <c r="F396" s="10"/>
      <c r="G396" s="69"/>
      <c r="H396" s="69"/>
      <c r="I396" s="69"/>
      <c r="J396" s="70"/>
      <c r="K396" s="69"/>
      <c r="L396" s="69"/>
      <c r="M396" s="69"/>
      <c r="N396" s="69"/>
      <c r="O396" s="2"/>
      <c r="P396" s="2"/>
      <c r="Q396" s="32"/>
      <c r="R396" s="32"/>
      <c r="S396" s="32"/>
      <c r="T396" s="3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2"/>
      <c r="C397" s="10"/>
      <c r="D397" s="10"/>
      <c r="E397" s="10"/>
      <c r="F397" s="10"/>
      <c r="G397" s="69"/>
      <c r="H397" s="69"/>
      <c r="I397" s="69"/>
      <c r="J397" s="70"/>
      <c r="K397" s="69"/>
      <c r="L397" s="69"/>
      <c r="M397" s="69"/>
      <c r="N397" s="69"/>
      <c r="O397" s="2"/>
      <c r="P397" s="2"/>
      <c r="Q397" s="32"/>
      <c r="R397" s="32"/>
      <c r="S397" s="32"/>
      <c r="T397" s="3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2"/>
      <c r="C398" s="10"/>
      <c r="D398" s="10"/>
      <c r="E398" s="10"/>
      <c r="F398" s="10"/>
      <c r="G398" s="69"/>
      <c r="H398" s="69"/>
      <c r="I398" s="69"/>
      <c r="J398" s="70"/>
      <c r="K398" s="69"/>
      <c r="L398" s="69"/>
      <c r="M398" s="69"/>
      <c r="N398" s="69"/>
      <c r="O398" s="2"/>
      <c r="P398" s="2"/>
      <c r="Q398" s="32"/>
      <c r="R398" s="32"/>
      <c r="S398" s="32"/>
      <c r="T398" s="3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2"/>
      <c r="C399" s="10"/>
      <c r="D399" s="10"/>
      <c r="E399" s="10"/>
      <c r="F399" s="10"/>
      <c r="G399" s="69"/>
      <c r="H399" s="69"/>
      <c r="I399" s="69"/>
      <c r="J399" s="70"/>
      <c r="K399" s="69"/>
      <c r="L399" s="69"/>
      <c r="M399" s="69"/>
      <c r="N399" s="69"/>
      <c r="O399" s="2"/>
      <c r="P399" s="2"/>
      <c r="Q399" s="32"/>
      <c r="R399" s="32"/>
      <c r="S399" s="32"/>
      <c r="T399" s="3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2"/>
      <c r="C400" s="10"/>
      <c r="D400" s="10"/>
      <c r="E400" s="10"/>
      <c r="F400" s="10"/>
      <c r="G400" s="69"/>
      <c r="H400" s="69"/>
      <c r="I400" s="69"/>
      <c r="J400" s="70"/>
      <c r="K400" s="69"/>
      <c r="L400" s="69"/>
      <c r="M400" s="69"/>
      <c r="N400" s="69"/>
      <c r="O400" s="2"/>
      <c r="P400" s="2"/>
      <c r="Q400" s="32"/>
      <c r="R400" s="32"/>
      <c r="S400" s="32"/>
      <c r="T400" s="3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2"/>
      <c r="C401" s="10"/>
      <c r="D401" s="10"/>
      <c r="E401" s="10"/>
      <c r="F401" s="10"/>
      <c r="G401" s="69"/>
      <c r="H401" s="69"/>
      <c r="I401" s="69"/>
      <c r="J401" s="70"/>
      <c r="K401" s="69"/>
      <c r="L401" s="69"/>
      <c r="M401" s="69"/>
      <c r="N401" s="69"/>
      <c r="O401" s="2"/>
      <c r="P401" s="2"/>
      <c r="Q401" s="32"/>
      <c r="R401" s="32"/>
      <c r="S401" s="32"/>
      <c r="T401" s="3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2"/>
      <c r="C402" s="10"/>
      <c r="D402" s="10"/>
      <c r="E402" s="10"/>
      <c r="F402" s="10"/>
      <c r="G402" s="69"/>
      <c r="H402" s="69"/>
      <c r="I402" s="69"/>
      <c r="J402" s="70"/>
      <c r="K402" s="69"/>
      <c r="L402" s="69"/>
      <c r="M402" s="69"/>
      <c r="N402" s="69"/>
      <c r="O402" s="2"/>
      <c r="P402" s="2"/>
      <c r="Q402" s="32"/>
      <c r="R402" s="32"/>
      <c r="S402" s="32"/>
      <c r="T402" s="3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2"/>
      <c r="C403" s="10"/>
      <c r="D403" s="10"/>
      <c r="E403" s="10"/>
      <c r="F403" s="10"/>
      <c r="G403" s="69"/>
      <c r="H403" s="69"/>
      <c r="I403" s="69"/>
      <c r="J403" s="70"/>
      <c r="K403" s="69"/>
      <c r="L403" s="69"/>
      <c r="M403" s="69"/>
      <c r="N403" s="69"/>
      <c r="O403" s="2"/>
      <c r="P403" s="2"/>
      <c r="Q403" s="32"/>
      <c r="R403" s="32"/>
      <c r="S403" s="32"/>
      <c r="T403" s="3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2"/>
      <c r="C404" s="10"/>
      <c r="D404" s="10"/>
      <c r="E404" s="10"/>
      <c r="F404" s="10"/>
      <c r="G404" s="69"/>
      <c r="H404" s="69"/>
      <c r="I404" s="69"/>
      <c r="J404" s="70"/>
      <c r="K404" s="69"/>
      <c r="L404" s="69"/>
      <c r="M404" s="69"/>
      <c r="N404" s="69"/>
      <c r="O404" s="2"/>
      <c r="P404" s="2"/>
      <c r="Q404" s="32"/>
      <c r="R404" s="32"/>
      <c r="S404" s="32"/>
      <c r="T404" s="3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2"/>
      <c r="C405" s="10"/>
      <c r="D405" s="10"/>
      <c r="E405" s="10"/>
      <c r="F405" s="10"/>
      <c r="G405" s="69"/>
      <c r="H405" s="69"/>
      <c r="I405" s="69"/>
      <c r="J405" s="70"/>
      <c r="K405" s="69"/>
      <c r="L405" s="69"/>
      <c r="M405" s="69"/>
      <c r="N405" s="69"/>
      <c r="O405" s="2"/>
      <c r="P405" s="2"/>
      <c r="Q405" s="32"/>
      <c r="R405" s="32"/>
      <c r="S405" s="32"/>
      <c r="T405" s="3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2"/>
      <c r="C406" s="10"/>
      <c r="D406" s="10"/>
      <c r="E406" s="10"/>
      <c r="F406" s="10"/>
      <c r="G406" s="69"/>
      <c r="H406" s="69"/>
      <c r="I406" s="69"/>
      <c r="J406" s="70"/>
      <c r="K406" s="69"/>
      <c r="L406" s="69"/>
      <c r="M406" s="69"/>
      <c r="N406" s="69"/>
      <c r="O406" s="2"/>
      <c r="P406" s="2"/>
      <c r="Q406" s="32"/>
      <c r="R406" s="32"/>
      <c r="S406" s="32"/>
      <c r="T406" s="3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2"/>
      <c r="C407" s="10"/>
      <c r="D407" s="10"/>
      <c r="E407" s="10"/>
      <c r="F407" s="10"/>
      <c r="G407" s="69"/>
      <c r="H407" s="69"/>
      <c r="I407" s="69"/>
      <c r="J407" s="70"/>
      <c r="K407" s="69"/>
      <c r="L407" s="69"/>
      <c r="M407" s="69"/>
      <c r="N407" s="69"/>
      <c r="O407" s="2"/>
      <c r="P407" s="2"/>
      <c r="Q407" s="32"/>
      <c r="R407" s="32"/>
      <c r="S407" s="32"/>
      <c r="T407" s="3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2"/>
      <c r="C408" s="10"/>
      <c r="D408" s="10"/>
      <c r="E408" s="10"/>
      <c r="F408" s="10"/>
      <c r="G408" s="69"/>
      <c r="H408" s="69"/>
      <c r="I408" s="69"/>
      <c r="J408" s="70"/>
      <c r="K408" s="69"/>
      <c r="L408" s="69"/>
      <c r="M408" s="69"/>
      <c r="N408" s="69"/>
      <c r="O408" s="2"/>
      <c r="P408" s="2"/>
      <c r="Q408" s="32"/>
      <c r="R408" s="32"/>
      <c r="S408" s="32"/>
      <c r="T408" s="3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2"/>
      <c r="C409" s="10"/>
      <c r="D409" s="10"/>
      <c r="E409" s="10"/>
      <c r="F409" s="10"/>
      <c r="G409" s="69"/>
      <c r="H409" s="69"/>
      <c r="I409" s="69"/>
      <c r="J409" s="70"/>
      <c r="K409" s="69"/>
      <c r="L409" s="69"/>
      <c r="M409" s="69"/>
      <c r="N409" s="69"/>
      <c r="O409" s="2"/>
      <c r="P409" s="2"/>
      <c r="Q409" s="32"/>
      <c r="R409" s="32"/>
      <c r="S409" s="32"/>
      <c r="T409" s="3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2"/>
      <c r="C410" s="10"/>
      <c r="D410" s="10"/>
      <c r="E410" s="10"/>
      <c r="F410" s="10"/>
      <c r="G410" s="69"/>
      <c r="H410" s="69"/>
      <c r="I410" s="69"/>
      <c r="J410" s="70"/>
      <c r="K410" s="69"/>
      <c r="L410" s="69"/>
      <c r="M410" s="69"/>
      <c r="N410" s="69"/>
      <c r="O410" s="2"/>
      <c r="P410" s="2"/>
      <c r="Q410" s="32"/>
      <c r="R410" s="32"/>
      <c r="S410" s="32"/>
      <c r="T410" s="3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2"/>
      <c r="C411" s="10"/>
      <c r="D411" s="10"/>
      <c r="E411" s="10"/>
      <c r="F411" s="10"/>
      <c r="G411" s="69"/>
      <c r="H411" s="69"/>
      <c r="I411" s="69"/>
      <c r="J411" s="70"/>
      <c r="K411" s="69"/>
      <c r="L411" s="69"/>
      <c r="M411" s="69"/>
      <c r="N411" s="69"/>
      <c r="O411" s="2"/>
      <c r="P411" s="2"/>
      <c r="Q411" s="32"/>
      <c r="R411" s="32"/>
      <c r="S411" s="32"/>
      <c r="T411" s="3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2"/>
      <c r="C412" s="10"/>
      <c r="D412" s="10"/>
      <c r="E412" s="10"/>
      <c r="F412" s="10"/>
      <c r="G412" s="69"/>
      <c r="H412" s="69"/>
      <c r="I412" s="69"/>
      <c r="J412" s="70"/>
      <c r="K412" s="69"/>
      <c r="L412" s="69"/>
      <c r="M412" s="69"/>
      <c r="N412" s="69"/>
      <c r="O412" s="2"/>
      <c r="P412" s="2"/>
      <c r="Q412" s="32"/>
      <c r="R412" s="32"/>
      <c r="S412" s="32"/>
      <c r="T412" s="3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2"/>
      <c r="C413" s="10"/>
      <c r="D413" s="10"/>
      <c r="E413" s="10"/>
      <c r="F413" s="10"/>
      <c r="G413" s="69"/>
      <c r="H413" s="69"/>
      <c r="I413" s="69"/>
      <c r="J413" s="70"/>
      <c r="K413" s="69"/>
      <c r="L413" s="69"/>
      <c r="M413" s="69"/>
      <c r="N413" s="69"/>
      <c r="O413" s="2"/>
      <c r="P413" s="2"/>
      <c r="Q413" s="32"/>
      <c r="R413" s="32"/>
      <c r="S413" s="32"/>
      <c r="T413" s="3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2"/>
      <c r="C414" s="10"/>
      <c r="D414" s="10"/>
      <c r="E414" s="10"/>
      <c r="F414" s="10"/>
      <c r="G414" s="69"/>
      <c r="H414" s="69"/>
      <c r="I414" s="69"/>
      <c r="J414" s="70"/>
      <c r="K414" s="69"/>
      <c r="L414" s="69"/>
      <c r="M414" s="69"/>
      <c r="N414" s="69"/>
      <c r="O414" s="2"/>
      <c r="P414" s="2"/>
      <c r="Q414" s="32"/>
      <c r="R414" s="32"/>
      <c r="S414" s="32"/>
      <c r="T414" s="3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2"/>
      <c r="C415" s="10"/>
      <c r="D415" s="10"/>
      <c r="E415" s="10"/>
      <c r="F415" s="10"/>
      <c r="G415" s="69"/>
      <c r="H415" s="69"/>
      <c r="I415" s="69"/>
      <c r="J415" s="70"/>
      <c r="K415" s="69"/>
      <c r="L415" s="69"/>
      <c r="M415" s="69"/>
      <c r="N415" s="69"/>
      <c r="O415" s="2"/>
      <c r="P415" s="2"/>
      <c r="Q415" s="32"/>
      <c r="R415" s="32"/>
      <c r="S415" s="32"/>
      <c r="T415" s="3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2"/>
      <c r="C416" s="10"/>
      <c r="D416" s="10"/>
      <c r="E416" s="10"/>
      <c r="F416" s="10"/>
      <c r="G416" s="69"/>
      <c r="H416" s="69"/>
      <c r="I416" s="69"/>
      <c r="J416" s="70"/>
      <c r="K416" s="69"/>
      <c r="L416" s="69"/>
      <c r="M416" s="69"/>
      <c r="N416" s="69"/>
      <c r="O416" s="2"/>
      <c r="P416" s="2"/>
      <c r="Q416" s="32"/>
      <c r="R416" s="32"/>
      <c r="S416" s="32"/>
      <c r="T416" s="3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2"/>
      <c r="C417" s="10"/>
      <c r="D417" s="10"/>
      <c r="E417" s="10"/>
      <c r="F417" s="10"/>
      <c r="G417" s="69"/>
      <c r="H417" s="69"/>
      <c r="I417" s="69"/>
      <c r="J417" s="70"/>
      <c r="K417" s="69"/>
      <c r="L417" s="69"/>
      <c r="M417" s="69"/>
      <c r="N417" s="69"/>
      <c r="O417" s="2"/>
      <c r="P417" s="2"/>
      <c r="Q417" s="32"/>
      <c r="R417" s="32"/>
      <c r="S417" s="32"/>
      <c r="T417" s="3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2"/>
      <c r="C418" s="10"/>
      <c r="D418" s="10"/>
      <c r="E418" s="10"/>
      <c r="F418" s="10"/>
      <c r="G418" s="69"/>
      <c r="H418" s="69"/>
      <c r="I418" s="69"/>
      <c r="J418" s="70"/>
      <c r="K418" s="69"/>
      <c r="L418" s="69"/>
      <c r="M418" s="69"/>
      <c r="N418" s="69"/>
      <c r="O418" s="2"/>
      <c r="P418" s="2"/>
      <c r="Q418" s="32"/>
      <c r="R418" s="32"/>
      <c r="S418" s="32"/>
      <c r="T418" s="3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2"/>
      <c r="C419" s="10"/>
      <c r="D419" s="10"/>
      <c r="E419" s="10"/>
      <c r="F419" s="10"/>
      <c r="G419" s="69"/>
      <c r="H419" s="69"/>
      <c r="I419" s="69"/>
      <c r="J419" s="70"/>
      <c r="K419" s="69"/>
      <c r="L419" s="69"/>
      <c r="M419" s="69"/>
      <c r="N419" s="69"/>
      <c r="O419" s="2"/>
      <c r="P419" s="2"/>
      <c r="Q419" s="32"/>
      <c r="R419" s="32"/>
      <c r="S419" s="32"/>
      <c r="T419" s="3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2"/>
      <c r="C420" s="10"/>
      <c r="D420" s="10"/>
      <c r="E420" s="10"/>
      <c r="F420" s="10"/>
      <c r="G420" s="69"/>
      <c r="H420" s="69"/>
      <c r="I420" s="69"/>
      <c r="J420" s="70"/>
      <c r="K420" s="69"/>
      <c r="L420" s="69"/>
      <c r="M420" s="69"/>
      <c r="N420" s="69"/>
      <c r="O420" s="2"/>
      <c r="P420" s="2"/>
      <c r="Q420" s="32"/>
      <c r="R420" s="32"/>
      <c r="S420" s="32"/>
      <c r="T420" s="3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2"/>
      <c r="C421" s="10"/>
      <c r="D421" s="10"/>
      <c r="E421" s="10"/>
      <c r="F421" s="10"/>
      <c r="G421" s="69"/>
      <c r="H421" s="69"/>
      <c r="I421" s="69"/>
      <c r="J421" s="70"/>
      <c r="K421" s="69"/>
      <c r="L421" s="69"/>
      <c r="M421" s="69"/>
      <c r="N421" s="69"/>
      <c r="O421" s="2"/>
      <c r="P421" s="2"/>
      <c r="Q421" s="32"/>
      <c r="R421" s="32"/>
      <c r="S421" s="32"/>
      <c r="T421" s="3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2"/>
      <c r="C422" s="10"/>
      <c r="D422" s="10"/>
      <c r="E422" s="10"/>
      <c r="F422" s="10"/>
      <c r="G422" s="69"/>
      <c r="H422" s="69"/>
      <c r="I422" s="69"/>
      <c r="J422" s="70"/>
      <c r="K422" s="69"/>
      <c r="L422" s="69"/>
      <c r="M422" s="69"/>
      <c r="N422" s="69"/>
      <c r="O422" s="2"/>
      <c r="P422" s="2"/>
      <c r="Q422" s="32"/>
      <c r="R422" s="32"/>
      <c r="S422" s="32"/>
      <c r="T422" s="3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2"/>
      <c r="C423" s="10"/>
      <c r="D423" s="10"/>
      <c r="E423" s="10"/>
      <c r="F423" s="10"/>
      <c r="G423" s="69"/>
      <c r="H423" s="69"/>
      <c r="I423" s="69"/>
      <c r="J423" s="70"/>
      <c r="K423" s="69"/>
      <c r="L423" s="69"/>
      <c r="M423" s="69"/>
      <c r="N423" s="69"/>
      <c r="O423" s="2"/>
      <c r="P423" s="2"/>
      <c r="Q423" s="32"/>
      <c r="R423" s="32"/>
      <c r="S423" s="32"/>
      <c r="T423" s="3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2"/>
      <c r="C424" s="10"/>
      <c r="D424" s="10"/>
      <c r="E424" s="10"/>
      <c r="F424" s="10"/>
      <c r="G424" s="69"/>
      <c r="H424" s="69"/>
      <c r="I424" s="69"/>
      <c r="J424" s="70"/>
      <c r="K424" s="69"/>
      <c r="L424" s="69"/>
      <c r="M424" s="69"/>
      <c r="N424" s="69"/>
      <c r="O424" s="2"/>
      <c r="P424" s="2"/>
      <c r="Q424" s="32"/>
      <c r="R424" s="32"/>
      <c r="S424" s="32"/>
      <c r="T424" s="3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2"/>
      <c r="C425" s="10"/>
      <c r="D425" s="10"/>
      <c r="E425" s="10"/>
      <c r="F425" s="10"/>
      <c r="G425" s="69"/>
      <c r="H425" s="69"/>
      <c r="I425" s="69"/>
      <c r="J425" s="70"/>
      <c r="K425" s="69"/>
      <c r="L425" s="69"/>
      <c r="M425" s="69"/>
      <c r="N425" s="69"/>
      <c r="O425" s="2"/>
      <c r="P425" s="2"/>
      <c r="Q425" s="32"/>
      <c r="R425" s="32"/>
      <c r="S425" s="32"/>
      <c r="T425" s="3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2"/>
      <c r="C426" s="10"/>
      <c r="D426" s="10"/>
      <c r="E426" s="10"/>
      <c r="F426" s="10"/>
      <c r="G426" s="69"/>
      <c r="H426" s="69"/>
      <c r="I426" s="69"/>
      <c r="J426" s="70"/>
      <c r="K426" s="69"/>
      <c r="L426" s="69"/>
      <c r="M426" s="69"/>
      <c r="N426" s="69"/>
      <c r="O426" s="2"/>
      <c r="P426" s="2"/>
      <c r="Q426" s="32"/>
      <c r="R426" s="32"/>
      <c r="S426" s="32"/>
      <c r="T426" s="3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2"/>
      <c r="C427" s="10"/>
      <c r="D427" s="10"/>
      <c r="E427" s="10"/>
      <c r="F427" s="10"/>
      <c r="G427" s="69"/>
      <c r="H427" s="69"/>
      <c r="I427" s="69"/>
      <c r="J427" s="70"/>
      <c r="K427" s="69"/>
      <c r="L427" s="69"/>
      <c r="M427" s="69"/>
      <c r="N427" s="69"/>
      <c r="O427" s="2"/>
      <c r="P427" s="2"/>
      <c r="Q427" s="32"/>
      <c r="R427" s="32"/>
      <c r="S427" s="32"/>
      <c r="T427" s="3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2"/>
      <c r="C428" s="10"/>
      <c r="D428" s="10"/>
      <c r="E428" s="10"/>
      <c r="F428" s="10"/>
      <c r="G428" s="69"/>
      <c r="H428" s="69"/>
      <c r="I428" s="69"/>
      <c r="J428" s="70"/>
      <c r="K428" s="69"/>
      <c r="L428" s="69"/>
      <c r="M428" s="69"/>
      <c r="N428" s="69"/>
      <c r="O428" s="2"/>
      <c r="P428" s="2"/>
      <c r="Q428" s="32"/>
      <c r="R428" s="32"/>
      <c r="S428" s="32"/>
      <c r="T428" s="3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2"/>
      <c r="C429" s="10"/>
      <c r="D429" s="10"/>
      <c r="E429" s="10"/>
      <c r="F429" s="10"/>
      <c r="G429" s="69"/>
      <c r="H429" s="69"/>
      <c r="I429" s="69"/>
      <c r="J429" s="70"/>
      <c r="K429" s="69"/>
      <c r="L429" s="69"/>
      <c r="M429" s="69"/>
      <c r="N429" s="69"/>
      <c r="O429" s="2"/>
      <c r="P429" s="2"/>
      <c r="Q429" s="32"/>
      <c r="R429" s="32"/>
      <c r="S429" s="32"/>
      <c r="T429" s="3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2"/>
      <c r="C430" s="10"/>
      <c r="D430" s="10"/>
      <c r="E430" s="10"/>
      <c r="F430" s="10"/>
      <c r="G430" s="69"/>
      <c r="H430" s="69"/>
      <c r="I430" s="69"/>
      <c r="J430" s="70"/>
      <c r="K430" s="69"/>
      <c r="L430" s="69"/>
      <c r="M430" s="69"/>
      <c r="N430" s="69"/>
      <c r="O430" s="2"/>
      <c r="P430" s="2"/>
      <c r="Q430" s="32"/>
      <c r="R430" s="32"/>
      <c r="S430" s="32"/>
      <c r="T430" s="3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2"/>
      <c r="C431" s="10"/>
      <c r="D431" s="10"/>
      <c r="E431" s="10"/>
      <c r="F431" s="10"/>
      <c r="G431" s="69"/>
      <c r="H431" s="69"/>
      <c r="I431" s="69"/>
      <c r="J431" s="70"/>
      <c r="K431" s="69"/>
      <c r="L431" s="69"/>
      <c r="M431" s="69"/>
      <c r="N431" s="69"/>
      <c r="O431" s="2"/>
      <c r="P431" s="2"/>
      <c r="Q431" s="32"/>
      <c r="R431" s="32"/>
      <c r="S431" s="32"/>
      <c r="T431" s="3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2"/>
      <c r="C432" s="10"/>
      <c r="D432" s="10"/>
      <c r="E432" s="10"/>
      <c r="F432" s="10"/>
      <c r="G432" s="69"/>
      <c r="H432" s="69"/>
      <c r="I432" s="69"/>
      <c r="J432" s="70"/>
      <c r="K432" s="69"/>
      <c r="L432" s="69"/>
      <c r="M432" s="69"/>
      <c r="N432" s="69"/>
      <c r="O432" s="2"/>
      <c r="P432" s="2"/>
      <c r="Q432" s="32"/>
      <c r="R432" s="32"/>
      <c r="S432" s="32"/>
      <c r="T432" s="3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2"/>
      <c r="C433" s="10"/>
      <c r="D433" s="10"/>
      <c r="E433" s="10"/>
      <c r="F433" s="10"/>
      <c r="G433" s="69"/>
      <c r="H433" s="69"/>
      <c r="I433" s="69"/>
      <c r="J433" s="70"/>
      <c r="K433" s="69"/>
      <c r="L433" s="69"/>
      <c r="M433" s="69"/>
      <c r="N433" s="69"/>
      <c r="O433" s="2"/>
      <c r="P433" s="2"/>
      <c r="Q433" s="32"/>
      <c r="R433" s="32"/>
      <c r="S433" s="32"/>
      <c r="T433" s="3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2"/>
      <c r="C434" s="10"/>
      <c r="D434" s="10"/>
      <c r="E434" s="10"/>
      <c r="F434" s="10"/>
      <c r="G434" s="69"/>
      <c r="H434" s="69"/>
      <c r="I434" s="69"/>
      <c r="J434" s="70"/>
      <c r="K434" s="69"/>
      <c r="L434" s="69"/>
      <c r="M434" s="69"/>
      <c r="N434" s="69"/>
      <c r="O434" s="2"/>
      <c r="P434" s="2"/>
      <c r="Q434" s="32"/>
      <c r="R434" s="32"/>
      <c r="S434" s="32"/>
      <c r="T434" s="3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2"/>
      <c r="C435" s="10"/>
      <c r="D435" s="10"/>
      <c r="E435" s="10"/>
      <c r="F435" s="10"/>
      <c r="G435" s="69"/>
      <c r="H435" s="69"/>
      <c r="I435" s="69"/>
      <c r="J435" s="70"/>
      <c r="K435" s="69"/>
      <c r="L435" s="69"/>
      <c r="M435" s="69"/>
      <c r="N435" s="69"/>
      <c r="O435" s="2"/>
      <c r="P435" s="2"/>
      <c r="Q435" s="32"/>
      <c r="R435" s="32"/>
      <c r="S435" s="32"/>
      <c r="T435" s="3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2"/>
      <c r="C436" s="10"/>
      <c r="D436" s="10"/>
      <c r="E436" s="10"/>
      <c r="F436" s="10"/>
      <c r="G436" s="69"/>
      <c r="H436" s="69"/>
      <c r="I436" s="69"/>
      <c r="J436" s="70"/>
      <c r="K436" s="69"/>
      <c r="L436" s="69"/>
      <c r="M436" s="69"/>
      <c r="N436" s="69"/>
      <c r="O436" s="2"/>
      <c r="P436" s="2"/>
      <c r="Q436" s="32"/>
      <c r="R436" s="32"/>
      <c r="S436" s="32"/>
      <c r="T436" s="3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2"/>
      <c r="C437" s="10"/>
      <c r="D437" s="10"/>
      <c r="E437" s="10"/>
      <c r="F437" s="10"/>
      <c r="G437" s="69"/>
      <c r="H437" s="69"/>
      <c r="I437" s="69"/>
      <c r="J437" s="70"/>
      <c r="K437" s="69"/>
      <c r="L437" s="69"/>
      <c r="M437" s="69"/>
      <c r="N437" s="69"/>
      <c r="O437" s="2"/>
      <c r="P437" s="2"/>
      <c r="Q437" s="32"/>
      <c r="R437" s="32"/>
      <c r="S437" s="32"/>
      <c r="T437" s="3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2"/>
      <c r="C438" s="10"/>
      <c r="D438" s="10"/>
      <c r="E438" s="10"/>
      <c r="F438" s="10"/>
      <c r="G438" s="69"/>
      <c r="H438" s="69"/>
      <c r="I438" s="69"/>
      <c r="J438" s="70"/>
      <c r="K438" s="69"/>
      <c r="L438" s="69"/>
      <c r="M438" s="69"/>
      <c r="N438" s="69"/>
      <c r="O438" s="2"/>
      <c r="P438" s="2"/>
      <c r="Q438" s="32"/>
      <c r="R438" s="32"/>
      <c r="S438" s="32"/>
      <c r="T438" s="3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2"/>
      <c r="C439" s="10"/>
      <c r="D439" s="10"/>
      <c r="E439" s="10"/>
      <c r="F439" s="10"/>
      <c r="G439" s="69"/>
      <c r="H439" s="69"/>
      <c r="I439" s="69"/>
      <c r="J439" s="70"/>
      <c r="K439" s="69"/>
      <c r="L439" s="69"/>
      <c r="M439" s="69"/>
      <c r="N439" s="69"/>
      <c r="O439" s="2"/>
      <c r="P439" s="2"/>
      <c r="Q439" s="32"/>
      <c r="R439" s="32"/>
      <c r="S439" s="32"/>
      <c r="T439" s="3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2"/>
      <c r="C440" s="10"/>
      <c r="D440" s="10"/>
      <c r="E440" s="10"/>
      <c r="F440" s="10"/>
      <c r="G440" s="69"/>
      <c r="H440" s="69"/>
      <c r="I440" s="69"/>
      <c r="J440" s="70"/>
      <c r="K440" s="69"/>
      <c r="L440" s="69"/>
      <c r="M440" s="69"/>
      <c r="N440" s="69"/>
      <c r="O440" s="2"/>
      <c r="P440" s="2"/>
      <c r="Q440" s="32"/>
      <c r="R440" s="32"/>
      <c r="S440" s="32"/>
      <c r="T440" s="3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2"/>
      <c r="C441" s="10"/>
      <c r="D441" s="10"/>
      <c r="E441" s="10"/>
      <c r="F441" s="10"/>
      <c r="G441" s="69"/>
      <c r="H441" s="69"/>
      <c r="I441" s="69"/>
      <c r="J441" s="70"/>
      <c r="K441" s="69"/>
      <c r="L441" s="69"/>
      <c r="M441" s="69"/>
      <c r="N441" s="69"/>
      <c r="O441" s="2"/>
      <c r="P441" s="2"/>
      <c r="Q441" s="32"/>
      <c r="R441" s="32"/>
      <c r="S441" s="32"/>
      <c r="T441" s="3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2"/>
      <c r="C442" s="10"/>
      <c r="D442" s="10"/>
      <c r="E442" s="10"/>
      <c r="F442" s="10"/>
      <c r="G442" s="69"/>
      <c r="H442" s="69"/>
      <c r="I442" s="69"/>
      <c r="J442" s="70"/>
      <c r="K442" s="69"/>
      <c r="L442" s="69"/>
      <c r="M442" s="69"/>
      <c r="N442" s="69"/>
      <c r="O442" s="2"/>
      <c r="P442" s="2"/>
      <c r="Q442" s="32"/>
      <c r="R442" s="32"/>
      <c r="S442" s="32"/>
      <c r="T442" s="3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2"/>
      <c r="C443" s="10"/>
      <c r="D443" s="10"/>
      <c r="E443" s="10"/>
      <c r="F443" s="10"/>
      <c r="G443" s="69"/>
      <c r="H443" s="69"/>
      <c r="I443" s="69"/>
      <c r="J443" s="70"/>
      <c r="K443" s="69"/>
      <c r="L443" s="69"/>
      <c r="M443" s="69"/>
      <c r="N443" s="69"/>
      <c r="O443" s="2"/>
      <c r="P443" s="2"/>
      <c r="Q443" s="32"/>
      <c r="R443" s="32"/>
      <c r="S443" s="32"/>
      <c r="T443" s="3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2"/>
      <c r="C444" s="10"/>
      <c r="D444" s="10"/>
      <c r="E444" s="10"/>
      <c r="F444" s="10"/>
      <c r="G444" s="69"/>
      <c r="H444" s="69"/>
      <c r="I444" s="69"/>
      <c r="J444" s="70"/>
      <c r="K444" s="69"/>
      <c r="L444" s="69"/>
      <c r="M444" s="69"/>
      <c r="N444" s="69"/>
      <c r="O444" s="2"/>
      <c r="P444" s="2"/>
      <c r="Q444" s="32"/>
      <c r="R444" s="32"/>
      <c r="S444" s="32"/>
      <c r="T444" s="3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2"/>
      <c r="C445" s="10"/>
      <c r="D445" s="10"/>
      <c r="E445" s="10"/>
      <c r="F445" s="10"/>
      <c r="G445" s="69"/>
      <c r="H445" s="69"/>
      <c r="I445" s="69"/>
      <c r="J445" s="70"/>
      <c r="K445" s="69"/>
      <c r="L445" s="69"/>
      <c r="M445" s="69"/>
      <c r="N445" s="69"/>
      <c r="O445" s="2"/>
      <c r="P445" s="2"/>
      <c r="Q445" s="32"/>
      <c r="R445" s="32"/>
      <c r="S445" s="32"/>
      <c r="T445" s="3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2"/>
      <c r="C446" s="10"/>
      <c r="D446" s="10"/>
      <c r="E446" s="10"/>
      <c r="F446" s="10"/>
      <c r="G446" s="69"/>
      <c r="H446" s="69"/>
      <c r="I446" s="69"/>
      <c r="J446" s="70"/>
      <c r="K446" s="69"/>
      <c r="L446" s="69"/>
      <c r="M446" s="69"/>
      <c r="N446" s="69"/>
      <c r="O446" s="2"/>
      <c r="P446" s="2"/>
      <c r="Q446" s="32"/>
      <c r="R446" s="32"/>
      <c r="S446" s="32"/>
      <c r="T446" s="3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2"/>
      <c r="C447" s="10"/>
      <c r="D447" s="10"/>
      <c r="E447" s="10"/>
      <c r="F447" s="10"/>
      <c r="G447" s="69"/>
      <c r="H447" s="69"/>
      <c r="I447" s="69"/>
      <c r="J447" s="70"/>
      <c r="K447" s="69"/>
      <c r="L447" s="69"/>
      <c r="M447" s="69"/>
      <c r="N447" s="69"/>
      <c r="O447" s="2"/>
      <c r="P447" s="2"/>
      <c r="Q447" s="32"/>
      <c r="R447" s="32"/>
      <c r="S447" s="32"/>
      <c r="T447" s="3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2"/>
      <c r="C448" s="10"/>
      <c r="D448" s="10"/>
      <c r="E448" s="10"/>
      <c r="F448" s="10"/>
      <c r="G448" s="69"/>
      <c r="H448" s="69"/>
      <c r="I448" s="69"/>
      <c r="J448" s="70"/>
      <c r="K448" s="69"/>
      <c r="L448" s="69"/>
      <c r="M448" s="69"/>
      <c r="N448" s="69"/>
      <c r="O448" s="2"/>
      <c r="P448" s="2"/>
      <c r="Q448" s="32"/>
      <c r="R448" s="32"/>
      <c r="S448" s="32"/>
      <c r="T448" s="3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2"/>
      <c r="C449" s="10"/>
      <c r="D449" s="10"/>
      <c r="E449" s="10"/>
      <c r="F449" s="10"/>
      <c r="G449" s="69"/>
      <c r="H449" s="69"/>
      <c r="I449" s="69"/>
      <c r="J449" s="70"/>
      <c r="K449" s="69"/>
      <c r="L449" s="69"/>
      <c r="M449" s="69"/>
      <c r="N449" s="69"/>
      <c r="O449" s="2"/>
      <c r="P449" s="2"/>
      <c r="Q449" s="32"/>
      <c r="R449" s="32"/>
      <c r="S449" s="32"/>
      <c r="T449" s="3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2"/>
      <c r="C450" s="10"/>
      <c r="D450" s="10"/>
      <c r="E450" s="10"/>
      <c r="F450" s="10"/>
      <c r="G450" s="69"/>
      <c r="H450" s="69"/>
      <c r="I450" s="69"/>
      <c r="J450" s="70"/>
      <c r="K450" s="69"/>
      <c r="L450" s="69"/>
      <c r="M450" s="69"/>
      <c r="N450" s="69"/>
      <c r="O450" s="2"/>
      <c r="P450" s="2"/>
      <c r="Q450" s="32"/>
      <c r="R450" s="32"/>
      <c r="S450" s="32"/>
      <c r="T450" s="3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2"/>
      <c r="C451" s="10"/>
      <c r="D451" s="10"/>
      <c r="E451" s="10"/>
      <c r="F451" s="10"/>
      <c r="G451" s="69"/>
      <c r="H451" s="69"/>
      <c r="I451" s="69"/>
      <c r="J451" s="70"/>
      <c r="K451" s="69"/>
      <c r="L451" s="69"/>
      <c r="M451" s="69"/>
      <c r="N451" s="69"/>
      <c r="O451" s="2"/>
      <c r="P451" s="2"/>
      <c r="Q451" s="32"/>
      <c r="R451" s="32"/>
      <c r="S451" s="32"/>
      <c r="T451" s="3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2"/>
      <c r="C452" s="10"/>
      <c r="D452" s="10"/>
      <c r="E452" s="10"/>
      <c r="F452" s="10"/>
      <c r="G452" s="69"/>
      <c r="H452" s="69"/>
      <c r="I452" s="69"/>
      <c r="J452" s="70"/>
      <c r="K452" s="69"/>
      <c r="L452" s="69"/>
      <c r="M452" s="69"/>
      <c r="N452" s="69"/>
      <c r="O452" s="2"/>
      <c r="P452" s="2"/>
      <c r="Q452" s="32"/>
      <c r="R452" s="32"/>
      <c r="S452" s="32"/>
      <c r="T452" s="3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2"/>
      <c r="C453" s="10"/>
      <c r="D453" s="10"/>
      <c r="E453" s="10"/>
      <c r="F453" s="10"/>
      <c r="G453" s="69"/>
      <c r="H453" s="69"/>
      <c r="I453" s="69"/>
      <c r="J453" s="70"/>
      <c r="K453" s="69"/>
      <c r="L453" s="69"/>
      <c r="M453" s="69"/>
      <c r="N453" s="69"/>
      <c r="O453" s="2"/>
      <c r="P453" s="2"/>
      <c r="Q453" s="32"/>
      <c r="R453" s="32"/>
      <c r="S453" s="32"/>
      <c r="T453" s="3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2"/>
      <c r="C454" s="10"/>
      <c r="D454" s="10"/>
      <c r="E454" s="10"/>
      <c r="F454" s="10"/>
      <c r="G454" s="69"/>
      <c r="H454" s="69"/>
      <c r="I454" s="69"/>
      <c r="J454" s="70"/>
      <c r="K454" s="69"/>
      <c r="L454" s="69"/>
      <c r="M454" s="69"/>
      <c r="N454" s="69"/>
      <c r="O454" s="2"/>
      <c r="P454" s="2"/>
      <c r="Q454" s="32"/>
      <c r="R454" s="32"/>
      <c r="S454" s="32"/>
      <c r="T454" s="3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2"/>
      <c r="C455" s="10"/>
      <c r="D455" s="10"/>
      <c r="E455" s="10"/>
      <c r="F455" s="10"/>
      <c r="G455" s="69"/>
      <c r="H455" s="69"/>
      <c r="I455" s="69"/>
      <c r="J455" s="70"/>
      <c r="K455" s="69"/>
      <c r="L455" s="69"/>
      <c r="M455" s="69"/>
      <c r="N455" s="69"/>
      <c r="O455" s="2"/>
      <c r="P455" s="2"/>
      <c r="Q455" s="32"/>
      <c r="R455" s="32"/>
      <c r="S455" s="32"/>
      <c r="T455" s="3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2"/>
      <c r="C456" s="10"/>
      <c r="D456" s="10"/>
      <c r="E456" s="10"/>
      <c r="F456" s="10"/>
      <c r="G456" s="69"/>
      <c r="H456" s="69"/>
      <c r="I456" s="69"/>
      <c r="J456" s="70"/>
      <c r="K456" s="69"/>
      <c r="L456" s="69"/>
      <c r="M456" s="69"/>
      <c r="N456" s="69"/>
      <c r="O456" s="2"/>
      <c r="P456" s="2"/>
      <c r="Q456" s="32"/>
      <c r="R456" s="32"/>
      <c r="S456" s="32"/>
      <c r="T456" s="3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2"/>
      <c r="C457" s="10"/>
      <c r="D457" s="10"/>
      <c r="E457" s="10"/>
      <c r="F457" s="10"/>
      <c r="G457" s="69"/>
      <c r="H457" s="69"/>
      <c r="I457" s="69"/>
      <c r="J457" s="70"/>
      <c r="K457" s="69"/>
      <c r="L457" s="69"/>
      <c r="M457" s="69"/>
      <c r="N457" s="69"/>
      <c r="O457" s="2"/>
      <c r="P457" s="2"/>
      <c r="Q457" s="32"/>
      <c r="R457" s="32"/>
      <c r="S457" s="32"/>
      <c r="T457" s="3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2"/>
      <c r="C458" s="10"/>
      <c r="D458" s="10"/>
      <c r="E458" s="10"/>
      <c r="F458" s="10"/>
      <c r="G458" s="69"/>
      <c r="H458" s="69"/>
      <c r="I458" s="69"/>
      <c r="J458" s="70"/>
      <c r="K458" s="69"/>
      <c r="L458" s="69"/>
      <c r="M458" s="69"/>
      <c r="N458" s="69"/>
      <c r="O458" s="2"/>
      <c r="P458" s="2"/>
      <c r="Q458" s="32"/>
      <c r="R458" s="32"/>
      <c r="S458" s="32"/>
      <c r="T458" s="3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2"/>
      <c r="C459" s="10"/>
      <c r="D459" s="10"/>
      <c r="E459" s="10"/>
      <c r="F459" s="10"/>
      <c r="G459" s="69"/>
      <c r="H459" s="69"/>
      <c r="I459" s="69"/>
      <c r="J459" s="70"/>
      <c r="K459" s="69"/>
      <c r="L459" s="69"/>
      <c r="M459" s="69"/>
      <c r="N459" s="69"/>
      <c r="O459" s="2"/>
      <c r="P459" s="2"/>
      <c r="Q459" s="32"/>
      <c r="R459" s="32"/>
      <c r="S459" s="32"/>
      <c r="T459" s="3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2"/>
      <c r="C460" s="10"/>
      <c r="D460" s="10"/>
      <c r="E460" s="10"/>
      <c r="F460" s="10"/>
      <c r="G460" s="69"/>
      <c r="H460" s="69"/>
      <c r="I460" s="69"/>
      <c r="J460" s="70"/>
      <c r="K460" s="69"/>
      <c r="L460" s="69"/>
      <c r="M460" s="69"/>
      <c r="N460" s="69"/>
      <c r="O460" s="2"/>
      <c r="P460" s="2"/>
      <c r="Q460" s="32"/>
      <c r="R460" s="32"/>
      <c r="S460" s="32"/>
      <c r="T460" s="3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2"/>
      <c r="C461" s="10"/>
      <c r="D461" s="10"/>
      <c r="E461" s="10"/>
      <c r="F461" s="10"/>
      <c r="G461" s="69"/>
      <c r="H461" s="69"/>
      <c r="I461" s="69"/>
      <c r="J461" s="70"/>
      <c r="K461" s="69"/>
      <c r="L461" s="69"/>
      <c r="M461" s="69"/>
      <c r="N461" s="69"/>
      <c r="O461" s="2"/>
      <c r="P461" s="2"/>
      <c r="Q461" s="32"/>
      <c r="R461" s="32"/>
      <c r="S461" s="32"/>
      <c r="T461" s="3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2"/>
      <c r="C462" s="10"/>
      <c r="D462" s="10"/>
      <c r="E462" s="10"/>
      <c r="F462" s="10"/>
      <c r="G462" s="69"/>
      <c r="H462" s="69"/>
      <c r="I462" s="69"/>
      <c r="J462" s="70"/>
      <c r="K462" s="69"/>
      <c r="L462" s="69"/>
      <c r="M462" s="69"/>
      <c r="N462" s="69"/>
      <c r="O462" s="2"/>
      <c r="P462" s="2"/>
      <c r="Q462" s="32"/>
      <c r="R462" s="32"/>
      <c r="S462" s="32"/>
      <c r="T462" s="3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2"/>
      <c r="C463" s="10"/>
      <c r="D463" s="10"/>
      <c r="E463" s="10"/>
      <c r="F463" s="10"/>
      <c r="G463" s="69"/>
      <c r="H463" s="69"/>
      <c r="I463" s="69"/>
      <c r="J463" s="70"/>
      <c r="K463" s="69"/>
      <c r="L463" s="69"/>
      <c r="M463" s="69"/>
      <c r="N463" s="69"/>
      <c r="O463" s="2"/>
      <c r="P463" s="2"/>
      <c r="Q463" s="32"/>
      <c r="R463" s="32"/>
      <c r="S463" s="32"/>
      <c r="T463" s="3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2"/>
      <c r="C464" s="10"/>
      <c r="D464" s="10"/>
      <c r="E464" s="10"/>
      <c r="F464" s="10"/>
      <c r="G464" s="69"/>
      <c r="H464" s="69"/>
      <c r="I464" s="69"/>
      <c r="J464" s="70"/>
      <c r="K464" s="69"/>
      <c r="L464" s="69"/>
      <c r="M464" s="69"/>
      <c r="N464" s="69"/>
      <c r="O464" s="2"/>
      <c r="P464" s="2"/>
      <c r="Q464" s="32"/>
      <c r="R464" s="32"/>
      <c r="S464" s="32"/>
      <c r="T464" s="3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2"/>
      <c r="C465" s="10"/>
      <c r="D465" s="10"/>
      <c r="E465" s="10"/>
      <c r="F465" s="10"/>
      <c r="G465" s="69"/>
      <c r="H465" s="69"/>
      <c r="I465" s="69"/>
      <c r="J465" s="70"/>
      <c r="K465" s="69"/>
      <c r="L465" s="69"/>
      <c r="M465" s="69"/>
      <c r="N465" s="69"/>
      <c r="O465" s="2"/>
      <c r="P465" s="2"/>
      <c r="Q465" s="32"/>
      <c r="R465" s="32"/>
      <c r="S465" s="32"/>
      <c r="T465" s="3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2"/>
      <c r="C466" s="10"/>
      <c r="D466" s="10"/>
      <c r="E466" s="10"/>
      <c r="F466" s="10"/>
      <c r="G466" s="69"/>
      <c r="H466" s="69"/>
      <c r="I466" s="69"/>
      <c r="J466" s="70"/>
      <c r="K466" s="69"/>
      <c r="L466" s="69"/>
      <c r="M466" s="69"/>
      <c r="N466" s="69"/>
      <c r="O466" s="2"/>
      <c r="P466" s="2"/>
      <c r="Q466" s="32"/>
      <c r="R466" s="32"/>
      <c r="S466" s="32"/>
      <c r="T466" s="3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2"/>
      <c r="C467" s="10"/>
      <c r="D467" s="10"/>
      <c r="E467" s="10"/>
      <c r="F467" s="10"/>
      <c r="G467" s="69"/>
      <c r="H467" s="69"/>
      <c r="I467" s="69"/>
      <c r="J467" s="70"/>
      <c r="K467" s="69"/>
      <c r="L467" s="69"/>
      <c r="M467" s="69"/>
      <c r="N467" s="69"/>
      <c r="O467" s="2"/>
      <c r="P467" s="2"/>
      <c r="Q467" s="32"/>
      <c r="R467" s="32"/>
      <c r="S467" s="32"/>
      <c r="T467" s="3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2"/>
      <c r="C468" s="10"/>
      <c r="D468" s="10"/>
      <c r="E468" s="10"/>
      <c r="F468" s="10"/>
      <c r="G468" s="69"/>
      <c r="H468" s="69"/>
      <c r="I468" s="69"/>
      <c r="J468" s="70"/>
      <c r="K468" s="69"/>
      <c r="L468" s="69"/>
      <c r="M468" s="69"/>
      <c r="N468" s="69"/>
      <c r="O468" s="2"/>
      <c r="P468" s="2"/>
      <c r="Q468" s="32"/>
      <c r="R468" s="32"/>
      <c r="S468" s="32"/>
      <c r="T468" s="3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2"/>
      <c r="C469" s="10"/>
      <c r="D469" s="10"/>
      <c r="E469" s="10"/>
      <c r="F469" s="10"/>
      <c r="G469" s="69"/>
      <c r="H469" s="69"/>
      <c r="I469" s="69"/>
      <c r="J469" s="70"/>
      <c r="K469" s="69"/>
      <c r="L469" s="69"/>
      <c r="M469" s="69"/>
      <c r="N469" s="69"/>
      <c r="O469" s="2"/>
      <c r="P469" s="2"/>
      <c r="Q469" s="32"/>
      <c r="R469" s="32"/>
      <c r="S469" s="32"/>
      <c r="T469" s="3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2"/>
      <c r="C470" s="10"/>
      <c r="D470" s="10"/>
      <c r="E470" s="10"/>
      <c r="F470" s="10"/>
      <c r="G470" s="69"/>
      <c r="H470" s="69"/>
      <c r="I470" s="69"/>
      <c r="J470" s="70"/>
      <c r="K470" s="69"/>
      <c r="L470" s="69"/>
      <c r="M470" s="69"/>
      <c r="N470" s="69"/>
      <c r="O470" s="2"/>
      <c r="P470" s="2"/>
      <c r="Q470" s="32"/>
      <c r="R470" s="32"/>
      <c r="S470" s="32"/>
      <c r="T470" s="3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2"/>
      <c r="C471" s="10"/>
      <c r="D471" s="10"/>
      <c r="E471" s="10"/>
      <c r="F471" s="10"/>
      <c r="G471" s="69"/>
      <c r="H471" s="69"/>
      <c r="I471" s="69"/>
      <c r="J471" s="70"/>
      <c r="K471" s="69"/>
      <c r="L471" s="69"/>
      <c r="M471" s="69"/>
      <c r="N471" s="69"/>
      <c r="O471" s="2"/>
      <c r="P471" s="2"/>
      <c r="Q471" s="32"/>
      <c r="R471" s="32"/>
      <c r="S471" s="32"/>
      <c r="T471" s="3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2"/>
      <c r="C472" s="10"/>
      <c r="D472" s="10"/>
      <c r="E472" s="10"/>
      <c r="F472" s="10"/>
      <c r="G472" s="69"/>
      <c r="H472" s="69"/>
      <c r="I472" s="69"/>
      <c r="J472" s="70"/>
      <c r="K472" s="69"/>
      <c r="L472" s="69"/>
      <c r="M472" s="69"/>
      <c r="N472" s="69"/>
      <c r="O472" s="2"/>
      <c r="P472" s="2"/>
      <c r="Q472" s="32"/>
      <c r="R472" s="32"/>
      <c r="S472" s="32"/>
      <c r="T472" s="3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2"/>
      <c r="C473" s="10"/>
      <c r="D473" s="10"/>
      <c r="E473" s="10"/>
      <c r="F473" s="10"/>
      <c r="G473" s="69"/>
      <c r="H473" s="69"/>
      <c r="I473" s="69"/>
      <c r="J473" s="70"/>
      <c r="K473" s="69"/>
      <c r="L473" s="69"/>
      <c r="M473" s="69"/>
      <c r="N473" s="69"/>
      <c r="O473" s="2"/>
      <c r="P473" s="2"/>
      <c r="Q473" s="32"/>
      <c r="R473" s="32"/>
      <c r="S473" s="32"/>
      <c r="T473" s="3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2"/>
      <c r="C474" s="10"/>
      <c r="D474" s="10"/>
      <c r="E474" s="10"/>
      <c r="F474" s="10"/>
      <c r="G474" s="69"/>
      <c r="H474" s="69"/>
      <c r="I474" s="69"/>
      <c r="J474" s="70"/>
      <c r="K474" s="69"/>
      <c r="L474" s="69"/>
      <c r="M474" s="69"/>
      <c r="N474" s="69"/>
      <c r="O474" s="2"/>
      <c r="P474" s="2"/>
      <c r="Q474" s="32"/>
      <c r="R474" s="32"/>
      <c r="S474" s="32"/>
      <c r="T474" s="3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2"/>
      <c r="C475" s="10"/>
      <c r="D475" s="10"/>
      <c r="E475" s="10"/>
      <c r="F475" s="10"/>
      <c r="G475" s="69"/>
      <c r="H475" s="69"/>
      <c r="I475" s="69"/>
      <c r="J475" s="70"/>
      <c r="K475" s="69"/>
      <c r="L475" s="69"/>
      <c r="M475" s="69"/>
      <c r="N475" s="69"/>
      <c r="O475" s="2"/>
      <c r="P475" s="2"/>
      <c r="Q475" s="32"/>
      <c r="R475" s="32"/>
      <c r="S475" s="32"/>
      <c r="T475" s="3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2"/>
      <c r="C476" s="10"/>
      <c r="D476" s="10"/>
      <c r="E476" s="10"/>
      <c r="F476" s="10"/>
      <c r="G476" s="69"/>
      <c r="H476" s="69"/>
      <c r="I476" s="69"/>
      <c r="J476" s="70"/>
      <c r="K476" s="69"/>
      <c r="L476" s="69"/>
      <c r="M476" s="69"/>
      <c r="N476" s="69"/>
      <c r="O476" s="2"/>
      <c r="P476" s="2"/>
      <c r="Q476" s="32"/>
      <c r="R476" s="32"/>
      <c r="S476" s="32"/>
      <c r="T476" s="3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2"/>
      <c r="C477" s="10"/>
      <c r="D477" s="10"/>
      <c r="E477" s="10"/>
      <c r="F477" s="10"/>
      <c r="G477" s="69"/>
      <c r="H477" s="69"/>
      <c r="I477" s="69"/>
      <c r="J477" s="70"/>
      <c r="K477" s="69"/>
      <c r="L477" s="69"/>
      <c r="M477" s="69"/>
      <c r="N477" s="69"/>
      <c r="O477" s="2"/>
      <c r="P477" s="2"/>
      <c r="Q477" s="32"/>
      <c r="R477" s="32"/>
      <c r="S477" s="32"/>
      <c r="T477" s="3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2"/>
      <c r="C478" s="10"/>
      <c r="D478" s="10"/>
      <c r="E478" s="10"/>
      <c r="F478" s="10"/>
      <c r="G478" s="69"/>
      <c r="H478" s="69"/>
      <c r="I478" s="69"/>
      <c r="J478" s="70"/>
      <c r="K478" s="69"/>
      <c r="L478" s="69"/>
      <c r="M478" s="69"/>
      <c r="N478" s="69"/>
      <c r="O478" s="2"/>
      <c r="P478" s="2"/>
      <c r="Q478" s="32"/>
      <c r="R478" s="32"/>
      <c r="S478" s="32"/>
      <c r="T478" s="3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2"/>
      <c r="C479" s="10"/>
      <c r="D479" s="10"/>
      <c r="E479" s="10"/>
      <c r="F479" s="10"/>
      <c r="G479" s="69"/>
      <c r="H479" s="69"/>
      <c r="I479" s="69"/>
      <c r="J479" s="70"/>
      <c r="K479" s="69"/>
      <c r="L479" s="69"/>
      <c r="M479" s="69"/>
      <c r="N479" s="69"/>
      <c r="O479" s="2"/>
      <c r="P479" s="2"/>
      <c r="Q479" s="32"/>
      <c r="R479" s="32"/>
      <c r="S479" s="32"/>
      <c r="T479" s="3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2"/>
      <c r="C480" s="10"/>
      <c r="D480" s="10"/>
      <c r="E480" s="10"/>
      <c r="F480" s="10"/>
      <c r="G480" s="69"/>
      <c r="H480" s="69"/>
      <c r="I480" s="69"/>
      <c r="J480" s="70"/>
      <c r="K480" s="69"/>
      <c r="L480" s="69"/>
      <c r="M480" s="69"/>
      <c r="N480" s="69"/>
      <c r="O480" s="2"/>
      <c r="P480" s="2"/>
      <c r="Q480" s="32"/>
      <c r="R480" s="32"/>
      <c r="S480" s="32"/>
      <c r="T480" s="3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2"/>
      <c r="C481" s="10"/>
      <c r="D481" s="10"/>
      <c r="E481" s="10"/>
      <c r="F481" s="10"/>
      <c r="G481" s="69"/>
      <c r="H481" s="69"/>
      <c r="I481" s="69"/>
      <c r="J481" s="70"/>
      <c r="K481" s="69"/>
      <c r="L481" s="69"/>
      <c r="M481" s="69"/>
      <c r="N481" s="69"/>
      <c r="O481" s="2"/>
      <c r="P481" s="2"/>
      <c r="Q481" s="32"/>
      <c r="R481" s="32"/>
      <c r="S481" s="32"/>
      <c r="T481" s="3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2"/>
      <c r="C482" s="10"/>
      <c r="D482" s="10"/>
      <c r="E482" s="10"/>
      <c r="F482" s="10"/>
      <c r="G482" s="69"/>
      <c r="H482" s="69"/>
      <c r="I482" s="69"/>
      <c r="J482" s="70"/>
      <c r="K482" s="69"/>
      <c r="L482" s="69"/>
      <c r="M482" s="69"/>
      <c r="N482" s="69"/>
      <c r="O482" s="2"/>
      <c r="P482" s="2"/>
      <c r="Q482" s="32"/>
      <c r="R482" s="32"/>
      <c r="S482" s="32"/>
      <c r="T482" s="3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2"/>
      <c r="C483" s="10"/>
      <c r="D483" s="10"/>
      <c r="E483" s="10"/>
      <c r="F483" s="10"/>
      <c r="G483" s="69"/>
      <c r="H483" s="69"/>
      <c r="I483" s="69"/>
      <c r="J483" s="70"/>
      <c r="K483" s="69"/>
      <c r="L483" s="69"/>
      <c r="M483" s="69"/>
      <c r="N483" s="69"/>
      <c r="O483" s="2"/>
      <c r="P483" s="2"/>
      <c r="Q483" s="32"/>
      <c r="R483" s="32"/>
      <c r="S483" s="32"/>
      <c r="T483" s="3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2"/>
      <c r="C484" s="10"/>
      <c r="D484" s="10"/>
      <c r="E484" s="10"/>
      <c r="F484" s="10"/>
      <c r="G484" s="69"/>
      <c r="H484" s="69"/>
      <c r="I484" s="69"/>
      <c r="J484" s="70"/>
      <c r="K484" s="69"/>
      <c r="L484" s="69"/>
      <c r="M484" s="69"/>
      <c r="N484" s="69"/>
      <c r="O484" s="2"/>
      <c r="P484" s="2"/>
      <c r="Q484" s="32"/>
      <c r="R484" s="32"/>
      <c r="S484" s="32"/>
      <c r="T484" s="3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2"/>
      <c r="C485" s="10"/>
      <c r="D485" s="10"/>
      <c r="E485" s="10"/>
      <c r="F485" s="10"/>
      <c r="G485" s="69"/>
      <c r="H485" s="69"/>
      <c r="I485" s="69"/>
      <c r="J485" s="70"/>
      <c r="K485" s="69"/>
      <c r="L485" s="69"/>
      <c r="M485" s="69"/>
      <c r="N485" s="69"/>
      <c r="O485" s="2"/>
      <c r="P485" s="2"/>
      <c r="Q485" s="32"/>
      <c r="R485" s="32"/>
      <c r="S485" s="32"/>
      <c r="T485" s="3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2"/>
      <c r="C486" s="10"/>
      <c r="D486" s="10"/>
      <c r="E486" s="10"/>
      <c r="F486" s="10"/>
      <c r="G486" s="69"/>
      <c r="H486" s="69"/>
      <c r="I486" s="69"/>
      <c r="J486" s="70"/>
      <c r="K486" s="69"/>
      <c r="L486" s="69"/>
      <c r="M486" s="69"/>
      <c r="N486" s="69"/>
      <c r="O486" s="2"/>
      <c r="P486" s="2"/>
      <c r="Q486" s="32"/>
      <c r="R486" s="32"/>
      <c r="S486" s="32"/>
      <c r="T486" s="3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2"/>
      <c r="C487" s="10"/>
      <c r="D487" s="10"/>
      <c r="E487" s="10"/>
      <c r="F487" s="10"/>
      <c r="G487" s="69"/>
      <c r="H487" s="69"/>
      <c r="I487" s="69"/>
      <c r="J487" s="70"/>
      <c r="K487" s="69"/>
      <c r="L487" s="69"/>
      <c r="M487" s="69"/>
      <c r="N487" s="69"/>
      <c r="O487" s="2"/>
      <c r="P487" s="2"/>
      <c r="Q487" s="32"/>
      <c r="R487" s="32"/>
      <c r="S487" s="32"/>
      <c r="T487" s="3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2"/>
      <c r="C488" s="10"/>
      <c r="D488" s="10"/>
      <c r="E488" s="10"/>
      <c r="F488" s="10"/>
      <c r="G488" s="69"/>
      <c r="H488" s="69"/>
      <c r="I488" s="69"/>
      <c r="J488" s="70"/>
      <c r="K488" s="69"/>
      <c r="L488" s="69"/>
      <c r="M488" s="69"/>
      <c r="N488" s="69"/>
      <c r="O488" s="2"/>
      <c r="P488" s="2"/>
      <c r="Q488" s="32"/>
      <c r="R488" s="32"/>
      <c r="S488" s="32"/>
      <c r="T488" s="3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2"/>
      <c r="C489" s="10"/>
      <c r="D489" s="10"/>
      <c r="E489" s="10"/>
      <c r="F489" s="10"/>
      <c r="G489" s="69"/>
      <c r="H489" s="69"/>
      <c r="I489" s="69"/>
      <c r="J489" s="70"/>
      <c r="K489" s="69"/>
      <c r="L489" s="69"/>
      <c r="M489" s="69"/>
      <c r="N489" s="69"/>
      <c r="O489" s="2"/>
      <c r="P489" s="2"/>
      <c r="Q489" s="32"/>
      <c r="R489" s="32"/>
      <c r="S489" s="32"/>
      <c r="T489" s="3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2"/>
      <c r="C490" s="10"/>
      <c r="D490" s="10"/>
      <c r="E490" s="10"/>
      <c r="F490" s="10"/>
      <c r="G490" s="69"/>
      <c r="H490" s="69"/>
      <c r="I490" s="69"/>
      <c r="J490" s="70"/>
      <c r="K490" s="69"/>
      <c r="L490" s="69"/>
      <c r="M490" s="69"/>
      <c r="N490" s="69"/>
      <c r="O490" s="2"/>
      <c r="P490" s="2"/>
      <c r="Q490" s="32"/>
      <c r="R490" s="32"/>
      <c r="S490" s="32"/>
      <c r="T490" s="3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2"/>
      <c r="C491" s="10"/>
      <c r="D491" s="10"/>
      <c r="E491" s="10"/>
      <c r="F491" s="10"/>
      <c r="G491" s="69"/>
      <c r="H491" s="69"/>
      <c r="I491" s="69"/>
      <c r="J491" s="70"/>
      <c r="K491" s="69"/>
      <c r="L491" s="69"/>
      <c r="M491" s="69"/>
      <c r="N491" s="69"/>
      <c r="O491" s="2"/>
      <c r="P491" s="2"/>
      <c r="Q491" s="32"/>
      <c r="R491" s="32"/>
      <c r="S491" s="32"/>
      <c r="T491" s="3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2"/>
      <c r="C492" s="10"/>
      <c r="D492" s="10"/>
      <c r="E492" s="10"/>
      <c r="F492" s="10"/>
      <c r="G492" s="69"/>
      <c r="H492" s="69"/>
      <c r="I492" s="69"/>
      <c r="J492" s="70"/>
      <c r="K492" s="69"/>
      <c r="L492" s="69"/>
      <c r="M492" s="69"/>
      <c r="N492" s="69"/>
      <c r="O492" s="2"/>
      <c r="P492" s="2"/>
      <c r="Q492" s="32"/>
      <c r="R492" s="32"/>
      <c r="S492" s="32"/>
      <c r="T492" s="3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2"/>
      <c r="C493" s="10"/>
      <c r="D493" s="10"/>
      <c r="E493" s="10"/>
      <c r="F493" s="10"/>
      <c r="G493" s="69"/>
      <c r="H493" s="69"/>
      <c r="I493" s="69"/>
      <c r="J493" s="70"/>
      <c r="K493" s="69"/>
      <c r="L493" s="69"/>
      <c r="M493" s="69"/>
      <c r="N493" s="69"/>
      <c r="O493" s="2"/>
      <c r="P493" s="2"/>
      <c r="Q493" s="32"/>
      <c r="R493" s="32"/>
      <c r="S493" s="32"/>
      <c r="T493" s="3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2"/>
      <c r="C494" s="10"/>
      <c r="D494" s="10"/>
      <c r="E494" s="10"/>
      <c r="F494" s="10"/>
      <c r="G494" s="69"/>
      <c r="H494" s="69"/>
      <c r="I494" s="69"/>
      <c r="J494" s="70"/>
      <c r="K494" s="69"/>
      <c r="L494" s="69"/>
      <c r="M494" s="69"/>
      <c r="N494" s="69"/>
      <c r="O494" s="2"/>
      <c r="P494" s="2"/>
      <c r="Q494" s="32"/>
      <c r="R494" s="32"/>
      <c r="S494" s="32"/>
      <c r="T494" s="3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2"/>
      <c r="C495" s="10"/>
      <c r="D495" s="10"/>
      <c r="E495" s="10"/>
      <c r="F495" s="10"/>
      <c r="G495" s="69"/>
      <c r="H495" s="69"/>
      <c r="I495" s="69"/>
      <c r="J495" s="70"/>
      <c r="K495" s="69"/>
      <c r="L495" s="69"/>
      <c r="M495" s="69"/>
      <c r="N495" s="69"/>
      <c r="O495" s="2"/>
      <c r="P495" s="2"/>
      <c r="Q495" s="32"/>
      <c r="R495" s="32"/>
      <c r="S495" s="32"/>
      <c r="T495" s="3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2"/>
      <c r="C496" s="10"/>
      <c r="D496" s="10"/>
      <c r="E496" s="10"/>
      <c r="F496" s="10"/>
      <c r="G496" s="69"/>
      <c r="H496" s="69"/>
      <c r="I496" s="69"/>
      <c r="J496" s="70"/>
      <c r="K496" s="69"/>
      <c r="L496" s="69"/>
      <c r="M496" s="69"/>
      <c r="N496" s="69"/>
      <c r="O496" s="2"/>
      <c r="P496" s="2"/>
      <c r="Q496" s="32"/>
      <c r="R496" s="32"/>
      <c r="S496" s="32"/>
      <c r="T496" s="3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2"/>
      <c r="C497" s="10"/>
      <c r="D497" s="10"/>
      <c r="E497" s="10"/>
      <c r="F497" s="10"/>
      <c r="G497" s="69"/>
      <c r="H497" s="69"/>
      <c r="I497" s="69"/>
      <c r="J497" s="70"/>
      <c r="K497" s="69"/>
      <c r="L497" s="69"/>
      <c r="M497" s="69"/>
      <c r="N497" s="69"/>
      <c r="O497" s="2"/>
      <c r="P497" s="2"/>
      <c r="Q497" s="32"/>
      <c r="R497" s="32"/>
      <c r="S497" s="32"/>
      <c r="T497" s="3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2"/>
      <c r="C498" s="10"/>
      <c r="D498" s="10"/>
      <c r="E498" s="10"/>
      <c r="F498" s="10"/>
      <c r="G498" s="69"/>
      <c r="H498" s="69"/>
      <c r="I498" s="69"/>
      <c r="J498" s="70"/>
      <c r="K498" s="69"/>
      <c r="L498" s="69"/>
      <c r="M498" s="69"/>
      <c r="N498" s="69"/>
      <c r="O498" s="2"/>
      <c r="P498" s="2"/>
      <c r="Q498" s="32"/>
      <c r="R498" s="32"/>
      <c r="S498" s="32"/>
      <c r="T498" s="3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2"/>
      <c r="C499" s="10"/>
      <c r="D499" s="10"/>
      <c r="E499" s="10"/>
      <c r="F499" s="10"/>
      <c r="G499" s="69"/>
      <c r="H499" s="69"/>
      <c r="I499" s="69"/>
      <c r="J499" s="70"/>
      <c r="K499" s="69"/>
      <c r="L499" s="69"/>
      <c r="M499" s="69"/>
      <c r="N499" s="69"/>
      <c r="O499" s="2"/>
      <c r="P499" s="2"/>
      <c r="Q499" s="32"/>
      <c r="R499" s="32"/>
      <c r="S499" s="32"/>
      <c r="T499" s="3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2"/>
      <c r="C500" s="10"/>
      <c r="D500" s="10"/>
      <c r="E500" s="10"/>
      <c r="F500" s="10"/>
      <c r="G500" s="69"/>
      <c r="H500" s="69"/>
      <c r="I500" s="69"/>
      <c r="J500" s="70"/>
      <c r="K500" s="69"/>
      <c r="L500" s="69"/>
      <c r="M500" s="69"/>
      <c r="N500" s="69"/>
      <c r="O500" s="2"/>
      <c r="P500" s="2"/>
      <c r="Q500" s="32"/>
      <c r="R500" s="32"/>
      <c r="S500" s="32"/>
      <c r="T500" s="3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2"/>
      <c r="C501" s="10"/>
      <c r="D501" s="10"/>
      <c r="E501" s="10"/>
      <c r="F501" s="10"/>
      <c r="G501" s="69"/>
      <c r="H501" s="69"/>
      <c r="I501" s="69"/>
      <c r="J501" s="70"/>
      <c r="K501" s="69"/>
      <c r="L501" s="69"/>
      <c r="M501" s="69"/>
      <c r="N501" s="69"/>
      <c r="O501" s="2"/>
      <c r="P501" s="2"/>
      <c r="Q501" s="32"/>
      <c r="R501" s="32"/>
      <c r="S501" s="32"/>
      <c r="T501" s="3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2"/>
      <c r="C502" s="10"/>
      <c r="D502" s="10"/>
      <c r="E502" s="10"/>
      <c r="F502" s="10"/>
      <c r="G502" s="69"/>
      <c r="H502" s="69"/>
      <c r="I502" s="69"/>
      <c r="J502" s="70"/>
      <c r="K502" s="69"/>
      <c r="L502" s="69"/>
      <c r="M502" s="69"/>
      <c r="N502" s="69"/>
      <c r="O502" s="2"/>
      <c r="P502" s="2"/>
      <c r="Q502" s="32"/>
      <c r="R502" s="32"/>
      <c r="S502" s="32"/>
      <c r="T502" s="3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2"/>
      <c r="C503" s="10"/>
      <c r="D503" s="10"/>
      <c r="E503" s="10"/>
      <c r="F503" s="10"/>
      <c r="G503" s="69"/>
      <c r="H503" s="69"/>
      <c r="I503" s="69"/>
      <c r="J503" s="70"/>
      <c r="K503" s="69"/>
      <c r="L503" s="69"/>
      <c r="M503" s="69"/>
      <c r="N503" s="69"/>
      <c r="O503" s="2"/>
      <c r="P503" s="2"/>
      <c r="Q503" s="32"/>
      <c r="R503" s="32"/>
      <c r="S503" s="32"/>
      <c r="T503" s="3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2"/>
      <c r="C504" s="10"/>
      <c r="D504" s="10"/>
      <c r="E504" s="10"/>
      <c r="F504" s="10"/>
      <c r="G504" s="69"/>
      <c r="H504" s="69"/>
      <c r="I504" s="69"/>
      <c r="J504" s="70"/>
      <c r="K504" s="69"/>
      <c r="L504" s="69"/>
      <c r="M504" s="69"/>
      <c r="N504" s="69"/>
      <c r="O504" s="2"/>
      <c r="P504" s="2"/>
      <c r="Q504" s="32"/>
      <c r="R504" s="32"/>
      <c r="S504" s="32"/>
      <c r="T504" s="3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2"/>
      <c r="C505" s="10"/>
      <c r="D505" s="10"/>
      <c r="E505" s="10"/>
      <c r="F505" s="10"/>
      <c r="G505" s="69"/>
      <c r="H505" s="69"/>
      <c r="I505" s="69"/>
      <c r="J505" s="70"/>
      <c r="K505" s="69"/>
      <c r="L505" s="69"/>
      <c r="M505" s="69"/>
      <c r="N505" s="69"/>
      <c r="O505" s="2"/>
      <c r="P505" s="2"/>
      <c r="Q505" s="32"/>
      <c r="R505" s="32"/>
      <c r="S505" s="32"/>
      <c r="T505" s="3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2"/>
      <c r="C506" s="10"/>
      <c r="D506" s="10"/>
      <c r="E506" s="10"/>
      <c r="F506" s="10"/>
      <c r="G506" s="69"/>
      <c r="H506" s="69"/>
      <c r="I506" s="69"/>
      <c r="J506" s="70"/>
      <c r="K506" s="69"/>
      <c r="L506" s="69"/>
      <c r="M506" s="69"/>
      <c r="N506" s="69"/>
      <c r="O506" s="2"/>
      <c r="P506" s="2"/>
      <c r="Q506" s="32"/>
      <c r="R506" s="32"/>
      <c r="S506" s="32"/>
      <c r="T506" s="3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2"/>
      <c r="C507" s="10"/>
      <c r="D507" s="10"/>
      <c r="E507" s="10"/>
      <c r="F507" s="10"/>
      <c r="G507" s="69"/>
      <c r="H507" s="69"/>
      <c r="I507" s="69"/>
      <c r="J507" s="70"/>
      <c r="K507" s="69"/>
      <c r="L507" s="69"/>
      <c r="M507" s="69"/>
      <c r="N507" s="69"/>
      <c r="O507" s="2"/>
      <c r="P507" s="2"/>
      <c r="Q507" s="32"/>
      <c r="R507" s="32"/>
      <c r="S507" s="32"/>
      <c r="T507" s="3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2"/>
      <c r="C508" s="10"/>
      <c r="D508" s="10"/>
      <c r="E508" s="10"/>
      <c r="F508" s="10"/>
      <c r="G508" s="69"/>
      <c r="H508" s="69"/>
      <c r="I508" s="69"/>
      <c r="J508" s="70"/>
      <c r="K508" s="69"/>
      <c r="L508" s="69"/>
      <c r="M508" s="69"/>
      <c r="N508" s="69"/>
      <c r="O508" s="2"/>
      <c r="P508" s="2"/>
      <c r="Q508" s="32"/>
      <c r="R508" s="32"/>
      <c r="S508" s="32"/>
      <c r="T508" s="3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2"/>
      <c r="C509" s="10"/>
      <c r="D509" s="10"/>
      <c r="E509" s="10"/>
      <c r="F509" s="10"/>
      <c r="G509" s="69"/>
      <c r="H509" s="69"/>
      <c r="I509" s="69"/>
      <c r="J509" s="70"/>
      <c r="K509" s="69"/>
      <c r="L509" s="69"/>
      <c r="M509" s="69"/>
      <c r="N509" s="69"/>
      <c r="O509" s="2"/>
      <c r="P509" s="2"/>
      <c r="Q509" s="32"/>
      <c r="R509" s="32"/>
      <c r="S509" s="32"/>
      <c r="T509" s="3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2"/>
      <c r="C510" s="10"/>
      <c r="D510" s="10"/>
      <c r="E510" s="10"/>
      <c r="F510" s="10"/>
      <c r="G510" s="69"/>
      <c r="H510" s="69"/>
      <c r="I510" s="69"/>
      <c r="J510" s="70"/>
      <c r="K510" s="69"/>
      <c r="L510" s="69"/>
      <c r="M510" s="69"/>
      <c r="N510" s="69"/>
      <c r="O510" s="2"/>
      <c r="P510" s="2"/>
      <c r="Q510" s="32"/>
      <c r="R510" s="32"/>
      <c r="S510" s="32"/>
      <c r="T510" s="3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2"/>
      <c r="C511" s="10"/>
      <c r="D511" s="10"/>
      <c r="E511" s="10"/>
      <c r="F511" s="10"/>
      <c r="G511" s="69"/>
      <c r="H511" s="69"/>
      <c r="I511" s="69"/>
      <c r="J511" s="70"/>
      <c r="K511" s="69"/>
      <c r="L511" s="69"/>
      <c r="M511" s="69"/>
      <c r="N511" s="69"/>
      <c r="O511" s="2"/>
      <c r="P511" s="2"/>
      <c r="Q511" s="32"/>
      <c r="R511" s="32"/>
      <c r="S511" s="32"/>
      <c r="T511" s="3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2"/>
      <c r="C512" s="10"/>
      <c r="D512" s="10"/>
      <c r="E512" s="10"/>
      <c r="F512" s="10"/>
      <c r="G512" s="69"/>
      <c r="H512" s="69"/>
      <c r="I512" s="69"/>
      <c r="J512" s="70"/>
      <c r="K512" s="69"/>
      <c r="L512" s="69"/>
      <c r="M512" s="69"/>
      <c r="N512" s="69"/>
      <c r="O512" s="2"/>
      <c r="P512" s="2"/>
      <c r="Q512" s="32"/>
      <c r="R512" s="32"/>
      <c r="S512" s="32"/>
      <c r="T512" s="3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2"/>
      <c r="C513" s="10"/>
      <c r="D513" s="10"/>
      <c r="E513" s="10"/>
      <c r="F513" s="10"/>
      <c r="G513" s="69"/>
      <c r="H513" s="69"/>
      <c r="I513" s="69"/>
      <c r="J513" s="70"/>
      <c r="K513" s="69"/>
      <c r="L513" s="69"/>
      <c r="M513" s="69"/>
      <c r="N513" s="69"/>
      <c r="O513" s="2"/>
      <c r="P513" s="2"/>
      <c r="Q513" s="32"/>
      <c r="R513" s="32"/>
      <c r="S513" s="32"/>
      <c r="T513" s="3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2"/>
      <c r="C514" s="10"/>
      <c r="D514" s="10"/>
      <c r="E514" s="10"/>
      <c r="F514" s="10"/>
      <c r="G514" s="69"/>
      <c r="H514" s="69"/>
      <c r="I514" s="69"/>
      <c r="J514" s="70"/>
      <c r="K514" s="69"/>
      <c r="L514" s="69"/>
      <c r="M514" s="69"/>
      <c r="N514" s="69"/>
      <c r="O514" s="2"/>
      <c r="P514" s="2"/>
      <c r="Q514" s="32"/>
      <c r="R514" s="32"/>
      <c r="S514" s="32"/>
      <c r="T514" s="3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2"/>
      <c r="C515" s="10"/>
      <c r="D515" s="10"/>
      <c r="E515" s="10"/>
      <c r="F515" s="10"/>
      <c r="G515" s="69"/>
      <c r="H515" s="69"/>
      <c r="I515" s="69"/>
      <c r="J515" s="70"/>
      <c r="K515" s="69"/>
      <c r="L515" s="69"/>
      <c r="M515" s="69"/>
      <c r="N515" s="69"/>
      <c r="O515" s="2"/>
      <c r="P515" s="2"/>
      <c r="Q515" s="32"/>
      <c r="R515" s="32"/>
      <c r="S515" s="32"/>
      <c r="T515" s="3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2"/>
      <c r="C516" s="10"/>
      <c r="D516" s="10"/>
      <c r="E516" s="10"/>
      <c r="F516" s="10"/>
      <c r="G516" s="69"/>
      <c r="H516" s="69"/>
      <c r="I516" s="69"/>
      <c r="J516" s="70"/>
      <c r="K516" s="69"/>
      <c r="L516" s="69"/>
      <c r="M516" s="69"/>
      <c r="N516" s="69"/>
      <c r="O516" s="2"/>
      <c r="P516" s="2"/>
      <c r="Q516" s="32"/>
      <c r="R516" s="32"/>
      <c r="S516" s="32"/>
      <c r="T516" s="3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2"/>
      <c r="C517" s="10"/>
      <c r="D517" s="10"/>
      <c r="E517" s="10"/>
      <c r="F517" s="10"/>
      <c r="G517" s="69"/>
      <c r="H517" s="69"/>
      <c r="I517" s="69"/>
      <c r="J517" s="70"/>
      <c r="K517" s="69"/>
      <c r="L517" s="69"/>
      <c r="M517" s="69"/>
      <c r="N517" s="69"/>
      <c r="O517" s="2"/>
      <c r="P517" s="2"/>
      <c r="Q517" s="32"/>
      <c r="R517" s="32"/>
      <c r="S517" s="32"/>
      <c r="T517" s="3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2"/>
      <c r="C518" s="10"/>
      <c r="D518" s="10"/>
      <c r="E518" s="10"/>
      <c r="F518" s="10"/>
      <c r="G518" s="69"/>
      <c r="H518" s="69"/>
      <c r="I518" s="69"/>
      <c r="J518" s="70"/>
      <c r="K518" s="69"/>
      <c r="L518" s="69"/>
      <c r="M518" s="69"/>
      <c r="N518" s="69"/>
      <c r="O518" s="2"/>
      <c r="P518" s="2"/>
      <c r="Q518" s="32"/>
      <c r="R518" s="32"/>
      <c r="S518" s="32"/>
      <c r="T518" s="3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2"/>
      <c r="C519" s="10"/>
      <c r="D519" s="10"/>
      <c r="E519" s="10"/>
      <c r="F519" s="10"/>
      <c r="G519" s="69"/>
      <c r="H519" s="69"/>
      <c r="I519" s="69"/>
      <c r="J519" s="70"/>
      <c r="K519" s="69"/>
      <c r="L519" s="69"/>
      <c r="M519" s="69"/>
      <c r="N519" s="69"/>
      <c r="O519" s="2"/>
      <c r="P519" s="2"/>
      <c r="Q519" s="32"/>
      <c r="R519" s="32"/>
      <c r="S519" s="32"/>
      <c r="T519" s="3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2"/>
      <c r="C520" s="10"/>
      <c r="D520" s="10"/>
      <c r="E520" s="10"/>
      <c r="F520" s="10"/>
      <c r="G520" s="69"/>
      <c r="H520" s="69"/>
      <c r="I520" s="69"/>
      <c r="J520" s="70"/>
      <c r="K520" s="69"/>
      <c r="L520" s="69"/>
      <c r="M520" s="69"/>
      <c r="N520" s="69"/>
      <c r="O520" s="2"/>
      <c r="P520" s="2"/>
      <c r="Q520" s="32"/>
      <c r="R520" s="32"/>
      <c r="S520" s="32"/>
      <c r="T520" s="3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2"/>
      <c r="C521" s="10"/>
      <c r="D521" s="10"/>
      <c r="E521" s="10"/>
      <c r="F521" s="10"/>
      <c r="G521" s="69"/>
      <c r="H521" s="69"/>
      <c r="I521" s="69"/>
      <c r="J521" s="70"/>
      <c r="K521" s="69"/>
      <c r="L521" s="69"/>
      <c r="M521" s="69"/>
      <c r="N521" s="69"/>
      <c r="O521" s="2"/>
      <c r="P521" s="2"/>
      <c r="Q521" s="32"/>
      <c r="R521" s="32"/>
      <c r="S521" s="32"/>
      <c r="T521" s="3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2"/>
      <c r="C522" s="10"/>
      <c r="D522" s="10"/>
      <c r="E522" s="10"/>
      <c r="F522" s="10"/>
      <c r="G522" s="69"/>
      <c r="H522" s="69"/>
      <c r="I522" s="69"/>
      <c r="J522" s="70"/>
      <c r="K522" s="69"/>
      <c r="L522" s="69"/>
      <c r="M522" s="69"/>
      <c r="N522" s="69"/>
      <c r="O522" s="2"/>
      <c r="P522" s="2"/>
      <c r="Q522" s="32"/>
      <c r="R522" s="32"/>
      <c r="S522" s="32"/>
      <c r="T522" s="3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2"/>
      <c r="C523" s="10"/>
      <c r="D523" s="10"/>
      <c r="E523" s="10"/>
      <c r="F523" s="10"/>
      <c r="G523" s="69"/>
      <c r="H523" s="69"/>
      <c r="I523" s="69"/>
      <c r="J523" s="70"/>
      <c r="K523" s="69"/>
      <c r="L523" s="69"/>
      <c r="M523" s="69"/>
      <c r="N523" s="69"/>
      <c r="O523" s="2"/>
      <c r="P523" s="2"/>
      <c r="Q523" s="32"/>
      <c r="R523" s="32"/>
      <c r="S523" s="32"/>
      <c r="T523" s="3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2"/>
      <c r="C524" s="10"/>
      <c r="D524" s="10"/>
      <c r="E524" s="10"/>
      <c r="F524" s="10"/>
      <c r="G524" s="69"/>
      <c r="H524" s="69"/>
      <c r="I524" s="69"/>
      <c r="J524" s="70"/>
      <c r="K524" s="69"/>
      <c r="L524" s="69"/>
      <c r="M524" s="69"/>
      <c r="N524" s="69"/>
      <c r="O524" s="2"/>
      <c r="P524" s="2"/>
      <c r="Q524" s="32"/>
      <c r="R524" s="32"/>
      <c r="S524" s="32"/>
      <c r="T524" s="3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2"/>
      <c r="C525" s="10"/>
      <c r="D525" s="10"/>
      <c r="E525" s="10"/>
      <c r="F525" s="10"/>
      <c r="G525" s="69"/>
      <c r="H525" s="69"/>
      <c r="I525" s="69"/>
      <c r="J525" s="70"/>
      <c r="K525" s="69"/>
      <c r="L525" s="69"/>
      <c r="M525" s="69"/>
      <c r="N525" s="69"/>
      <c r="O525" s="2"/>
      <c r="P525" s="2"/>
      <c r="Q525" s="32"/>
      <c r="R525" s="32"/>
      <c r="S525" s="32"/>
      <c r="T525" s="3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2"/>
      <c r="C526" s="10"/>
      <c r="D526" s="10"/>
      <c r="E526" s="10"/>
      <c r="F526" s="10"/>
      <c r="G526" s="69"/>
      <c r="H526" s="69"/>
      <c r="I526" s="69"/>
      <c r="J526" s="70"/>
      <c r="K526" s="69"/>
      <c r="L526" s="69"/>
      <c r="M526" s="69"/>
      <c r="N526" s="69"/>
      <c r="O526" s="2"/>
      <c r="P526" s="2"/>
      <c r="Q526" s="32"/>
      <c r="R526" s="32"/>
      <c r="S526" s="32"/>
      <c r="T526" s="3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2"/>
      <c r="C527" s="10"/>
      <c r="D527" s="10"/>
      <c r="E527" s="10"/>
      <c r="F527" s="10"/>
      <c r="G527" s="69"/>
      <c r="H527" s="69"/>
      <c r="I527" s="69"/>
      <c r="J527" s="70"/>
      <c r="K527" s="69"/>
      <c r="L527" s="69"/>
      <c r="M527" s="69"/>
      <c r="N527" s="69"/>
      <c r="O527" s="2"/>
      <c r="P527" s="2"/>
      <c r="Q527" s="32"/>
      <c r="R527" s="32"/>
      <c r="S527" s="32"/>
      <c r="T527" s="3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2"/>
      <c r="C528" s="10"/>
      <c r="D528" s="10"/>
      <c r="E528" s="10"/>
      <c r="F528" s="10"/>
      <c r="G528" s="69"/>
      <c r="H528" s="69"/>
      <c r="I528" s="69"/>
      <c r="J528" s="70"/>
      <c r="K528" s="69"/>
      <c r="L528" s="69"/>
      <c r="M528" s="69"/>
      <c r="N528" s="69"/>
      <c r="O528" s="2"/>
      <c r="P528" s="2"/>
      <c r="Q528" s="32"/>
      <c r="R528" s="32"/>
      <c r="S528" s="32"/>
      <c r="T528" s="3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2"/>
      <c r="C529" s="10"/>
      <c r="D529" s="10"/>
      <c r="E529" s="10"/>
      <c r="F529" s="10"/>
      <c r="G529" s="69"/>
      <c r="H529" s="69"/>
      <c r="I529" s="69"/>
      <c r="J529" s="70"/>
      <c r="K529" s="69"/>
      <c r="L529" s="69"/>
      <c r="M529" s="69"/>
      <c r="N529" s="69"/>
      <c r="O529" s="2"/>
      <c r="P529" s="2"/>
      <c r="Q529" s="32"/>
      <c r="R529" s="32"/>
      <c r="S529" s="32"/>
      <c r="T529" s="3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2"/>
      <c r="C530" s="10"/>
      <c r="D530" s="10"/>
      <c r="E530" s="10"/>
      <c r="F530" s="10"/>
      <c r="G530" s="69"/>
      <c r="H530" s="69"/>
      <c r="I530" s="69"/>
      <c r="J530" s="70"/>
      <c r="K530" s="69"/>
      <c r="L530" s="69"/>
      <c r="M530" s="69"/>
      <c r="N530" s="69"/>
      <c r="O530" s="2"/>
      <c r="P530" s="2"/>
      <c r="Q530" s="32"/>
      <c r="R530" s="32"/>
      <c r="S530" s="32"/>
      <c r="T530" s="3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2"/>
      <c r="C531" s="10"/>
      <c r="D531" s="10"/>
      <c r="E531" s="10"/>
      <c r="F531" s="10"/>
      <c r="G531" s="69"/>
      <c r="H531" s="69"/>
      <c r="I531" s="69"/>
      <c r="J531" s="70"/>
      <c r="K531" s="69"/>
      <c r="L531" s="69"/>
      <c r="M531" s="69"/>
      <c r="N531" s="69"/>
      <c r="O531" s="2"/>
      <c r="P531" s="2"/>
      <c r="Q531" s="32"/>
      <c r="R531" s="32"/>
      <c r="S531" s="32"/>
      <c r="T531" s="3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2"/>
      <c r="C532" s="10"/>
      <c r="D532" s="10"/>
      <c r="E532" s="10"/>
      <c r="F532" s="10"/>
      <c r="G532" s="69"/>
      <c r="H532" s="69"/>
      <c r="I532" s="69"/>
      <c r="J532" s="70"/>
      <c r="K532" s="69"/>
      <c r="L532" s="69"/>
      <c r="M532" s="69"/>
      <c r="N532" s="69"/>
      <c r="O532" s="2"/>
      <c r="P532" s="2"/>
      <c r="Q532" s="32"/>
      <c r="R532" s="32"/>
      <c r="S532" s="32"/>
      <c r="T532" s="3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2"/>
      <c r="C533" s="10"/>
      <c r="D533" s="10"/>
      <c r="E533" s="10"/>
      <c r="F533" s="10"/>
      <c r="G533" s="69"/>
      <c r="H533" s="69"/>
      <c r="I533" s="69"/>
      <c r="J533" s="70"/>
      <c r="K533" s="69"/>
      <c r="L533" s="69"/>
      <c r="M533" s="69"/>
      <c r="N533" s="69"/>
      <c r="O533" s="2"/>
      <c r="P533" s="2"/>
      <c r="Q533" s="32"/>
      <c r="R533" s="32"/>
      <c r="S533" s="32"/>
      <c r="T533" s="3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2"/>
      <c r="C534" s="10"/>
      <c r="D534" s="10"/>
      <c r="E534" s="10"/>
      <c r="F534" s="10"/>
      <c r="G534" s="69"/>
      <c r="H534" s="69"/>
      <c r="I534" s="69"/>
      <c r="J534" s="70"/>
      <c r="K534" s="69"/>
      <c r="L534" s="69"/>
      <c r="M534" s="69"/>
      <c r="N534" s="69"/>
      <c r="O534" s="2"/>
      <c r="P534" s="2"/>
      <c r="Q534" s="32"/>
      <c r="R534" s="32"/>
      <c r="S534" s="32"/>
      <c r="T534" s="3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2"/>
      <c r="C535" s="10"/>
      <c r="D535" s="10"/>
      <c r="E535" s="10"/>
      <c r="F535" s="10"/>
      <c r="G535" s="69"/>
      <c r="H535" s="69"/>
      <c r="I535" s="69"/>
      <c r="J535" s="70"/>
      <c r="K535" s="69"/>
      <c r="L535" s="69"/>
      <c r="M535" s="69"/>
      <c r="N535" s="69"/>
      <c r="O535" s="2"/>
      <c r="P535" s="2"/>
      <c r="Q535" s="32"/>
      <c r="R535" s="32"/>
      <c r="S535" s="32"/>
      <c r="T535" s="3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2"/>
      <c r="C536" s="10"/>
      <c r="D536" s="10"/>
      <c r="E536" s="10"/>
      <c r="F536" s="10"/>
      <c r="G536" s="69"/>
      <c r="H536" s="69"/>
      <c r="I536" s="69"/>
      <c r="J536" s="70"/>
      <c r="K536" s="69"/>
      <c r="L536" s="69"/>
      <c r="M536" s="69"/>
      <c r="N536" s="69"/>
      <c r="O536" s="2"/>
      <c r="P536" s="2"/>
      <c r="Q536" s="32"/>
      <c r="R536" s="32"/>
      <c r="S536" s="32"/>
      <c r="T536" s="3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2"/>
      <c r="C537" s="10"/>
      <c r="D537" s="10"/>
      <c r="E537" s="10"/>
      <c r="F537" s="10"/>
      <c r="G537" s="69"/>
      <c r="H537" s="69"/>
      <c r="I537" s="69"/>
      <c r="J537" s="70"/>
      <c r="K537" s="69"/>
      <c r="L537" s="69"/>
      <c r="M537" s="69"/>
      <c r="N537" s="69"/>
      <c r="O537" s="2"/>
      <c r="P537" s="2"/>
      <c r="Q537" s="32"/>
      <c r="R537" s="32"/>
      <c r="S537" s="32"/>
      <c r="T537" s="3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2"/>
      <c r="C538" s="10"/>
      <c r="D538" s="10"/>
      <c r="E538" s="10"/>
      <c r="F538" s="10"/>
      <c r="G538" s="69"/>
      <c r="H538" s="69"/>
      <c r="I538" s="69"/>
      <c r="J538" s="70"/>
      <c r="K538" s="69"/>
      <c r="L538" s="69"/>
      <c r="M538" s="69"/>
      <c r="N538" s="69"/>
      <c r="O538" s="2"/>
      <c r="P538" s="2"/>
      <c r="Q538" s="32"/>
      <c r="R538" s="32"/>
      <c r="S538" s="32"/>
      <c r="T538" s="3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2"/>
      <c r="C539" s="10"/>
      <c r="D539" s="10"/>
      <c r="E539" s="10"/>
      <c r="F539" s="10"/>
      <c r="G539" s="69"/>
      <c r="H539" s="69"/>
      <c r="I539" s="69"/>
      <c r="J539" s="70"/>
      <c r="K539" s="69"/>
      <c r="L539" s="69"/>
      <c r="M539" s="69"/>
      <c r="N539" s="69"/>
      <c r="O539" s="2"/>
      <c r="P539" s="2"/>
      <c r="Q539" s="32"/>
      <c r="R539" s="32"/>
      <c r="S539" s="32"/>
      <c r="T539" s="3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2"/>
      <c r="C540" s="10"/>
      <c r="D540" s="10"/>
      <c r="E540" s="10"/>
      <c r="F540" s="10"/>
      <c r="G540" s="69"/>
      <c r="H540" s="69"/>
      <c r="I540" s="69"/>
      <c r="J540" s="70"/>
      <c r="K540" s="69"/>
      <c r="L540" s="69"/>
      <c r="M540" s="69"/>
      <c r="N540" s="69"/>
      <c r="O540" s="2"/>
      <c r="P540" s="2"/>
      <c r="Q540" s="32"/>
      <c r="R540" s="32"/>
      <c r="S540" s="32"/>
      <c r="T540" s="3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2"/>
      <c r="C541" s="10"/>
      <c r="D541" s="10"/>
      <c r="E541" s="10"/>
      <c r="F541" s="10"/>
      <c r="G541" s="69"/>
      <c r="H541" s="69"/>
      <c r="I541" s="69"/>
      <c r="J541" s="70"/>
      <c r="K541" s="69"/>
      <c r="L541" s="69"/>
      <c r="M541" s="69"/>
      <c r="N541" s="69"/>
      <c r="O541" s="2"/>
      <c r="P541" s="2"/>
      <c r="Q541" s="32"/>
      <c r="R541" s="32"/>
      <c r="S541" s="32"/>
      <c r="T541" s="3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2"/>
      <c r="C542" s="10"/>
      <c r="D542" s="10"/>
      <c r="E542" s="10"/>
      <c r="F542" s="10"/>
      <c r="G542" s="69"/>
      <c r="H542" s="69"/>
      <c r="I542" s="69"/>
      <c r="J542" s="70"/>
      <c r="K542" s="69"/>
      <c r="L542" s="69"/>
      <c r="M542" s="69"/>
      <c r="N542" s="69"/>
      <c r="O542" s="2"/>
      <c r="P542" s="2"/>
      <c r="Q542" s="32"/>
      <c r="R542" s="32"/>
      <c r="S542" s="32"/>
      <c r="T542" s="3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2"/>
      <c r="C543" s="10"/>
      <c r="D543" s="10"/>
      <c r="E543" s="10"/>
      <c r="F543" s="10"/>
      <c r="G543" s="69"/>
      <c r="H543" s="69"/>
      <c r="I543" s="69"/>
      <c r="J543" s="70"/>
      <c r="K543" s="69"/>
      <c r="L543" s="69"/>
      <c r="M543" s="69"/>
      <c r="N543" s="69"/>
      <c r="O543" s="2"/>
      <c r="P543" s="2"/>
      <c r="Q543" s="32"/>
      <c r="R543" s="32"/>
      <c r="S543" s="32"/>
      <c r="T543" s="3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2"/>
      <c r="C544" s="10"/>
      <c r="D544" s="10"/>
      <c r="E544" s="10"/>
      <c r="F544" s="10"/>
      <c r="G544" s="69"/>
      <c r="H544" s="69"/>
      <c r="I544" s="69"/>
      <c r="J544" s="70"/>
      <c r="K544" s="69"/>
      <c r="L544" s="69"/>
      <c r="M544" s="69"/>
      <c r="N544" s="69"/>
      <c r="O544" s="2"/>
      <c r="P544" s="2"/>
      <c r="Q544" s="32"/>
      <c r="R544" s="32"/>
      <c r="S544" s="32"/>
      <c r="T544" s="3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2"/>
      <c r="C545" s="10"/>
      <c r="D545" s="10"/>
      <c r="E545" s="10"/>
      <c r="F545" s="10"/>
      <c r="G545" s="69"/>
      <c r="H545" s="69"/>
      <c r="I545" s="69"/>
      <c r="J545" s="70"/>
      <c r="K545" s="69"/>
      <c r="L545" s="69"/>
      <c r="M545" s="69"/>
      <c r="N545" s="69"/>
      <c r="O545" s="2"/>
      <c r="P545" s="2"/>
      <c r="Q545" s="32"/>
      <c r="R545" s="32"/>
      <c r="S545" s="32"/>
      <c r="T545" s="3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2"/>
      <c r="C546" s="10"/>
      <c r="D546" s="10"/>
      <c r="E546" s="10"/>
      <c r="F546" s="10"/>
      <c r="G546" s="69"/>
      <c r="H546" s="69"/>
      <c r="I546" s="69"/>
      <c r="J546" s="70"/>
      <c r="K546" s="69"/>
      <c r="L546" s="69"/>
      <c r="M546" s="69"/>
      <c r="N546" s="69"/>
      <c r="O546" s="2"/>
      <c r="P546" s="2"/>
      <c r="Q546" s="32"/>
      <c r="R546" s="32"/>
      <c r="S546" s="32"/>
      <c r="T546" s="3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2"/>
      <c r="C547" s="10"/>
      <c r="D547" s="10"/>
      <c r="E547" s="10"/>
      <c r="F547" s="10"/>
      <c r="G547" s="69"/>
      <c r="H547" s="69"/>
      <c r="I547" s="69"/>
      <c r="J547" s="70"/>
      <c r="K547" s="69"/>
      <c r="L547" s="69"/>
      <c r="M547" s="69"/>
      <c r="N547" s="69"/>
      <c r="O547" s="2"/>
      <c r="P547" s="2"/>
      <c r="Q547" s="32"/>
      <c r="R547" s="32"/>
      <c r="S547" s="32"/>
      <c r="T547" s="3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2"/>
      <c r="C548" s="10"/>
      <c r="D548" s="10"/>
      <c r="E548" s="10"/>
      <c r="F548" s="10"/>
      <c r="G548" s="69"/>
      <c r="H548" s="69"/>
      <c r="I548" s="69"/>
      <c r="J548" s="70"/>
      <c r="K548" s="69"/>
      <c r="L548" s="69"/>
      <c r="M548" s="69"/>
      <c r="N548" s="69"/>
      <c r="O548" s="2"/>
      <c r="P548" s="2"/>
      <c r="Q548" s="32"/>
      <c r="R548" s="32"/>
      <c r="S548" s="32"/>
      <c r="T548" s="3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2"/>
      <c r="C549" s="10"/>
      <c r="D549" s="10"/>
      <c r="E549" s="10"/>
      <c r="F549" s="10"/>
      <c r="G549" s="69"/>
      <c r="H549" s="69"/>
      <c r="I549" s="69"/>
      <c r="J549" s="70"/>
      <c r="K549" s="69"/>
      <c r="L549" s="69"/>
      <c r="M549" s="69"/>
      <c r="N549" s="69"/>
      <c r="O549" s="2"/>
      <c r="P549" s="2"/>
      <c r="Q549" s="32"/>
      <c r="R549" s="32"/>
      <c r="S549" s="32"/>
      <c r="T549" s="3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2"/>
      <c r="C550" s="10"/>
      <c r="D550" s="10"/>
      <c r="E550" s="10"/>
      <c r="F550" s="10"/>
      <c r="G550" s="69"/>
      <c r="H550" s="69"/>
      <c r="I550" s="69"/>
      <c r="J550" s="70"/>
      <c r="K550" s="69"/>
      <c r="L550" s="69"/>
      <c r="M550" s="69"/>
      <c r="N550" s="69"/>
      <c r="O550" s="2"/>
      <c r="P550" s="2"/>
      <c r="Q550" s="32"/>
      <c r="R550" s="32"/>
      <c r="S550" s="32"/>
      <c r="T550" s="3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2"/>
      <c r="C551" s="10"/>
      <c r="D551" s="10"/>
      <c r="E551" s="10"/>
      <c r="F551" s="10"/>
      <c r="G551" s="69"/>
      <c r="H551" s="69"/>
      <c r="I551" s="69"/>
      <c r="J551" s="70"/>
      <c r="K551" s="69"/>
      <c r="L551" s="69"/>
      <c r="M551" s="69"/>
      <c r="N551" s="69"/>
      <c r="O551" s="2"/>
      <c r="P551" s="2"/>
      <c r="Q551" s="32"/>
      <c r="R551" s="32"/>
      <c r="S551" s="32"/>
      <c r="T551" s="3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2"/>
      <c r="C552" s="10"/>
      <c r="D552" s="10"/>
      <c r="E552" s="10"/>
      <c r="F552" s="10"/>
      <c r="G552" s="69"/>
      <c r="H552" s="69"/>
      <c r="I552" s="69"/>
      <c r="J552" s="70"/>
      <c r="K552" s="69"/>
      <c r="L552" s="69"/>
      <c r="M552" s="69"/>
      <c r="N552" s="69"/>
      <c r="O552" s="2"/>
      <c r="P552" s="2"/>
      <c r="Q552" s="32"/>
      <c r="R552" s="32"/>
      <c r="S552" s="32"/>
      <c r="T552" s="3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2"/>
      <c r="C553" s="10"/>
      <c r="D553" s="10"/>
      <c r="E553" s="10"/>
      <c r="F553" s="10"/>
      <c r="G553" s="69"/>
      <c r="H553" s="69"/>
      <c r="I553" s="69"/>
      <c r="J553" s="70"/>
      <c r="K553" s="69"/>
      <c r="L553" s="69"/>
      <c r="M553" s="69"/>
      <c r="N553" s="69"/>
      <c r="O553" s="2"/>
      <c r="P553" s="2"/>
      <c r="Q553" s="32"/>
      <c r="R553" s="32"/>
      <c r="S553" s="32"/>
      <c r="T553" s="3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2"/>
      <c r="C554" s="10"/>
      <c r="D554" s="10"/>
      <c r="E554" s="10"/>
      <c r="F554" s="10"/>
      <c r="G554" s="69"/>
      <c r="H554" s="69"/>
      <c r="I554" s="69"/>
      <c r="J554" s="70"/>
      <c r="K554" s="69"/>
      <c r="L554" s="69"/>
      <c r="M554" s="69"/>
      <c r="N554" s="69"/>
      <c r="O554" s="2"/>
      <c r="P554" s="2"/>
      <c r="Q554" s="32"/>
      <c r="R554" s="32"/>
      <c r="S554" s="32"/>
      <c r="T554" s="3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2"/>
      <c r="C555" s="10"/>
      <c r="D555" s="10"/>
      <c r="E555" s="10"/>
      <c r="F555" s="10"/>
      <c r="G555" s="69"/>
      <c r="H555" s="69"/>
      <c r="I555" s="69"/>
      <c r="J555" s="70"/>
      <c r="K555" s="69"/>
      <c r="L555" s="69"/>
      <c r="M555" s="69"/>
      <c r="N555" s="69"/>
      <c r="O555" s="2"/>
      <c r="P555" s="2"/>
      <c r="Q555" s="32"/>
      <c r="R555" s="32"/>
      <c r="S555" s="32"/>
      <c r="T555" s="3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2"/>
      <c r="C556" s="10"/>
      <c r="D556" s="10"/>
      <c r="E556" s="10"/>
      <c r="F556" s="10"/>
      <c r="G556" s="69"/>
      <c r="H556" s="69"/>
      <c r="I556" s="69"/>
      <c r="J556" s="70"/>
      <c r="K556" s="69"/>
      <c r="L556" s="69"/>
      <c r="M556" s="69"/>
      <c r="N556" s="69"/>
      <c r="O556" s="2"/>
      <c r="P556" s="2"/>
      <c r="Q556" s="32"/>
      <c r="R556" s="32"/>
      <c r="S556" s="32"/>
      <c r="T556" s="3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2"/>
      <c r="C557" s="10"/>
      <c r="D557" s="10"/>
      <c r="E557" s="10"/>
      <c r="F557" s="10"/>
      <c r="G557" s="69"/>
      <c r="H557" s="69"/>
      <c r="I557" s="69"/>
      <c r="J557" s="70"/>
      <c r="K557" s="69"/>
      <c r="L557" s="69"/>
      <c r="M557" s="69"/>
      <c r="N557" s="69"/>
      <c r="O557" s="2"/>
      <c r="P557" s="2"/>
      <c r="Q557" s="32"/>
      <c r="R557" s="32"/>
      <c r="S557" s="32"/>
      <c r="T557" s="3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2"/>
      <c r="C558" s="10"/>
      <c r="D558" s="10"/>
      <c r="E558" s="10"/>
      <c r="F558" s="10"/>
      <c r="G558" s="69"/>
      <c r="H558" s="69"/>
      <c r="I558" s="69"/>
      <c r="J558" s="70"/>
      <c r="K558" s="69"/>
      <c r="L558" s="69"/>
      <c r="M558" s="69"/>
      <c r="N558" s="69"/>
      <c r="O558" s="2"/>
      <c r="P558" s="2"/>
      <c r="Q558" s="32"/>
      <c r="R558" s="32"/>
      <c r="S558" s="32"/>
      <c r="T558" s="3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2"/>
      <c r="C559" s="10"/>
      <c r="D559" s="10"/>
      <c r="E559" s="10"/>
      <c r="F559" s="10"/>
      <c r="G559" s="69"/>
      <c r="H559" s="69"/>
      <c r="I559" s="69"/>
      <c r="J559" s="70"/>
      <c r="K559" s="69"/>
      <c r="L559" s="69"/>
      <c r="M559" s="69"/>
      <c r="N559" s="69"/>
      <c r="O559" s="2"/>
      <c r="P559" s="2"/>
      <c r="Q559" s="32"/>
      <c r="R559" s="32"/>
      <c r="S559" s="32"/>
      <c r="T559" s="3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2"/>
      <c r="C560" s="10"/>
      <c r="D560" s="10"/>
      <c r="E560" s="10"/>
      <c r="F560" s="10"/>
      <c r="G560" s="69"/>
      <c r="H560" s="69"/>
      <c r="I560" s="69"/>
      <c r="J560" s="70"/>
      <c r="K560" s="69"/>
      <c r="L560" s="69"/>
      <c r="M560" s="69"/>
      <c r="N560" s="69"/>
      <c r="O560" s="2"/>
      <c r="P560" s="2"/>
      <c r="Q560" s="32"/>
      <c r="R560" s="32"/>
      <c r="S560" s="32"/>
      <c r="T560" s="3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2"/>
      <c r="C561" s="10"/>
      <c r="D561" s="10"/>
      <c r="E561" s="10"/>
      <c r="F561" s="10"/>
      <c r="G561" s="69"/>
      <c r="H561" s="69"/>
      <c r="I561" s="69"/>
      <c r="J561" s="70"/>
      <c r="K561" s="69"/>
      <c r="L561" s="69"/>
      <c r="M561" s="69"/>
      <c r="N561" s="69"/>
      <c r="O561" s="2"/>
      <c r="P561" s="2"/>
      <c r="Q561" s="32"/>
      <c r="R561" s="32"/>
      <c r="S561" s="32"/>
      <c r="T561" s="3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2"/>
      <c r="C562" s="10"/>
      <c r="D562" s="10"/>
      <c r="E562" s="10"/>
      <c r="F562" s="10"/>
      <c r="G562" s="69"/>
      <c r="H562" s="69"/>
      <c r="I562" s="69"/>
      <c r="J562" s="70"/>
      <c r="K562" s="69"/>
      <c r="L562" s="69"/>
      <c r="M562" s="69"/>
      <c r="N562" s="69"/>
      <c r="O562" s="2"/>
      <c r="P562" s="2"/>
      <c r="Q562" s="32"/>
      <c r="R562" s="32"/>
      <c r="S562" s="32"/>
      <c r="T562" s="3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2"/>
      <c r="C563" s="10"/>
      <c r="D563" s="10"/>
      <c r="E563" s="10"/>
      <c r="F563" s="10"/>
      <c r="G563" s="69"/>
      <c r="H563" s="69"/>
      <c r="I563" s="69"/>
      <c r="J563" s="70"/>
      <c r="K563" s="69"/>
      <c r="L563" s="69"/>
      <c r="M563" s="69"/>
      <c r="N563" s="69"/>
      <c r="O563" s="2"/>
      <c r="P563" s="2"/>
      <c r="Q563" s="32"/>
      <c r="R563" s="32"/>
      <c r="S563" s="32"/>
      <c r="T563" s="3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2"/>
      <c r="C564" s="10"/>
      <c r="D564" s="10"/>
      <c r="E564" s="10"/>
      <c r="F564" s="10"/>
      <c r="G564" s="69"/>
      <c r="H564" s="69"/>
      <c r="I564" s="69"/>
      <c r="J564" s="70"/>
      <c r="K564" s="69"/>
      <c r="L564" s="69"/>
      <c r="M564" s="69"/>
      <c r="N564" s="69"/>
      <c r="O564" s="2"/>
      <c r="P564" s="2"/>
      <c r="Q564" s="32"/>
      <c r="R564" s="32"/>
      <c r="S564" s="32"/>
      <c r="T564" s="3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2"/>
      <c r="C565" s="10"/>
      <c r="D565" s="10"/>
      <c r="E565" s="10"/>
      <c r="F565" s="10"/>
      <c r="G565" s="69"/>
      <c r="H565" s="69"/>
      <c r="I565" s="69"/>
      <c r="J565" s="70"/>
      <c r="K565" s="69"/>
      <c r="L565" s="69"/>
      <c r="M565" s="69"/>
      <c r="N565" s="69"/>
      <c r="O565" s="2"/>
      <c r="P565" s="2"/>
      <c r="Q565" s="32"/>
      <c r="R565" s="32"/>
      <c r="S565" s="32"/>
      <c r="T565" s="3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2"/>
      <c r="C566" s="10"/>
      <c r="D566" s="10"/>
      <c r="E566" s="10"/>
      <c r="F566" s="10"/>
      <c r="G566" s="69"/>
      <c r="H566" s="69"/>
      <c r="I566" s="69"/>
      <c r="J566" s="70"/>
      <c r="K566" s="69"/>
      <c r="L566" s="69"/>
      <c r="M566" s="69"/>
      <c r="N566" s="69"/>
      <c r="O566" s="2"/>
      <c r="P566" s="2"/>
      <c r="Q566" s="32"/>
      <c r="R566" s="32"/>
      <c r="S566" s="32"/>
      <c r="T566" s="3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2"/>
      <c r="C567" s="10"/>
      <c r="D567" s="10"/>
      <c r="E567" s="10"/>
      <c r="F567" s="10"/>
      <c r="G567" s="69"/>
      <c r="H567" s="69"/>
      <c r="I567" s="69"/>
      <c r="J567" s="70"/>
      <c r="K567" s="69"/>
      <c r="L567" s="69"/>
      <c r="M567" s="69"/>
      <c r="N567" s="69"/>
      <c r="O567" s="2"/>
      <c r="P567" s="2"/>
      <c r="Q567" s="32"/>
      <c r="R567" s="32"/>
      <c r="S567" s="32"/>
      <c r="T567" s="3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2"/>
      <c r="C568" s="10"/>
      <c r="D568" s="10"/>
      <c r="E568" s="10"/>
      <c r="F568" s="10"/>
      <c r="G568" s="69"/>
      <c r="H568" s="69"/>
      <c r="I568" s="69"/>
      <c r="J568" s="70"/>
      <c r="K568" s="69"/>
      <c r="L568" s="69"/>
      <c r="M568" s="69"/>
      <c r="N568" s="69"/>
      <c r="O568" s="2"/>
      <c r="P568" s="2"/>
      <c r="Q568" s="32"/>
      <c r="R568" s="32"/>
      <c r="S568" s="32"/>
      <c r="T568" s="3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2"/>
      <c r="C569" s="10"/>
      <c r="D569" s="10"/>
      <c r="E569" s="10"/>
      <c r="F569" s="10"/>
      <c r="G569" s="69"/>
      <c r="H569" s="69"/>
      <c r="I569" s="69"/>
      <c r="J569" s="70"/>
      <c r="K569" s="69"/>
      <c r="L569" s="69"/>
      <c r="M569" s="69"/>
      <c r="N569" s="69"/>
      <c r="O569" s="2"/>
      <c r="P569" s="2"/>
      <c r="Q569" s="32"/>
      <c r="R569" s="32"/>
      <c r="S569" s="32"/>
      <c r="T569" s="3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2"/>
      <c r="C570" s="10"/>
      <c r="D570" s="10"/>
      <c r="E570" s="10"/>
      <c r="F570" s="10"/>
      <c r="G570" s="69"/>
      <c r="H570" s="69"/>
      <c r="I570" s="69"/>
      <c r="J570" s="70"/>
      <c r="K570" s="69"/>
      <c r="L570" s="69"/>
      <c r="M570" s="69"/>
      <c r="N570" s="69"/>
      <c r="O570" s="2"/>
      <c r="P570" s="2"/>
      <c r="Q570" s="32"/>
      <c r="R570" s="32"/>
      <c r="S570" s="32"/>
      <c r="T570" s="3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2"/>
      <c r="C571" s="10"/>
      <c r="D571" s="10"/>
      <c r="E571" s="10"/>
      <c r="F571" s="10"/>
      <c r="G571" s="69"/>
      <c r="H571" s="69"/>
      <c r="I571" s="69"/>
      <c r="J571" s="70"/>
      <c r="K571" s="69"/>
      <c r="L571" s="69"/>
      <c r="M571" s="69"/>
      <c r="N571" s="69"/>
      <c r="O571" s="2"/>
      <c r="P571" s="2"/>
      <c r="Q571" s="32"/>
      <c r="R571" s="32"/>
      <c r="S571" s="32"/>
      <c r="T571" s="3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2"/>
      <c r="C572" s="10"/>
      <c r="D572" s="10"/>
      <c r="E572" s="10"/>
      <c r="F572" s="10"/>
      <c r="G572" s="69"/>
      <c r="H572" s="69"/>
      <c r="I572" s="69"/>
      <c r="J572" s="70"/>
      <c r="K572" s="69"/>
      <c r="L572" s="69"/>
      <c r="M572" s="69"/>
      <c r="N572" s="69"/>
      <c r="O572" s="2"/>
      <c r="P572" s="2"/>
      <c r="Q572" s="32"/>
      <c r="R572" s="32"/>
      <c r="S572" s="32"/>
      <c r="T572" s="3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2"/>
      <c r="C573" s="10"/>
      <c r="D573" s="10"/>
      <c r="E573" s="10"/>
      <c r="F573" s="10"/>
      <c r="G573" s="69"/>
      <c r="H573" s="69"/>
      <c r="I573" s="69"/>
      <c r="J573" s="70"/>
      <c r="K573" s="69"/>
      <c r="L573" s="69"/>
      <c r="M573" s="69"/>
      <c r="N573" s="69"/>
      <c r="O573" s="2"/>
      <c r="P573" s="2"/>
      <c r="Q573" s="32"/>
      <c r="R573" s="32"/>
      <c r="S573" s="32"/>
      <c r="T573" s="3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2"/>
      <c r="C574" s="10"/>
      <c r="D574" s="10"/>
      <c r="E574" s="10"/>
      <c r="F574" s="10"/>
      <c r="G574" s="69"/>
      <c r="H574" s="69"/>
      <c r="I574" s="69"/>
      <c r="J574" s="70"/>
      <c r="K574" s="69"/>
      <c r="L574" s="69"/>
      <c r="M574" s="69"/>
      <c r="N574" s="69"/>
      <c r="O574" s="2"/>
      <c r="P574" s="2"/>
      <c r="Q574" s="32"/>
      <c r="R574" s="32"/>
      <c r="S574" s="32"/>
      <c r="T574" s="3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2"/>
      <c r="C575" s="10"/>
      <c r="D575" s="10"/>
      <c r="E575" s="10"/>
      <c r="F575" s="10"/>
      <c r="G575" s="69"/>
      <c r="H575" s="69"/>
      <c r="I575" s="69"/>
      <c r="J575" s="70"/>
      <c r="K575" s="69"/>
      <c r="L575" s="69"/>
      <c r="M575" s="69"/>
      <c r="N575" s="69"/>
      <c r="O575" s="2"/>
      <c r="P575" s="2"/>
      <c r="Q575" s="32"/>
      <c r="R575" s="32"/>
      <c r="S575" s="32"/>
      <c r="T575" s="3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2"/>
      <c r="C576" s="10"/>
      <c r="D576" s="10"/>
      <c r="E576" s="10"/>
      <c r="F576" s="10"/>
      <c r="G576" s="69"/>
      <c r="H576" s="69"/>
      <c r="I576" s="69"/>
      <c r="J576" s="70"/>
      <c r="K576" s="69"/>
      <c r="L576" s="69"/>
      <c r="M576" s="69"/>
      <c r="N576" s="69"/>
      <c r="O576" s="2"/>
      <c r="P576" s="2"/>
      <c r="Q576" s="32"/>
      <c r="R576" s="32"/>
      <c r="S576" s="32"/>
      <c r="T576" s="3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2"/>
      <c r="C577" s="10"/>
      <c r="D577" s="10"/>
      <c r="E577" s="10"/>
      <c r="F577" s="10"/>
      <c r="G577" s="69"/>
      <c r="H577" s="69"/>
      <c r="I577" s="69"/>
      <c r="J577" s="70"/>
      <c r="K577" s="69"/>
      <c r="L577" s="69"/>
      <c r="M577" s="69"/>
      <c r="N577" s="69"/>
      <c r="O577" s="2"/>
      <c r="P577" s="2"/>
      <c r="Q577" s="32"/>
      <c r="R577" s="32"/>
      <c r="S577" s="32"/>
      <c r="T577" s="3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2"/>
      <c r="C578" s="10"/>
      <c r="D578" s="10"/>
      <c r="E578" s="10"/>
      <c r="F578" s="10"/>
      <c r="G578" s="69"/>
      <c r="H578" s="69"/>
      <c r="I578" s="69"/>
      <c r="J578" s="70"/>
      <c r="K578" s="69"/>
      <c r="L578" s="69"/>
      <c r="M578" s="69"/>
      <c r="N578" s="69"/>
      <c r="O578" s="2"/>
      <c r="P578" s="2"/>
      <c r="Q578" s="32"/>
      <c r="R578" s="32"/>
      <c r="S578" s="32"/>
      <c r="T578" s="3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2"/>
      <c r="C579" s="10"/>
      <c r="D579" s="10"/>
      <c r="E579" s="10"/>
      <c r="F579" s="10"/>
      <c r="G579" s="69"/>
      <c r="H579" s="69"/>
      <c r="I579" s="69"/>
      <c r="J579" s="70"/>
      <c r="K579" s="69"/>
      <c r="L579" s="69"/>
      <c r="M579" s="69"/>
      <c r="N579" s="69"/>
      <c r="O579" s="2"/>
      <c r="P579" s="2"/>
      <c r="Q579" s="32"/>
      <c r="R579" s="32"/>
      <c r="S579" s="32"/>
      <c r="T579" s="3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2"/>
      <c r="C580" s="10"/>
      <c r="D580" s="10"/>
      <c r="E580" s="10"/>
      <c r="F580" s="10"/>
      <c r="G580" s="69"/>
      <c r="H580" s="69"/>
      <c r="I580" s="69"/>
      <c r="J580" s="70"/>
      <c r="K580" s="69"/>
      <c r="L580" s="69"/>
      <c r="M580" s="69"/>
      <c r="N580" s="69"/>
      <c r="O580" s="2"/>
      <c r="P580" s="2"/>
      <c r="Q580" s="32"/>
      <c r="R580" s="32"/>
      <c r="S580" s="32"/>
      <c r="T580" s="3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2"/>
      <c r="C581" s="10"/>
      <c r="D581" s="10"/>
      <c r="E581" s="10"/>
      <c r="F581" s="10"/>
      <c r="G581" s="69"/>
      <c r="H581" s="69"/>
      <c r="I581" s="69"/>
      <c r="J581" s="70"/>
      <c r="K581" s="69"/>
      <c r="L581" s="69"/>
      <c r="M581" s="69"/>
      <c r="N581" s="69"/>
      <c r="O581" s="2"/>
      <c r="P581" s="2"/>
      <c r="Q581" s="32"/>
      <c r="R581" s="32"/>
      <c r="S581" s="32"/>
      <c r="T581" s="3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2"/>
      <c r="C582" s="10"/>
      <c r="D582" s="10"/>
      <c r="E582" s="10"/>
      <c r="F582" s="10"/>
      <c r="G582" s="69"/>
      <c r="H582" s="69"/>
      <c r="I582" s="69"/>
      <c r="J582" s="70"/>
      <c r="K582" s="69"/>
      <c r="L582" s="69"/>
      <c r="M582" s="69"/>
      <c r="N582" s="69"/>
      <c r="O582" s="2"/>
      <c r="P582" s="2"/>
      <c r="Q582" s="32"/>
      <c r="R582" s="32"/>
      <c r="S582" s="32"/>
      <c r="T582" s="3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2"/>
      <c r="C583" s="10"/>
      <c r="D583" s="10"/>
      <c r="E583" s="10"/>
      <c r="F583" s="10"/>
      <c r="G583" s="69"/>
      <c r="H583" s="69"/>
      <c r="I583" s="69"/>
      <c r="J583" s="70"/>
      <c r="K583" s="69"/>
      <c r="L583" s="69"/>
      <c r="M583" s="69"/>
      <c r="N583" s="69"/>
      <c r="O583" s="2"/>
      <c r="P583" s="2"/>
      <c r="Q583" s="32"/>
      <c r="R583" s="32"/>
      <c r="S583" s="32"/>
      <c r="T583" s="3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2"/>
      <c r="C584" s="10"/>
      <c r="D584" s="10"/>
      <c r="E584" s="10"/>
      <c r="F584" s="10"/>
      <c r="G584" s="69"/>
      <c r="H584" s="69"/>
      <c r="I584" s="69"/>
      <c r="J584" s="70"/>
      <c r="K584" s="69"/>
      <c r="L584" s="69"/>
      <c r="M584" s="69"/>
      <c r="N584" s="69"/>
      <c r="O584" s="2"/>
      <c r="P584" s="2"/>
      <c r="Q584" s="32"/>
      <c r="R584" s="32"/>
      <c r="S584" s="32"/>
      <c r="T584" s="3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2"/>
      <c r="C585" s="10"/>
      <c r="D585" s="10"/>
      <c r="E585" s="10"/>
      <c r="F585" s="10"/>
      <c r="G585" s="69"/>
      <c r="H585" s="69"/>
      <c r="I585" s="69"/>
      <c r="J585" s="70"/>
      <c r="K585" s="69"/>
      <c r="L585" s="69"/>
      <c r="M585" s="69"/>
      <c r="N585" s="69"/>
      <c r="O585" s="2"/>
      <c r="P585" s="2"/>
      <c r="Q585" s="32"/>
      <c r="R585" s="32"/>
      <c r="S585" s="32"/>
      <c r="T585" s="3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2"/>
      <c r="C586" s="10"/>
      <c r="D586" s="10"/>
      <c r="E586" s="10"/>
      <c r="F586" s="10"/>
      <c r="G586" s="69"/>
      <c r="H586" s="69"/>
      <c r="I586" s="69"/>
      <c r="J586" s="70"/>
      <c r="K586" s="69"/>
      <c r="L586" s="69"/>
      <c r="M586" s="69"/>
      <c r="N586" s="69"/>
      <c r="O586" s="2"/>
      <c r="P586" s="2"/>
      <c r="Q586" s="32"/>
      <c r="R586" s="32"/>
      <c r="S586" s="32"/>
      <c r="T586" s="3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2"/>
      <c r="C587" s="10"/>
      <c r="D587" s="10"/>
      <c r="E587" s="10"/>
      <c r="F587" s="10"/>
      <c r="G587" s="69"/>
      <c r="H587" s="69"/>
      <c r="I587" s="69"/>
      <c r="J587" s="70"/>
      <c r="K587" s="69"/>
      <c r="L587" s="69"/>
      <c r="M587" s="69"/>
      <c r="N587" s="69"/>
      <c r="O587" s="2"/>
      <c r="P587" s="2"/>
      <c r="Q587" s="32"/>
      <c r="R587" s="32"/>
      <c r="S587" s="32"/>
      <c r="T587" s="3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2"/>
      <c r="C588" s="10"/>
      <c r="D588" s="10"/>
      <c r="E588" s="10"/>
      <c r="F588" s="10"/>
      <c r="G588" s="69"/>
      <c r="H588" s="69"/>
      <c r="I588" s="69"/>
      <c r="J588" s="70"/>
      <c r="K588" s="69"/>
      <c r="L588" s="69"/>
      <c r="M588" s="69"/>
      <c r="N588" s="69"/>
      <c r="O588" s="2"/>
      <c r="P588" s="2"/>
      <c r="Q588" s="32"/>
      <c r="R588" s="32"/>
      <c r="S588" s="32"/>
      <c r="T588" s="3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2"/>
      <c r="C589" s="10"/>
      <c r="D589" s="10"/>
      <c r="E589" s="10"/>
      <c r="F589" s="10"/>
      <c r="G589" s="69"/>
      <c r="H589" s="69"/>
      <c r="I589" s="69"/>
      <c r="J589" s="70"/>
      <c r="K589" s="69"/>
      <c r="L589" s="69"/>
      <c r="M589" s="69"/>
      <c r="N589" s="69"/>
      <c r="O589" s="2"/>
      <c r="P589" s="2"/>
      <c r="Q589" s="32"/>
      <c r="R589" s="32"/>
      <c r="S589" s="32"/>
      <c r="T589" s="3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2"/>
      <c r="C590" s="10"/>
      <c r="D590" s="10"/>
      <c r="E590" s="10"/>
      <c r="F590" s="10"/>
      <c r="G590" s="69"/>
      <c r="H590" s="69"/>
      <c r="I590" s="69"/>
      <c r="J590" s="70"/>
      <c r="K590" s="69"/>
      <c r="L590" s="69"/>
      <c r="M590" s="69"/>
      <c r="N590" s="69"/>
      <c r="O590" s="2"/>
      <c r="P590" s="2"/>
      <c r="Q590" s="32"/>
      <c r="R590" s="32"/>
      <c r="S590" s="32"/>
      <c r="T590" s="3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2"/>
      <c r="C591" s="10"/>
      <c r="D591" s="10"/>
      <c r="E591" s="10"/>
      <c r="F591" s="10"/>
      <c r="G591" s="69"/>
      <c r="H591" s="69"/>
      <c r="I591" s="69"/>
      <c r="J591" s="70"/>
      <c r="K591" s="69"/>
      <c r="L591" s="69"/>
      <c r="M591" s="69"/>
      <c r="N591" s="69"/>
      <c r="O591" s="2"/>
      <c r="P591" s="2"/>
      <c r="Q591" s="32"/>
      <c r="R591" s="32"/>
      <c r="S591" s="32"/>
      <c r="T591" s="3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2"/>
      <c r="C592" s="10"/>
      <c r="D592" s="10"/>
      <c r="E592" s="10"/>
      <c r="F592" s="10"/>
      <c r="G592" s="69"/>
      <c r="H592" s="69"/>
      <c r="I592" s="69"/>
      <c r="J592" s="70"/>
      <c r="K592" s="69"/>
      <c r="L592" s="69"/>
      <c r="M592" s="69"/>
      <c r="N592" s="69"/>
      <c r="O592" s="2"/>
      <c r="P592" s="2"/>
      <c r="Q592" s="32"/>
      <c r="R592" s="32"/>
      <c r="S592" s="32"/>
      <c r="T592" s="3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2"/>
      <c r="C593" s="10"/>
      <c r="D593" s="10"/>
      <c r="E593" s="10"/>
      <c r="F593" s="10"/>
      <c r="G593" s="69"/>
      <c r="H593" s="69"/>
      <c r="I593" s="69"/>
      <c r="J593" s="70"/>
      <c r="K593" s="69"/>
      <c r="L593" s="69"/>
      <c r="M593" s="69"/>
      <c r="N593" s="69"/>
      <c r="O593" s="2"/>
      <c r="P593" s="2"/>
      <c r="Q593" s="32"/>
      <c r="R593" s="32"/>
      <c r="S593" s="32"/>
      <c r="T593" s="3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2"/>
      <c r="C594" s="10"/>
      <c r="D594" s="10"/>
      <c r="E594" s="10"/>
      <c r="F594" s="10"/>
      <c r="G594" s="69"/>
      <c r="H594" s="69"/>
      <c r="I594" s="69"/>
      <c r="J594" s="70"/>
      <c r="K594" s="69"/>
      <c r="L594" s="69"/>
      <c r="M594" s="69"/>
      <c r="N594" s="69"/>
      <c r="O594" s="2"/>
      <c r="P594" s="2"/>
      <c r="Q594" s="32"/>
      <c r="R594" s="32"/>
      <c r="S594" s="32"/>
      <c r="T594" s="3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2"/>
      <c r="C595" s="10"/>
      <c r="D595" s="10"/>
      <c r="E595" s="10"/>
      <c r="F595" s="10"/>
      <c r="G595" s="69"/>
      <c r="H595" s="69"/>
      <c r="I595" s="69"/>
      <c r="J595" s="70"/>
      <c r="K595" s="69"/>
      <c r="L595" s="69"/>
      <c r="M595" s="69"/>
      <c r="N595" s="69"/>
      <c r="O595" s="2"/>
      <c r="P595" s="2"/>
      <c r="Q595" s="32"/>
      <c r="R595" s="32"/>
      <c r="S595" s="32"/>
      <c r="T595" s="3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2"/>
      <c r="C596" s="10"/>
      <c r="D596" s="10"/>
      <c r="E596" s="10"/>
      <c r="F596" s="10"/>
      <c r="G596" s="69"/>
      <c r="H596" s="69"/>
      <c r="I596" s="69"/>
      <c r="J596" s="70"/>
      <c r="K596" s="69"/>
      <c r="L596" s="69"/>
      <c r="M596" s="69"/>
      <c r="N596" s="69"/>
      <c r="O596" s="2"/>
      <c r="P596" s="2"/>
      <c r="Q596" s="32"/>
      <c r="R596" s="32"/>
      <c r="S596" s="32"/>
      <c r="T596" s="3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2"/>
      <c r="C597" s="10"/>
      <c r="D597" s="10"/>
      <c r="E597" s="10"/>
      <c r="F597" s="10"/>
      <c r="G597" s="69"/>
      <c r="H597" s="69"/>
      <c r="I597" s="69"/>
      <c r="J597" s="70"/>
      <c r="K597" s="69"/>
      <c r="L597" s="69"/>
      <c r="M597" s="69"/>
      <c r="N597" s="69"/>
      <c r="O597" s="2"/>
      <c r="P597" s="2"/>
      <c r="Q597" s="32"/>
      <c r="R597" s="32"/>
      <c r="S597" s="32"/>
      <c r="T597" s="3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2"/>
      <c r="C598" s="10"/>
      <c r="D598" s="10"/>
      <c r="E598" s="10"/>
      <c r="F598" s="10"/>
      <c r="G598" s="69"/>
      <c r="H598" s="69"/>
      <c r="I598" s="69"/>
      <c r="J598" s="70"/>
      <c r="K598" s="69"/>
      <c r="L598" s="69"/>
      <c r="M598" s="69"/>
      <c r="N598" s="69"/>
      <c r="O598" s="2"/>
      <c r="P598" s="2"/>
      <c r="Q598" s="32"/>
      <c r="R598" s="32"/>
      <c r="S598" s="32"/>
      <c r="T598" s="3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2"/>
      <c r="C599" s="10"/>
      <c r="D599" s="10"/>
      <c r="E599" s="10"/>
      <c r="F599" s="10"/>
      <c r="G599" s="69"/>
      <c r="H599" s="69"/>
      <c r="I599" s="69"/>
      <c r="J599" s="70"/>
      <c r="K599" s="69"/>
      <c r="L599" s="69"/>
      <c r="M599" s="69"/>
      <c r="N599" s="69"/>
      <c r="O599" s="2"/>
      <c r="P599" s="2"/>
      <c r="Q599" s="32"/>
      <c r="R599" s="32"/>
      <c r="S599" s="32"/>
      <c r="T599" s="3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2"/>
      <c r="C600" s="10"/>
      <c r="D600" s="10"/>
      <c r="E600" s="10"/>
      <c r="F600" s="10"/>
      <c r="G600" s="69"/>
      <c r="H600" s="69"/>
      <c r="I600" s="69"/>
      <c r="J600" s="70"/>
      <c r="K600" s="69"/>
      <c r="L600" s="69"/>
      <c r="M600" s="69"/>
      <c r="N600" s="69"/>
      <c r="O600" s="2"/>
      <c r="P600" s="2"/>
      <c r="Q600" s="32"/>
      <c r="R600" s="32"/>
      <c r="S600" s="32"/>
      <c r="T600" s="3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2"/>
      <c r="C601" s="10"/>
      <c r="D601" s="10"/>
      <c r="E601" s="10"/>
      <c r="F601" s="10"/>
      <c r="G601" s="69"/>
      <c r="H601" s="69"/>
      <c r="I601" s="69"/>
      <c r="J601" s="70"/>
      <c r="K601" s="69"/>
      <c r="L601" s="69"/>
      <c r="M601" s="69"/>
      <c r="N601" s="69"/>
      <c r="O601" s="2"/>
      <c r="P601" s="2"/>
      <c r="Q601" s="32"/>
      <c r="R601" s="32"/>
      <c r="S601" s="32"/>
      <c r="T601" s="3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2"/>
      <c r="C602" s="10"/>
      <c r="D602" s="10"/>
      <c r="E602" s="10"/>
      <c r="F602" s="10"/>
      <c r="G602" s="69"/>
      <c r="H602" s="69"/>
      <c r="I602" s="69"/>
      <c r="J602" s="70"/>
      <c r="K602" s="69"/>
      <c r="L602" s="69"/>
      <c r="M602" s="69"/>
      <c r="N602" s="69"/>
      <c r="O602" s="2"/>
      <c r="P602" s="2"/>
      <c r="Q602" s="32"/>
      <c r="R602" s="32"/>
      <c r="S602" s="32"/>
      <c r="T602" s="3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2"/>
      <c r="C603" s="10"/>
      <c r="D603" s="10"/>
      <c r="E603" s="10"/>
      <c r="F603" s="10"/>
      <c r="G603" s="69"/>
      <c r="H603" s="69"/>
      <c r="I603" s="69"/>
      <c r="J603" s="70"/>
      <c r="K603" s="69"/>
      <c r="L603" s="69"/>
      <c r="M603" s="69"/>
      <c r="N603" s="69"/>
      <c r="O603" s="2"/>
      <c r="P603" s="2"/>
      <c r="Q603" s="32"/>
      <c r="R603" s="32"/>
      <c r="S603" s="32"/>
      <c r="T603" s="3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2"/>
      <c r="C604" s="10"/>
      <c r="D604" s="10"/>
      <c r="E604" s="10"/>
      <c r="F604" s="10"/>
      <c r="G604" s="69"/>
      <c r="H604" s="69"/>
      <c r="I604" s="69"/>
      <c r="J604" s="70"/>
      <c r="K604" s="69"/>
      <c r="L604" s="69"/>
      <c r="M604" s="69"/>
      <c r="N604" s="69"/>
      <c r="O604" s="2"/>
      <c r="P604" s="2"/>
      <c r="Q604" s="32"/>
      <c r="R604" s="32"/>
      <c r="S604" s="32"/>
      <c r="T604" s="3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2"/>
      <c r="C605" s="10"/>
      <c r="D605" s="10"/>
      <c r="E605" s="10"/>
      <c r="F605" s="10"/>
      <c r="G605" s="69"/>
      <c r="H605" s="69"/>
      <c r="I605" s="69"/>
      <c r="J605" s="70"/>
      <c r="K605" s="69"/>
      <c r="L605" s="69"/>
      <c r="M605" s="69"/>
      <c r="N605" s="69"/>
      <c r="O605" s="2"/>
      <c r="P605" s="2"/>
      <c r="Q605" s="32"/>
      <c r="R605" s="32"/>
      <c r="S605" s="32"/>
      <c r="T605" s="3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2"/>
      <c r="C606" s="10"/>
      <c r="D606" s="10"/>
      <c r="E606" s="10"/>
      <c r="F606" s="10"/>
      <c r="G606" s="69"/>
      <c r="H606" s="69"/>
      <c r="I606" s="69"/>
      <c r="J606" s="70"/>
      <c r="K606" s="69"/>
      <c r="L606" s="69"/>
      <c r="M606" s="69"/>
      <c r="N606" s="69"/>
      <c r="O606" s="2"/>
      <c r="P606" s="2"/>
      <c r="Q606" s="32"/>
      <c r="R606" s="32"/>
      <c r="S606" s="32"/>
      <c r="T606" s="3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2"/>
      <c r="C607" s="10"/>
      <c r="D607" s="10"/>
      <c r="E607" s="10"/>
      <c r="F607" s="10"/>
      <c r="G607" s="69"/>
      <c r="H607" s="69"/>
      <c r="I607" s="69"/>
      <c r="J607" s="70"/>
      <c r="K607" s="69"/>
      <c r="L607" s="69"/>
      <c r="M607" s="69"/>
      <c r="N607" s="69"/>
      <c r="O607" s="2"/>
      <c r="P607" s="2"/>
      <c r="Q607" s="32"/>
      <c r="R607" s="32"/>
      <c r="S607" s="32"/>
      <c r="T607" s="3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2"/>
      <c r="C608" s="10"/>
      <c r="D608" s="10"/>
      <c r="E608" s="10"/>
      <c r="F608" s="10"/>
      <c r="G608" s="69"/>
      <c r="H608" s="69"/>
      <c r="I608" s="69"/>
      <c r="J608" s="70"/>
      <c r="K608" s="69"/>
      <c r="L608" s="69"/>
      <c r="M608" s="69"/>
      <c r="N608" s="69"/>
      <c r="O608" s="2"/>
      <c r="P608" s="2"/>
      <c r="Q608" s="32"/>
      <c r="R608" s="32"/>
      <c r="S608" s="32"/>
      <c r="T608" s="3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2"/>
      <c r="C609" s="10"/>
      <c r="D609" s="10"/>
      <c r="E609" s="10"/>
      <c r="F609" s="10"/>
      <c r="G609" s="69"/>
      <c r="H609" s="69"/>
      <c r="I609" s="69"/>
      <c r="J609" s="70"/>
      <c r="K609" s="69"/>
      <c r="L609" s="69"/>
      <c r="M609" s="69"/>
      <c r="N609" s="69"/>
      <c r="O609" s="2"/>
      <c r="P609" s="2"/>
      <c r="Q609" s="32"/>
      <c r="R609" s="32"/>
      <c r="S609" s="32"/>
      <c r="T609" s="3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2"/>
      <c r="C610" s="10"/>
      <c r="D610" s="10"/>
      <c r="E610" s="10"/>
      <c r="F610" s="10"/>
      <c r="G610" s="69"/>
      <c r="H610" s="69"/>
      <c r="I610" s="69"/>
      <c r="J610" s="70"/>
      <c r="K610" s="69"/>
      <c r="L610" s="69"/>
      <c r="M610" s="69"/>
      <c r="N610" s="69"/>
      <c r="O610" s="2"/>
      <c r="P610" s="2"/>
      <c r="Q610" s="32"/>
      <c r="R610" s="32"/>
      <c r="S610" s="32"/>
      <c r="T610" s="3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2"/>
      <c r="C611" s="10"/>
      <c r="D611" s="10"/>
      <c r="E611" s="10"/>
      <c r="F611" s="10"/>
      <c r="G611" s="69"/>
      <c r="H611" s="69"/>
      <c r="I611" s="69"/>
      <c r="J611" s="70"/>
      <c r="K611" s="69"/>
      <c r="L611" s="69"/>
      <c r="M611" s="69"/>
      <c r="N611" s="69"/>
      <c r="O611" s="2"/>
      <c r="P611" s="2"/>
      <c r="Q611" s="32"/>
      <c r="R611" s="32"/>
      <c r="S611" s="32"/>
      <c r="T611" s="3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2"/>
      <c r="C612" s="10"/>
      <c r="D612" s="10"/>
      <c r="E612" s="10"/>
      <c r="F612" s="10"/>
      <c r="G612" s="69"/>
      <c r="H612" s="69"/>
      <c r="I612" s="69"/>
      <c r="J612" s="70"/>
      <c r="K612" s="69"/>
      <c r="L612" s="69"/>
      <c r="M612" s="69"/>
      <c r="N612" s="69"/>
      <c r="O612" s="2"/>
      <c r="P612" s="2"/>
      <c r="Q612" s="32"/>
      <c r="R612" s="32"/>
      <c r="S612" s="32"/>
      <c r="T612" s="3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2"/>
      <c r="C613" s="10"/>
      <c r="D613" s="10"/>
      <c r="E613" s="10"/>
      <c r="F613" s="10"/>
      <c r="G613" s="69"/>
      <c r="H613" s="69"/>
      <c r="I613" s="69"/>
      <c r="J613" s="70"/>
      <c r="K613" s="69"/>
      <c r="L613" s="69"/>
      <c r="M613" s="69"/>
      <c r="N613" s="69"/>
      <c r="O613" s="2"/>
      <c r="P613" s="2"/>
      <c r="Q613" s="32"/>
      <c r="R613" s="32"/>
      <c r="S613" s="32"/>
      <c r="T613" s="3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2"/>
      <c r="C614" s="10"/>
      <c r="D614" s="10"/>
      <c r="E614" s="10"/>
      <c r="F614" s="10"/>
      <c r="G614" s="69"/>
      <c r="H614" s="69"/>
      <c r="I614" s="69"/>
      <c r="J614" s="70"/>
      <c r="K614" s="69"/>
      <c r="L614" s="69"/>
      <c r="M614" s="69"/>
      <c r="N614" s="69"/>
      <c r="O614" s="2"/>
      <c r="P614" s="2"/>
      <c r="Q614" s="32"/>
      <c r="R614" s="32"/>
      <c r="S614" s="32"/>
      <c r="T614" s="3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2"/>
      <c r="C615" s="10"/>
      <c r="D615" s="10"/>
      <c r="E615" s="10"/>
      <c r="F615" s="10"/>
      <c r="G615" s="69"/>
      <c r="H615" s="69"/>
      <c r="I615" s="69"/>
      <c r="J615" s="70"/>
      <c r="K615" s="69"/>
      <c r="L615" s="69"/>
      <c r="M615" s="69"/>
      <c r="N615" s="69"/>
      <c r="O615" s="2"/>
      <c r="P615" s="2"/>
      <c r="Q615" s="32"/>
      <c r="R615" s="32"/>
      <c r="S615" s="32"/>
      <c r="T615" s="3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2"/>
      <c r="C616" s="10"/>
      <c r="D616" s="10"/>
      <c r="E616" s="10"/>
      <c r="F616" s="10"/>
      <c r="G616" s="69"/>
      <c r="H616" s="69"/>
      <c r="I616" s="69"/>
      <c r="J616" s="70"/>
      <c r="K616" s="69"/>
      <c r="L616" s="69"/>
      <c r="M616" s="69"/>
      <c r="N616" s="69"/>
      <c r="O616" s="2"/>
      <c r="P616" s="2"/>
      <c r="Q616" s="32"/>
      <c r="R616" s="32"/>
      <c r="S616" s="32"/>
      <c r="T616" s="3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2"/>
      <c r="C617" s="10"/>
      <c r="D617" s="10"/>
      <c r="E617" s="10"/>
      <c r="F617" s="10"/>
      <c r="G617" s="69"/>
      <c r="H617" s="69"/>
      <c r="I617" s="69"/>
      <c r="J617" s="70"/>
      <c r="K617" s="69"/>
      <c r="L617" s="69"/>
      <c r="M617" s="69"/>
      <c r="N617" s="69"/>
      <c r="O617" s="2"/>
      <c r="P617" s="2"/>
      <c r="Q617" s="32"/>
      <c r="R617" s="32"/>
      <c r="S617" s="32"/>
      <c r="T617" s="3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2"/>
      <c r="C618" s="10"/>
      <c r="D618" s="10"/>
      <c r="E618" s="10"/>
      <c r="F618" s="10"/>
      <c r="G618" s="69"/>
      <c r="H618" s="69"/>
      <c r="I618" s="69"/>
      <c r="J618" s="70"/>
      <c r="K618" s="69"/>
      <c r="L618" s="69"/>
      <c r="M618" s="69"/>
      <c r="N618" s="69"/>
      <c r="O618" s="2"/>
      <c r="P618" s="2"/>
      <c r="Q618" s="32"/>
      <c r="R618" s="32"/>
      <c r="S618" s="32"/>
      <c r="T618" s="3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2"/>
      <c r="C619" s="10"/>
      <c r="D619" s="10"/>
      <c r="E619" s="10"/>
      <c r="F619" s="10"/>
      <c r="G619" s="69"/>
      <c r="H619" s="69"/>
      <c r="I619" s="69"/>
      <c r="J619" s="70"/>
      <c r="K619" s="69"/>
      <c r="L619" s="69"/>
      <c r="M619" s="69"/>
      <c r="N619" s="69"/>
      <c r="O619" s="2"/>
      <c r="P619" s="2"/>
      <c r="Q619" s="32"/>
      <c r="R619" s="32"/>
      <c r="S619" s="32"/>
      <c r="T619" s="3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2"/>
      <c r="C620" s="10"/>
      <c r="D620" s="10"/>
      <c r="E620" s="10"/>
      <c r="F620" s="10"/>
      <c r="G620" s="69"/>
      <c r="H620" s="69"/>
      <c r="I620" s="69"/>
      <c r="J620" s="70"/>
      <c r="K620" s="69"/>
      <c r="L620" s="69"/>
      <c r="M620" s="69"/>
      <c r="N620" s="69"/>
      <c r="O620" s="2"/>
      <c r="P620" s="2"/>
      <c r="Q620" s="32"/>
      <c r="R620" s="32"/>
      <c r="S620" s="32"/>
      <c r="T620" s="3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2"/>
      <c r="C621" s="10"/>
      <c r="D621" s="10"/>
      <c r="E621" s="10"/>
      <c r="F621" s="10"/>
      <c r="G621" s="69"/>
      <c r="H621" s="69"/>
      <c r="I621" s="69"/>
      <c r="J621" s="70"/>
      <c r="K621" s="69"/>
      <c r="L621" s="69"/>
      <c r="M621" s="69"/>
      <c r="N621" s="69"/>
      <c r="O621" s="2"/>
      <c r="P621" s="2"/>
      <c r="Q621" s="32"/>
      <c r="R621" s="32"/>
      <c r="S621" s="32"/>
      <c r="T621" s="3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2"/>
      <c r="C622" s="10"/>
      <c r="D622" s="10"/>
      <c r="E622" s="10"/>
      <c r="F622" s="10"/>
      <c r="G622" s="69"/>
      <c r="H622" s="69"/>
      <c r="I622" s="69"/>
      <c r="J622" s="70"/>
      <c r="K622" s="69"/>
      <c r="L622" s="69"/>
      <c r="M622" s="69"/>
      <c r="N622" s="69"/>
      <c r="O622" s="2"/>
      <c r="P622" s="2"/>
      <c r="Q622" s="32"/>
      <c r="R622" s="32"/>
      <c r="S622" s="32"/>
      <c r="T622" s="3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2"/>
      <c r="C623" s="10"/>
      <c r="D623" s="10"/>
      <c r="E623" s="10"/>
      <c r="F623" s="10"/>
      <c r="G623" s="69"/>
      <c r="H623" s="69"/>
      <c r="I623" s="69"/>
      <c r="J623" s="70"/>
      <c r="K623" s="69"/>
      <c r="L623" s="69"/>
      <c r="M623" s="69"/>
      <c r="N623" s="69"/>
      <c r="O623" s="2"/>
      <c r="P623" s="2"/>
      <c r="Q623" s="32"/>
      <c r="R623" s="32"/>
      <c r="S623" s="32"/>
      <c r="T623" s="3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2"/>
      <c r="C624" s="10"/>
      <c r="D624" s="10"/>
      <c r="E624" s="10"/>
      <c r="F624" s="10"/>
      <c r="G624" s="69"/>
      <c r="H624" s="69"/>
      <c r="I624" s="69"/>
      <c r="J624" s="70"/>
      <c r="K624" s="69"/>
      <c r="L624" s="69"/>
      <c r="M624" s="69"/>
      <c r="N624" s="69"/>
      <c r="O624" s="2"/>
      <c r="P624" s="2"/>
      <c r="Q624" s="32"/>
      <c r="R624" s="32"/>
      <c r="S624" s="32"/>
      <c r="T624" s="3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2"/>
      <c r="C625" s="10"/>
      <c r="D625" s="10"/>
      <c r="E625" s="10"/>
      <c r="F625" s="10"/>
      <c r="G625" s="69"/>
      <c r="H625" s="69"/>
      <c r="I625" s="69"/>
      <c r="J625" s="70"/>
      <c r="K625" s="69"/>
      <c r="L625" s="69"/>
      <c r="M625" s="69"/>
      <c r="N625" s="69"/>
      <c r="O625" s="2"/>
      <c r="P625" s="2"/>
      <c r="Q625" s="32"/>
      <c r="R625" s="32"/>
      <c r="S625" s="32"/>
      <c r="T625" s="3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2"/>
      <c r="C626" s="10"/>
      <c r="D626" s="10"/>
      <c r="E626" s="10"/>
      <c r="F626" s="10"/>
      <c r="G626" s="69"/>
      <c r="H626" s="69"/>
      <c r="I626" s="69"/>
      <c r="J626" s="70"/>
      <c r="K626" s="69"/>
      <c r="L626" s="69"/>
      <c r="M626" s="69"/>
      <c r="N626" s="69"/>
      <c r="O626" s="2"/>
      <c r="P626" s="2"/>
      <c r="Q626" s="32"/>
      <c r="R626" s="32"/>
      <c r="S626" s="32"/>
      <c r="T626" s="3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2"/>
      <c r="C627" s="10"/>
      <c r="D627" s="10"/>
      <c r="E627" s="10"/>
      <c r="F627" s="10"/>
      <c r="G627" s="69"/>
      <c r="H627" s="69"/>
      <c r="I627" s="69"/>
      <c r="J627" s="70"/>
      <c r="K627" s="69"/>
      <c r="L627" s="69"/>
      <c r="M627" s="69"/>
      <c r="N627" s="69"/>
      <c r="O627" s="2"/>
      <c r="P627" s="2"/>
      <c r="Q627" s="32"/>
      <c r="R627" s="32"/>
      <c r="S627" s="32"/>
      <c r="T627" s="3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2"/>
      <c r="C628" s="10"/>
      <c r="D628" s="10"/>
      <c r="E628" s="10"/>
      <c r="F628" s="10"/>
      <c r="G628" s="69"/>
      <c r="H628" s="69"/>
      <c r="I628" s="69"/>
      <c r="J628" s="70"/>
      <c r="K628" s="69"/>
      <c r="L628" s="69"/>
      <c r="M628" s="69"/>
      <c r="N628" s="69"/>
      <c r="O628" s="2"/>
      <c r="P628" s="2"/>
      <c r="Q628" s="32"/>
      <c r="R628" s="32"/>
      <c r="S628" s="32"/>
      <c r="T628" s="3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2"/>
      <c r="C629" s="10"/>
      <c r="D629" s="10"/>
      <c r="E629" s="10"/>
      <c r="F629" s="10"/>
      <c r="G629" s="69"/>
      <c r="H629" s="69"/>
      <c r="I629" s="69"/>
      <c r="J629" s="70"/>
      <c r="K629" s="69"/>
      <c r="L629" s="69"/>
      <c r="M629" s="69"/>
      <c r="N629" s="69"/>
      <c r="O629" s="2"/>
      <c r="P629" s="2"/>
      <c r="Q629" s="32"/>
      <c r="R629" s="32"/>
      <c r="S629" s="32"/>
      <c r="T629" s="3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2"/>
      <c r="C630" s="10"/>
      <c r="D630" s="10"/>
      <c r="E630" s="10"/>
      <c r="F630" s="10"/>
      <c r="G630" s="69"/>
      <c r="H630" s="69"/>
      <c r="I630" s="69"/>
      <c r="J630" s="70"/>
      <c r="K630" s="69"/>
      <c r="L630" s="69"/>
      <c r="M630" s="69"/>
      <c r="N630" s="69"/>
      <c r="O630" s="2"/>
      <c r="P630" s="2"/>
      <c r="Q630" s="32"/>
      <c r="R630" s="32"/>
      <c r="S630" s="32"/>
      <c r="T630" s="3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2"/>
      <c r="C631" s="10"/>
      <c r="D631" s="10"/>
      <c r="E631" s="10"/>
      <c r="F631" s="10"/>
      <c r="G631" s="69"/>
      <c r="H631" s="69"/>
      <c r="I631" s="69"/>
      <c r="J631" s="70"/>
      <c r="K631" s="69"/>
      <c r="L631" s="69"/>
      <c r="M631" s="69"/>
      <c r="N631" s="69"/>
      <c r="O631" s="2"/>
      <c r="P631" s="2"/>
      <c r="Q631" s="32"/>
      <c r="R631" s="32"/>
      <c r="S631" s="32"/>
      <c r="T631" s="3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2"/>
      <c r="C632" s="10"/>
      <c r="D632" s="10"/>
      <c r="E632" s="10"/>
      <c r="F632" s="10"/>
      <c r="G632" s="69"/>
      <c r="H632" s="69"/>
      <c r="I632" s="69"/>
      <c r="J632" s="70"/>
      <c r="K632" s="69"/>
      <c r="L632" s="69"/>
      <c r="M632" s="69"/>
      <c r="N632" s="69"/>
      <c r="O632" s="2"/>
      <c r="P632" s="2"/>
      <c r="Q632" s="32"/>
      <c r="R632" s="32"/>
      <c r="S632" s="32"/>
      <c r="T632" s="3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2"/>
      <c r="C633" s="10"/>
      <c r="D633" s="10"/>
      <c r="E633" s="10"/>
      <c r="F633" s="10"/>
      <c r="G633" s="69"/>
      <c r="H633" s="69"/>
      <c r="I633" s="69"/>
      <c r="J633" s="70"/>
      <c r="K633" s="69"/>
      <c r="L633" s="69"/>
      <c r="M633" s="69"/>
      <c r="N633" s="69"/>
      <c r="O633" s="2"/>
      <c r="P633" s="2"/>
      <c r="Q633" s="32"/>
      <c r="R633" s="32"/>
      <c r="S633" s="32"/>
      <c r="T633" s="3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2"/>
      <c r="C634" s="10"/>
      <c r="D634" s="10"/>
      <c r="E634" s="10"/>
      <c r="F634" s="10"/>
      <c r="G634" s="69"/>
      <c r="H634" s="69"/>
      <c r="I634" s="69"/>
      <c r="J634" s="70"/>
      <c r="K634" s="69"/>
      <c r="L634" s="69"/>
      <c r="M634" s="69"/>
      <c r="N634" s="69"/>
      <c r="O634" s="2"/>
      <c r="P634" s="2"/>
      <c r="Q634" s="32"/>
      <c r="R634" s="32"/>
      <c r="S634" s="32"/>
      <c r="T634" s="3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2"/>
      <c r="C635" s="10"/>
      <c r="D635" s="10"/>
      <c r="E635" s="10"/>
      <c r="F635" s="10"/>
      <c r="G635" s="69"/>
      <c r="H635" s="69"/>
      <c r="I635" s="69"/>
      <c r="J635" s="70"/>
      <c r="K635" s="69"/>
      <c r="L635" s="69"/>
      <c r="M635" s="69"/>
      <c r="N635" s="69"/>
      <c r="O635" s="2"/>
      <c r="P635" s="2"/>
      <c r="Q635" s="32"/>
      <c r="R635" s="32"/>
      <c r="S635" s="32"/>
      <c r="T635" s="3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2"/>
      <c r="C636" s="10"/>
      <c r="D636" s="10"/>
      <c r="E636" s="10"/>
      <c r="F636" s="10"/>
      <c r="G636" s="69"/>
      <c r="H636" s="69"/>
      <c r="I636" s="69"/>
      <c r="J636" s="70"/>
      <c r="K636" s="69"/>
      <c r="L636" s="69"/>
      <c r="M636" s="69"/>
      <c r="N636" s="69"/>
      <c r="O636" s="2"/>
      <c r="P636" s="2"/>
      <c r="Q636" s="32"/>
      <c r="R636" s="32"/>
      <c r="S636" s="32"/>
      <c r="T636" s="3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2"/>
      <c r="C637" s="10"/>
      <c r="D637" s="10"/>
      <c r="E637" s="10"/>
      <c r="F637" s="10"/>
      <c r="G637" s="69"/>
      <c r="H637" s="69"/>
      <c r="I637" s="69"/>
      <c r="J637" s="70"/>
      <c r="K637" s="69"/>
      <c r="L637" s="69"/>
      <c r="M637" s="69"/>
      <c r="N637" s="69"/>
      <c r="O637" s="2"/>
      <c r="P637" s="2"/>
      <c r="Q637" s="32"/>
      <c r="R637" s="32"/>
      <c r="S637" s="32"/>
      <c r="T637" s="3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2"/>
      <c r="C638" s="10"/>
      <c r="D638" s="10"/>
      <c r="E638" s="10"/>
      <c r="F638" s="10"/>
      <c r="G638" s="69"/>
      <c r="H638" s="69"/>
      <c r="I638" s="69"/>
      <c r="J638" s="70"/>
      <c r="K638" s="69"/>
      <c r="L638" s="69"/>
      <c r="M638" s="69"/>
      <c r="N638" s="69"/>
      <c r="O638" s="2"/>
      <c r="P638" s="2"/>
      <c r="Q638" s="32"/>
      <c r="R638" s="32"/>
      <c r="S638" s="32"/>
      <c r="T638" s="3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2"/>
      <c r="C639" s="10"/>
      <c r="D639" s="10"/>
      <c r="E639" s="10"/>
      <c r="F639" s="10"/>
      <c r="G639" s="69"/>
      <c r="H639" s="69"/>
      <c r="I639" s="69"/>
      <c r="J639" s="70"/>
      <c r="K639" s="69"/>
      <c r="L639" s="69"/>
      <c r="M639" s="69"/>
      <c r="N639" s="69"/>
      <c r="O639" s="2"/>
      <c r="P639" s="2"/>
      <c r="Q639" s="32"/>
      <c r="R639" s="32"/>
      <c r="S639" s="32"/>
      <c r="T639" s="3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2"/>
      <c r="C640" s="10"/>
      <c r="D640" s="10"/>
      <c r="E640" s="10"/>
      <c r="F640" s="10"/>
      <c r="G640" s="69"/>
      <c r="H640" s="69"/>
      <c r="I640" s="69"/>
      <c r="J640" s="70"/>
      <c r="K640" s="69"/>
      <c r="L640" s="69"/>
      <c r="M640" s="69"/>
      <c r="N640" s="69"/>
      <c r="O640" s="2"/>
      <c r="P640" s="2"/>
      <c r="Q640" s="32"/>
      <c r="R640" s="32"/>
      <c r="S640" s="32"/>
      <c r="T640" s="3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2"/>
      <c r="C641" s="10"/>
      <c r="D641" s="10"/>
      <c r="E641" s="10"/>
      <c r="F641" s="10"/>
      <c r="G641" s="69"/>
      <c r="H641" s="69"/>
      <c r="I641" s="69"/>
      <c r="J641" s="70"/>
      <c r="K641" s="69"/>
      <c r="L641" s="69"/>
      <c r="M641" s="69"/>
      <c r="N641" s="69"/>
      <c r="O641" s="2"/>
      <c r="P641" s="2"/>
      <c r="Q641" s="32"/>
      <c r="R641" s="32"/>
      <c r="S641" s="32"/>
      <c r="T641" s="3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2"/>
      <c r="C642" s="10"/>
      <c r="D642" s="10"/>
      <c r="E642" s="10"/>
      <c r="F642" s="10"/>
      <c r="G642" s="69"/>
      <c r="H642" s="69"/>
      <c r="I642" s="69"/>
      <c r="J642" s="70"/>
      <c r="K642" s="69"/>
      <c r="L642" s="69"/>
      <c r="M642" s="69"/>
      <c r="N642" s="69"/>
      <c r="O642" s="2"/>
      <c r="P642" s="2"/>
      <c r="Q642" s="32"/>
      <c r="R642" s="32"/>
      <c r="S642" s="32"/>
      <c r="T642" s="3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2"/>
      <c r="C643" s="10"/>
      <c r="D643" s="10"/>
      <c r="E643" s="10"/>
      <c r="F643" s="10"/>
      <c r="G643" s="69"/>
      <c r="H643" s="69"/>
      <c r="I643" s="69"/>
      <c r="J643" s="70"/>
      <c r="K643" s="69"/>
      <c r="L643" s="69"/>
      <c r="M643" s="69"/>
      <c r="N643" s="69"/>
      <c r="O643" s="2"/>
      <c r="P643" s="2"/>
      <c r="Q643" s="32"/>
      <c r="R643" s="32"/>
      <c r="S643" s="32"/>
      <c r="T643" s="3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2"/>
      <c r="C644" s="10"/>
      <c r="D644" s="10"/>
      <c r="E644" s="10"/>
      <c r="F644" s="10"/>
      <c r="G644" s="69"/>
      <c r="H644" s="69"/>
      <c r="I644" s="69"/>
      <c r="J644" s="70"/>
      <c r="K644" s="69"/>
      <c r="L644" s="69"/>
      <c r="M644" s="69"/>
      <c r="N644" s="69"/>
      <c r="O644" s="2"/>
      <c r="P644" s="2"/>
      <c r="Q644" s="32"/>
      <c r="R644" s="32"/>
      <c r="S644" s="32"/>
      <c r="T644" s="3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2"/>
      <c r="C645" s="10"/>
      <c r="D645" s="10"/>
      <c r="E645" s="10"/>
      <c r="F645" s="10"/>
      <c r="G645" s="69"/>
      <c r="H645" s="69"/>
      <c r="I645" s="69"/>
      <c r="J645" s="70"/>
      <c r="K645" s="69"/>
      <c r="L645" s="69"/>
      <c r="M645" s="69"/>
      <c r="N645" s="69"/>
      <c r="O645" s="2"/>
      <c r="P645" s="2"/>
      <c r="Q645" s="32"/>
      <c r="R645" s="32"/>
      <c r="S645" s="32"/>
      <c r="T645" s="3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2"/>
      <c r="C646" s="10"/>
      <c r="D646" s="10"/>
      <c r="E646" s="10"/>
      <c r="F646" s="10"/>
      <c r="G646" s="69"/>
      <c r="H646" s="69"/>
      <c r="I646" s="69"/>
      <c r="J646" s="70"/>
      <c r="K646" s="69"/>
      <c r="L646" s="69"/>
      <c r="M646" s="69"/>
      <c r="N646" s="69"/>
      <c r="O646" s="2"/>
      <c r="P646" s="2"/>
      <c r="Q646" s="32"/>
      <c r="R646" s="32"/>
      <c r="S646" s="32"/>
      <c r="T646" s="3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2"/>
      <c r="C647" s="10"/>
      <c r="D647" s="10"/>
      <c r="E647" s="10"/>
      <c r="F647" s="10"/>
      <c r="G647" s="69"/>
      <c r="H647" s="69"/>
      <c r="I647" s="69"/>
      <c r="J647" s="70"/>
      <c r="K647" s="69"/>
      <c r="L647" s="69"/>
      <c r="M647" s="69"/>
      <c r="N647" s="69"/>
      <c r="O647" s="2"/>
      <c r="P647" s="2"/>
      <c r="Q647" s="32"/>
      <c r="R647" s="32"/>
      <c r="S647" s="32"/>
      <c r="T647" s="3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2"/>
      <c r="C648" s="10"/>
      <c r="D648" s="10"/>
      <c r="E648" s="10"/>
      <c r="F648" s="10"/>
      <c r="G648" s="69"/>
      <c r="H648" s="69"/>
      <c r="I648" s="69"/>
      <c r="J648" s="70"/>
      <c r="K648" s="69"/>
      <c r="L648" s="69"/>
      <c r="M648" s="69"/>
      <c r="N648" s="69"/>
      <c r="O648" s="2"/>
      <c r="P648" s="2"/>
      <c r="Q648" s="32"/>
      <c r="R648" s="32"/>
      <c r="S648" s="32"/>
      <c r="T648" s="3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2"/>
      <c r="C649" s="10"/>
      <c r="D649" s="10"/>
      <c r="E649" s="10"/>
      <c r="F649" s="10"/>
      <c r="G649" s="69"/>
      <c r="H649" s="69"/>
      <c r="I649" s="69"/>
      <c r="J649" s="70"/>
      <c r="K649" s="69"/>
      <c r="L649" s="69"/>
      <c r="M649" s="69"/>
      <c r="N649" s="69"/>
      <c r="O649" s="2"/>
      <c r="P649" s="2"/>
      <c r="Q649" s="32"/>
      <c r="R649" s="32"/>
      <c r="S649" s="32"/>
      <c r="T649" s="3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2"/>
      <c r="C650" s="10"/>
      <c r="D650" s="10"/>
      <c r="E650" s="10"/>
      <c r="F650" s="10"/>
      <c r="G650" s="69"/>
      <c r="H650" s="69"/>
      <c r="I650" s="69"/>
      <c r="J650" s="70"/>
      <c r="K650" s="69"/>
      <c r="L650" s="69"/>
      <c r="M650" s="69"/>
      <c r="N650" s="69"/>
      <c r="O650" s="2"/>
      <c r="P650" s="2"/>
      <c r="Q650" s="32"/>
      <c r="R650" s="32"/>
      <c r="S650" s="32"/>
      <c r="T650" s="3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2"/>
      <c r="C651" s="10"/>
      <c r="D651" s="10"/>
      <c r="E651" s="10"/>
      <c r="F651" s="10"/>
      <c r="G651" s="69"/>
      <c r="H651" s="69"/>
      <c r="I651" s="69"/>
      <c r="J651" s="70"/>
      <c r="K651" s="69"/>
      <c r="L651" s="69"/>
      <c r="M651" s="69"/>
      <c r="N651" s="69"/>
      <c r="O651" s="2"/>
      <c r="P651" s="2"/>
      <c r="Q651" s="32"/>
      <c r="R651" s="32"/>
      <c r="S651" s="32"/>
      <c r="T651" s="3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2"/>
      <c r="C652" s="10"/>
      <c r="D652" s="10"/>
      <c r="E652" s="10"/>
      <c r="F652" s="10"/>
      <c r="G652" s="69"/>
      <c r="H652" s="69"/>
      <c r="I652" s="69"/>
      <c r="J652" s="70"/>
      <c r="K652" s="69"/>
      <c r="L652" s="69"/>
      <c r="M652" s="69"/>
      <c r="N652" s="69"/>
      <c r="O652" s="2"/>
      <c r="P652" s="2"/>
      <c r="Q652" s="32"/>
      <c r="R652" s="32"/>
      <c r="S652" s="32"/>
      <c r="T652" s="3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2"/>
      <c r="C653" s="10"/>
      <c r="D653" s="10"/>
      <c r="E653" s="10"/>
      <c r="F653" s="10"/>
      <c r="G653" s="69"/>
      <c r="H653" s="69"/>
      <c r="I653" s="69"/>
      <c r="J653" s="70"/>
      <c r="K653" s="69"/>
      <c r="L653" s="69"/>
      <c r="M653" s="69"/>
      <c r="N653" s="69"/>
      <c r="O653" s="2"/>
      <c r="P653" s="2"/>
      <c r="Q653" s="32"/>
      <c r="R653" s="32"/>
      <c r="S653" s="32"/>
      <c r="T653" s="3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2"/>
      <c r="C654" s="10"/>
      <c r="D654" s="10"/>
      <c r="E654" s="10"/>
      <c r="F654" s="10"/>
      <c r="G654" s="69"/>
      <c r="H654" s="69"/>
      <c r="I654" s="69"/>
      <c r="J654" s="70"/>
      <c r="K654" s="69"/>
      <c r="L654" s="69"/>
      <c r="M654" s="69"/>
      <c r="N654" s="69"/>
      <c r="O654" s="2"/>
      <c r="P654" s="2"/>
      <c r="Q654" s="32"/>
      <c r="R654" s="32"/>
      <c r="S654" s="32"/>
      <c r="T654" s="3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2"/>
      <c r="C655" s="10"/>
      <c r="D655" s="10"/>
      <c r="E655" s="10"/>
      <c r="F655" s="10"/>
      <c r="G655" s="69"/>
      <c r="H655" s="69"/>
      <c r="I655" s="69"/>
      <c r="J655" s="70"/>
      <c r="K655" s="69"/>
      <c r="L655" s="69"/>
      <c r="M655" s="69"/>
      <c r="N655" s="69"/>
      <c r="O655" s="2"/>
      <c r="P655" s="2"/>
      <c r="Q655" s="32"/>
      <c r="R655" s="32"/>
      <c r="S655" s="32"/>
      <c r="T655" s="3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2"/>
      <c r="C656" s="10"/>
      <c r="D656" s="10"/>
      <c r="E656" s="10"/>
      <c r="F656" s="10"/>
      <c r="G656" s="69"/>
      <c r="H656" s="69"/>
      <c r="I656" s="69"/>
      <c r="J656" s="70"/>
      <c r="K656" s="69"/>
      <c r="L656" s="69"/>
      <c r="M656" s="69"/>
      <c r="N656" s="69"/>
      <c r="O656" s="2"/>
      <c r="P656" s="2"/>
      <c r="Q656" s="32"/>
      <c r="R656" s="32"/>
      <c r="S656" s="32"/>
      <c r="T656" s="3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2"/>
      <c r="C657" s="10"/>
      <c r="D657" s="10"/>
      <c r="E657" s="10"/>
      <c r="F657" s="10"/>
      <c r="G657" s="69"/>
      <c r="H657" s="69"/>
      <c r="I657" s="69"/>
      <c r="J657" s="70"/>
      <c r="K657" s="69"/>
      <c r="L657" s="69"/>
      <c r="M657" s="69"/>
      <c r="N657" s="69"/>
      <c r="O657" s="2"/>
      <c r="P657" s="2"/>
      <c r="Q657" s="32"/>
      <c r="R657" s="32"/>
      <c r="S657" s="32"/>
      <c r="T657" s="3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2"/>
      <c r="C658" s="10"/>
      <c r="D658" s="10"/>
      <c r="E658" s="10"/>
      <c r="F658" s="10"/>
      <c r="G658" s="69"/>
      <c r="H658" s="69"/>
      <c r="I658" s="69"/>
      <c r="J658" s="70"/>
      <c r="K658" s="69"/>
      <c r="L658" s="69"/>
      <c r="M658" s="69"/>
      <c r="N658" s="69"/>
      <c r="O658" s="2"/>
      <c r="P658" s="2"/>
      <c r="Q658" s="32"/>
      <c r="R658" s="32"/>
      <c r="S658" s="32"/>
      <c r="T658" s="3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2"/>
      <c r="C659" s="10"/>
      <c r="D659" s="10"/>
      <c r="E659" s="10"/>
      <c r="F659" s="10"/>
      <c r="G659" s="69"/>
      <c r="H659" s="69"/>
      <c r="I659" s="69"/>
      <c r="J659" s="70"/>
      <c r="K659" s="69"/>
      <c r="L659" s="69"/>
      <c r="M659" s="69"/>
      <c r="N659" s="69"/>
      <c r="O659" s="2"/>
      <c r="P659" s="2"/>
      <c r="Q659" s="32"/>
      <c r="R659" s="32"/>
      <c r="S659" s="32"/>
      <c r="T659" s="3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2"/>
      <c r="C660" s="10"/>
      <c r="D660" s="10"/>
      <c r="E660" s="10"/>
      <c r="F660" s="10"/>
      <c r="G660" s="69"/>
      <c r="H660" s="69"/>
      <c r="I660" s="69"/>
      <c r="J660" s="70"/>
      <c r="K660" s="69"/>
      <c r="L660" s="69"/>
      <c r="M660" s="69"/>
      <c r="N660" s="69"/>
      <c r="O660" s="2"/>
      <c r="P660" s="2"/>
      <c r="Q660" s="32"/>
      <c r="R660" s="32"/>
      <c r="S660" s="32"/>
      <c r="T660" s="3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2"/>
      <c r="C661" s="10"/>
      <c r="D661" s="10"/>
      <c r="E661" s="10"/>
      <c r="F661" s="10"/>
      <c r="G661" s="69"/>
      <c r="H661" s="69"/>
      <c r="I661" s="69"/>
      <c r="J661" s="70"/>
      <c r="K661" s="69"/>
      <c r="L661" s="69"/>
      <c r="M661" s="69"/>
      <c r="N661" s="69"/>
      <c r="O661" s="2"/>
      <c r="P661" s="2"/>
      <c r="Q661" s="32"/>
      <c r="R661" s="32"/>
      <c r="S661" s="32"/>
      <c r="T661" s="3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2"/>
      <c r="C662" s="10"/>
      <c r="D662" s="10"/>
      <c r="E662" s="10"/>
      <c r="F662" s="10"/>
      <c r="G662" s="69"/>
      <c r="H662" s="69"/>
      <c r="I662" s="69"/>
      <c r="J662" s="70"/>
      <c r="K662" s="69"/>
      <c r="L662" s="69"/>
      <c r="M662" s="69"/>
      <c r="N662" s="69"/>
      <c r="O662" s="2"/>
      <c r="P662" s="2"/>
      <c r="Q662" s="32"/>
      <c r="R662" s="32"/>
      <c r="S662" s="32"/>
      <c r="T662" s="3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2"/>
      <c r="C663" s="10"/>
      <c r="D663" s="10"/>
      <c r="E663" s="10"/>
      <c r="F663" s="10"/>
      <c r="G663" s="69"/>
      <c r="H663" s="69"/>
      <c r="I663" s="69"/>
      <c r="J663" s="70"/>
      <c r="K663" s="69"/>
      <c r="L663" s="69"/>
      <c r="M663" s="69"/>
      <c r="N663" s="69"/>
      <c r="O663" s="2"/>
      <c r="P663" s="2"/>
      <c r="Q663" s="32"/>
      <c r="R663" s="32"/>
      <c r="S663" s="32"/>
      <c r="T663" s="3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2"/>
      <c r="C664" s="10"/>
      <c r="D664" s="10"/>
      <c r="E664" s="10"/>
      <c r="F664" s="10"/>
      <c r="G664" s="69"/>
      <c r="H664" s="69"/>
      <c r="I664" s="69"/>
      <c r="J664" s="70"/>
      <c r="K664" s="69"/>
      <c r="L664" s="69"/>
      <c r="M664" s="69"/>
      <c r="N664" s="69"/>
      <c r="O664" s="2"/>
      <c r="P664" s="2"/>
      <c r="Q664" s="32"/>
      <c r="R664" s="32"/>
      <c r="S664" s="32"/>
      <c r="T664" s="3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2"/>
      <c r="C665" s="10"/>
      <c r="D665" s="10"/>
      <c r="E665" s="10"/>
      <c r="F665" s="10"/>
      <c r="G665" s="69"/>
      <c r="H665" s="69"/>
      <c r="I665" s="69"/>
      <c r="J665" s="70"/>
      <c r="K665" s="69"/>
      <c r="L665" s="69"/>
      <c r="M665" s="69"/>
      <c r="N665" s="69"/>
      <c r="O665" s="2"/>
      <c r="P665" s="2"/>
      <c r="Q665" s="32"/>
      <c r="R665" s="32"/>
      <c r="S665" s="32"/>
      <c r="T665" s="3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2"/>
      <c r="C666" s="10"/>
      <c r="D666" s="10"/>
      <c r="E666" s="10"/>
      <c r="F666" s="10"/>
      <c r="G666" s="69"/>
      <c r="H666" s="69"/>
      <c r="I666" s="69"/>
      <c r="J666" s="70"/>
      <c r="K666" s="69"/>
      <c r="L666" s="69"/>
      <c r="M666" s="69"/>
      <c r="N666" s="69"/>
      <c r="O666" s="2"/>
      <c r="P666" s="2"/>
      <c r="Q666" s="32"/>
      <c r="R666" s="32"/>
      <c r="S666" s="32"/>
      <c r="T666" s="3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2"/>
      <c r="C667" s="10"/>
      <c r="D667" s="10"/>
      <c r="E667" s="10"/>
      <c r="F667" s="10"/>
      <c r="G667" s="69"/>
      <c r="H667" s="69"/>
      <c r="I667" s="69"/>
      <c r="J667" s="70"/>
      <c r="K667" s="69"/>
      <c r="L667" s="69"/>
      <c r="M667" s="69"/>
      <c r="N667" s="69"/>
      <c r="O667" s="2"/>
      <c r="P667" s="2"/>
      <c r="Q667" s="32"/>
      <c r="R667" s="32"/>
      <c r="S667" s="32"/>
      <c r="T667" s="3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2"/>
      <c r="C668" s="10"/>
      <c r="D668" s="10"/>
      <c r="E668" s="10"/>
      <c r="F668" s="10"/>
      <c r="G668" s="69"/>
      <c r="H668" s="69"/>
      <c r="I668" s="69"/>
      <c r="J668" s="70"/>
      <c r="K668" s="69"/>
      <c r="L668" s="69"/>
      <c r="M668" s="69"/>
      <c r="N668" s="69"/>
      <c r="O668" s="2"/>
      <c r="P668" s="2"/>
      <c r="Q668" s="32"/>
      <c r="R668" s="32"/>
      <c r="S668" s="32"/>
      <c r="T668" s="3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2"/>
      <c r="C669" s="10"/>
      <c r="D669" s="10"/>
      <c r="E669" s="10"/>
      <c r="F669" s="10"/>
      <c r="G669" s="69"/>
      <c r="H669" s="69"/>
      <c r="I669" s="69"/>
      <c r="J669" s="70"/>
      <c r="K669" s="69"/>
      <c r="L669" s="69"/>
      <c r="M669" s="69"/>
      <c r="N669" s="69"/>
      <c r="O669" s="2"/>
      <c r="P669" s="2"/>
      <c r="Q669" s="32"/>
      <c r="R669" s="32"/>
      <c r="S669" s="32"/>
      <c r="T669" s="3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2"/>
      <c r="C670" s="10"/>
      <c r="D670" s="10"/>
      <c r="E670" s="10"/>
      <c r="F670" s="10"/>
      <c r="G670" s="69"/>
      <c r="H670" s="69"/>
      <c r="I670" s="69"/>
      <c r="J670" s="70"/>
      <c r="K670" s="69"/>
      <c r="L670" s="69"/>
      <c r="M670" s="69"/>
      <c r="N670" s="69"/>
      <c r="O670" s="2"/>
      <c r="P670" s="2"/>
      <c r="Q670" s="32"/>
      <c r="R670" s="32"/>
      <c r="S670" s="32"/>
      <c r="T670" s="3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2"/>
      <c r="C671" s="10"/>
      <c r="D671" s="10"/>
      <c r="E671" s="10"/>
      <c r="F671" s="10"/>
      <c r="G671" s="69"/>
      <c r="H671" s="69"/>
      <c r="I671" s="69"/>
      <c r="J671" s="70"/>
      <c r="K671" s="69"/>
      <c r="L671" s="69"/>
      <c r="M671" s="69"/>
      <c r="N671" s="69"/>
      <c r="O671" s="2"/>
      <c r="P671" s="2"/>
      <c r="Q671" s="32"/>
      <c r="R671" s="32"/>
      <c r="S671" s="32"/>
      <c r="T671" s="3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2"/>
      <c r="C672" s="10"/>
      <c r="D672" s="10"/>
      <c r="E672" s="10"/>
      <c r="F672" s="10"/>
      <c r="G672" s="69"/>
      <c r="H672" s="69"/>
      <c r="I672" s="69"/>
      <c r="J672" s="70"/>
      <c r="K672" s="69"/>
      <c r="L672" s="69"/>
      <c r="M672" s="69"/>
      <c r="N672" s="69"/>
      <c r="O672" s="2"/>
      <c r="P672" s="2"/>
      <c r="Q672" s="32"/>
      <c r="R672" s="32"/>
      <c r="S672" s="32"/>
      <c r="T672" s="3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2"/>
      <c r="C673" s="10"/>
      <c r="D673" s="10"/>
      <c r="E673" s="10"/>
      <c r="F673" s="10"/>
      <c r="G673" s="69"/>
      <c r="H673" s="69"/>
      <c r="I673" s="69"/>
      <c r="J673" s="70"/>
      <c r="K673" s="69"/>
      <c r="L673" s="69"/>
      <c r="M673" s="69"/>
      <c r="N673" s="69"/>
      <c r="O673" s="2"/>
      <c r="P673" s="2"/>
      <c r="Q673" s="32"/>
      <c r="R673" s="32"/>
      <c r="S673" s="32"/>
      <c r="T673" s="3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2"/>
      <c r="C674" s="10"/>
      <c r="D674" s="10"/>
      <c r="E674" s="10"/>
      <c r="F674" s="10"/>
      <c r="G674" s="69"/>
      <c r="H674" s="69"/>
      <c r="I674" s="69"/>
      <c r="J674" s="70"/>
      <c r="K674" s="69"/>
      <c r="L674" s="69"/>
      <c r="M674" s="69"/>
      <c r="N674" s="69"/>
      <c r="O674" s="2"/>
      <c r="P674" s="2"/>
      <c r="Q674" s="32"/>
      <c r="R674" s="32"/>
      <c r="S674" s="32"/>
      <c r="T674" s="3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2"/>
      <c r="C675" s="10"/>
      <c r="D675" s="10"/>
      <c r="E675" s="10"/>
      <c r="F675" s="10"/>
      <c r="G675" s="69"/>
      <c r="H675" s="69"/>
      <c r="I675" s="69"/>
      <c r="J675" s="70"/>
      <c r="K675" s="69"/>
      <c r="L675" s="69"/>
      <c r="M675" s="69"/>
      <c r="N675" s="69"/>
      <c r="O675" s="2"/>
      <c r="P675" s="2"/>
      <c r="Q675" s="32"/>
      <c r="R675" s="32"/>
      <c r="S675" s="32"/>
      <c r="T675" s="3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2"/>
      <c r="C676" s="10"/>
      <c r="D676" s="10"/>
      <c r="E676" s="10"/>
      <c r="F676" s="10"/>
      <c r="G676" s="69"/>
      <c r="H676" s="69"/>
      <c r="I676" s="69"/>
      <c r="J676" s="70"/>
      <c r="K676" s="69"/>
      <c r="L676" s="69"/>
      <c r="M676" s="69"/>
      <c r="N676" s="69"/>
      <c r="O676" s="2"/>
      <c r="P676" s="2"/>
      <c r="Q676" s="32"/>
      <c r="R676" s="32"/>
      <c r="S676" s="32"/>
      <c r="T676" s="3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2"/>
      <c r="C677" s="10"/>
      <c r="D677" s="10"/>
      <c r="E677" s="10"/>
      <c r="F677" s="10"/>
      <c r="G677" s="69"/>
      <c r="H677" s="69"/>
      <c r="I677" s="69"/>
      <c r="J677" s="70"/>
      <c r="K677" s="69"/>
      <c r="L677" s="69"/>
      <c r="M677" s="69"/>
      <c r="N677" s="69"/>
      <c r="O677" s="2"/>
      <c r="P677" s="2"/>
      <c r="Q677" s="32"/>
      <c r="R677" s="32"/>
      <c r="S677" s="32"/>
      <c r="T677" s="3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2"/>
      <c r="C678" s="10"/>
      <c r="D678" s="10"/>
      <c r="E678" s="10"/>
      <c r="F678" s="10"/>
      <c r="G678" s="69"/>
      <c r="H678" s="69"/>
      <c r="I678" s="69"/>
      <c r="J678" s="70"/>
      <c r="K678" s="69"/>
      <c r="L678" s="69"/>
      <c r="M678" s="69"/>
      <c r="N678" s="69"/>
      <c r="O678" s="2"/>
      <c r="P678" s="2"/>
      <c r="Q678" s="32"/>
      <c r="R678" s="32"/>
      <c r="S678" s="32"/>
      <c r="T678" s="3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2"/>
      <c r="C679" s="10"/>
      <c r="D679" s="10"/>
      <c r="E679" s="10"/>
      <c r="F679" s="10"/>
      <c r="G679" s="69"/>
      <c r="H679" s="69"/>
      <c r="I679" s="69"/>
      <c r="J679" s="70"/>
      <c r="K679" s="69"/>
      <c r="L679" s="69"/>
      <c r="M679" s="69"/>
      <c r="N679" s="69"/>
      <c r="O679" s="2"/>
      <c r="P679" s="2"/>
      <c r="Q679" s="32"/>
      <c r="R679" s="32"/>
      <c r="S679" s="32"/>
      <c r="T679" s="3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2"/>
      <c r="C680" s="10"/>
      <c r="D680" s="10"/>
      <c r="E680" s="10"/>
      <c r="F680" s="10"/>
      <c r="G680" s="69"/>
      <c r="H680" s="69"/>
      <c r="I680" s="69"/>
      <c r="J680" s="70"/>
      <c r="K680" s="69"/>
      <c r="L680" s="69"/>
      <c r="M680" s="69"/>
      <c r="N680" s="69"/>
      <c r="O680" s="2"/>
      <c r="P680" s="2"/>
      <c r="Q680" s="32"/>
      <c r="R680" s="32"/>
      <c r="S680" s="32"/>
      <c r="T680" s="3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2"/>
      <c r="C681" s="10"/>
      <c r="D681" s="10"/>
      <c r="E681" s="10"/>
      <c r="F681" s="10"/>
      <c r="G681" s="69"/>
      <c r="H681" s="69"/>
      <c r="I681" s="69"/>
      <c r="J681" s="70"/>
      <c r="K681" s="69"/>
      <c r="L681" s="69"/>
      <c r="M681" s="69"/>
      <c r="N681" s="69"/>
      <c r="O681" s="2"/>
      <c r="P681" s="2"/>
      <c r="Q681" s="32"/>
      <c r="R681" s="32"/>
      <c r="S681" s="32"/>
      <c r="T681" s="3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2"/>
      <c r="C682" s="10"/>
      <c r="D682" s="10"/>
      <c r="E682" s="10"/>
      <c r="F682" s="10"/>
      <c r="G682" s="69"/>
      <c r="H682" s="69"/>
      <c r="I682" s="69"/>
      <c r="J682" s="70"/>
      <c r="K682" s="69"/>
      <c r="L682" s="69"/>
      <c r="M682" s="69"/>
      <c r="N682" s="69"/>
      <c r="O682" s="2"/>
      <c r="P682" s="2"/>
      <c r="Q682" s="32"/>
      <c r="R682" s="32"/>
      <c r="S682" s="32"/>
      <c r="T682" s="3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2"/>
      <c r="C683" s="10"/>
      <c r="D683" s="10"/>
      <c r="E683" s="10"/>
      <c r="F683" s="10"/>
      <c r="G683" s="69"/>
      <c r="H683" s="69"/>
      <c r="I683" s="69"/>
      <c r="J683" s="70"/>
      <c r="K683" s="69"/>
      <c r="L683" s="69"/>
      <c r="M683" s="69"/>
      <c r="N683" s="69"/>
      <c r="O683" s="2"/>
      <c r="P683" s="2"/>
      <c r="Q683" s="32"/>
      <c r="R683" s="32"/>
      <c r="S683" s="32"/>
      <c r="T683" s="3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2"/>
      <c r="C684" s="10"/>
      <c r="D684" s="10"/>
      <c r="E684" s="10"/>
      <c r="F684" s="10"/>
      <c r="G684" s="69"/>
      <c r="H684" s="69"/>
      <c r="I684" s="69"/>
      <c r="J684" s="70"/>
      <c r="K684" s="69"/>
      <c r="L684" s="69"/>
      <c r="M684" s="69"/>
      <c r="N684" s="69"/>
      <c r="O684" s="2"/>
      <c r="P684" s="2"/>
      <c r="Q684" s="32"/>
      <c r="R684" s="32"/>
      <c r="S684" s="32"/>
      <c r="T684" s="3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2"/>
      <c r="C685" s="10"/>
      <c r="D685" s="10"/>
      <c r="E685" s="10"/>
      <c r="F685" s="10"/>
      <c r="G685" s="69"/>
      <c r="H685" s="69"/>
      <c r="I685" s="69"/>
      <c r="J685" s="70"/>
      <c r="K685" s="69"/>
      <c r="L685" s="69"/>
      <c r="M685" s="69"/>
      <c r="N685" s="69"/>
      <c r="O685" s="2"/>
      <c r="P685" s="2"/>
      <c r="Q685" s="32"/>
      <c r="R685" s="32"/>
      <c r="S685" s="32"/>
      <c r="T685" s="3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2"/>
      <c r="C686" s="10"/>
      <c r="D686" s="10"/>
      <c r="E686" s="10"/>
      <c r="F686" s="10"/>
      <c r="G686" s="69"/>
      <c r="H686" s="69"/>
      <c r="I686" s="69"/>
      <c r="J686" s="70"/>
      <c r="K686" s="69"/>
      <c r="L686" s="69"/>
      <c r="M686" s="69"/>
      <c r="N686" s="69"/>
      <c r="O686" s="2"/>
      <c r="P686" s="2"/>
      <c r="Q686" s="32"/>
      <c r="R686" s="32"/>
      <c r="S686" s="32"/>
      <c r="T686" s="3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2"/>
      <c r="C687" s="10"/>
      <c r="D687" s="10"/>
      <c r="E687" s="10"/>
      <c r="F687" s="10"/>
      <c r="G687" s="69"/>
      <c r="H687" s="69"/>
      <c r="I687" s="69"/>
      <c r="J687" s="70"/>
      <c r="K687" s="69"/>
      <c r="L687" s="69"/>
      <c r="M687" s="69"/>
      <c r="N687" s="69"/>
      <c r="O687" s="2"/>
      <c r="P687" s="2"/>
      <c r="Q687" s="32"/>
      <c r="R687" s="32"/>
      <c r="S687" s="32"/>
      <c r="T687" s="3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2"/>
      <c r="C688" s="10"/>
      <c r="D688" s="10"/>
      <c r="E688" s="10"/>
      <c r="F688" s="10"/>
      <c r="G688" s="69"/>
      <c r="H688" s="69"/>
      <c r="I688" s="69"/>
      <c r="J688" s="70"/>
      <c r="K688" s="69"/>
      <c r="L688" s="69"/>
      <c r="M688" s="69"/>
      <c r="N688" s="69"/>
      <c r="O688" s="2"/>
      <c r="P688" s="2"/>
      <c r="Q688" s="32"/>
      <c r="R688" s="32"/>
      <c r="S688" s="32"/>
      <c r="T688" s="3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2"/>
      <c r="C689" s="10"/>
      <c r="D689" s="10"/>
      <c r="E689" s="10"/>
      <c r="F689" s="10"/>
      <c r="G689" s="69"/>
      <c r="H689" s="69"/>
      <c r="I689" s="69"/>
      <c r="J689" s="70"/>
      <c r="K689" s="69"/>
      <c r="L689" s="69"/>
      <c r="M689" s="69"/>
      <c r="N689" s="69"/>
      <c r="O689" s="2"/>
      <c r="P689" s="2"/>
      <c r="Q689" s="32"/>
      <c r="R689" s="32"/>
      <c r="S689" s="32"/>
      <c r="T689" s="3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2"/>
      <c r="C690" s="10"/>
      <c r="D690" s="10"/>
      <c r="E690" s="10"/>
      <c r="F690" s="10"/>
      <c r="G690" s="69"/>
      <c r="H690" s="69"/>
      <c r="I690" s="69"/>
      <c r="J690" s="70"/>
      <c r="K690" s="69"/>
      <c r="L690" s="69"/>
      <c r="M690" s="69"/>
      <c r="N690" s="69"/>
      <c r="O690" s="2"/>
      <c r="P690" s="2"/>
      <c r="Q690" s="32"/>
      <c r="R690" s="32"/>
      <c r="S690" s="32"/>
      <c r="T690" s="3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2"/>
      <c r="C691" s="10"/>
      <c r="D691" s="10"/>
      <c r="E691" s="10"/>
      <c r="F691" s="10"/>
      <c r="G691" s="69"/>
      <c r="H691" s="69"/>
      <c r="I691" s="69"/>
      <c r="J691" s="70"/>
      <c r="K691" s="69"/>
      <c r="L691" s="69"/>
      <c r="M691" s="69"/>
      <c r="N691" s="69"/>
      <c r="O691" s="2"/>
      <c r="P691" s="2"/>
      <c r="Q691" s="32"/>
      <c r="R691" s="32"/>
      <c r="S691" s="32"/>
      <c r="T691" s="3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2"/>
      <c r="C692" s="10"/>
      <c r="D692" s="10"/>
      <c r="E692" s="10"/>
      <c r="F692" s="10"/>
      <c r="G692" s="69"/>
      <c r="H692" s="69"/>
      <c r="I692" s="69"/>
      <c r="J692" s="70"/>
      <c r="K692" s="69"/>
      <c r="L692" s="69"/>
      <c r="M692" s="69"/>
      <c r="N692" s="69"/>
      <c r="O692" s="2"/>
      <c r="P692" s="2"/>
      <c r="Q692" s="32"/>
      <c r="R692" s="32"/>
      <c r="S692" s="32"/>
      <c r="T692" s="3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2"/>
      <c r="C693" s="10"/>
      <c r="D693" s="10"/>
      <c r="E693" s="10"/>
      <c r="F693" s="10"/>
      <c r="G693" s="69"/>
      <c r="H693" s="69"/>
      <c r="I693" s="69"/>
      <c r="J693" s="70"/>
      <c r="K693" s="69"/>
      <c r="L693" s="69"/>
      <c r="M693" s="69"/>
      <c r="N693" s="69"/>
      <c r="O693" s="2"/>
      <c r="P693" s="2"/>
      <c r="Q693" s="32"/>
      <c r="R693" s="32"/>
      <c r="S693" s="32"/>
      <c r="T693" s="3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2"/>
      <c r="C694" s="10"/>
      <c r="D694" s="10"/>
      <c r="E694" s="10"/>
      <c r="F694" s="10"/>
      <c r="G694" s="69"/>
      <c r="H694" s="69"/>
      <c r="I694" s="69"/>
      <c r="J694" s="70"/>
      <c r="K694" s="69"/>
      <c r="L694" s="69"/>
      <c r="M694" s="69"/>
      <c r="N694" s="69"/>
      <c r="O694" s="2"/>
      <c r="P694" s="2"/>
      <c r="Q694" s="32"/>
      <c r="R694" s="32"/>
      <c r="S694" s="32"/>
      <c r="T694" s="3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2"/>
      <c r="C695" s="10"/>
      <c r="D695" s="10"/>
      <c r="E695" s="10"/>
      <c r="F695" s="10"/>
      <c r="G695" s="69"/>
      <c r="H695" s="69"/>
      <c r="I695" s="69"/>
      <c r="J695" s="70"/>
      <c r="K695" s="69"/>
      <c r="L695" s="69"/>
      <c r="M695" s="69"/>
      <c r="N695" s="69"/>
      <c r="O695" s="2"/>
      <c r="P695" s="2"/>
      <c r="Q695" s="32"/>
      <c r="R695" s="32"/>
      <c r="S695" s="32"/>
      <c r="T695" s="3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2"/>
      <c r="C696" s="10"/>
      <c r="D696" s="10"/>
      <c r="E696" s="10"/>
      <c r="F696" s="10"/>
      <c r="G696" s="69"/>
      <c r="H696" s="69"/>
      <c r="I696" s="69"/>
      <c r="J696" s="70"/>
      <c r="K696" s="69"/>
      <c r="L696" s="69"/>
      <c r="M696" s="69"/>
      <c r="N696" s="69"/>
      <c r="O696" s="2"/>
      <c r="P696" s="2"/>
      <c r="Q696" s="32"/>
      <c r="R696" s="32"/>
      <c r="S696" s="32"/>
      <c r="T696" s="3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2"/>
      <c r="C697" s="10"/>
      <c r="D697" s="10"/>
      <c r="E697" s="10"/>
      <c r="F697" s="10"/>
      <c r="G697" s="69"/>
      <c r="H697" s="69"/>
      <c r="I697" s="69"/>
      <c r="J697" s="70"/>
      <c r="K697" s="69"/>
      <c r="L697" s="69"/>
      <c r="M697" s="69"/>
      <c r="N697" s="69"/>
      <c r="O697" s="2"/>
      <c r="P697" s="2"/>
      <c r="Q697" s="32"/>
      <c r="R697" s="32"/>
      <c r="S697" s="32"/>
      <c r="T697" s="3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2"/>
      <c r="C698" s="10"/>
      <c r="D698" s="10"/>
      <c r="E698" s="10"/>
      <c r="F698" s="10"/>
      <c r="G698" s="69"/>
      <c r="H698" s="69"/>
      <c r="I698" s="69"/>
      <c r="J698" s="70"/>
      <c r="K698" s="69"/>
      <c r="L698" s="69"/>
      <c r="M698" s="69"/>
      <c r="N698" s="69"/>
      <c r="O698" s="2"/>
      <c r="P698" s="2"/>
      <c r="Q698" s="32"/>
      <c r="R698" s="32"/>
      <c r="S698" s="32"/>
      <c r="T698" s="3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2"/>
      <c r="C699" s="10"/>
      <c r="D699" s="10"/>
      <c r="E699" s="10"/>
      <c r="F699" s="10"/>
      <c r="G699" s="69"/>
      <c r="H699" s="69"/>
      <c r="I699" s="69"/>
      <c r="J699" s="70"/>
      <c r="K699" s="69"/>
      <c r="L699" s="69"/>
      <c r="M699" s="69"/>
      <c r="N699" s="69"/>
      <c r="O699" s="2"/>
      <c r="P699" s="2"/>
      <c r="Q699" s="32"/>
      <c r="R699" s="32"/>
      <c r="S699" s="32"/>
      <c r="T699" s="3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2"/>
      <c r="C700" s="10"/>
      <c r="D700" s="10"/>
      <c r="E700" s="10"/>
      <c r="F700" s="10"/>
      <c r="G700" s="69"/>
      <c r="H700" s="69"/>
      <c r="I700" s="69"/>
      <c r="J700" s="70"/>
      <c r="K700" s="69"/>
      <c r="L700" s="69"/>
      <c r="M700" s="69"/>
      <c r="N700" s="69"/>
      <c r="O700" s="2"/>
      <c r="P700" s="2"/>
      <c r="Q700" s="32"/>
      <c r="R700" s="32"/>
      <c r="S700" s="32"/>
      <c r="T700" s="3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2"/>
      <c r="C701" s="10"/>
      <c r="D701" s="10"/>
      <c r="E701" s="10"/>
      <c r="F701" s="10"/>
      <c r="G701" s="69"/>
      <c r="H701" s="69"/>
      <c r="I701" s="69"/>
      <c r="J701" s="70"/>
      <c r="K701" s="69"/>
      <c r="L701" s="69"/>
      <c r="M701" s="69"/>
      <c r="N701" s="69"/>
      <c r="O701" s="2"/>
      <c r="P701" s="2"/>
      <c r="Q701" s="32"/>
      <c r="R701" s="32"/>
      <c r="S701" s="32"/>
      <c r="T701" s="3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2"/>
      <c r="C702" s="10"/>
      <c r="D702" s="10"/>
      <c r="E702" s="10"/>
      <c r="F702" s="10"/>
      <c r="G702" s="69"/>
      <c r="H702" s="69"/>
      <c r="I702" s="69"/>
      <c r="J702" s="70"/>
      <c r="K702" s="69"/>
      <c r="L702" s="69"/>
      <c r="M702" s="69"/>
      <c r="N702" s="69"/>
      <c r="O702" s="2"/>
      <c r="P702" s="2"/>
      <c r="Q702" s="32"/>
      <c r="R702" s="32"/>
      <c r="S702" s="32"/>
      <c r="T702" s="3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2"/>
      <c r="C703" s="10"/>
      <c r="D703" s="10"/>
      <c r="E703" s="10"/>
      <c r="F703" s="10"/>
      <c r="G703" s="69"/>
      <c r="H703" s="69"/>
      <c r="I703" s="69"/>
      <c r="J703" s="70"/>
      <c r="K703" s="69"/>
      <c r="L703" s="69"/>
      <c r="M703" s="69"/>
      <c r="N703" s="69"/>
      <c r="O703" s="2"/>
      <c r="P703" s="2"/>
      <c r="Q703" s="32"/>
      <c r="R703" s="32"/>
      <c r="S703" s="32"/>
      <c r="T703" s="3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2"/>
      <c r="C704" s="10"/>
      <c r="D704" s="10"/>
      <c r="E704" s="10"/>
      <c r="F704" s="10"/>
      <c r="G704" s="69"/>
      <c r="H704" s="69"/>
      <c r="I704" s="69"/>
      <c r="J704" s="70"/>
      <c r="K704" s="69"/>
      <c r="L704" s="69"/>
      <c r="M704" s="69"/>
      <c r="N704" s="69"/>
      <c r="O704" s="2"/>
      <c r="P704" s="2"/>
      <c r="Q704" s="32"/>
      <c r="R704" s="32"/>
      <c r="S704" s="32"/>
      <c r="T704" s="3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2"/>
      <c r="C705" s="10"/>
      <c r="D705" s="10"/>
      <c r="E705" s="10"/>
      <c r="F705" s="10"/>
      <c r="G705" s="69"/>
      <c r="H705" s="69"/>
      <c r="I705" s="69"/>
      <c r="J705" s="70"/>
      <c r="K705" s="69"/>
      <c r="L705" s="69"/>
      <c r="M705" s="69"/>
      <c r="N705" s="69"/>
      <c r="O705" s="2"/>
      <c r="P705" s="2"/>
      <c r="Q705" s="32"/>
      <c r="R705" s="32"/>
      <c r="S705" s="32"/>
      <c r="T705" s="3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2"/>
      <c r="C706" s="10"/>
      <c r="D706" s="10"/>
      <c r="E706" s="10"/>
      <c r="F706" s="10"/>
      <c r="G706" s="69"/>
      <c r="H706" s="69"/>
      <c r="I706" s="69"/>
      <c r="J706" s="70"/>
      <c r="K706" s="69"/>
      <c r="L706" s="69"/>
      <c r="M706" s="69"/>
      <c r="N706" s="69"/>
      <c r="O706" s="2"/>
      <c r="P706" s="2"/>
      <c r="Q706" s="32"/>
      <c r="R706" s="32"/>
      <c r="S706" s="32"/>
      <c r="T706" s="3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2"/>
      <c r="C707" s="10"/>
      <c r="D707" s="10"/>
      <c r="E707" s="10"/>
      <c r="F707" s="10"/>
      <c r="G707" s="69"/>
      <c r="H707" s="69"/>
      <c r="I707" s="69"/>
      <c r="J707" s="70"/>
      <c r="K707" s="69"/>
      <c r="L707" s="69"/>
      <c r="M707" s="69"/>
      <c r="N707" s="69"/>
      <c r="O707" s="2"/>
      <c r="P707" s="2"/>
      <c r="Q707" s="32"/>
      <c r="R707" s="32"/>
      <c r="S707" s="32"/>
      <c r="T707" s="3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2"/>
      <c r="C708" s="10"/>
      <c r="D708" s="10"/>
      <c r="E708" s="10"/>
      <c r="F708" s="10"/>
      <c r="G708" s="69"/>
      <c r="H708" s="69"/>
      <c r="I708" s="69"/>
      <c r="J708" s="70"/>
      <c r="K708" s="69"/>
      <c r="L708" s="69"/>
      <c r="M708" s="69"/>
      <c r="N708" s="69"/>
      <c r="O708" s="2"/>
      <c r="P708" s="2"/>
      <c r="Q708" s="32"/>
      <c r="R708" s="32"/>
      <c r="S708" s="32"/>
      <c r="T708" s="3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2"/>
      <c r="C709" s="10"/>
      <c r="D709" s="10"/>
      <c r="E709" s="10"/>
      <c r="F709" s="10"/>
      <c r="G709" s="69"/>
      <c r="H709" s="69"/>
      <c r="I709" s="69"/>
      <c r="J709" s="70"/>
      <c r="K709" s="69"/>
      <c r="L709" s="69"/>
      <c r="M709" s="69"/>
      <c r="N709" s="69"/>
      <c r="O709" s="2"/>
      <c r="P709" s="2"/>
      <c r="Q709" s="32"/>
      <c r="R709" s="32"/>
      <c r="S709" s="32"/>
      <c r="T709" s="3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2"/>
      <c r="C710" s="10"/>
      <c r="D710" s="10"/>
      <c r="E710" s="10"/>
      <c r="F710" s="10"/>
      <c r="G710" s="69"/>
      <c r="H710" s="69"/>
      <c r="I710" s="69"/>
      <c r="J710" s="70"/>
      <c r="K710" s="69"/>
      <c r="L710" s="69"/>
      <c r="M710" s="69"/>
      <c r="N710" s="69"/>
      <c r="O710" s="2"/>
      <c r="P710" s="2"/>
      <c r="Q710" s="32"/>
      <c r="R710" s="32"/>
      <c r="S710" s="32"/>
      <c r="T710" s="3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2"/>
      <c r="C711" s="10"/>
      <c r="D711" s="10"/>
      <c r="E711" s="10"/>
      <c r="F711" s="10"/>
      <c r="G711" s="69"/>
      <c r="H711" s="69"/>
      <c r="I711" s="69"/>
      <c r="J711" s="70"/>
      <c r="K711" s="69"/>
      <c r="L711" s="69"/>
      <c r="M711" s="69"/>
      <c r="N711" s="69"/>
      <c r="O711" s="2"/>
      <c r="P711" s="2"/>
      <c r="Q711" s="32"/>
      <c r="R711" s="32"/>
      <c r="S711" s="32"/>
      <c r="T711" s="3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2"/>
      <c r="C712" s="10"/>
      <c r="D712" s="10"/>
      <c r="E712" s="10"/>
      <c r="F712" s="10"/>
      <c r="G712" s="69"/>
      <c r="H712" s="69"/>
      <c r="I712" s="69"/>
      <c r="J712" s="70"/>
      <c r="K712" s="69"/>
      <c r="L712" s="69"/>
      <c r="M712" s="69"/>
      <c r="N712" s="69"/>
      <c r="O712" s="2"/>
      <c r="P712" s="2"/>
      <c r="Q712" s="32"/>
      <c r="R712" s="32"/>
      <c r="S712" s="32"/>
      <c r="T712" s="3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2"/>
      <c r="C713" s="10"/>
      <c r="D713" s="10"/>
      <c r="E713" s="10"/>
      <c r="F713" s="10"/>
      <c r="G713" s="69"/>
      <c r="H713" s="69"/>
      <c r="I713" s="69"/>
      <c r="J713" s="70"/>
      <c r="K713" s="69"/>
      <c r="L713" s="69"/>
      <c r="M713" s="69"/>
      <c r="N713" s="69"/>
      <c r="O713" s="2"/>
      <c r="P713" s="2"/>
      <c r="Q713" s="32"/>
      <c r="R713" s="32"/>
      <c r="S713" s="32"/>
      <c r="T713" s="3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2"/>
      <c r="C714" s="10"/>
      <c r="D714" s="10"/>
      <c r="E714" s="10"/>
      <c r="F714" s="10"/>
      <c r="G714" s="69"/>
      <c r="H714" s="69"/>
      <c r="I714" s="69"/>
      <c r="J714" s="70"/>
      <c r="K714" s="69"/>
      <c r="L714" s="69"/>
      <c r="M714" s="69"/>
      <c r="N714" s="69"/>
      <c r="O714" s="2"/>
      <c r="P714" s="2"/>
      <c r="Q714" s="32"/>
      <c r="R714" s="32"/>
      <c r="S714" s="32"/>
      <c r="T714" s="3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2"/>
      <c r="C715" s="10"/>
      <c r="D715" s="10"/>
      <c r="E715" s="10"/>
      <c r="F715" s="10"/>
      <c r="G715" s="69"/>
      <c r="H715" s="69"/>
      <c r="I715" s="69"/>
      <c r="J715" s="70"/>
      <c r="K715" s="69"/>
      <c r="L715" s="69"/>
      <c r="M715" s="69"/>
      <c r="N715" s="69"/>
      <c r="O715" s="2"/>
      <c r="P715" s="2"/>
      <c r="Q715" s="32"/>
      <c r="R715" s="32"/>
      <c r="S715" s="32"/>
      <c r="T715" s="3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2"/>
      <c r="C716" s="10"/>
      <c r="D716" s="10"/>
      <c r="E716" s="10"/>
      <c r="F716" s="10"/>
      <c r="G716" s="69"/>
      <c r="H716" s="69"/>
      <c r="I716" s="69"/>
      <c r="J716" s="70"/>
      <c r="K716" s="69"/>
      <c r="L716" s="69"/>
      <c r="M716" s="69"/>
      <c r="N716" s="69"/>
      <c r="O716" s="2"/>
      <c r="P716" s="2"/>
      <c r="Q716" s="32"/>
      <c r="R716" s="32"/>
      <c r="S716" s="32"/>
      <c r="T716" s="3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2"/>
      <c r="C717" s="10"/>
      <c r="D717" s="10"/>
      <c r="E717" s="10"/>
      <c r="F717" s="10"/>
      <c r="G717" s="69"/>
      <c r="H717" s="69"/>
      <c r="I717" s="69"/>
      <c r="J717" s="70"/>
      <c r="K717" s="69"/>
      <c r="L717" s="69"/>
      <c r="M717" s="69"/>
      <c r="N717" s="69"/>
      <c r="O717" s="2"/>
      <c r="P717" s="2"/>
      <c r="Q717" s="32"/>
      <c r="R717" s="32"/>
      <c r="S717" s="32"/>
      <c r="T717" s="3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2"/>
      <c r="C718" s="10"/>
      <c r="D718" s="10"/>
      <c r="E718" s="10"/>
      <c r="F718" s="10"/>
      <c r="G718" s="69"/>
      <c r="H718" s="69"/>
      <c r="I718" s="69"/>
      <c r="J718" s="70"/>
      <c r="K718" s="69"/>
      <c r="L718" s="69"/>
      <c r="M718" s="69"/>
      <c r="N718" s="69"/>
      <c r="O718" s="2"/>
      <c r="P718" s="2"/>
      <c r="Q718" s="32"/>
      <c r="R718" s="32"/>
      <c r="S718" s="32"/>
      <c r="T718" s="3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2"/>
      <c r="C719" s="10"/>
      <c r="D719" s="10"/>
      <c r="E719" s="10"/>
      <c r="F719" s="10"/>
      <c r="G719" s="69"/>
      <c r="H719" s="69"/>
      <c r="I719" s="69"/>
      <c r="J719" s="70"/>
      <c r="K719" s="69"/>
      <c r="L719" s="69"/>
      <c r="M719" s="69"/>
      <c r="N719" s="69"/>
      <c r="O719" s="2"/>
      <c r="P719" s="2"/>
      <c r="Q719" s="32"/>
      <c r="R719" s="32"/>
      <c r="S719" s="32"/>
      <c r="T719" s="3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2"/>
      <c r="C720" s="10"/>
      <c r="D720" s="10"/>
      <c r="E720" s="10"/>
      <c r="F720" s="10"/>
      <c r="G720" s="69"/>
      <c r="H720" s="69"/>
      <c r="I720" s="69"/>
      <c r="J720" s="70"/>
      <c r="K720" s="69"/>
      <c r="L720" s="69"/>
      <c r="M720" s="69"/>
      <c r="N720" s="69"/>
      <c r="O720" s="2"/>
      <c r="P720" s="2"/>
      <c r="Q720" s="32"/>
      <c r="R720" s="32"/>
      <c r="S720" s="32"/>
      <c r="T720" s="3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2"/>
      <c r="C721" s="10"/>
      <c r="D721" s="10"/>
      <c r="E721" s="10"/>
      <c r="F721" s="10"/>
      <c r="G721" s="69"/>
      <c r="H721" s="69"/>
      <c r="I721" s="69"/>
      <c r="J721" s="70"/>
      <c r="K721" s="69"/>
      <c r="L721" s="69"/>
      <c r="M721" s="69"/>
      <c r="N721" s="69"/>
      <c r="O721" s="2"/>
      <c r="P721" s="2"/>
      <c r="Q721" s="32"/>
      <c r="R721" s="32"/>
      <c r="S721" s="32"/>
      <c r="T721" s="3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2"/>
      <c r="C722" s="10"/>
      <c r="D722" s="10"/>
      <c r="E722" s="10"/>
      <c r="F722" s="10"/>
      <c r="G722" s="69"/>
      <c r="H722" s="69"/>
      <c r="I722" s="69"/>
      <c r="J722" s="70"/>
      <c r="K722" s="69"/>
      <c r="L722" s="69"/>
      <c r="M722" s="69"/>
      <c r="N722" s="69"/>
      <c r="O722" s="2"/>
      <c r="P722" s="2"/>
      <c r="Q722" s="32"/>
      <c r="R722" s="32"/>
      <c r="S722" s="32"/>
      <c r="T722" s="3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2"/>
      <c r="C723" s="10"/>
      <c r="D723" s="10"/>
      <c r="E723" s="10"/>
      <c r="F723" s="10"/>
      <c r="G723" s="69"/>
      <c r="H723" s="69"/>
      <c r="I723" s="69"/>
      <c r="J723" s="70"/>
      <c r="K723" s="69"/>
      <c r="L723" s="69"/>
      <c r="M723" s="69"/>
      <c r="N723" s="69"/>
      <c r="O723" s="2"/>
      <c r="P723" s="2"/>
      <c r="Q723" s="32"/>
      <c r="R723" s="32"/>
      <c r="S723" s="32"/>
      <c r="T723" s="3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2"/>
      <c r="C724" s="10"/>
      <c r="D724" s="10"/>
      <c r="E724" s="10"/>
      <c r="F724" s="10"/>
      <c r="G724" s="69"/>
      <c r="H724" s="69"/>
      <c r="I724" s="69"/>
      <c r="J724" s="70"/>
      <c r="K724" s="69"/>
      <c r="L724" s="69"/>
      <c r="M724" s="69"/>
      <c r="N724" s="69"/>
      <c r="O724" s="2"/>
      <c r="P724" s="2"/>
      <c r="Q724" s="32"/>
      <c r="R724" s="32"/>
      <c r="S724" s="32"/>
      <c r="T724" s="3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2"/>
      <c r="C725" s="10"/>
      <c r="D725" s="10"/>
      <c r="E725" s="10"/>
      <c r="F725" s="10"/>
      <c r="G725" s="69"/>
      <c r="H725" s="69"/>
      <c r="I725" s="69"/>
      <c r="J725" s="70"/>
      <c r="K725" s="69"/>
      <c r="L725" s="69"/>
      <c r="M725" s="69"/>
      <c r="N725" s="69"/>
      <c r="O725" s="2"/>
      <c r="P725" s="2"/>
      <c r="Q725" s="32"/>
      <c r="R725" s="32"/>
      <c r="S725" s="32"/>
      <c r="T725" s="3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2"/>
      <c r="C726" s="10"/>
      <c r="D726" s="10"/>
      <c r="E726" s="10"/>
      <c r="F726" s="10"/>
      <c r="G726" s="69"/>
      <c r="H726" s="69"/>
      <c r="I726" s="69"/>
      <c r="J726" s="70"/>
      <c r="K726" s="69"/>
      <c r="L726" s="69"/>
      <c r="M726" s="69"/>
      <c r="N726" s="69"/>
      <c r="O726" s="2"/>
      <c r="P726" s="2"/>
      <c r="Q726" s="32"/>
      <c r="R726" s="32"/>
      <c r="S726" s="32"/>
      <c r="T726" s="3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2"/>
      <c r="C727" s="10"/>
      <c r="D727" s="10"/>
      <c r="E727" s="10"/>
      <c r="F727" s="10"/>
      <c r="G727" s="69"/>
      <c r="H727" s="69"/>
      <c r="I727" s="69"/>
      <c r="J727" s="70"/>
      <c r="K727" s="69"/>
      <c r="L727" s="69"/>
      <c r="M727" s="69"/>
      <c r="N727" s="69"/>
      <c r="O727" s="2"/>
      <c r="P727" s="2"/>
      <c r="Q727" s="32"/>
      <c r="R727" s="32"/>
      <c r="S727" s="32"/>
      <c r="T727" s="3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2"/>
      <c r="C728" s="10"/>
      <c r="D728" s="10"/>
      <c r="E728" s="10"/>
      <c r="F728" s="10"/>
      <c r="G728" s="69"/>
      <c r="H728" s="69"/>
      <c r="I728" s="69"/>
      <c r="J728" s="70"/>
      <c r="K728" s="69"/>
      <c r="L728" s="69"/>
      <c r="M728" s="69"/>
      <c r="N728" s="69"/>
      <c r="O728" s="2"/>
      <c r="P728" s="2"/>
      <c r="Q728" s="32"/>
      <c r="R728" s="32"/>
      <c r="S728" s="32"/>
      <c r="T728" s="3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2"/>
      <c r="C729" s="10"/>
      <c r="D729" s="10"/>
      <c r="E729" s="10"/>
      <c r="F729" s="10"/>
      <c r="G729" s="69"/>
      <c r="H729" s="69"/>
      <c r="I729" s="69"/>
      <c r="J729" s="70"/>
      <c r="K729" s="69"/>
      <c r="L729" s="69"/>
      <c r="M729" s="69"/>
      <c r="N729" s="69"/>
      <c r="O729" s="2"/>
      <c r="P729" s="2"/>
      <c r="Q729" s="32"/>
      <c r="R729" s="32"/>
      <c r="S729" s="32"/>
      <c r="T729" s="3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2"/>
      <c r="C730" s="10"/>
      <c r="D730" s="10"/>
      <c r="E730" s="10"/>
      <c r="F730" s="10"/>
      <c r="G730" s="69"/>
      <c r="H730" s="69"/>
      <c r="I730" s="69"/>
      <c r="J730" s="70"/>
      <c r="K730" s="69"/>
      <c r="L730" s="69"/>
      <c r="M730" s="69"/>
      <c r="N730" s="69"/>
      <c r="O730" s="2"/>
      <c r="P730" s="2"/>
      <c r="Q730" s="32"/>
      <c r="R730" s="32"/>
      <c r="S730" s="32"/>
      <c r="T730" s="3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2"/>
      <c r="C731" s="10"/>
      <c r="D731" s="10"/>
      <c r="E731" s="10"/>
      <c r="F731" s="10"/>
      <c r="G731" s="69"/>
      <c r="H731" s="69"/>
      <c r="I731" s="69"/>
      <c r="J731" s="70"/>
      <c r="K731" s="69"/>
      <c r="L731" s="69"/>
      <c r="M731" s="69"/>
      <c r="N731" s="69"/>
      <c r="O731" s="2"/>
      <c r="P731" s="2"/>
      <c r="Q731" s="32"/>
      <c r="R731" s="32"/>
      <c r="S731" s="32"/>
      <c r="T731" s="3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2"/>
      <c r="C732" s="10"/>
      <c r="D732" s="10"/>
      <c r="E732" s="10"/>
      <c r="F732" s="10"/>
      <c r="G732" s="69"/>
      <c r="H732" s="69"/>
      <c r="I732" s="69"/>
      <c r="J732" s="70"/>
      <c r="K732" s="69"/>
      <c r="L732" s="69"/>
      <c r="M732" s="69"/>
      <c r="N732" s="69"/>
      <c r="O732" s="2"/>
      <c r="P732" s="2"/>
      <c r="Q732" s="32"/>
      <c r="R732" s="32"/>
      <c r="S732" s="32"/>
      <c r="T732" s="3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2"/>
      <c r="C733" s="10"/>
      <c r="D733" s="10"/>
      <c r="E733" s="10"/>
      <c r="F733" s="10"/>
      <c r="G733" s="69"/>
      <c r="H733" s="69"/>
      <c r="I733" s="69"/>
      <c r="J733" s="70"/>
      <c r="K733" s="69"/>
      <c r="L733" s="69"/>
      <c r="M733" s="69"/>
      <c r="N733" s="69"/>
      <c r="O733" s="2"/>
      <c r="P733" s="2"/>
      <c r="Q733" s="32"/>
      <c r="R733" s="32"/>
      <c r="S733" s="32"/>
      <c r="T733" s="3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2"/>
      <c r="C734" s="10"/>
      <c r="D734" s="10"/>
      <c r="E734" s="10"/>
      <c r="F734" s="10"/>
      <c r="G734" s="69"/>
      <c r="H734" s="69"/>
      <c r="I734" s="69"/>
      <c r="J734" s="70"/>
      <c r="K734" s="69"/>
      <c r="L734" s="69"/>
      <c r="M734" s="69"/>
      <c r="N734" s="69"/>
      <c r="O734" s="2"/>
      <c r="P734" s="2"/>
      <c r="Q734" s="32"/>
      <c r="R734" s="32"/>
      <c r="S734" s="32"/>
      <c r="T734" s="3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2"/>
      <c r="C735" s="10"/>
      <c r="D735" s="10"/>
      <c r="E735" s="10"/>
      <c r="F735" s="10"/>
      <c r="G735" s="69"/>
      <c r="H735" s="69"/>
      <c r="I735" s="69"/>
      <c r="J735" s="70"/>
      <c r="K735" s="69"/>
      <c r="L735" s="69"/>
      <c r="M735" s="69"/>
      <c r="N735" s="69"/>
      <c r="O735" s="2"/>
      <c r="P735" s="2"/>
      <c r="Q735" s="32"/>
      <c r="R735" s="32"/>
      <c r="S735" s="32"/>
      <c r="T735" s="3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2"/>
      <c r="C736" s="10"/>
      <c r="D736" s="10"/>
      <c r="E736" s="10"/>
      <c r="F736" s="10"/>
      <c r="G736" s="69"/>
      <c r="H736" s="69"/>
      <c r="I736" s="69"/>
      <c r="J736" s="70"/>
      <c r="K736" s="69"/>
      <c r="L736" s="69"/>
      <c r="M736" s="69"/>
      <c r="N736" s="69"/>
      <c r="O736" s="2"/>
      <c r="P736" s="2"/>
      <c r="Q736" s="32"/>
      <c r="R736" s="32"/>
      <c r="S736" s="32"/>
      <c r="T736" s="3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2"/>
      <c r="C737" s="10"/>
      <c r="D737" s="10"/>
      <c r="E737" s="10"/>
      <c r="F737" s="10"/>
      <c r="G737" s="69"/>
      <c r="H737" s="69"/>
      <c r="I737" s="69"/>
      <c r="J737" s="70"/>
      <c r="K737" s="69"/>
      <c r="L737" s="69"/>
      <c r="M737" s="69"/>
      <c r="N737" s="69"/>
      <c r="O737" s="2"/>
      <c r="P737" s="2"/>
      <c r="Q737" s="32"/>
      <c r="R737" s="32"/>
      <c r="S737" s="32"/>
      <c r="T737" s="3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2"/>
      <c r="C738" s="10"/>
      <c r="D738" s="10"/>
      <c r="E738" s="10"/>
      <c r="F738" s="10"/>
      <c r="G738" s="69"/>
      <c r="H738" s="69"/>
      <c r="I738" s="69"/>
      <c r="J738" s="70"/>
      <c r="K738" s="69"/>
      <c r="L738" s="69"/>
      <c r="M738" s="69"/>
      <c r="N738" s="69"/>
      <c r="O738" s="2"/>
      <c r="P738" s="2"/>
      <c r="Q738" s="32"/>
      <c r="R738" s="32"/>
      <c r="S738" s="32"/>
      <c r="T738" s="3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2"/>
      <c r="C739" s="10"/>
      <c r="D739" s="10"/>
      <c r="E739" s="10"/>
      <c r="F739" s="10"/>
      <c r="G739" s="69"/>
      <c r="H739" s="69"/>
      <c r="I739" s="69"/>
      <c r="J739" s="70"/>
      <c r="K739" s="69"/>
      <c r="L739" s="69"/>
      <c r="M739" s="69"/>
      <c r="N739" s="69"/>
      <c r="O739" s="2"/>
      <c r="P739" s="2"/>
      <c r="Q739" s="32"/>
      <c r="R739" s="32"/>
      <c r="S739" s="32"/>
      <c r="T739" s="3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2"/>
      <c r="C740" s="10"/>
      <c r="D740" s="10"/>
      <c r="E740" s="10"/>
      <c r="F740" s="10"/>
      <c r="G740" s="69"/>
      <c r="H740" s="69"/>
      <c r="I740" s="69"/>
      <c r="J740" s="70"/>
      <c r="K740" s="69"/>
      <c r="L740" s="69"/>
      <c r="M740" s="69"/>
      <c r="N740" s="69"/>
      <c r="O740" s="2"/>
      <c r="P740" s="2"/>
      <c r="Q740" s="32"/>
      <c r="R740" s="32"/>
      <c r="S740" s="32"/>
      <c r="T740" s="3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2"/>
      <c r="C741" s="10"/>
      <c r="D741" s="10"/>
      <c r="E741" s="10"/>
      <c r="F741" s="10"/>
      <c r="G741" s="69"/>
      <c r="H741" s="69"/>
      <c r="I741" s="69"/>
      <c r="J741" s="70"/>
      <c r="K741" s="69"/>
      <c r="L741" s="69"/>
      <c r="M741" s="69"/>
      <c r="N741" s="69"/>
      <c r="O741" s="2"/>
      <c r="P741" s="2"/>
      <c r="Q741" s="32"/>
      <c r="R741" s="32"/>
      <c r="S741" s="32"/>
      <c r="T741" s="3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2"/>
      <c r="C742" s="10"/>
      <c r="D742" s="10"/>
      <c r="E742" s="10"/>
      <c r="F742" s="10"/>
      <c r="G742" s="69"/>
      <c r="H742" s="69"/>
      <c r="I742" s="69"/>
      <c r="J742" s="70"/>
      <c r="K742" s="69"/>
      <c r="L742" s="69"/>
      <c r="M742" s="69"/>
      <c r="N742" s="69"/>
      <c r="O742" s="2"/>
      <c r="P742" s="2"/>
      <c r="Q742" s="32"/>
      <c r="R742" s="32"/>
      <c r="S742" s="32"/>
      <c r="T742" s="3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2"/>
      <c r="C743" s="10"/>
      <c r="D743" s="10"/>
      <c r="E743" s="10"/>
      <c r="F743" s="10"/>
      <c r="G743" s="69"/>
      <c r="H743" s="69"/>
      <c r="I743" s="69"/>
      <c r="J743" s="70"/>
      <c r="K743" s="69"/>
      <c r="L743" s="69"/>
      <c r="M743" s="69"/>
      <c r="N743" s="69"/>
      <c r="O743" s="2"/>
      <c r="P743" s="2"/>
      <c r="Q743" s="32"/>
      <c r="R743" s="32"/>
      <c r="S743" s="32"/>
      <c r="T743" s="3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2"/>
      <c r="C744" s="10"/>
      <c r="D744" s="10"/>
      <c r="E744" s="10"/>
      <c r="F744" s="10"/>
      <c r="G744" s="69"/>
      <c r="H744" s="69"/>
      <c r="I744" s="69"/>
      <c r="J744" s="70"/>
      <c r="K744" s="69"/>
      <c r="L744" s="69"/>
      <c r="M744" s="69"/>
      <c r="N744" s="69"/>
      <c r="O744" s="2"/>
      <c r="P744" s="2"/>
      <c r="Q744" s="32"/>
      <c r="R744" s="32"/>
      <c r="S744" s="32"/>
      <c r="T744" s="3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2"/>
      <c r="C745" s="10"/>
      <c r="D745" s="10"/>
      <c r="E745" s="10"/>
      <c r="F745" s="10"/>
      <c r="G745" s="69"/>
      <c r="H745" s="69"/>
      <c r="I745" s="69"/>
      <c r="J745" s="70"/>
      <c r="K745" s="69"/>
      <c r="L745" s="69"/>
      <c r="M745" s="69"/>
      <c r="N745" s="69"/>
      <c r="O745" s="2"/>
      <c r="P745" s="2"/>
      <c r="Q745" s="32"/>
      <c r="R745" s="32"/>
      <c r="S745" s="32"/>
      <c r="T745" s="3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2"/>
      <c r="C746" s="10"/>
      <c r="D746" s="10"/>
      <c r="E746" s="10"/>
      <c r="F746" s="10"/>
      <c r="G746" s="69"/>
      <c r="H746" s="69"/>
      <c r="I746" s="69"/>
      <c r="J746" s="70"/>
      <c r="K746" s="69"/>
      <c r="L746" s="69"/>
      <c r="M746" s="69"/>
      <c r="N746" s="69"/>
      <c r="O746" s="2"/>
      <c r="P746" s="2"/>
      <c r="Q746" s="32"/>
      <c r="R746" s="32"/>
      <c r="S746" s="32"/>
      <c r="T746" s="3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2"/>
      <c r="C747" s="10"/>
      <c r="D747" s="10"/>
      <c r="E747" s="10"/>
      <c r="F747" s="10"/>
      <c r="G747" s="69"/>
      <c r="H747" s="69"/>
      <c r="I747" s="69"/>
      <c r="J747" s="70"/>
      <c r="K747" s="69"/>
      <c r="L747" s="69"/>
      <c r="M747" s="69"/>
      <c r="N747" s="69"/>
      <c r="O747" s="2"/>
      <c r="P747" s="2"/>
      <c r="Q747" s="32"/>
      <c r="R747" s="32"/>
      <c r="S747" s="32"/>
      <c r="T747" s="3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2"/>
      <c r="C748" s="10"/>
      <c r="D748" s="10"/>
      <c r="E748" s="10"/>
      <c r="F748" s="10"/>
      <c r="G748" s="69"/>
      <c r="H748" s="69"/>
      <c r="I748" s="69"/>
      <c r="J748" s="70"/>
      <c r="K748" s="69"/>
      <c r="L748" s="69"/>
      <c r="M748" s="69"/>
      <c r="N748" s="69"/>
      <c r="O748" s="2"/>
      <c r="P748" s="2"/>
      <c r="Q748" s="32"/>
      <c r="R748" s="32"/>
      <c r="S748" s="32"/>
      <c r="T748" s="3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2"/>
      <c r="C749" s="10"/>
      <c r="D749" s="10"/>
      <c r="E749" s="10"/>
      <c r="F749" s="10"/>
      <c r="G749" s="69"/>
      <c r="H749" s="69"/>
      <c r="I749" s="69"/>
      <c r="J749" s="70"/>
      <c r="K749" s="69"/>
      <c r="L749" s="69"/>
      <c r="M749" s="69"/>
      <c r="N749" s="69"/>
      <c r="O749" s="2"/>
      <c r="P749" s="2"/>
      <c r="Q749" s="32"/>
      <c r="R749" s="32"/>
      <c r="S749" s="32"/>
      <c r="T749" s="3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2"/>
      <c r="C750" s="10"/>
      <c r="D750" s="10"/>
      <c r="E750" s="10"/>
      <c r="F750" s="10"/>
      <c r="G750" s="69"/>
      <c r="H750" s="69"/>
      <c r="I750" s="69"/>
      <c r="J750" s="70"/>
      <c r="K750" s="69"/>
      <c r="L750" s="69"/>
      <c r="M750" s="69"/>
      <c r="N750" s="69"/>
      <c r="O750" s="2"/>
      <c r="P750" s="2"/>
      <c r="Q750" s="32"/>
      <c r="R750" s="32"/>
      <c r="S750" s="32"/>
      <c r="T750" s="3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2"/>
      <c r="C751" s="10"/>
      <c r="D751" s="10"/>
      <c r="E751" s="10"/>
      <c r="F751" s="10"/>
      <c r="G751" s="69"/>
      <c r="H751" s="69"/>
      <c r="I751" s="69"/>
      <c r="J751" s="70"/>
      <c r="K751" s="69"/>
      <c r="L751" s="69"/>
      <c r="M751" s="69"/>
      <c r="N751" s="69"/>
      <c r="O751" s="2"/>
      <c r="P751" s="2"/>
      <c r="Q751" s="32"/>
      <c r="R751" s="32"/>
      <c r="S751" s="32"/>
      <c r="T751" s="3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2"/>
      <c r="C752" s="10"/>
      <c r="D752" s="10"/>
      <c r="E752" s="10"/>
      <c r="F752" s="10"/>
      <c r="G752" s="69"/>
      <c r="H752" s="69"/>
      <c r="I752" s="69"/>
      <c r="J752" s="70"/>
      <c r="K752" s="69"/>
      <c r="L752" s="69"/>
      <c r="M752" s="69"/>
      <c r="N752" s="69"/>
      <c r="O752" s="2"/>
      <c r="P752" s="2"/>
      <c r="Q752" s="32"/>
      <c r="R752" s="32"/>
      <c r="S752" s="32"/>
      <c r="T752" s="3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2"/>
      <c r="C753" s="10"/>
      <c r="D753" s="10"/>
      <c r="E753" s="10"/>
      <c r="F753" s="10"/>
      <c r="G753" s="69"/>
      <c r="H753" s="69"/>
      <c r="I753" s="69"/>
      <c r="J753" s="70"/>
      <c r="K753" s="69"/>
      <c r="L753" s="69"/>
      <c r="M753" s="69"/>
      <c r="N753" s="69"/>
      <c r="O753" s="2"/>
      <c r="P753" s="2"/>
      <c r="Q753" s="32"/>
      <c r="R753" s="32"/>
      <c r="S753" s="32"/>
      <c r="T753" s="3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2"/>
      <c r="C754" s="10"/>
      <c r="D754" s="10"/>
      <c r="E754" s="10"/>
      <c r="F754" s="10"/>
      <c r="G754" s="69"/>
      <c r="H754" s="69"/>
      <c r="I754" s="69"/>
      <c r="J754" s="70"/>
      <c r="K754" s="69"/>
      <c r="L754" s="69"/>
      <c r="M754" s="69"/>
      <c r="N754" s="69"/>
      <c r="O754" s="2"/>
      <c r="P754" s="2"/>
      <c r="Q754" s="32"/>
      <c r="R754" s="32"/>
      <c r="S754" s="32"/>
      <c r="T754" s="3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2"/>
      <c r="C755" s="10"/>
      <c r="D755" s="10"/>
      <c r="E755" s="10"/>
      <c r="F755" s="10"/>
      <c r="G755" s="69"/>
      <c r="H755" s="69"/>
      <c r="I755" s="69"/>
      <c r="J755" s="70"/>
      <c r="K755" s="69"/>
      <c r="L755" s="69"/>
      <c r="M755" s="69"/>
      <c r="N755" s="69"/>
      <c r="O755" s="2"/>
      <c r="P755" s="2"/>
      <c r="Q755" s="32"/>
      <c r="R755" s="32"/>
      <c r="S755" s="32"/>
      <c r="T755" s="3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2"/>
      <c r="C756" s="10"/>
      <c r="D756" s="10"/>
      <c r="E756" s="10"/>
      <c r="F756" s="10"/>
      <c r="G756" s="69"/>
      <c r="H756" s="69"/>
      <c r="I756" s="69"/>
      <c r="J756" s="70"/>
      <c r="K756" s="69"/>
      <c r="L756" s="69"/>
      <c r="M756" s="69"/>
      <c r="N756" s="69"/>
      <c r="O756" s="2"/>
      <c r="P756" s="2"/>
      <c r="Q756" s="32"/>
      <c r="R756" s="32"/>
      <c r="S756" s="32"/>
      <c r="T756" s="3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2"/>
      <c r="C757" s="10"/>
      <c r="D757" s="10"/>
      <c r="E757" s="10"/>
      <c r="F757" s="10"/>
      <c r="G757" s="69"/>
      <c r="H757" s="69"/>
      <c r="I757" s="69"/>
      <c r="J757" s="70"/>
      <c r="K757" s="69"/>
      <c r="L757" s="69"/>
      <c r="M757" s="69"/>
      <c r="N757" s="69"/>
      <c r="O757" s="2"/>
      <c r="P757" s="2"/>
      <c r="Q757" s="32"/>
      <c r="R757" s="32"/>
      <c r="S757" s="32"/>
      <c r="T757" s="3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2"/>
      <c r="C758" s="10"/>
      <c r="D758" s="10"/>
      <c r="E758" s="10"/>
      <c r="F758" s="10"/>
      <c r="G758" s="69"/>
      <c r="H758" s="69"/>
      <c r="I758" s="69"/>
      <c r="J758" s="70"/>
      <c r="K758" s="69"/>
      <c r="L758" s="69"/>
      <c r="M758" s="69"/>
      <c r="N758" s="69"/>
      <c r="O758" s="2"/>
      <c r="P758" s="2"/>
      <c r="Q758" s="32"/>
      <c r="R758" s="32"/>
      <c r="S758" s="32"/>
      <c r="T758" s="3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2"/>
      <c r="C759" s="10"/>
      <c r="D759" s="10"/>
      <c r="E759" s="10"/>
      <c r="F759" s="10"/>
      <c r="G759" s="69"/>
      <c r="H759" s="69"/>
      <c r="I759" s="69"/>
      <c r="J759" s="70"/>
      <c r="K759" s="69"/>
      <c r="L759" s="69"/>
      <c r="M759" s="69"/>
      <c r="N759" s="69"/>
      <c r="O759" s="2"/>
      <c r="P759" s="2"/>
      <c r="Q759" s="32"/>
      <c r="R759" s="32"/>
      <c r="S759" s="32"/>
      <c r="T759" s="3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2"/>
      <c r="C760" s="10"/>
      <c r="D760" s="10"/>
      <c r="E760" s="10"/>
      <c r="F760" s="10"/>
      <c r="G760" s="69"/>
      <c r="H760" s="69"/>
      <c r="I760" s="69"/>
      <c r="J760" s="70"/>
      <c r="K760" s="69"/>
      <c r="L760" s="69"/>
      <c r="M760" s="69"/>
      <c r="N760" s="69"/>
      <c r="O760" s="2"/>
      <c r="P760" s="2"/>
      <c r="Q760" s="32"/>
      <c r="R760" s="32"/>
      <c r="S760" s="32"/>
      <c r="T760" s="3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2"/>
      <c r="C761" s="10"/>
      <c r="D761" s="10"/>
      <c r="E761" s="10"/>
      <c r="F761" s="10"/>
      <c r="G761" s="69"/>
      <c r="H761" s="69"/>
      <c r="I761" s="69"/>
      <c r="J761" s="70"/>
      <c r="K761" s="69"/>
      <c r="L761" s="69"/>
      <c r="M761" s="69"/>
      <c r="N761" s="69"/>
      <c r="O761" s="2"/>
      <c r="P761" s="2"/>
      <c r="Q761" s="32"/>
      <c r="R761" s="32"/>
      <c r="S761" s="32"/>
      <c r="T761" s="3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2"/>
      <c r="C762" s="10"/>
      <c r="D762" s="10"/>
      <c r="E762" s="10"/>
      <c r="F762" s="10"/>
      <c r="G762" s="69"/>
      <c r="H762" s="69"/>
      <c r="I762" s="69"/>
      <c r="J762" s="70"/>
      <c r="K762" s="69"/>
      <c r="L762" s="69"/>
      <c r="M762" s="69"/>
      <c r="N762" s="69"/>
      <c r="O762" s="2"/>
      <c r="P762" s="2"/>
      <c r="Q762" s="32"/>
      <c r="R762" s="32"/>
      <c r="S762" s="32"/>
      <c r="T762" s="3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2"/>
      <c r="C763" s="10"/>
      <c r="D763" s="10"/>
      <c r="E763" s="10"/>
      <c r="F763" s="10"/>
      <c r="G763" s="69"/>
      <c r="H763" s="69"/>
      <c r="I763" s="69"/>
      <c r="J763" s="70"/>
      <c r="K763" s="69"/>
      <c r="L763" s="69"/>
      <c r="M763" s="69"/>
      <c r="N763" s="69"/>
      <c r="O763" s="2"/>
      <c r="P763" s="2"/>
      <c r="Q763" s="32"/>
      <c r="R763" s="32"/>
      <c r="S763" s="32"/>
      <c r="T763" s="3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2"/>
      <c r="C764" s="10"/>
      <c r="D764" s="10"/>
      <c r="E764" s="10"/>
      <c r="F764" s="10"/>
      <c r="G764" s="69"/>
      <c r="H764" s="69"/>
      <c r="I764" s="69"/>
      <c r="J764" s="70"/>
      <c r="K764" s="69"/>
      <c r="L764" s="69"/>
      <c r="M764" s="69"/>
      <c r="N764" s="69"/>
      <c r="O764" s="2"/>
      <c r="P764" s="2"/>
      <c r="Q764" s="32"/>
      <c r="R764" s="32"/>
      <c r="S764" s="32"/>
      <c r="T764" s="3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2"/>
      <c r="C765" s="10"/>
      <c r="D765" s="10"/>
      <c r="E765" s="10"/>
      <c r="F765" s="10"/>
      <c r="G765" s="69"/>
      <c r="H765" s="69"/>
      <c r="I765" s="69"/>
      <c r="J765" s="70"/>
      <c r="K765" s="69"/>
      <c r="L765" s="69"/>
      <c r="M765" s="69"/>
      <c r="N765" s="69"/>
      <c r="O765" s="2"/>
      <c r="P765" s="2"/>
      <c r="Q765" s="32"/>
      <c r="R765" s="32"/>
      <c r="S765" s="32"/>
      <c r="T765" s="3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2"/>
      <c r="C766" s="10"/>
      <c r="D766" s="10"/>
      <c r="E766" s="10"/>
      <c r="F766" s="10"/>
      <c r="G766" s="69"/>
      <c r="H766" s="69"/>
      <c r="I766" s="69"/>
      <c r="J766" s="70"/>
      <c r="K766" s="69"/>
      <c r="L766" s="69"/>
      <c r="M766" s="69"/>
      <c r="N766" s="69"/>
      <c r="O766" s="2"/>
      <c r="P766" s="2"/>
      <c r="Q766" s="32"/>
      <c r="R766" s="32"/>
      <c r="S766" s="32"/>
      <c r="T766" s="3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2"/>
      <c r="C767" s="10"/>
      <c r="D767" s="10"/>
      <c r="E767" s="10"/>
      <c r="F767" s="10"/>
      <c r="G767" s="69"/>
      <c r="H767" s="69"/>
      <c r="I767" s="69"/>
      <c r="J767" s="70"/>
      <c r="K767" s="69"/>
      <c r="L767" s="69"/>
      <c r="M767" s="69"/>
      <c r="N767" s="69"/>
      <c r="O767" s="2"/>
      <c r="P767" s="2"/>
      <c r="Q767" s="32"/>
      <c r="R767" s="32"/>
      <c r="S767" s="32"/>
      <c r="T767" s="3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2"/>
      <c r="C768" s="10"/>
      <c r="D768" s="10"/>
      <c r="E768" s="10"/>
      <c r="F768" s="10"/>
      <c r="G768" s="69"/>
      <c r="H768" s="69"/>
      <c r="I768" s="69"/>
      <c r="J768" s="70"/>
      <c r="K768" s="69"/>
      <c r="L768" s="69"/>
      <c r="M768" s="69"/>
      <c r="N768" s="69"/>
      <c r="O768" s="2"/>
      <c r="P768" s="2"/>
      <c r="Q768" s="32"/>
      <c r="R768" s="32"/>
      <c r="S768" s="32"/>
      <c r="T768" s="3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2"/>
      <c r="C769" s="10"/>
      <c r="D769" s="10"/>
      <c r="E769" s="10"/>
      <c r="F769" s="10"/>
      <c r="G769" s="69"/>
      <c r="H769" s="69"/>
      <c r="I769" s="69"/>
      <c r="J769" s="70"/>
      <c r="K769" s="69"/>
      <c r="L769" s="69"/>
      <c r="M769" s="69"/>
      <c r="N769" s="69"/>
      <c r="O769" s="2"/>
      <c r="P769" s="2"/>
      <c r="Q769" s="32"/>
      <c r="R769" s="32"/>
      <c r="S769" s="32"/>
      <c r="T769" s="3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2"/>
      <c r="C770" s="10"/>
      <c r="D770" s="10"/>
      <c r="E770" s="10"/>
      <c r="F770" s="10"/>
      <c r="G770" s="69"/>
      <c r="H770" s="69"/>
      <c r="I770" s="69"/>
      <c r="J770" s="70"/>
      <c r="K770" s="69"/>
      <c r="L770" s="69"/>
      <c r="M770" s="69"/>
      <c r="N770" s="69"/>
      <c r="O770" s="2"/>
      <c r="P770" s="2"/>
      <c r="Q770" s="32"/>
      <c r="R770" s="32"/>
      <c r="S770" s="32"/>
      <c r="T770" s="3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2"/>
      <c r="C771" s="10"/>
      <c r="D771" s="10"/>
      <c r="E771" s="10"/>
      <c r="F771" s="10"/>
      <c r="G771" s="69"/>
      <c r="H771" s="69"/>
      <c r="I771" s="69"/>
      <c r="J771" s="70"/>
      <c r="K771" s="69"/>
      <c r="L771" s="69"/>
      <c r="M771" s="69"/>
      <c r="N771" s="69"/>
      <c r="O771" s="2"/>
      <c r="P771" s="2"/>
      <c r="Q771" s="32"/>
      <c r="R771" s="32"/>
      <c r="S771" s="32"/>
      <c r="T771" s="3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2"/>
      <c r="C772" s="10"/>
      <c r="D772" s="10"/>
      <c r="E772" s="10"/>
      <c r="F772" s="10"/>
      <c r="G772" s="69"/>
      <c r="H772" s="69"/>
      <c r="I772" s="69"/>
      <c r="J772" s="70"/>
      <c r="K772" s="69"/>
      <c r="L772" s="69"/>
      <c r="M772" s="69"/>
      <c r="N772" s="69"/>
      <c r="O772" s="2"/>
      <c r="P772" s="2"/>
      <c r="Q772" s="32"/>
      <c r="R772" s="32"/>
      <c r="S772" s="32"/>
      <c r="T772" s="3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2"/>
      <c r="C773" s="10"/>
      <c r="D773" s="10"/>
      <c r="E773" s="10"/>
      <c r="F773" s="10"/>
      <c r="G773" s="69"/>
      <c r="H773" s="69"/>
      <c r="I773" s="69"/>
      <c r="J773" s="70"/>
      <c r="K773" s="69"/>
      <c r="L773" s="69"/>
      <c r="M773" s="69"/>
      <c r="N773" s="69"/>
      <c r="O773" s="2"/>
      <c r="P773" s="2"/>
      <c r="Q773" s="32"/>
      <c r="R773" s="32"/>
      <c r="S773" s="32"/>
      <c r="T773" s="3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2"/>
      <c r="C774" s="10"/>
      <c r="D774" s="10"/>
      <c r="E774" s="10"/>
      <c r="F774" s="10"/>
      <c r="G774" s="69"/>
      <c r="H774" s="69"/>
      <c r="I774" s="69"/>
      <c r="J774" s="70"/>
      <c r="K774" s="69"/>
      <c r="L774" s="69"/>
      <c r="M774" s="69"/>
      <c r="N774" s="69"/>
      <c r="O774" s="2"/>
      <c r="P774" s="2"/>
      <c r="Q774" s="32"/>
      <c r="R774" s="32"/>
      <c r="S774" s="32"/>
      <c r="T774" s="3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2"/>
      <c r="C775" s="10"/>
      <c r="D775" s="10"/>
      <c r="E775" s="10"/>
      <c r="F775" s="10"/>
      <c r="G775" s="69"/>
      <c r="H775" s="69"/>
      <c r="I775" s="69"/>
      <c r="J775" s="70"/>
      <c r="K775" s="69"/>
      <c r="L775" s="69"/>
      <c r="M775" s="69"/>
      <c r="N775" s="69"/>
      <c r="O775" s="2"/>
      <c r="P775" s="2"/>
      <c r="Q775" s="32"/>
      <c r="R775" s="32"/>
      <c r="S775" s="32"/>
      <c r="T775" s="3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2"/>
      <c r="C776" s="10"/>
      <c r="D776" s="10"/>
      <c r="E776" s="10"/>
      <c r="F776" s="10"/>
      <c r="G776" s="69"/>
      <c r="H776" s="69"/>
      <c r="I776" s="69"/>
      <c r="J776" s="70"/>
      <c r="K776" s="69"/>
      <c r="L776" s="69"/>
      <c r="M776" s="69"/>
      <c r="N776" s="69"/>
      <c r="O776" s="2"/>
      <c r="P776" s="2"/>
      <c r="Q776" s="32"/>
      <c r="R776" s="32"/>
      <c r="S776" s="32"/>
      <c r="T776" s="3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2"/>
      <c r="C777" s="10"/>
      <c r="D777" s="10"/>
      <c r="E777" s="10"/>
      <c r="F777" s="10"/>
      <c r="G777" s="69"/>
      <c r="H777" s="69"/>
      <c r="I777" s="69"/>
      <c r="J777" s="70"/>
      <c r="K777" s="69"/>
      <c r="L777" s="69"/>
      <c r="M777" s="69"/>
      <c r="N777" s="69"/>
      <c r="O777" s="2"/>
      <c r="P777" s="2"/>
      <c r="Q777" s="32"/>
      <c r="R777" s="32"/>
      <c r="S777" s="32"/>
      <c r="T777" s="3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2"/>
      <c r="C778" s="10"/>
      <c r="D778" s="10"/>
      <c r="E778" s="10"/>
      <c r="F778" s="10"/>
      <c r="G778" s="69"/>
      <c r="H778" s="69"/>
      <c r="I778" s="69"/>
      <c r="J778" s="70"/>
      <c r="K778" s="69"/>
      <c r="L778" s="69"/>
      <c r="M778" s="69"/>
      <c r="N778" s="69"/>
      <c r="O778" s="2"/>
      <c r="P778" s="2"/>
      <c r="Q778" s="32"/>
      <c r="R778" s="32"/>
      <c r="S778" s="32"/>
      <c r="T778" s="3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2"/>
      <c r="C779" s="10"/>
      <c r="D779" s="10"/>
      <c r="E779" s="10"/>
      <c r="F779" s="10"/>
      <c r="G779" s="69"/>
      <c r="H779" s="69"/>
      <c r="I779" s="69"/>
      <c r="J779" s="70"/>
      <c r="K779" s="69"/>
      <c r="L779" s="69"/>
      <c r="M779" s="69"/>
      <c r="N779" s="69"/>
      <c r="O779" s="2"/>
      <c r="P779" s="2"/>
      <c r="Q779" s="32"/>
      <c r="R779" s="32"/>
      <c r="S779" s="32"/>
      <c r="T779" s="3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2"/>
      <c r="C780" s="10"/>
      <c r="D780" s="10"/>
      <c r="E780" s="10"/>
      <c r="F780" s="10"/>
      <c r="G780" s="69"/>
      <c r="H780" s="69"/>
      <c r="I780" s="69"/>
      <c r="J780" s="70"/>
      <c r="K780" s="69"/>
      <c r="L780" s="69"/>
      <c r="M780" s="69"/>
      <c r="N780" s="69"/>
      <c r="O780" s="2"/>
      <c r="P780" s="2"/>
      <c r="Q780" s="32"/>
      <c r="R780" s="32"/>
      <c r="S780" s="32"/>
      <c r="T780" s="3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2"/>
      <c r="C781" s="10"/>
      <c r="D781" s="10"/>
      <c r="E781" s="10"/>
      <c r="F781" s="10"/>
      <c r="G781" s="69"/>
      <c r="H781" s="69"/>
      <c r="I781" s="69"/>
      <c r="J781" s="70"/>
      <c r="K781" s="69"/>
      <c r="L781" s="69"/>
      <c r="M781" s="69"/>
      <c r="N781" s="69"/>
      <c r="O781" s="2"/>
      <c r="P781" s="2"/>
      <c r="Q781" s="32"/>
      <c r="R781" s="32"/>
      <c r="S781" s="32"/>
      <c r="T781" s="3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2"/>
      <c r="C782" s="10"/>
      <c r="D782" s="10"/>
      <c r="E782" s="10"/>
      <c r="F782" s="10"/>
      <c r="G782" s="69"/>
      <c r="H782" s="69"/>
      <c r="I782" s="69"/>
      <c r="J782" s="70"/>
      <c r="K782" s="69"/>
      <c r="L782" s="69"/>
      <c r="M782" s="69"/>
      <c r="N782" s="69"/>
      <c r="O782" s="2"/>
      <c r="P782" s="2"/>
      <c r="Q782" s="32"/>
      <c r="R782" s="32"/>
      <c r="S782" s="32"/>
      <c r="T782" s="3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2"/>
      <c r="C783" s="10"/>
      <c r="D783" s="10"/>
      <c r="E783" s="10"/>
      <c r="F783" s="10"/>
      <c r="G783" s="69"/>
      <c r="H783" s="69"/>
      <c r="I783" s="69"/>
      <c r="J783" s="70"/>
      <c r="K783" s="69"/>
      <c r="L783" s="69"/>
      <c r="M783" s="69"/>
      <c r="N783" s="69"/>
      <c r="O783" s="2"/>
      <c r="P783" s="2"/>
      <c r="Q783" s="32"/>
      <c r="R783" s="32"/>
      <c r="S783" s="32"/>
      <c r="T783" s="3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2"/>
      <c r="C784" s="10"/>
      <c r="D784" s="10"/>
      <c r="E784" s="10"/>
      <c r="F784" s="10"/>
      <c r="G784" s="69"/>
      <c r="H784" s="69"/>
      <c r="I784" s="69"/>
      <c r="J784" s="70"/>
      <c r="K784" s="69"/>
      <c r="L784" s="69"/>
      <c r="M784" s="69"/>
      <c r="N784" s="69"/>
      <c r="O784" s="2"/>
      <c r="P784" s="2"/>
      <c r="Q784" s="32"/>
      <c r="R784" s="32"/>
      <c r="S784" s="32"/>
      <c r="T784" s="3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2"/>
      <c r="C785" s="10"/>
      <c r="D785" s="10"/>
      <c r="E785" s="10"/>
      <c r="F785" s="10"/>
      <c r="G785" s="69"/>
      <c r="H785" s="69"/>
      <c r="I785" s="69"/>
      <c r="J785" s="70"/>
      <c r="K785" s="69"/>
      <c r="L785" s="69"/>
      <c r="M785" s="69"/>
      <c r="N785" s="69"/>
      <c r="O785" s="2"/>
      <c r="P785" s="2"/>
      <c r="Q785" s="32"/>
      <c r="R785" s="32"/>
      <c r="S785" s="32"/>
      <c r="T785" s="3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2"/>
      <c r="C786" s="10"/>
      <c r="D786" s="10"/>
      <c r="E786" s="10"/>
      <c r="F786" s="10"/>
      <c r="G786" s="69"/>
      <c r="H786" s="69"/>
      <c r="I786" s="69"/>
      <c r="J786" s="70"/>
      <c r="K786" s="69"/>
      <c r="L786" s="69"/>
      <c r="M786" s="69"/>
      <c r="N786" s="69"/>
      <c r="O786" s="2"/>
      <c r="P786" s="2"/>
      <c r="Q786" s="32"/>
      <c r="R786" s="32"/>
      <c r="S786" s="32"/>
      <c r="T786" s="3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2"/>
      <c r="C787" s="10"/>
      <c r="D787" s="10"/>
      <c r="E787" s="10"/>
      <c r="F787" s="10"/>
      <c r="G787" s="69"/>
      <c r="H787" s="69"/>
      <c r="I787" s="69"/>
      <c r="J787" s="70"/>
      <c r="K787" s="69"/>
      <c r="L787" s="69"/>
      <c r="M787" s="69"/>
      <c r="N787" s="69"/>
      <c r="O787" s="2"/>
      <c r="P787" s="2"/>
      <c r="Q787" s="32"/>
      <c r="R787" s="32"/>
      <c r="S787" s="32"/>
      <c r="T787" s="3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2"/>
      <c r="C788" s="10"/>
      <c r="D788" s="10"/>
      <c r="E788" s="10"/>
      <c r="F788" s="10"/>
      <c r="G788" s="69"/>
      <c r="H788" s="69"/>
      <c r="I788" s="69"/>
      <c r="J788" s="70"/>
      <c r="K788" s="69"/>
      <c r="L788" s="69"/>
      <c r="M788" s="69"/>
      <c r="N788" s="69"/>
      <c r="O788" s="2"/>
      <c r="P788" s="2"/>
      <c r="Q788" s="32"/>
      <c r="R788" s="32"/>
      <c r="S788" s="32"/>
      <c r="T788" s="3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2"/>
      <c r="C789" s="10"/>
      <c r="D789" s="10"/>
      <c r="E789" s="10"/>
      <c r="F789" s="10"/>
      <c r="G789" s="69"/>
      <c r="H789" s="69"/>
      <c r="I789" s="69"/>
      <c r="J789" s="70"/>
      <c r="K789" s="69"/>
      <c r="L789" s="69"/>
      <c r="M789" s="69"/>
      <c r="N789" s="69"/>
      <c r="O789" s="2"/>
      <c r="P789" s="2"/>
      <c r="Q789" s="32"/>
      <c r="R789" s="32"/>
      <c r="S789" s="32"/>
      <c r="T789" s="3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2"/>
      <c r="C790" s="10"/>
      <c r="D790" s="10"/>
      <c r="E790" s="10"/>
      <c r="F790" s="10"/>
      <c r="G790" s="69"/>
      <c r="H790" s="69"/>
      <c r="I790" s="69"/>
      <c r="J790" s="70"/>
      <c r="K790" s="69"/>
      <c r="L790" s="69"/>
      <c r="M790" s="69"/>
      <c r="N790" s="69"/>
      <c r="O790" s="2"/>
      <c r="P790" s="2"/>
      <c r="Q790" s="32"/>
      <c r="R790" s="32"/>
      <c r="S790" s="32"/>
      <c r="T790" s="3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2"/>
      <c r="C791" s="10"/>
      <c r="D791" s="10"/>
      <c r="E791" s="10"/>
      <c r="F791" s="10"/>
      <c r="G791" s="69"/>
      <c r="H791" s="69"/>
      <c r="I791" s="69"/>
      <c r="J791" s="70"/>
      <c r="K791" s="69"/>
      <c r="L791" s="69"/>
      <c r="M791" s="69"/>
      <c r="N791" s="69"/>
      <c r="O791" s="2"/>
      <c r="P791" s="2"/>
      <c r="Q791" s="32"/>
      <c r="R791" s="32"/>
      <c r="S791" s="32"/>
      <c r="T791" s="3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2"/>
      <c r="C792" s="10"/>
      <c r="D792" s="10"/>
      <c r="E792" s="10"/>
      <c r="F792" s="10"/>
      <c r="G792" s="69"/>
      <c r="H792" s="69"/>
      <c r="I792" s="69"/>
      <c r="J792" s="70"/>
      <c r="K792" s="69"/>
      <c r="L792" s="69"/>
      <c r="M792" s="69"/>
      <c r="N792" s="69"/>
      <c r="O792" s="2"/>
      <c r="P792" s="2"/>
      <c r="Q792" s="32"/>
      <c r="R792" s="32"/>
      <c r="S792" s="32"/>
      <c r="T792" s="3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2"/>
      <c r="C793" s="10"/>
      <c r="D793" s="10"/>
      <c r="E793" s="10"/>
      <c r="F793" s="10"/>
      <c r="G793" s="69"/>
      <c r="H793" s="69"/>
      <c r="I793" s="69"/>
      <c r="J793" s="70"/>
      <c r="K793" s="69"/>
      <c r="L793" s="69"/>
      <c r="M793" s="69"/>
      <c r="N793" s="69"/>
      <c r="O793" s="2"/>
      <c r="P793" s="2"/>
      <c r="Q793" s="32"/>
      <c r="R793" s="32"/>
      <c r="S793" s="32"/>
      <c r="T793" s="3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2"/>
      <c r="C794" s="10"/>
      <c r="D794" s="10"/>
      <c r="E794" s="10"/>
      <c r="F794" s="10"/>
      <c r="G794" s="69"/>
      <c r="H794" s="69"/>
      <c r="I794" s="69"/>
      <c r="J794" s="70"/>
      <c r="K794" s="69"/>
      <c r="L794" s="69"/>
      <c r="M794" s="69"/>
      <c r="N794" s="69"/>
      <c r="O794" s="2"/>
      <c r="P794" s="2"/>
      <c r="Q794" s="32"/>
      <c r="R794" s="32"/>
      <c r="S794" s="32"/>
      <c r="T794" s="3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2"/>
      <c r="C795" s="10"/>
      <c r="D795" s="10"/>
      <c r="E795" s="10"/>
      <c r="F795" s="10"/>
      <c r="G795" s="69"/>
      <c r="H795" s="69"/>
      <c r="I795" s="69"/>
      <c r="J795" s="70"/>
      <c r="K795" s="69"/>
      <c r="L795" s="69"/>
      <c r="M795" s="69"/>
      <c r="N795" s="69"/>
      <c r="O795" s="2"/>
      <c r="P795" s="2"/>
      <c r="Q795" s="32"/>
      <c r="R795" s="32"/>
      <c r="S795" s="32"/>
      <c r="T795" s="3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2"/>
      <c r="C796" s="10"/>
      <c r="D796" s="10"/>
      <c r="E796" s="10"/>
      <c r="F796" s="10"/>
      <c r="G796" s="69"/>
      <c r="H796" s="69"/>
      <c r="I796" s="69"/>
      <c r="J796" s="70"/>
      <c r="K796" s="69"/>
      <c r="L796" s="69"/>
      <c r="M796" s="69"/>
      <c r="N796" s="69"/>
      <c r="O796" s="2"/>
      <c r="P796" s="2"/>
      <c r="Q796" s="32"/>
      <c r="R796" s="32"/>
      <c r="S796" s="32"/>
      <c r="T796" s="3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2"/>
      <c r="C797" s="10"/>
      <c r="D797" s="10"/>
      <c r="E797" s="10"/>
      <c r="F797" s="10"/>
      <c r="G797" s="69"/>
      <c r="H797" s="69"/>
      <c r="I797" s="69"/>
      <c r="J797" s="70"/>
      <c r="K797" s="69"/>
      <c r="L797" s="69"/>
      <c r="M797" s="69"/>
      <c r="N797" s="69"/>
      <c r="O797" s="2"/>
      <c r="P797" s="2"/>
      <c r="Q797" s="32"/>
      <c r="R797" s="32"/>
      <c r="S797" s="32"/>
      <c r="T797" s="3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2"/>
      <c r="C798" s="10"/>
      <c r="D798" s="10"/>
      <c r="E798" s="10"/>
      <c r="F798" s="10"/>
      <c r="G798" s="69"/>
      <c r="H798" s="69"/>
      <c r="I798" s="69"/>
      <c r="J798" s="70"/>
      <c r="K798" s="69"/>
      <c r="L798" s="69"/>
      <c r="M798" s="69"/>
      <c r="N798" s="69"/>
      <c r="O798" s="2"/>
      <c r="P798" s="2"/>
      <c r="Q798" s="32"/>
      <c r="R798" s="32"/>
      <c r="S798" s="32"/>
      <c r="T798" s="3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2"/>
      <c r="C799" s="10"/>
      <c r="D799" s="10"/>
      <c r="E799" s="10"/>
      <c r="F799" s="10"/>
      <c r="G799" s="69"/>
      <c r="H799" s="69"/>
      <c r="I799" s="69"/>
      <c r="J799" s="70"/>
      <c r="K799" s="69"/>
      <c r="L799" s="69"/>
      <c r="M799" s="69"/>
      <c r="N799" s="69"/>
      <c r="O799" s="2"/>
      <c r="P799" s="2"/>
      <c r="Q799" s="32"/>
      <c r="R799" s="32"/>
      <c r="S799" s="32"/>
      <c r="T799" s="3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2"/>
      <c r="C800" s="10"/>
      <c r="D800" s="10"/>
      <c r="E800" s="10"/>
      <c r="F800" s="10"/>
      <c r="G800" s="69"/>
      <c r="H800" s="69"/>
      <c r="I800" s="69"/>
      <c r="J800" s="70"/>
      <c r="K800" s="69"/>
      <c r="L800" s="69"/>
      <c r="M800" s="69"/>
      <c r="N800" s="69"/>
      <c r="O800" s="2"/>
      <c r="P800" s="2"/>
      <c r="Q800" s="32"/>
      <c r="R800" s="32"/>
      <c r="S800" s="32"/>
      <c r="T800" s="3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2"/>
      <c r="C801" s="10"/>
      <c r="D801" s="10"/>
      <c r="E801" s="10"/>
      <c r="F801" s="10"/>
      <c r="G801" s="69"/>
      <c r="H801" s="69"/>
      <c r="I801" s="69"/>
      <c r="J801" s="70"/>
      <c r="K801" s="69"/>
      <c r="L801" s="69"/>
      <c r="M801" s="69"/>
      <c r="N801" s="69"/>
      <c r="O801" s="2"/>
      <c r="P801" s="2"/>
      <c r="Q801" s="32"/>
      <c r="R801" s="32"/>
      <c r="S801" s="32"/>
      <c r="T801" s="3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2"/>
      <c r="C802" s="10"/>
      <c r="D802" s="10"/>
      <c r="E802" s="10"/>
      <c r="F802" s="10"/>
      <c r="G802" s="69"/>
      <c r="H802" s="69"/>
      <c r="I802" s="69"/>
      <c r="J802" s="70"/>
      <c r="K802" s="69"/>
      <c r="L802" s="69"/>
      <c r="M802" s="69"/>
      <c r="N802" s="69"/>
      <c r="O802" s="2"/>
      <c r="P802" s="2"/>
      <c r="Q802" s="32"/>
      <c r="R802" s="32"/>
      <c r="S802" s="32"/>
      <c r="T802" s="3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2"/>
      <c r="C803" s="10"/>
      <c r="D803" s="10"/>
      <c r="E803" s="10"/>
      <c r="F803" s="10"/>
      <c r="G803" s="69"/>
      <c r="H803" s="69"/>
      <c r="I803" s="69"/>
      <c r="J803" s="70"/>
      <c r="K803" s="69"/>
      <c r="L803" s="69"/>
      <c r="M803" s="69"/>
      <c r="N803" s="69"/>
      <c r="O803" s="2"/>
      <c r="P803" s="2"/>
      <c r="Q803" s="32"/>
      <c r="R803" s="32"/>
      <c r="S803" s="32"/>
      <c r="T803" s="3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2"/>
      <c r="C804" s="10"/>
      <c r="D804" s="10"/>
      <c r="E804" s="10"/>
      <c r="F804" s="10"/>
      <c r="G804" s="69"/>
      <c r="H804" s="69"/>
      <c r="I804" s="69"/>
      <c r="J804" s="70"/>
      <c r="K804" s="69"/>
      <c r="L804" s="69"/>
      <c r="M804" s="69"/>
      <c r="N804" s="69"/>
      <c r="O804" s="2"/>
      <c r="P804" s="2"/>
      <c r="Q804" s="32"/>
      <c r="R804" s="32"/>
      <c r="S804" s="32"/>
      <c r="T804" s="3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2"/>
      <c r="C805" s="10"/>
      <c r="D805" s="10"/>
      <c r="E805" s="10"/>
      <c r="F805" s="10"/>
      <c r="G805" s="69"/>
      <c r="H805" s="69"/>
      <c r="I805" s="69"/>
      <c r="J805" s="70"/>
      <c r="K805" s="69"/>
      <c r="L805" s="69"/>
      <c r="M805" s="69"/>
      <c r="N805" s="69"/>
      <c r="O805" s="2"/>
      <c r="P805" s="2"/>
      <c r="Q805" s="32"/>
      <c r="R805" s="32"/>
      <c r="S805" s="32"/>
      <c r="T805" s="3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2"/>
      <c r="C806" s="10"/>
      <c r="D806" s="10"/>
      <c r="E806" s="10"/>
      <c r="F806" s="10"/>
      <c r="G806" s="69"/>
      <c r="H806" s="69"/>
      <c r="I806" s="69"/>
      <c r="J806" s="70"/>
      <c r="K806" s="69"/>
      <c r="L806" s="69"/>
      <c r="M806" s="69"/>
      <c r="N806" s="69"/>
      <c r="O806" s="2"/>
      <c r="P806" s="2"/>
      <c r="Q806" s="32"/>
      <c r="R806" s="32"/>
      <c r="S806" s="32"/>
      <c r="T806" s="3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2"/>
      <c r="C807" s="10"/>
      <c r="D807" s="10"/>
      <c r="E807" s="10"/>
      <c r="F807" s="10"/>
      <c r="G807" s="69"/>
      <c r="H807" s="69"/>
      <c r="I807" s="69"/>
      <c r="J807" s="70"/>
      <c r="K807" s="69"/>
      <c r="L807" s="69"/>
      <c r="M807" s="69"/>
      <c r="N807" s="69"/>
      <c r="O807" s="2"/>
      <c r="P807" s="2"/>
      <c r="Q807" s="32"/>
      <c r="R807" s="32"/>
      <c r="S807" s="32"/>
      <c r="T807" s="3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2"/>
      <c r="C808" s="10"/>
      <c r="D808" s="10"/>
      <c r="E808" s="10"/>
      <c r="F808" s="10"/>
      <c r="G808" s="69"/>
      <c r="H808" s="69"/>
      <c r="I808" s="69"/>
      <c r="J808" s="70"/>
      <c r="K808" s="69"/>
      <c r="L808" s="69"/>
      <c r="M808" s="69"/>
      <c r="N808" s="69"/>
      <c r="O808" s="2"/>
      <c r="P808" s="2"/>
      <c r="Q808" s="32"/>
      <c r="R808" s="32"/>
      <c r="S808" s="32"/>
      <c r="T808" s="3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2"/>
      <c r="C809" s="10"/>
      <c r="D809" s="10"/>
      <c r="E809" s="10"/>
      <c r="F809" s="10"/>
      <c r="G809" s="69"/>
      <c r="H809" s="69"/>
      <c r="I809" s="69"/>
      <c r="J809" s="70"/>
      <c r="K809" s="69"/>
      <c r="L809" s="69"/>
      <c r="M809" s="69"/>
      <c r="N809" s="69"/>
      <c r="O809" s="2"/>
      <c r="P809" s="2"/>
      <c r="Q809" s="32"/>
      <c r="R809" s="32"/>
      <c r="S809" s="32"/>
      <c r="T809" s="3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2"/>
      <c r="C810" s="10"/>
      <c r="D810" s="10"/>
      <c r="E810" s="10"/>
      <c r="F810" s="10"/>
      <c r="G810" s="69"/>
      <c r="H810" s="69"/>
      <c r="I810" s="69"/>
      <c r="J810" s="70"/>
      <c r="K810" s="69"/>
      <c r="L810" s="69"/>
      <c r="M810" s="69"/>
      <c r="N810" s="69"/>
      <c r="O810" s="2"/>
      <c r="P810" s="2"/>
      <c r="Q810" s="32"/>
      <c r="R810" s="32"/>
      <c r="S810" s="32"/>
      <c r="T810" s="3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2"/>
      <c r="C811" s="10"/>
      <c r="D811" s="10"/>
      <c r="E811" s="10"/>
      <c r="F811" s="10"/>
      <c r="G811" s="69"/>
      <c r="H811" s="69"/>
      <c r="I811" s="69"/>
      <c r="J811" s="70"/>
      <c r="K811" s="69"/>
      <c r="L811" s="69"/>
      <c r="M811" s="69"/>
      <c r="N811" s="69"/>
      <c r="O811" s="2"/>
      <c r="P811" s="2"/>
      <c r="Q811" s="32"/>
      <c r="R811" s="32"/>
      <c r="S811" s="32"/>
      <c r="T811" s="3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2"/>
      <c r="C812" s="10"/>
      <c r="D812" s="10"/>
      <c r="E812" s="10"/>
      <c r="F812" s="10"/>
      <c r="G812" s="69"/>
      <c r="H812" s="69"/>
      <c r="I812" s="69"/>
      <c r="J812" s="70"/>
      <c r="K812" s="69"/>
      <c r="L812" s="69"/>
      <c r="M812" s="69"/>
      <c r="N812" s="69"/>
      <c r="O812" s="2"/>
      <c r="P812" s="2"/>
      <c r="Q812" s="32"/>
      <c r="R812" s="32"/>
      <c r="S812" s="32"/>
      <c r="T812" s="3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2"/>
      <c r="C813" s="10"/>
      <c r="D813" s="10"/>
      <c r="E813" s="10"/>
      <c r="F813" s="10"/>
      <c r="G813" s="69"/>
      <c r="H813" s="69"/>
      <c r="I813" s="69"/>
      <c r="J813" s="70"/>
      <c r="K813" s="69"/>
      <c r="L813" s="69"/>
      <c r="M813" s="69"/>
      <c r="N813" s="69"/>
      <c r="O813" s="2"/>
      <c r="P813" s="2"/>
      <c r="Q813" s="32"/>
      <c r="R813" s="32"/>
      <c r="S813" s="32"/>
      <c r="T813" s="3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2"/>
      <c r="C814" s="10"/>
      <c r="D814" s="10"/>
      <c r="E814" s="10"/>
      <c r="F814" s="10"/>
      <c r="G814" s="69"/>
      <c r="H814" s="69"/>
      <c r="I814" s="69"/>
      <c r="J814" s="70"/>
      <c r="K814" s="69"/>
      <c r="L814" s="69"/>
      <c r="M814" s="69"/>
      <c r="N814" s="69"/>
      <c r="O814" s="2"/>
      <c r="P814" s="2"/>
      <c r="Q814" s="32"/>
      <c r="R814" s="32"/>
      <c r="S814" s="32"/>
      <c r="T814" s="3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2"/>
      <c r="C815" s="10"/>
      <c r="D815" s="10"/>
      <c r="E815" s="10"/>
      <c r="F815" s="10"/>
      <c r="G815" s="69"/>
      <c r="H815" s="69"/>
      <c r="I815" s="69"/>
      <c r="J815" s="70"/>
      <c r="K815" s="69"/>
      <c r="L815" s="69"/>
      <c r="M815" s="69"/>
      <c r="N815" s="69"/>
      <c r="O815" s="2"/>
      <c r="P815" s="2"/>
      <c r="Q815" s="32"/>
      <c r="R815" s="32"/>
      <c r="S815" s="32"/>
      <c r="T815" s="3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2"/>
      <c r="C816" s="10"/>
      <c r="D816" s="10"/>
      <c r="E816" s="10"/>
      <c r="F816" s="10"/>
      <c r="G816" s="69"/>
      <c r="H816" s="69"/>
      <c r="I816" s="69"/>
      <c r="J816" s="70"/>
      <c r="K816" s="69"/>
      <c r="L816" s="69"/>
      <c r="M816" s="69"/>
      <c r="N816" s="69"/>
      <c r="O816" s="2"/>
      <c r="P816" s="2"/>
      <c r="Q816" s="32"/>
      <c r="R816" s="32"/>
      <c r="S816" s="32"/>
      <c r="T816" s="3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2"/>
      <c r="C817" s="10"/>
      <c r="D817" s="10"/>
      <c r="E817" s="10"/>
      <c r="F817" s="10"/>
      <c r="G817" s="69"/>
      <c r="H817" s="69"/>
      <c r="I817" s="69"/>
      <c r="J817" s="70"/>
      <c r="K817" s="69"/>
      <c r="L817" s="69"/>
      <c r="M817" s="69"/>
      <c r="N817" s="69"/>
      <c r="O817" s="2"/>
      <c r="P817" s="2"/>
      <c r="Q817" s="32"/>
      <c r="R817" s="32"/>
      <c r="S817" s="32"/>
      <c r="T817" s="3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2"/>
      <c r="C818" s="10"/>
      <c r="D818" s="10"/>
      <c r="E818" s="10"/>
      <c r="F818" s="10"/>
      <c r="G818" s="69"/>
      <c r="H818" s="69"/>
      <c r="I818" s="69"/>
      <c r="J818" s="70"/>
      <c r="K818" s="69"/>
      <c r="L818" s="69"/>
      <c r="M818" s="69"/>
      <c r="N818" s="69"/>
      <c r="O818" s="2"/>
      <c r="P818" s="2"/>
      <c r="Q818" s="32"/>
      <c r="R818" s="32"/>
      <c r="S818" s="32"/>
      <c r="T818" s="3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2"/>
      <c r="C819" s="10"/>
      <c r="D819" s="10"/>
      <c r="E819" s="10"/>
      <c r="F819" s="10"/>
      <c r="G819" s="69"/>
      <c r="H819" s="69"/>
      <c r="I819" s="69"/>
      <c r="J819" s="70"/>
      <c r="K819" s="69"/>
      <c r="L819" s="69"/>
      <c r="M819" s="69"/>
      <c r="N819" s="69"/>
      <c r="O819" s="2"/>
      <c r="P819" s="2"/>
      <c r="Q819" s="32"/>
      <c r="R819" s="32"/>
      <c r="S819" s="32"/>
      <c r="T819" s="3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2"/>
      <c r="C820" s="10"/>
      <c r="D820" s="10"/>
      <c r="E820" s="10"/>
      <c r="F820" s="10"/>
      <c r="G820" s="69"/>
      <c r="H820" s="69"/>
      <c r="I820" s="69"/>
      <c r="J820" s="70"/>
      <c r="K820" s="69"/>
      <c r="L820" s="69"/>
      <c r="M820" s="69"/>
      <c r="N820" s="69"/>
      <c r="O820" s="2"/>
      <c r="P820" s="2"/>
      <c r="Q820" s="32"/>
      <c r="R820" s="32"/>
      <c r="S820" s="32"/>
      <c r="T820" s="3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2"/>
      <c r="C821" s="10"/>
      <c r="D821" s="10"/>
      <c r="E821" s="10"/>
      <c r="F821" s="10"/>
      <c r="G821" s="69"/>
      <c r="H821" s="69"/>
      <c r="I821" s="69"/>
      <c r="J821" s="70"/>
      <c r="K821" s="69"/>
      <c r="L821" s="69"/>
      <c r="M821" s="69"/>
      <c r="N821" s="69"/>
      <c r="O821" s="2"/>
      <c r="P821" s="2"/>
      <c r="Q821" s="32"/>
      <c r="R821" s="32"/>
      <c r="S821" s="32"/>
      <c r="T821" s="3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2"/>
      <c r="C822" s="10"/>
      <c r="D822" s="10"/>
      <c r="E822" s="10"/>
      <c r="F822" s="10"/>
      <c r="G822" s="69"/>
      <c r="H822" s="69"/>
      <c r="I822" s="69"/>
      <c r="J822" s="70"/>
      <c r="K822" s="69"/>
      <c r="L822" s="69"/>
      <c r="M822" s="69"/>
      <c r="N822" s="69"/>
      <c r="O822" s="2"/>
      <c r="P822" s="2"/>
      <c r="Q822" s="32"/>
      <c r="R822" s="32"/>
      <c r="S822" s="32"/>
      <c r="T822" s="3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2"/>
      <c r="C823" s="10"/>
      <c r="D823" s="10"/>
      <c r="E823" s="10"/>
      <c r="F823" s="10"/>
      <c r="G823" s="69"/>
      <c r="H823" s="69"/>
      <c r="I823" s="69"/>
      <c r="J823" s="70"/>
      <c r="K823" s="69"/>
      <c r="L823" s="69"/>
      <c r="M823" s="69"/>
      <c r="N823" s="69"/>
      <c r="O823" s="2"/>
      <c r="P823" s="2"/>
      <c r="Q823" s="32"/>
      <c r="R823" s="32"/>
      <c r="S823" s="32"/>
      <c r="T823" s="3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2"/>
      <c r="C824" s="10"/>
      <c r="D824" s="10"/>
      <c r="E824" s="10"/>
      <c r="F824" s="10"/>
      <c r="G824" s="69"/>
      <c r="H824" s="69"/>
      <c r="I824" s="69"/>
      <c r="J824" s="70"/>
      <c r="K824" s="69"/>
      <c r="L824" s="69"/>
      <c r="M824" s="69"/>
      <c r="N824" s="69"/>
      <c r="O824" s="2"/>
      <c r="P824" s="2"/>
      <c r="Q824" s="32"/>
      <c r="R824" s="32"/>
      <c r="S824" s="32"/>
      <c r="T824" s="3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2"/>
      <c r="C825" s="10"/>
      <c r="D825" s="10"/>
      <c r="E825" s="10"/>
      <c r="F825" s="10"/>
      <c r="G825" s="69"/>
      <c r="H825" s="69"/>
      <c r="I825" s="69"/>
      <c r="J825" s="70"/>
      <c r="K825" s="69"/>
      <c r="L825" s="69"/>
      <c r="M825" s="69"/>
      <c r="N825" s="69"/>
      <c r="O825" s="2"/>
      <c r="P825" s="2"/>
      <c r="Q825" s="32"/>
      <c r="R825" s="32"/>
      <c r="S825" s="32"/>
      <c r="T825" s="3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2"/>
      <c r="C826" s="10"/>
      <c r="D826" s="10"/>
      <c r="E826" s="10"/>
      <c r="F826" s="10"/>
      <c r="G826" s="69"/>
      <c r="H826" s="69"/>
      <c r="I826" s="69"/>
      <c r="J826" s="70"/>
      <c r="K826" s="69"/>
      <c r="L826" s="69"/>
      <c r="M826" s="69"/>
      <c r="N826" s="69"/>
      <c r="O826" s="2"/>
      <c r="P826" s="2"/>
      <c r="Q826" s="32"/>
      <c r="R826" s="32"/>
      <c r="S826" s="32"/>
      <c r="T826" s="3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2"/>
      <c r="C827" s="10"/>
      <c r="D827" s="10"/>
      <c r="E827" s="10"/>
      <c r="F827" s="10"/>
      <c r="G827" s="69"/>
      <c r="H827" s="69"/>
      <c r="I827" s="69"/>
      <c r="J827" s="70"/>
      <c r="K827" s="69"/>
      <c r="L827" s="69"/>
      <c r="M827" s="69"/>
      <c r="N827" s="69"/>
      <c r="O827" s="2"/>
      <c r="P827" s="2"/>
      <c r="Q827" s="32"/>
      <c r="R827" s="32"/>
      <c r="S827" s="32"/>
      <c r="T827" s="3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2"/>
      <c r="C828" s="10"/>
      <c r="D828" s="10"/>
      <c r="E828" s="10"/>
      <c r="F828" s="10"/>
      <c r="G828" s="69"/>
      <c r="H828" s="69"/>
      <c r="I828" s="69"/>
      <c r="J828" s="70"/>
      <c r="K828" s="69"/>
      <c r="L828" s="69"/>
      <c r="M828" s="69"/>
      <c r="N828" s="69"/>
      <c r="O828" s="2"/>
      <c r="P828" s="2"/>
      <c r="Q828" s="32"/>
      <c r="R828" s="32"/>
      <c r="S828" s="32"/>
      <c r="T828" s="3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2"/>
      <c r="C829" s="10"/>
      <c r="D829" s="10"/>
      <c r="E829" s="10"/>
      <c r="F829" s="10"/>
      <c r="G829" s="69"/>
      <c r="H829" s="69"/>
      <c r="I829" s="69"/>
      <c r="J829" s="70"/>
      <c r="K829" s="69"/>
      <c r="L829" s="69"/>
      <c r="M829" s="69"/>
      <c r="N829" s="69"/>
      <c r="O829" s="2"/>
      <c r="P829" s="2"/>
      <c r="Q829" s="32"/>
      <c r="R829" s="32"/>
      <c r="S829" s="32"/>
      <c r="T829" s="3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2"/>
      <c r="C830" s="10"/>
      <c r="D830" s="10"/>
      <c r="E830" s="10"/>
      <c r="F830" s="10"/>
      <c r="G830" s="69"/>
      <c r="H830" s="69"/>
      <c r="I830" s="69"/>
      <c r="J830" s="70"/>
      <c r="K830" s="69"/>
      <c r="L830" s="69"/>
      <c r="M830" s="69"/>
      <c r="N830" s="69"/>
      <c r="O830" s="2"/>
      <c r="P830" s="2"/>
      <c r="Q830" s="32"/>
      <c r="R830" s="32"/>
      <c r="S830" s="32"/>
      <c r="T830" s="3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2"/>
      <c r="C831" s="10"/>
      <c r="D831" s="10"/>
      <c r="E831" s="10"/>
      <c r="F831" s="10"/>
      <c r="G831" s="69"/>
      <c r="H831" s="69"/>
      <c r="I831" s="69"/>
      <c r="J831" s="70"/>
      <c r="K831" s="69"/>
      <c r="L831" s="69"/>
      <c r="M831" s="69"/>
      <c r="N831" s="69"/>
      <c r="O831" s="2"/>
      <c r="P831" s="2"/>
      <c r="Q831" s="32"/>
      <c r="R831" s="32"/>
      <c r="S831" s="32"/>
      <c r="T831" s="3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2"/>
      <c r="C832" s="10"/>
      <c r="D832" s="10"/>
      <c r="E832" s="10"/>
      <c r="F832" s="10"/>
      <c r="G832" s="69"/>
      <c r="H832" s="69"/>
      <c r="I832" s="69"/>
      <c r="J832" s="70"/>
      <c r="K832" s="69"/>
      <c r="L832" s="69"/>
      <c r="M832" s="69"/>
      <c r="N832" s="69"/>
      <c r="O832" s="2"/>
      <c r="P832" s="2"/>
      <c r="Q832" s="32"/>
      <c r="R832" s="32"/>
      <c r="S832" s="32"/>
      <c r="T832" s="3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2"/>
      <c r="C833" s="10"/>
      <c r="D833" s="10"/>
      <c r="E833" s="10"/>
      <c r="F833" s="10"/>
      <c r="G833" s="69"/>
      <c r="H833" s="69"/>
      <c r="I833" s="69"/>
      <c r="J833" s="70"/>
      <c r="K833" s="69"/>
      <c r="L833" s="69"/>
      <c r="M833" s="69"/>
      <c r="N833" s="69"/>
      <c r="O833" s="2"/>
      <c r="P833" s="2"/>
      <c r="Q833" s="32"/>
      <c r="R833" s="32"/>
      <c r="S833" s="32"/>
      <c r="T833" s="3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2"/>
      <c r="C834" s="10"/>
      <c r="D834" s="10"/>
      <c r="E834" s="10"/>
      <c r="F834" s="10"/>
      <c r="G834" s="69"/>
      <c r="H834" s="69"/>
      <c r="I834" s="69"/>
      <c r="J834" s="70"/>
      <c r="K834" s="69"/>
      <c r="L834" s="69"/>
      <c r="M834" s="69"/>
      <c r="N834" s="69"/>
      <c r="O834" s="2"/>
      <c r="P834" s="2"/>
      <c r="Q834" s="32"/>
      <c r="R834" s="32"/>
      <c r="S834" s="32"/>
      <c r="T834" s="3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2"/>
      <c r="C835" s="10"/>
      <c r="D835" s="10"/>
      <c r="E835" s="10"/>
      <c r="F835" s="10"/>
      <c r="G835" s="69"/>
      <c r="H835" s="69"/>
      <c r="I835" s="69"/>
      <c r="J835" s="70"/>
      <c r="K835" s="69"/>
      <c r="L835" s="69"/>
      <c r="M835" s="69"/>
      <c r="N835" s="69"/>
      <c r="O835" s="2"/>
      <c r="P835" s="2"/>
      <c r="Q835" s="32"/>
      <c r="R835" s="32"/>
      <c r="S835" s="32"/>
      <c r="T835" s="3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2"/>
      <c r="C836" s="10"/>
      <c r="D836" s="10"/>
      <c r="E836" s="10"/>
      <c r="F836" s="10"/>
      <c r="G836" s="69"/>
      <c r="H836" s="69"/>
      <c r="I836" s="69"/>
      <c r="J836" s="70"/>
      <c r="K836" s="69"/>
      <c r="L836" s="69"/>
      <c r="M836" s="69"/>
      <c r="N836" s="69"/>
      <c r="O836" s="2"/>
      <c r="P836" s="2"/>
      <c r="Q836" s="32"/>
      <c r="R836" s="32"/>
      <c r="S836" s="32"/>
      <c r="T836" s="3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2"/>
      <c r="C837" s="10"/>
      <c r="D837" s="10"/>
      <c r="E837" s="10"/>
      <c r="F837" s="10"/>
      <c r="G837" s="69"/>
      <c r="H837" s="69"/>
      <c r="I837" s="69"/>
      <c r="J837" s="70"/>
      <c r="K837" s="69"/>
      <c r="L837" s="69"/>
      <c r="M837" s="69"/>
      <c r="N837" s="69"/>
      <c r="O837" s="2"/>
      <c r="P837" s="2"/>
      <c r="Q837" s="32"/>
      <c r="R837" s="32"/>
      <c r="S837" s="32"/>
      <c r="T837" s="3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2"/>
      <c r="C838" s="10"/>
      <c r="D838" s="10"/>
      <c r="E838" s="10"/>
      <c r="F838" s="10"/>
      <c r="G838" s="69"/>
      <c r="H838" s="69"/>
      <c r="I838" s="69"/>
      <c r="J838" s="70"/>
      <c r="K838" s="69"/>
      <c r="L838" s="69"/>
      <c r="M838" s="69"/>
      <c r="N838" s="69"/>
      <c r="O838" s="2"/>
      <c r="P838" s="2"/>
      <c r="Q838" s="32"/>
      <c r="R838" s="32"/>
      <c r="S838" s="32"/>
      <c r="T838" s="3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2"/>
      <c r="C839" s="10"/>
      <c r="D839" s="10"/>
      <c r="E839" s="10"/>
      <c r="F839" s="10"/>
      <c r="G839" s="69"/>
      <c r="H839" s="69"/>
      <c r="I839" s="69"/>
      <c r="J839" s="70"/>
      <c r="K839" s="69"/>
      <c r="L839" s="69"/>
      <c r="M839" s="69"/>
      <c r="N839" s="69"/>
      <c r="O839" s="2"/>
      <c r="P839" s="2"/>
      <c r="Q839" s="32"/>
      <c r="R839" s="32"/>
      <c r="S839" s="32"/>
      <c r="T839" s="3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2"/>
      <c r="C840" s="10"/>
      <c r="D840" s="10"/>
      <c r="E840" s="10"/>
      <c r="F840" s="10"/>
      <c r="G840" s="69"/>
      <c r="H840" s="69"/>
      <c r="I840" s="69"/>
      <c r="J840" s="70"/>
      <c r="K840" s="69"/>
      <c r="L840" s="69"/>
      <c r="M840" s="69"/>
      <c r="N840" s="69"/>
      <c r="O840" s="2"/>
      <c r="P840" s="2"/>
      <c r="Q840" s="32"/>
      <c r="R840" s="32"/>
      <c r="S840" s="32"/>
      <c r="T840" s="3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2"/>
      <c r="C841" s="10"/>
      <c r="D841" s="10"/>
      <c r="E841" s="10"/>
      <c r="F841" s="10"/>
      <c r="G841" s="69"/>
      <c r="H841" s="69"/>
      <c r="I841" s="69"/>
      <c r="J841" s="70"/>
      <c r="K841" s="69"/>
      <c r="L841" s="69"/>
      <c r="M841" s="69"/>
      <c r="N841" s="69"/>
      <c r="O841" s="2"/>
      <c r="P841" s="2"/>
      <c r="Q841" s="32"/>
      <c r="R841" s="32"/>
      <c r="S841" s="32"/>
      <c r="T841" s="3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2"/>
      <c r="C842" s="10"/>
      <c r="D842" s="10"/>
      <c r="E842" s="10"/>
      <c r="F842" s="10"/>
      <c r="G842" s="69"/>
      <c r="H842" s="69"/>
      <c r="I842" s="69"/>
      <c r="J842" s="70"/>
      <c r="K842" s="69"/>
      <c r="L842" s="69"/>
      <c r="M842" s="69"/>
      <c r="N842" s="69"/>
      <c r="O842" s="2"/>
      <c r="P842" s="2"/>
      <c r="Q842" s="32"/>
      <c r="R842" s="32"/>
      <c r="S842" s="32"/>
      <c r="T842" s="3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2"/>
      <c r="C843" s="10"/>
      <c r="D843" s="10"/>
      <c r="E843" s="10"/>
      <c r="F843" s="10"/>
      <c r="G843" s="69"/>
      <c r="H843" s="69"/>
      <c r="I843" s="69"/>
      <c r="J843" s="70"/>
      <c r="K843" s="69"/>
      <c r="L843" s="69"/>
      <c r="M843" s="69"/>
      <c r="N843" s="69"/>
      <c r="O843" s="2"/>
      <c r="P843" s="2"/>
      <c r="Q843" s="32"/>
      <c r="R843" s="32"/>
      <c r="S843" s="32"/>
      <c r="T843" s="3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2"/>
      <c r="C844" s="10"/>
      <c r="D844" s="10"/>
      <c r="E844" s="10"/>
      <c r="F844" s="10"/>
      <c r="G844" s="69"/>
      <c r="H844" s="69"/>
      <c r="I844" s="69"/>
      <c r="J844" s="70"/>
      <c r="K844" s="69"/>
      <c r="L844" s="69"/>
      <c r="M844" s="69"/>
      <c r="N844" s="69"/>
      <c r="O844" s="2"/>
      <c r="P844" s="2"/>
      <c r="Q844" s="32"/>
      <c r="R844" s="32"/>
      <c r="S844" s="32"/>
      <c r="T844" s="3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2"/>
      <c r="C845" s="10"/>
      <c r="D845" s="10"/>
      <c r="E845" s="10"/>
      <c r="F845" s="10"/>
      <c r="G845" s="69"/>
      <c r="H845" s="69"/>
      <c r="I845" s="69"/>
      <c r="J845" s="70"/>
      <c r="K845" s="69"/>
      <c r="L845" s="69"/>
      <c r="M845" s="69"/>
      <c r="N845" s="69"/>
      <c r="O845" s="2"/>
      <c r="P845" s="2"/>
      <c r="Q845" s="32"/>
      <c r="R845" s="32"/>
      <c r="S845" s="32"/>
      <c r="T845" s="3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2"/>
      <c r="C846" s="10"/>
      <c r="D846" s="10"/>
      <c r="E846" s="10"/>
      <c r="F846" s="10"/>
      <c r="G846" s="69"/>
      <c r="H846" s="69"/>
      <c r="I846" s="69"/>
      <c r="J846" s="70"/>
      <c r="K846" s="69"/>
      <c r="L846" s="69"/>
      <c r="M846" s="69"/>
      <c r="N846" s="69"/>
      <c r="O846" s="2"/>
      <c r="P846" s="2"/>
      <c r="Q846" s="32"/>
      <c r="R846" s="32"/>
      <c r="S846" s="32"/>
      <c r="T846" s="3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2"/>
      <c r="C847" s="10"/>
      <c r="D847" s="10"/>
      <c r="E847" s="10"/>
      <c r="F847" s="10"/>
      <c r="G847" s="69"/>
      <c r="H847" s="69"/>
      <c r="I847" s="69"/>
      <c r="J847" s="70"/>
      <c r="K847" s="69"/>
      <c r="L847" s="69"/>
      <c r="M847" s="69"/>
      <c r="N847" s="69"/>
      <c r="O847" s="2"/>
      <c r="P847" s="2"/>
      <c r="Q847" s="32"/>
      <c r="R847" s="32"/>
      <c r="S847" s="32"/>
      <c r="T847" s="3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2"/>
      <c r="C848" s="10"/>
      <c r="D848" s="10"/>
      <c r="E848" s="10"/>
      <c r="F848" s="10"/>
      <c r="G848" s="69"/>
      <c r="H848" s="69"/>
      <c r="I848" s="69"/>
      <c r="J848" s="70"/>
      <c r="K848" s="69"/>
      <c r="L848" s="69"/>
      <c r="M848" s="69"/>
      <c r="N848" s="69"/>
      <c r="O848" s="2"/>
      <c r="P848" s="2"/>
      <c r="Q848" s="32"/>
      <c r="R848" s="32"/>
      <c r="S848" s="32"/>
      <c r="T848" s="3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2"/>
      <c r="C849" s="10"/>
      <c r="D849" s="10"/>
      <c r="E849" s="10"/>
      <c r="F849" s="10"/>
      <c r="G849" s="69"/>
      <c r="H849" s="69"/>
      <c r="I849" s="69"/>
      <c r="J849" s="70"/>
      <c r="K849" s="69"/>
      <c r="L849" s="69"/>
      <c r="M849" s="69"/>
      <c r="N849" s="69"/>
      <c r="O849" s="2"/>
      <c r="P849" s="2"/>
      <c r="Q849" s="32"/>
      <c r="R849" s="32"/>
      <c r="S849" s="32"/>
      <c r="T849" s="3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2"/>
      <c r="C850" s="10"/>
      <c r="D850" s="10"/>
      <c r="E850" s="10"/>
      <c r="F850" s="10"/>
      <c r="G850" s="69"/>
      <c r="H850" s="69"/>
      <c r="I850" s="69"/>
      <c r="J850" s="70"/>
      <c r="K850" s="69"/>
      <c r="L850" s="69"/>
      <c r="M850" s="69"/>
      <c r="N850" s="69"/>
      <c r="O850" s="2"/>
      <c r="P850" s="2"/>
      <c r="Q850" s="32"/>
      <c r="R850" s="32"/>
      <c r="S850" s="32"/>
      <c r="T850" s="3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2"/>
      <c r="C851" s="10"/>
      <c r="D851" s="10"/>
      <c r="E851" s="10"/>
      <c r="F851" s="10"/>
      <c r="G851" s="69"/>
      <c r="H851" s="69"/>
      <c r="I851" s="69"/>
      <c r="J851" s="70"/>
      <c r="K851" s="69"/>
      <c r="L851" s="69"/>
      <c r="M851" s="69"/>
      <c r="N851" s="69"/>
      <c r="O851" s="2"/>
      <c r="P851" s="2"/>
      <c r="Q851" s="32"/>
      <c r="R851" s="32"/>
      <c r="S851" s="32"/>
      <c r="T851" s="3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2"/>
      <c r="C852" s="10"/>
      <c r="D852" s="10"/>
      <c r="E852" s="10"/>
      <c r="F852" s="10"/>
      <c r="G852" s="69"/>
      <c r="H852" s="69"/>
      <c r="I852" s="69"/>
      <c r="J852" s="70"/>
      <c r="K852" s="69"/>
      <c r="L852" s="69"/>
      <c r="M852" s="69"/>
      <c r="N852" s="69"/>
      <c r="O852" s="2"/>
      <c r="P852" s="2"/>
      <c r="Q852" s="32"/>
      <c r="R852" s="32"/>
      <c r="S852" s="32"/>
      <c r="T852" s="3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2"/>
      <c r="C853" s="10"/>
      <c r="D853" s="10"/>
      <c r="E853" s="10"/>
      <c r="F853" s="10"/>
      <c r="G853" s="69"/>
      <c r="H853" s="69"/>
      <c r="I853" s="69"/>
      <c r="J853" s="70"/>
      <c r="K853" s="69"/>
      <c r="L853" s="69"/>
      <c r="M853" s="69"/>
      <c r="N853" s="69"/>
      <c r="O853" s="2"/>
      <c r="P853" s="2"/>
      <c r="Q853" s="32"/>
      <c r="R853" s="32"/>
      <c r="S853" s="32"/>
      <c r="T853" s="3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2"/>
      <c r="C854" s="10"/>
      <c r="D854" s="10"/>
      <c r="E854" s="10"/>
      <c r="F854" s="10"/>
      <c r="G854" s="69"/>
      <c r="H854" s="69"/>
      <c r="I854" s="69"/>
      <c r="J854" s="70"/>
      <c r="K854" s="69"/>
      <c r="L854" s="69"/>
      <c r="M854" s="69"/>
      <c r="N854" s="69"/>
      <c r="O854" s="2"/>
      <c r="P854" s="2"/>
      <c r="Q854" s="32"/>
      <c r="R854" s="32"/>
      <c r="S854" s="32"/>
      <c r="T854" s="3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2"/>
      <c r="C855" s="10"/>
      <c r="D855" s="10"/>
      <c r="E855" s="10"/>
      <c r="F855" s="10"/>
      <c r="G855" s="69"/>
      <c r="H855" s="69"/>
      <c r="I855" s="69"/>
      <c r="J855" s="70"/>
      <c r="K855" s="69"/>
      <c r="L855" s="69"/>
      <c r="M855" s="69"/>
      <c r="N855" s="69"/>
      <c r="O855" s="2"/>
      <c r="P855" s="2"/>
      <c r="Q855" s="32"/>
      <c r="R855" s="32"/>
      <c r="S855" s="32"/>
      <c r="T855" s="3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2"/>
      <c r="C856" s="10"/>
      <c r="D856" s="10"/>
      <c r="E856" s="10"/>
      <c r="F856" s="10"/>
      <c r="G856" s="69"/>
      <c r="H856" s="69"/>
      <c r="I856" s="69"/>
      <c r="J856" s="70"/>
      <c r="K856" s="69"/>
      <c r="L856" s="69"/>
      <c r="M856" s="69"/>
      <c r="N856" s="69"/>
      <c r="O856" s="2"/>
      <c r="P856" s="2"/>
      <c r="Q856" s="32"/>
      <c r="R856" s="32"/>
      <c r="S856" s="32"/>
      <c r="T856" s="3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2"/>
      <c r="C857" s="10"/>
      <c r="D857" s="10"/>
      <c r="E857" s="10"/>
      <c r="F857" s="10"/>
      <c r="G857" s="69"/>
      <c r="H857" s="69"/>
      <c r="I857" s="69"/>
      <c r="J857" s="70"/>
      <c r="K857" s="69"/>
      <c r="L857" s="69"/>
      <c r="M857" s="69"/>
      <c r="N857" s="69"/>
      <c r="O857" s="2"/>
      <c r="P857" s="2"/>
      <c r="Q857" s="32"/>
      <c r="R857" s="32"/>
      <c r="S857" s="32"/>
      <c r="T857" s="3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2"/>
      <c r="C858" s="10"/>
      <c r="D858" s="10"/>
      <c r="E858" s="10"/>
      <c r="F858" s="10"/>
      <c r="G858" s="69"/>
      <c r="H858" s="69"/>
      <c r="I858" s="69"/>
      <c r="J858" s="70"/>
      <c r="K858" s="69"/>
      <c r="L858" s="69"/>
      <c r="M858" s="69"/>
      <c r="N858" s="69"/>
      <c r="O858" s="2"/>
      <c r="P858" s="2"/>
      <c r="Q858" s="32"/>
      <c r="R858" s="32"/>
      <c r="S858" s="32"/>
      <c r="T858" s="3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2"/>
      <c r="C859" s="10"/>
      <c r="D859" s="10"/>
      <c r="E859" s="10"/>
      <c r="F859" s="10"/>
      <c r="G859" s="69"/>
      <c r="H859" s="69"/>
      <c r="I859" s="69"/>
      <c r="J859" s="70"/>
      <c r="K859" s="69"/>
      <c r="L859" s="69"/>
      <c r="M859" s="69"/>
      <c r="N859" s="69"/>
      <c r="O859" s="2"/>
      <c r="P859" s="2"/>
      <c r="Q859" s="32"/>
      <c r="R859" s="32"/>
      <c r="S859" s="32"/>
      <c r="T859" s="3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2"/>
      <c r="C860" s="10"/>
      <c r="D860" s="10"/>
      <c r="E860" s="10"/>
      <c r="F860" s="10"/>
      <c r="G860" s="69"/>
      <c r="H860" s="69"/>
      <c r="I860" s="69"/>
      <c r="J860" s="70"/>
      <c r="K860" s="69"/>
      <c r="L860" s="69"/>
      <c r="M860" s="69"/>
      <c r="N860" s="69"/>
      <c r="O860" s="2"/>
      <c r="P860" s="2"/>
      <c r="Q860" s="32"/>
      <c r="R860" s="32"/>
      <c r="S860" s="32"/>
      <c r="T860" s="3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2"/>
      <c r="C861" s="10"/>
      <c r="D861" s="10"/>
      <c r="E861" s="10"/>
      <c r="F861" s="10"/>
      <c r="G861" s="69"/>
      <c r="H861" s="69"/>
      <c r="I861" s="69"/>
      <c r="J861" s="70"/>
      <c r="K861" s="69"/>
      <c r="L861" s="69"/>
      <c r="M861" s="69"/>
      <c r="N861" s="69"/>
      <c r="O861" s="2"/>
      <c r="P861" s="2"/>
      <c r="Q861" s="32"/>
      <c r="R861" s="32"/>
      <c r="S861" s="32"/>
      <c r="T861" s="3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2"/>
      <c r="C862" s="10"/>
      <c r="D862" s="10"/>
      <c r="E862" s="10"/>
      <c r="F862" s="10"/>
      <c r="G862" s="69"/>
      <c r="H862" s="69"/>
      <c r="I862" s="69"/>
      <c r="J862" s="70"/>
      <c r="K862" s="69"/>
      <c r="L862" s="69"/>
      <c r="M862" s="69"/>
      <c r="N862" s="69"/>
      <c r="O862" s="2"/>
      <c r="P862" s="2"/>
      <c r="Q862" s="32"/>
      <c r="R862" s="32"/>
      <c r="S862" s="32"/>
      <c r="T862" s="3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2"/>
      <c r="C863" s="10"/>
      <c r="D863" s="10"/>
      <c r="E863" s="10"/>
      <c r="F863" s="10"/>
      <c r="G863" s="69"/>
      <c r="H863" s="69"/>
      <c r="I863" s="69"/>
      <c r="J863" s="70"/>
      <c r="K863" s="69"/>
      <c r="L863" s="69"/>
      <c r="M863" s="69"/>
      <c r="N863" s="69"/>
      <c r="O863" s="2"/>
      <c r="P863" s="2"/>
      <c r="Q863" s="32"/>
      <c r="R863" s="32"/>
      <c r="S863" s="32"/>
      <c r="T863" s="3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2"/>
      <c r="C864" s="10"/>
      <c r="D864" s="10"/>
      <c r="E864" s="10"/>
      <c r="F864" s="10"/>
      <c r="G864" s="69"/>
      <c r="H864" s="69"/>
      <c r="I864" s="69"/>
      <c r="J864" s="70"/>
      <c r="K864" s="69"/>
      <c r="L864" s="69"/>
      <c r="M864" s="69"/>
      <c r="N864" s="69"/>
      <c r="O864" s="2"/>
      <c r="P864" s="2"/>
      <c r="Q864" s="32"/>
      <c r="R864" s="32"/>
      <c r="S864" s="32"/>
      <c r="T864" s="3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2"/>
      <c r="C865" s="10"/>
      <c r="D865" s="10"/>
      <c r="E865" s="10"/>
      <c r="F865" s="10"/>
      <c r="G865" s="69"/>
      <c r="H865" s="69"/>
      <c r="I865" s="69"/>
      <c r="J865" s="70"/>
      <c r="K865" s="69"/>
      <c r="L865" s="69"/>
      <c r="M865" s="69"/>
      <c r="N865" s="69"/>
      <c r="O865" s="2"/>
      <c r="P865" s="2"/>
      <c r="Q865" s="32"/>
      <c r="R865" s="32"/>
      <c r="S865" s="32"/>
      <c r="T865" s="3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2"/>
      <c r="C866" s="10"/>
      <c r="D866" s="10"/>
      <c r="E866" s="10"/>
      <c r="F866" s="10"/>
      <c r="G866" s="69"/>
      <c r="H866" s="69"/>
      <c r="I866" s="69"/>
      <c r="J866" s="70"/>
      <c r="K866" s="69"/>
      <c r="L866" s="69"/>
      <c r="M866" s="69"/>
      <c r="N866" s="69"/>
      <c r="O866" s="2"/>
      <c r="P866" s="2"/>
      <c r="Q866" s="32"/>
      <c r="R866" s="32"/>
      <c r="S866" s="32"/>
      <c r="T866" s="3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2"/>
      <c r="C867" s="10"/>
      <c r="D867" s="10"/>
      <c r="E867" s="10"/>
      <c r="F867" s="10"/>
      <c r="G867" s="69"/>
      <c r="H867" s="69"/>
      <c r="I867" s="69"/>
      <c r="J867" s="70"/>
      <c r="K867" s="69"/>
      <c r="L867" s="69"/>
      <c r="M867" s="69"/>
      <c r="N867" s="69"/>
      <c r="O867" s="2"/>
      <c r="P867" s="2"/>
      <c r="Q867" s="32"/>
      <c r="R867" s="32"/>
      <c r="S867" s="32"/>
      <c r="T867" s="3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2"/>
      <c r="C868" s="10"/>
      <c r="D868" s="10"/>
      <c r="E868" s="10"/>
      <c r="F868" s="10"/>
      <c r="G868" s="69"/>
      <c r="H868" s="69"/>
      <c r="I868" s="69"/>
      <c r="J868" s="70"/>
      <c r="K868" s="69"/>
      <c r="L868" s="69"/>
      <c r="M868" s="69"/>
      <c r="N868" s="69"/>
      <c r="O868" s="2"/>
      <c r="P868" s="2"/>
      <c r="Q868" s="32"/>
      <c r="R868" s="32"/>
      <c r="S868" s="32"/>
      <c r="T868" s="3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2"/>
      <c r="C869" s="10"/>
      <c r="D869" s="10"/>
      <c r="E869" s="10"/>
      <c r="F869" s="10"/>
      <c r="G869" s="69"/>
      <c r="H869" s="69"/>
      <c r="I869" s="69"/>
      <c r="J869" s="70"/>
      <c r="K869" s="69"/>
      <c r="L869" s="69"/>
      <c r="M869" s="69"/>
      <c r="N869" s="69"/>
      <c r="O869" s="2"/>
      <c r="P869" s="2"/>
      <c r="Q869" s="32"/>
      <c r="R869" s="32"/>
      <c r="S869" s="32"/>
      <c r="T869" s="3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2"/>
      <c r="C870" s="10"/>
      <c r="D870" s="10"/>
      <c r="E870" s="10"/>
      <c r="F870" s="10"/>
      <c r="G870" s="69"/>
      <c r="H870" s="69"/>
      <c r="I870" s="69"/>
      <c r="J870" s="70"/>
      <c r="K870" s="69"/>
      <c r="L870" s="69"/>
      <c r="M870" s="69"/>
      <c r="N870" s="69"/>
      <c r="O870" s="2"/>
      <c r="P870" s="2"/>
      <c r="Q870" s="32"/>
      <c r="R870" s="32"/>
      <c r="S870" s="32"/>
      <c r="T870" s="3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2"/>
      <c r="C871" s="10"/>
      <c r="D871" s="10"/>
      <c r="E871" s="10"/>
      <c r="F871" s="10"/>
      <c r="G871" s="69"/>
      <c r="H871" s="69"/>
      <c r="I871" s="69"/>
      <c r="J871" s="70"/>
      <c r="K871" s="69"/>
      <c r="L871" s="69"/>
      <c r="M871" s="69"/>
      <c r="N871" s="69"/>
      <c r="O871" s="2"/>
      <c r="P871" s="2"/>
      <c r="Q871" s="32"/>
      <c r="R871" s="32"/>
      <c r="S871" s="32"/>
      <c r="T871" s="3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2"/>
      <c r="C872" s="10"/>
      <c r="D872" s="10"/>
      <c r="E872" s="10"/>
      <c r="F872" s="10"/>
      <c r="G872" s="69"/>
      <c r="H872" s="69"/>
      <c r="I872" s="69"/>
      <c r="J872" s="70"/>
      <c r="K872" s="69"/>
      <c r="L872" s="69"/>
      <c r="M872" s="69"/>
      <c r="N872" s="69"/>
      <c r="O872" s="2"/>
      <c r="P872" s="2"/>
      <c r="Q872" s="32"/>
      <c r="R872" s="32"/>
      <c r="S872" s="32"/>
      <c r="T872" s="3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2"/>
      <c r="C873" s="10"/>
      <c r="D873" s="10"/>
      <c r="E873" s="10"/>
      <c r="F873" s="10"/>
      <c r="G873" s="69"/>
      <c r="H873" s="69"/>
      <c r="I873" s="69"/>
      <c r="J873" s="70"/>
      <c r="K873" s="69"/>
      <c r="L873" s="69"/>
      <c r="M873" s="69"/>
      <c r="N873" s="69"/>
      <c r="O873" s="2"/>
      <c r="P873" s="2"/>
      <c r="Q873" s="32"/>
      <c r="R873" s="32"/>
      <c r="S873" s="32"/>
      <c r="T873" s="3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2"/>
      <c r="C874" s="10"/>
      <c r="D874" s="10"/>
      <c r="E874" s="10"/>
      <c r="F874" s="10"/>
      <c r="G874" s="69"/>
      <c r="H874" s="69"/>
      <c r="I874" s="69"/>
      <c r="J874" s="70"/>
      <c r="K874" s="69"/>
      <c r="L874" s="69"/>
      <c r="M874" s="69"/>
      <c r="N874" s="69"/>
      <c r="O874" s="2"/>
      <c r="P874" s="2"/>
      <c r="Q874" s="32"/>
      <c r="R874" s="32"/>
      <c r="S874" s="32"/>
      <c r="T874" s="3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2"/>
      <c r="C875" s="10"/>
      <c r="D875" s="10"/>
      <c r="E875" s="10"/>
      <c r="F875" s="10"/>
      <c r="G875" s="69"/>
      <c r="H875" s="69"/>
      <c r="I875" s="69"/>
      <c r="J875" s="70"/>
      <c r="K875" s="69"/>
      <c r="L875" s="69"/>
      <c r="M875" s="69"/>
      <c r="N875" s="69"/>
      <c r="O875" s="2"/>
      <c r="P875" s="2"/>
      <c r="Q875" s="32"/>
      <c r="R875" s="32"/>
      <c r="S875" s="32"/>
      <c r="T875" s="3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2"/>
      <c r="C876" s="10"/>
      <c r="D876" s="10"/>
      <c r="E876" s="10"/>
      <c r="F876" s="10"/>
      <c r="G876" s="69"/>
      <c r="H876" s="69"/>
      <c r="I876" s="69"/>
      <c r="J876" s="70"/>
      <c r="K876" s="69"/>
      <c r="L876" s="69"/>
      <c r="M876" s="69"/>
      <c r="N876" s="69"/>
      <c r="O876" s="2"/>
      <c r="P876" s="2"/>
      <c r="Q876" s="32"/>
      <c r="R876" s="32"/>
      <c r="S876" s="32"/>
      <c r="T876" s="3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2"/>
      <c r="C877" s="10"/>
      <c r="D877" s="10"/>
      <c r="E877" s="10"/>
      <c r="F877" s="10"/>
      <c r="G877" s="69"/>
      <c r="H877" s="69"/>
      <c r="I877" s="69"/>
      <c r="J877" s="70"/>
      <c r="K877" s="69"/>
      <c r="L877" s="69"/>
      <c r="M877" s="69"/>
      <c r="N877" s="69"/>
      <c r="O877" s="2"/>
      <c r="P877" s="2"/>
      <c r="Q877" s="32"/>
      <c r="R877" s="32"/>
      <c r="S877" s="32"/>
      <c r="T877" s="3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2"/>
      <c r="C878" s="10"/>
      <c r="D878" s="10"/>
      <c r="E878" s="10"/>
      <c r="F878" s="10"/>
      <c r="G878" s="69"/>
      <c r="H878" s="69"/>
      <c r="I878" s="69"/>
      <c r="J878" s="70"/>
      <c r="K878" s="69"/>
      <c r="L878" s="69"/>
      <c r="M878" s="69"/>
      <c r="N878" s="69"/>
      <c r="O878" s="2"/>
      <c r="P878" s="2"/>
      <c r="Q878" s="32"/>
      <c r="R878" s="32"/>
      <c r="S878" s="32"/>
      <c r="T878" s="3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2"/>
      <c r="C879" s="10"/>
      <c r="D879" s="10"/>
      <c r="E879" s="10"/>
      <c r="F879" s="10"/>
      <c r="G879" s="69"/>
      <c r="H879" s="69"/>
      <c r="I879" s="69"/>
      <c r="J879" s="70"/>
      <c r="K879" s="69"/>
      <c r="L879" s="69"/>
      <c r="M879" s="69"/>
      <c r="N879" s="69"/>
      <c r="O879" s="2"/>
      <c r="P879" s="2"/>
      <c r="Q879" s="32"/>
      <c r="R879" s="32"/>
      <c r="S879" s="32"/>
      <c r="T879" s="3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2"/>
      <c r="C880" s="10"/>
      <c r="D880" s="10"/>
      <c r="E880" s="10"/>
      <c r="F880" s="10"/>
      <c r="G880" s="69"/>
      <c r="H880" s="69"/>
      <c r="I880" s="69"/>
      <c r="J880" s="70"/>
      <c r="K880" s="69"/>
      <c r="L880" s="69"/>
      <c r="M880" s="69"/>
      <c r="N880" s="69"/>
      <c r="O880" s="2"/>
      <c r="P880" s="2"/>
      <c r="Q880" s="32"/>
      <c r="R880" s="32"/>
      <c r="S880" s="32"/>
      <c r="T880" s="3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2"/>
      <c r="C881" s="10"/>
      <c r="D881" s="10"/>
      <c r="E881" s="10"/>
      <c r="F881" s="10"/>
      <c r="G881" s="69"/>
      <c r="H881" s="69"/>
      <c r="I881" s="69"/>
      <c r="J881" s="70"/>
      <c r="K881" s="69"/>
      <c r="L881" s="69"/>
      <c r="M881" s="69"/>
      <c r="N881" s="69"/>
      <c r="O881" s="2"/>
      <c r="P881" s="2"/>
      <c r="Q881" s="32"/>
      <c r="R881" s="32"/>
      <c r="S881" s="32"/>
      <c r="T881" s="3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2"/>
      <c r="C882" s="10"/>
      <c r="D882" s="10"/>
      <c r="E882" s="10"/>
      <c r="F882" s="10"/>
      <c r="G882" s="69"/>
      <c r="H882" s="69"/>
      <c r="I882" s="69"/>
      <c r="J882" s="70"/>
      <c r="K882" s="69"/>
      <c r="L882" s="69"/>
      <c r="M882" s="69"/>
      <c r="N882" s="69"/>
      <c r="O882" s="2"/>
      <c r="P882" s="2"/>
      <c r="Q882" s="32"/>
      <c r="R882" s="32"/>
      <c r="S882" s="32"/>
      <c r="T882" s="3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2"/>
      <c r="C883" s="10"/>
      <c r="D883" s="10"/>
      <c r="E883" s="10"/>
      <c r="F883" s="10"/>
      <c r="G883" s="69"/>
      <c r="H883" s="69"/>
      <c r="I883" s="69"/>
      <c r="J883" s="70"/>
      <c r="K883" s="69"/>
      <c r="L883" s="69"/>
      <c r="M883" s="69"/>
      <c r="N883" s="69"/>
      <c r="O883" s="2"/>
      <c r="P883" s="2"/>
      <c r="Q883" s="32"/>
      <c r="R883" s="32"/>
      <c r="S883" s="32"/>
      <c r="T883" s="3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2"/>
      <c r="C884" s="10"/>
      <c r="D884" s="10"/>
      <c r="E884" s="10"/>
      <c r="F884" s="10"/>
      <c r="G884" s="69"/>
      <c r="H884" s="69"/>
      <c r="I884" s="69"/>
      <c r="J884" s="70"/>
      <c r="K884" s="69"/>
      <c r="L884" s="69"/>
      <c r="M884" s="69"/>
      <c r="N884" s="69"/>
      <c r="O884" s="2"/>
      <c r="P884" s="2"/>
      <c r="Q884" s="32"/>
      <c r="R884" s="32"/>
      <c r="S884" s="32"/>
      <c r="T884" s="3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2"/>
      <c r="C885" s="10"/>
      <c r="D885" s="10"/>
      <c r="E885" s="10"/>
      <c r="F885" s="10"/>
      <c r="G885" s="69"/>
      <c r="H885" s="69"/>
      <c r="I885" s="69"/>
      <c r="J885" s="70"/>
      <c r="K885" s="69"/>
      <c r="L885" s="69"/>
      <c r="M885" s="69"/>
      <c r="N885" s="69"/>
      <c r="O885" s="2"/>
      <c r="P885" s="2"/>
      <c r="Q885" s="32"/>
      <c r="R885" s="32"/>
      <c r="S885" s="32"/>
      <c r="T885" s="3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2"/>
      <c r="C886" s="10"/>
      <c r="D886" s="10"/>
      <c r="E886" s="10"/>
      <c r="F886" s="10"/>
      <c r="G886" s="69"/>
      <c r="H886" s="69"/>
      <c r="I886" s="69"/>
      <c r="J886" s="70"/>
      <c r="K886" s="69"/>
      <c r="L886" s="69"/>
      <c r="M886" s="69"/>
      <c r="N886" s="69"/>
      <c r="O886" s="2"/>
      <c r="P886" s="2"/>
      <c r="Q886" s="32"/>
      <c r="R886" s="32"/>
      <c r="S886" s="32"/>
      <c r="T886" s="3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2"/>
      <c r="C887" s="10"/>
      <c r="D887" s="10"/>
      <c r="E887" s="10"/>
      <c r="F887" s="10"/>
      <c r="G887" s="69"/>
      <c r="H887" s="69"/>
      <c r="I887" s="69"/>
      <c r="J887" s="70"/>
      <c r="K887" s="69"/>
      <c r="L887" s="69"/>
      <c r="M887" s="69"/>
      <c r="N887" s="69"/>
      <c r="O887" s="2"/>
      <c r="P887" s="2"/>
      <c r="Q887" s="32"/>
      <c r="R887" s="32"/>
      <c r="S887" s="32"/>
      <c r="T887" s="3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2"/>
      <c r="C888" s="10"/>
      <c r="D888" s="10"/>
      <c r="E888" s="10"/>
      <c r="F888" s="10"/>
      <c r="G888" s="69"/>
      <c r="H888" s="69"/>
      <c r="I888" s="69"/>
      <c r="J888" s="70"/>
      <c r="K888" s="69"/>
      <c r="L888" s="69"/>
      <c r="M888" s="69"/>
      <c r="N888" s="69"/>
      <c r="O888" s="2"/>
      <c r="P888" s="2"/>
      <c r="Q888" s="32"/>
      <c r="R888" s="32"/>
      <c r="S888" s="32"/>
      <c r="T888" s="3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2"/>
      <c r="C889" s="10"/>
      <c r="D889" s="10"/>
      <c r="E889" s="10"/>
      <c r="F889" s="10"/>
      <c r="G889" s="69"/>
      <c r="H889" s="69"/>
      <c r="I889" s="69"/>
      <c r="J889" s="70"/>
      <c r="K889" s="69"/>
      <c r="L889" s="69"/>
      <c r="M889" s="69"/>
      <c r="N889" s="69"/>
      <c r="O889" s="2"/>
      <c r="P889" s="2"/>
      <c r="Q889" s="32"/>
      <c r="R889" s="32"/>
      <c r="S889" s="32"/>
      <c r="T889" s="3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2"/>
      <c r="C890" s="10"/>
      <c r="D890" s="10"/>
      <c r="E890" s="10"/>
      <c r="F890" s="10"/>
      <c r="G890" s="69"/>
      <c r="H890" s="69"/>
      <c r="I890" s="69"/>
      <c r="J890" s="70"/>
      <c r="K890" s="69"/>
      <c r="L890" s="69"/>
      <c r="M890" s="69"/>
      <c r="N890" s="69"/>
      <c r="O890" s="2"/>
      <c r="P890" s="2"/>
      <c r="Q890" s="32"/>
      <c r="R890" s="32"/>
      <c r="S890" s="32"/>
      <c r="T890" s="3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2"/>
      <c r="C891" s="10"/>
      <c r="D891" s="10"/>
      <c r="E891" s="10"/>
      <c r="F891" s="10"/>
      <c r="G891" s="69"/>
      <c r="H891" s="69"/>
      <c r="I891" s="69"/>
      <c r="J891" s="70"/>
      <c r="K891" s="69"/>
      <c r="L891" s="69"/>
      <c r="M891" s="69"/>
      <c r="N891" s="69"/>
      <c r="O891" s="2"/>
      <c r="P891" s="2"/>
      <c r="Q891" s="32"/>
      <c r="R891" s="32"/>
      <c r="S891" s="32"/>
      <c r="T891" s="3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2"/>
      <c r="C892" s="10"/>
      <c r="D892" s="10"/>
      <c r="E892" s="10"/>
      <c r="F892" s="10"/>
      <c r="G892" s="69"/>
      <c r="H892" s="69"/>
      <c r="I892" s="69"/>
      <c r="J892" s="70"/>
      <c r="K892" s="69"/>
      <c r="L892" s="69"/>
      <c r="M892" s="69"/>
      <c r="N892" s="69"/>
      <c r="O892" s="2"/>
      <c r="P892" s="2"/>
      <c r="Q892" s="32"/>
      <c r="R892" s="32"/>
      <c r="S892" s="32"/>
      <c r="T892" s="3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2"/>
      <c r="C893" s="10"/>
      <c r="D893" s="10"/>
      <c r="E893" s="10"/>
      <c r="F893" s="10"/>
      <c r="G893" s="69"/>
      <c r="H893" s="69"/>
      <c r="I893" s="69"/>
      <c r="J893" s="70"/>
      <c r="K893" s="69"/>
      <c r="L893" s="69"/>
      <c r="M893" s="69"/>
      <c r="N893" s="69"/>
      <c r="O893" s="2"/>
      <c r="P893" s="2"/>
      <c r="Q893" s="32"/>
      <c r="R893" s="32"/>
      <c r="S893" s="32"/>
      <c r="T893" s="3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2"/>
      <c r="C894" s="10"/>
      <c r="D894" s="10"/>
      <c r="E894" s="10"/>
      <c r="F894" s="10"/>
      <c r="G894" s="69"/>
      <c r="H894" s="69"/>
      <c r="I894" s="69"/>
      <c r="J894" s="70"/>
      <c r="K894" s="69"/>
      <c r="L894" s="69"/>
      <c r="M894" s="69"/>
      <c r="N894" s="69"/>
      <c r="O894" s="2"/>
      <c r="P894" s="2"/>
      <c r="Q894" s="32"/>
      <c r="R894" s="32"/>
      <c r="S894" s="32"/>
      <c r="T894" s="3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2"/>
      <c r="C895" s="10"/>
      <c r="D895" s="10"/>
      <c r="E895" s="10"/>
      <c r="F895" s="10"/>
      <c r="G895" s="69"/>
      <c r="H895" s="69"/>
      <c r="I895" s="69"/>
      <c r="J895" s="70"/>
      <c r="K895" s="69"/>
      <c r="L895" s="69"/>
      <c r="M895" s="69"/>
      <c r="N895" s="69"/>
      <c r="O895" s="2"/>
      <c r="P895" s="2"/>
      <c r="Q895" s="32"/>
      <c r="R895" s="32"/>
      <c r="S895" s="32"/>
      <c r="T895" s="3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2"/>
      <c r="C896" s="10"/>
      <c r="D896" s="10"/>
      <c r="E896" s="10"/>
      <c r="F896" s="10"/>
      <c r="G896" s="69"/>
      <c r="H896" s="69"/>
      <c r="I896" s="69"/>
      <c r="J896" s="70"/>
      <c r="K896" s="69"/>
      <c r="L896" s="69"/>
      <c r="M896" s="69"/>
      <c r="N896" s="69"/>
      <c r="O896" s="2"/>
      <c r="P896" s="2"/>
      <c r="Q896" s="32"/>
      <c r="R896" s="32"/>
      <c r="S896" s="32"/>
      <c r="T896" s="3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2"/>
      <c r="C897" s="10"/>
      <c r="D897" s="10"/>
      <c r="E897" s="10"/>
      <c r="F897" s="10"/>
      <c r="G897" s="69"/>
      <c r="H897" s="69"/>
      <c r="I897" s="69"/>
      <c r="J897" s="70"/>
      <c r="K897" s="69"/>
      <c r="L897" s="69"/>
      <c r="M897" s="69"/>
      <c r="N897" s="69"/>
      <c r="O897" s="2"/>
      <c r="P897" s="2"/>
      <c r="Q897" s="32"/>
      <c r="R897" s="32"/>
      <c r="S897" s="32"/>
      <c r="T897" s="3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2"/>
      <c r="C898" s="10"/>
      <c r="D898" s="10"/>
      <c r="E898" s="10"/>
      <c r="F898" s="10"/>
      <c r="G898" s="69"/>
      <c r="H898" s="69"/>
      <c r="I898" s="69"/>
      <c r="J898" s="70"/>
      <c r="K898" s="69"/>
      <c r="L898" s="69"/>
      <c r="M898" s="69"/>
      <c r="N898" s="69"/>
      <c r="O898" s="2"/>
      <c r="P898" s="2"/>
      <c r="Q898" s="32"/>
      <c r="R898" s="32"/>
      <c r="S898" s="32"/>
      <c r="T898" s="3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2"/>
      <c r="C899" s="10"/>
      <c r="D899" s="10"/>
      <c r="E899" s="10"/>
      <c r="F899" s="10"/>
      <c r="G899" s="69"/>
      <c r="H899" s="69"/>
      <c r="I899" s="69"/>
      <c r="J899" s="70"/>
      <c r="K899" s="69"/>
      <c r="L899" s="69"/>
      <c r="M899" s="69"/>
      <c r="N899" s="69"/>
      <c r="O899" s="2"/>
      <c r="P899" s="2"/>
      <c r="Q899" s="32"/>
      <c r="R899" s="32"/>
      <c r="S899" s="32"/>
      <c r="T899" s="3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2"/>
      <c r="C900" s="10"/>
      <c r="D900" s="10"/>
      <c r="E900" s="10"/>
      <c r="F900" s="10"/>
      <c r="G900" s="69"/>
      <c r="H900" s="69"/>
      <c r="I900" s="69"/>
      <c r="J900" s="70"/>
      <c r="K900" s="69"/>
      <c r="L900" s="69"/>
      <c r="M900" s="69"/>
      <c r="N900" s="69"/>
      <c r="O900" s="2"/>
      <c r="P900" s="2"/>
      <c r="Q900" s="32"/>
      <c r="R900" s="32"/>
      <c r="S900" s="32"/>
      <c r="T900" s="3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2"/>
      <c r="C901" s="10"/>
      <c r="D901" s="10"/>
      <c r="E901" s="10"/>
      <c r="F901" s="10"/>
      <c r="G901" s="69"/>
      <c r="H901" s="69"/>
      <c r="I901" s="69"/>
      <c r="J901" s="70"/>
      <c r="K901" s="69"/>
      <c r="L901" s="69"/>
      <c r="M901" s="69"/>
      <c r="N901" s="69"/>
      <c r="O901" s="2"/>
      <c r="P901" s="2"/>
      <c r="Q901" s="32"/>
      <c r="R901" s="32"/>
      <c r="S901" s="32"/>
      <c r="T901" s="3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2"/>
      <c r="C902" s="10"/>
      <c r="D902" s="10"/>
      <c r="E902" s="10"/>
      <c r="F902" s="10"/>
      <c r="G902" s="69"/>
      <c r="H902" s="69"/>
      <c r="I902" s="69"/>
      <c r="J902" s="70"/>
      <c r="K902" s="69"/>
      <c r="L902" s="69"/>
      <c r="M902" s="69"/>
      <c r="N902" s="69"/>
      <c r="O902" s="2"/>
      <c r="P902" s="2"/>
      <c r="Q902" s="32"/>
      <c r="R902" s="32"/>
      <c r="S902" s="32"/>
      <c r="T902" s="3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2"/>
      <c r="C903" s="10"/>
      <c r="D903" s="10"/>
      <c r="E903" s="10"/>
      <c r="F903" s="10"/>
      <c r="G903" s="69"/>
      <c r="H903" s="69"/>
      <c r="I903" s="69"/>
      <c r="J903" s="70"/>
      <c r="K903" s="69"/>
      <c r="L903" s="69"/>
      <c r="M903" s="69"/>
      <c r="N903" s="69"/>
      <c r="O903" s="2"/>
      <c r="P903" s="2"/>
      <c r="Q903" s="32"/>
      <c r="R903" s="32"/>
      <c r="S903" s="32"/>
      <c r="T903" s="3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2"/>
      <c r="C904" s="10"/>
      <c r="D904" s="10"/>
      <c r="E904" s="10"/>
      <c r="F904" s="10"/>
      <c r="G904" s="69"/>
      <c r="H904" s="69"/>
      <c r="I904" s="69"/>
      <c r="J904" s="70"/>
      <c r="K904" s="69"/>
      <c r="L904" s="69"/>
      <c r="M904" s="69"/>
      <c r="N904" s="69"/>
      <c r="O904" s="2"/>
      <c r="P904" s="2"/>
      <c r="Q904" s="32"/>
      <c r="R904" s="32"/>
      <c r="S904" s="32"/>
      <c r="T904" s="3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2"/>
      <c r="C905" s="10"/>
      <c r="D905" s="10"/>
      <c r="E905" s="10"/>
      <c r="F905" s="10"/>
      <c r="G905" s="69"/>
      <c r="H905" s="69"/>
      <c r="I905" s="69"/>
      <c r="J905" s="70"/>
      <c r="K905" s="69"/>
      <c r="L905" s="69"/>
      <c r="M905" s="69"/>
      <c r="N905" s="69"/>
      <c r="O905" s="2"/>
      <c r="P905" s="2"/>
      <c r="Q905" s="32"/>
      <c r="R905" s="32"/>
      <c r="S905" s="32"/>
      <c r="T905" s="3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2"/>
      <c r="C906" s="10"/>
      <c r="D906" s="10"/>
      <c r="E906" s="10"/>
      <c r="F906" s="10"/>
      <c r="G906" s="69"/>
      <c r="H906" s="69"/>
      <c r="I906" s="69"/>
      <c r="J906" s="70"/>
      <c r="K906" s="69"/>
      <c r="L906" s="69"/>
      <c r="M906" s="69"/>
      <c r="N906" s="69"/>
      <c r="O906" s="2"/>
      <c r="P906" s="2"/>
      <c r="Q906" s="32"/>
      <c r="R906" s="32"/>
      <c r="S906" s="32"/>
      <c r="T906" s="3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2"/>
      <c r="C907" s="10"/>
      <c r="D907" s="10"/>
      <c r="E907" s="10"/>
      <c r="F907" s="10"/>
      <c r="G907" s="69"/>
      <c r="H907" s="69"/>
      <c r="I907" s="69"/>
      <c r="J907" s="70"/>
      <c r="K907" s="69"/>
      <c r="L907" s="69"/>
      <c r="M907" s="69"/>
      <c r="N907" s="69"/>
      <c r="O907" s="2"/>
      <c r="P907" s="2"/>
      <c r="Q907" s="32"/>
      <c r="R907" s="32"/>
      <c r="S907" s="32"/>
      <c r="T907" s="3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2"/>
      <c r="C908" s="10"/>
      <c r="D908" s="10"/>
      <c r="E908" s="10"/>
      <c r="F908" s="10"/>
      <c r="G908" s="69"/>
      <c r="H908" s="69"/>
      <c r="I908" s="69"/>
      <c r="J908" s="70"/>
      <c r="K908" s="69"/>
      <c r="L908" s="69"/>
      <c r="M908" s="69"/>
      <c r="N908" s="69"/>
      <c r="O908" s="2"/>
      <c r="P908" s="2"/>
      <c r="Q908" s="32"/>
      <c r="R908" s="32"/>
      <c r="S908" s="32"/>
      <c r="T908" s="3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2"/>
      <c r="C909" s="10"/>
      <c r="D909" s="10"/>
      <c r="E909" s="10"/>
      <c r="F909" s="10"/>
      <c r="G909" s="69"/>
      <c r="H909" s="69"/>
      <c r="I909" s="69"/>
      <c r="J909" s="70"/>
      <c r="K909" s="69"/>
      <c r="L909" s="69"/>
      <c r="M909" s="69"/>
      <c r="N909" s="69"/>
      <c r="O909" s="2"/>
      <c r="P909" s="2"/>
      <c r="Q909" s="32"/>
      <c r="R909" s="32"/>
      <c r="S909" s="32"/>
      <c r="T909" s="3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2"/>
      <c r="C910" s="10"/>
      <c r="D910" s="10"/>
      <c r="E910" s="10"/>
      <c r="F910" s="10"/>
      <c r="G910" s="69"/>
      <c r="H910" s="69"/>
      <c r="I910" s="69"/>
      <c r="J910" s="70"/>
      <c r="K910" s="69"/>
      <c r="L910" s="69"/>
      <c r="M910" s="69"/>
      <c r="N910" s="69"/>
      <c r="O910" s="2"/>
      <c r="P910" s="2"/>
      <c r="Q910" s="32"/>
      <c r="R910" s="32"/>
      <c r="S910" s="32"/>
      <c r="T910" s="3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2"/>
      <c r="C911" s="10"/>
      <c r="D911" s="10"/>
      <c r="E911" s="10"/>
      <c r="F911" s="10"/>
      <c r="G911" s="69"/>
      <c r="H911" s="69"/>
      <c r="I911" s="69"/>
      <c r="J911" s="70"/>
      <c r="K911" s="69"/>
      <c r="L911" s="69"/>
      <c r="M911" s="69"/>
      <c r="N911" s="69"/>
      <c r="O911" s="2"/>
      <c r="P911" s="2"/>
      <c r="Q911" s="32"/>
      <c r="R911" s="32"/>
      <c r="S911" s="32"/>
      <c r="T911" s="3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2"/>
      <c r="C912" s="10"/>
      <c r="D912" s="10"/>
      <c r="E912" s="10"/>
      <c r="F912" s="10"/>
      <c r="G912" s="69"/>
      <c r="H912" s="69"/>
      <c r="I912" s="69"/>
      <c r="J912" s="70"/>
      <c r="K912" s="69"/>
      <c r="L912" s="69"/>
      <c r="M912" s="69"/>
      <c r="N912" s="69"/>
      <c r="O912" s="2"/>
      <c r="P912" s="2"/>
      <c r="Q912" s="32"/>
      <c r="R912" s="32"/>
      <c r="S912" s="32"/>
      <c r="T912" s="3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2"/>
      <c r="C913" s="10"/>
      <c r="D913" s="10"/>
      <c r="E913" s="10"/>
      <c r="F913" s="10"/>
      <c r="G913" s="69"/>
      <c r="H913" s="69"/>
      <c r="I913" s="69"/>
      <c r="J913" s="70"/>
      <c r="K913" s="69"/>
      <c r="L913" s="69"/>
      <c r="M913" s="69"/>
      <c r="N913" s="69"/>
      <c r="O913" s="2"/>
      <c r="P913" s="2"/>
      <c r="Q913" s="32"/>
      <c r="R913" s="32"/>
      <c r="S913" s="32"/>
      <c r="T913" s="3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2"/>
      <c r="C914" s="10"/>
      <c r="D914" s="10"/>
      <c r="E914" s="10"/>
      <c r="F914" s="10"/>
      <c r="G914" s="69"/>
      <c r="H914" s="69"/>
      <c r="I914" s="69"/>
      <c r="J914" s="70"/>
      <c r="K914" s="69"/>
      <c r="L914" s="69"/>
      <c r="M914" s="69"/>
      <c r="N914" s="69"/>
      <c r="O914" s="2"/>
      <c r="P914" s="2"/>
      <c r="Q914" s="32"/>
      <c r="R914" s="32"/>
      <c r="S914" s="32"/>
      <c r="T914" s="3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2"/>
      <c r="C915" s="10"/>
      <c r="D915" s="10"/>
      <c r="E915" s="10"/>
      <c r="F915" s="10"/>
      <c r="G915" s="69"/>
      <c r="H915" s="69"/>
      <c r="I915" s="69"/>
      <c r="J915" s="70"/>
      <c r="K915" s="69"/>
      <c r="L915" s="69"/>
      <c r="M915" s="69"/>
      <c r="N915" s="69"/>
      <c r="O915" s="2"/>
      <c r="P915" s="2"/>
      <c r="Q915" s="32"/>
      <c r="R915" s="32"/>
      <c r="S915" s="32"/>
      <c r="T915" s="3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2"/>
      <c r="C916" s="10"/>
      <c r="D916" s="10"/>
      <c r="E916" s="10"/>
      <c r="F916" s="10"/>
      <c r="G916" s="69"/>
      <c r="H916" s="69"/>
      <c r="I916" s="69"/>
      <c r="J916" s="70"/>
      <c r="K916" s="69"/>
      <c r="L916" s="69"/>
      <c r="M916" s="69"/>
      <c r="N916" s="69"/>
      <c r="O916" s="2"/>
      <c r="P916" s="2"/>
      <c r="Q916" s="32"/>
      <c r="R916" s="32"/>
      <c r="S916" s="32"/>
      <c r="T916" s="3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2"/>
      <c r="C917" s="10"/>
      <c r="D917" s="10"/>
      <c r="E917" s="10"/>
      <c r="F917" s="10"/>
      <c r="G917" s="69"/>
      <c r="H917" s="69"/>
      <c r="I917" s="69"/>
      <c r="J917" s="70"/>
      <c r="K917" s="69"/>
      <c r="L917" s="69"/>
      <c r="M917" s="69"/>
      <c r="N917" s="69"/>
      <c r="O917" s="2"/>
      <c r="P917" s="2"/>
      <c r="Q917" s="32"/>
      <c r="R917" s="32"/>
      <c r="S917" s="32"/>
      <c r="T917" s="3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2"/>
      <c r="C918" s="10"/>
      <c r="D918" s="10"/>
      <c r="E918" s="10"/>
      <c r="F918" s="10"/>
      <c r="G918" s="69"/>
      <c r="H918" s="69"/>
      <c r="I918" s="69"/>
      <c r="J918" s="70"/>
      <c r="K918" s="69"/>
      <c r="L918" s="69"/>
      <c r="M918" s="69"/>
      <c r="N918" s="69"/>
      <c r="O918" s="2"/>
      <c r="P918" s="2"/>
      <c r="Q918" s="32"/>
      <c r="R918" s="32"/>
      <c r="S918" s="32"/>
      <c r="T918" s="3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2"/>
      <c r="C919" s="10"/>
      <c r="D919" s="10"/>
      <c r="E919" s="10"/>
      <c r="F919" s="10"/>
      <c r="G919" s="69"/>
      <c r="H919" s="69"/>
      <c r="I919" s="69"/>
      <c r="J919" s="70"/>
      <c r="K919" s="69"/>
      <c r="L919" s="69"/>
      <c r="M919" s="69"/>
      <c r="N919" s="69"/>
      <c r="O919" s="2"/>
      <c r="P919" s="2"/>
      <c r="Q919" s="32"/>
      <c r="R919" s="32"/>
      <c r="S919" s="32"/>
      <c r="T919" s="3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2"/>
      <c r="C920" s="10"/>
      <c r="D920" s="10"/>
      <c r="E920" s="10"/>
      <c r="F920" s="10"/>
      <c r="G920" s="69"/>
      <c r="H920" s="69"/>
      <c r="I920" s="69"/>
      <c r="J920" s="70"/>
      <c r="K920" s="69"/>
      <c r="L920" s="69"/>
      <c r="M920" s="69"/>
      <c r="N920" s="69"/>
      <c r="O920" s="2"/>
      <c r="P920" s="2"/>
      <c r="Q920" s="32"/>
      <c r="R920" s="32"/>
      <c r="S920" s="32"/>
      <c r="T920" s="3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2"/>
      <c r="C921" s="10"/>
      <c r="D921" s="10"/>
      <c r="E921" s="10"/>
      <c r="F921" s="10"/>
      <c r="G921" s="69"/>
      <c r="H921" s="69"/>
      <c r="I921" s="69"/>
      <c r="J921" s="70"/>
      <c r="K921" s="69"/>
      <c r="L921" s="69"/>
      <c r="M921" s="69"/>
      <c r="N921" s="69"/>
      <c r="O921" s="2"/>
      <c r="P921" s="2"/>
      <c r="Q921" s="32"/>
      <c r="R921" s="32"/>
      <c r="S921" s="32"/>
      <c r="T921" s="3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2"/>
      <c r="C922" s="10"/>
      <c r="D922" s="10"/>
      <c r="E922" s="10"/>
      <c r="F922" s="10"/>
      <c r="G922" s="69"/>
      <c r="H922" s="69"/>
      <c r="I922" s="69"/>
      <c r="J922" s="70"/>
      <c r="K922" s="69"/>
      <c r="L922" s="69"/>
      <c r="M922" s="69"/>
      <c r="N922" s="69"/>
      <c r="O922" s="2"/>
      <c r="P922" s="2"/>
      <c r="Q922" s="32"/>
      <c r="R922" s="32"/>
      <c r="S922" s="32"/>
      <c r="T922" s="3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2"/>
      <c r="C923" s="10"/>
      <c r="D923" s="10"/>
      <c r="E923" s="10"/>
      <c r="F923" s="10"/>
      <c r="G923" s="69"/>
      <c r="H923" s="69"/>
      <c r="I923" s="69"/>
      <c r="J923" s="70"/>
      <c r="K923" s="69"/>
      <c r="L923" s="69"/>
      <c r="M923" s="69"/>
      <c r="N923" s="69"/>
      <c r="O923" s="2"/>
      <c r="P923" s="2"/>
      <c r="Q923" s="32"/>
      <c r="R923" s="32"/>
      <c r="S923" s="32"/>
      <c r="T923" s="3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2"/>
      <c r="C924" s="10"/>
      <c r="D924" s="10"/>
      <c r="E924" s="10"/>
      <c r="F924" s="10"/>
      <c r="G924" s="69"/>
      <c r="H924" s="69"/>
      <c r="I924" s="69"/>
      <c r="J924" s="70"/>
      <c r="K924" s="69"/>
      <c r="L924" s="69"/>
      <c r="M924" s="69"/>
      <c r="N924" s="69"/>
      <c r="O924" s="2"/>
      <c r="P924" s="2"/>
      <c r="Q924" s="32"/>
      <c r="R924" s="32"/>
      <c r="S924" s="32"/>
      <c r="T924" s="3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2"/>
      <c r="C925" s="10"/>
      <c r="D925" s="10"/>
      <c r="E925" s="10"/>
      <c r="F925" s="10"/>
      <c r="G925" s="69"/>
      <c r="H925" s="69"/>
      <c r="I925" s="69"/>
      <c r="J925" s="70"/>
      <c r="K925" s="69"/>
      <c r="L925" s="69"/>
      <c r="M925" s="69"/>
      <c r="N925" s="69"/>
      <c r="O925" s="2"/>
      <c r="P925" s="2"/>
      <c r="Q925" s="32"/>
      <c r="R925" s="32"/>
      <c r="S925" s="32"/>
      <c r="T925" s="3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2"/>
      <c r="C926" s="10"/>
      <c r="D926" s="10"/>
      <c r="E926" s="10"/>
      <c r="F926" s="10"/>
      <c r="G926" s="69"/>
      <c r="H926" s="69"/>
      <c r="I926" s="69"/>
      <c r="J926" s="70"/>
      <c r="K926" s="69"/>
      <c r="L926" s="69"/>
      <c r="M926" s="69"/>
      <c r="N926" s="69"/>
      <c r="O926" s="2"/>
      <c r="P926" s="2"/>
      <c r="Q926" s="32"/>
      <c r="R926" s="32"/>
      <c r="S926" s="32"/>
      <c r="T926" s="3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2"/>
      <c r="C927" s="10"/>
      <c r="D927" s="10"/>
      <c r="E927" s="10"/>
      <c r="F927" s="10"/>
      <c r="G927" s="69"/>
      <c r="H927" s="69"/>
      <c r="I927" s="69"/>
      <c r="J927" s="70"/>
      <c r="K927" s="69"/>
      <c r="L927" s="69"/>
      <c r="M927" s="69"/>
      <c r="N927" s="69"/>
      <c r="O927" s="2"/>
      <c r="P927" s="2"/>
      <c r="Q927" s="32"/>
      <c r="R927" s="32"/>
      <c r="S927" s="32"/>
      <c r="T927" s="3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2"/>
      <c r="C928" s="10"/>
      <c r="D928" s="10"/>
      <c r="E928" s="10"/>
      <c r="F928" s="10"/>
      <c r="G928" s="69"/>
      <c r="H928" s="69"/>
      <c r="I928" s="69"/>
      <c r="J928" s="70"/>
      <c r="K928" s="69"/>
      <c r="L928" s="69"/>
      <c r="M928" s="69"/>
      <c r="N928" s="69"/>
      <c r="O928" s="2"/>
      <c r="P928" s="2"/>
      <c r="Q928" s="32"/>
      <c r="R928" s="32"/>
      <c r="S928" s="32"/>
      <c r="T928" s="3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2"/>
      <c r="C929" s="10"/>
      <c r="D929" s="10"/>
      <c r="E929" s="10"/>
      <c r="F929" s="10"/>
      <c r="G929" s="69"/>
      <c r="H929" s="69"/>
      <c r="I929" s="69"/>
      <c r="J929" s="70"/>
      <c r="K929" s="69"/>
      <c r="L929" s="69"/>
      <c r="M929" s="69"/>
      <c r="N929" s="69"/>
      <c r="O929" s="2"/>
      <c r="P929" s="2"/>
      <c r="Q929" s="32"/>
      <c r="R929" s="32"/>
      <c r="S929" s="32"/>
      <c r="T929" s="3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2"/>
      <c r="C930" s="10"/>
      <c r="D930" s="10"/>
      <c r="E930" s="10"/>
      <c r="F930" s="10"/>
      <c r="G930" s="69"/>
      <c r="H930" s="69"/>
      <c r="I930" s="69"/>
      <c r="J930" s="70"/>
      <c r="K930" s="69"/>
      <c r="L930" s="69"/>
      <c r="M930" s="69"/>
      <c r="N930" s="69"/>
      <c r="O930" s="2"/>
      <c r="P930" s="2"/>
      <c r="Q930" s="32"/>
      <c r="R930" s="32"/>
      <c r="S930" s="32"/>
      <c r="T930" s="3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2"/>
      <c r="C931" s="10"/>
      <c r="D931" s="10"/>
      <c r="E931" s="10"/>
      <c r="F931" s="10"/>
      <c r="G931" s="69"/>
      <c r="H931" s="69"/>
      <c r="I931" s="69"/>
      <c r="J931" s="70"/>
      <c r="K931" s="69"/>
      <c r="L931" s="69"/>
      <c r="M931" s="69"/>
      <c r="N931" s="69"/>
      <c r="O931" s="2"/>
      <c r="P931" s="2"/>
      <c r="Q931" s="32"/>
      <c r="R931" s="32"/>
      <c r="S931" s="32"/>
      <c r="T931" s="3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2"/>
      <c r="C932" s="10"/>
      <c r="D932" s="10"/>
      <c r="E932" s="10"/>
      <c r="F932" s="10"/>
      <c r="G932" s="69"/>
      <c r="H932" s="69"/>
      <c r="I932" s="69"/>
      <c r="J932" s="70"/>
      <c r="K932" s="69"/>
      <c r="L932" s="69"/>
      <c r="M932" s="69"/>
      <c r="N932" s="69"/>
      <c r="O932" s="2"/>
      <c r="P932" s="2"/>
      <c r="Q932" s="32"/>
      <c r="R932" s="32"/>
      <c r="S932" s="32"/>
      <c r="T932" s="3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2"/>
      <c r="C933" s="10"/>
      <c r="D933" s="10"/>
      <c r="E933" s="10"/>
      <c r="F933" s="10"/>
      <c r="G933" s="69"/>
      <c r="H933" s="69"/>
      <c r="I933" s="69"/>
      <c r="J933" s="70"/>
      <c r="K933" s="69"/>
      <c r="L933" s="69"/>
      <c r="M933" s="69"/>
      <c r="N933" s="69"/>
      <c r="O933" s="2"/>
      <c r="P933" s="2"/>
      <c r="Q933" s="32"/>
      <c r="R933" s="32"/>
      <c r="S933" s="32"/>
      <c r="T933" s="3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2"/>
      <c r="C934" s="10"/>
      <c r="D934" s="10"/>
      <c r="E934" s="10"/>
      <c r="F934" s="10"/>
      <c r="G934" s="69"/>
      <c r="H934" s="69"/>
      <c r="I934" s="69"/>
      <c r="J934" s="70"/>
      <c r="K934" s="69"/>
      <c r="L934" s="69"/>
      <c r="M934" s="69"/>
      <c r="N934" s="69"/>
      <c r="O934" s="2"/>
      <c r="P934" s="2"/>
      <c r="Q934" s="32"/>
      <c r="R934" s="32"/>
      <c r="S934" s="32"/>
      <c r="T934" s="3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2"/>
      <c r="C935" s="10"/>
      <c r="D935" s="10"/>
      <c r="E935" s="10"/>
      <c r="F935" s="10"/>
      <c r="G935" s="69"/>
      <c r="H935" s="69"/>
      <c r="I935" s="69"/>
      <c r="J935" s="70"/>
      <c r="K935" s="69"/>
      <c r="L935" s="69"/>
      <c r="M935" s="69"/>
      <c r="N935" s="69"/>
      <c r="O935" s="2"/>
      <c r="P935" s="2"/>
      <c r="Q935" s="32"/>
      <c r="R935" s="32"/>
      <c r="S935" s="32"/>
      <c r="T935" s="3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2"/>
      <c r="C936" s="10"/>
      <c r="D936" s="10"/>
      <c r="E936" s="10"/>
      <c r="F936" s="10"/>
      <c r="G936" s="69"/>
      <c r="H936" s="69"/>
      <c r="I936" s="69"/>
      <c r="J936" s="70"/>
      <c r="K936" s="69"/>
      <c r="L936" s="69"/>
      <c r="M936" s="69"/>
      <c r="N936" s="69"/>
      <c r="O936" s="2"/>
      <c r="P936" s="2"/>
      <c r="Q936" s="32"/>
      <c r="R936" s="32"/>
      <c r="S936" s="32"/>
      <c r="T936" s="3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2"/>
      <c r="C937" s="10"/>
      <c r="D937" s="10"/>
      <c r="E937" s="10"/>
      <c r="F937" s="10"/>
      <c r="G937" s="69"/>
      <c r="H937" s="69"/>
      <c r="I937" s="69"/>
      <c r="J937" s="70"/>
      <c r="K937" s="69"/>
      <c r="L937" s="69"/>
      <c r="M937" s="69"/>
      <c r="N937" s="69"/>
      <c r="O937" s="2"/>
      <c r="P937" s="2"/>
      <c r="Q937" s="32"/>
      <c r="R937" s="32"/>
      <c r="S937" s="32"/>
      <c r="T937" s="3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2"/>
      <c r="C938" s="10"/>
      <c r="D938" s="10"/>
      <c r="E938" s="10"/>
      <c r="F938" s="10"/>
      <c r="G938" s="69"/>
      <c r="H938" s="69"/>
      <c r="I938" s="69"/>
      <c r="J938" s="70"/>
      <c r="K938" s="69"/>
      <c r="L938" s="69"/>
      <c r="M938" s="69"/>
      <c r="N938" s="69"/>
      <c r="O938" s="2"/>
      <c r="P938" s="2"/>
      <c r="Q938" s="32"/>
      <c r="R938" s="32"/>
      <c r="S938" s="32"/>
      <c r="T938" s="3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2"/>
      <c r="C939" s="10"/>
      <c r="D939" s="10"/>
      <c r="E939" s="10"/>
      <c r="F939" s="10"/>
      <c r="G939" s="69"/>
      <c r="H939" s="69"/>
      <c r="I939" s="69"/>
      <c r="J939" s="70"/>
      <c r="K939" s="69"/>
      <c r="L939" s="69"/>
      <c r="M939" s="69"/>
      <c r="N939" s="69"/>
      <c r="O939" s="2"/>
      <c r="P939" s="2"/>
      <c r="Q939" s="32"/>
      <c r="R939" s="32"/>
      <c r="S939" s="32"/>
      <c r="T939" s="3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2"/>
      <c r="C940" s="10"/>
      <c r="D940" s="10"/>
      <c r="E940" s="10"/>
      <c r="F940" s="10"/>
      <c r="G940" s="69"/>
      <c r="H940" s="69"/>
      <c r="I940" s="69"/>
      <c r="J940" s="70"/>
      <c r="K940" s="69"/>
      <c r="L940" s="69"/>
      <c r="M940" s="69"/>
      <c r="N940" s="69"/>
      <c r="O940" s="2"/>
      <c r="P940" s="2"/>
      <c r="Q940" s="32"/>
      <c r="R940" s="32"/>
      <c r="S940" s="32"/>
      <c r="T940" s="3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2"/>
      <c r="C941" s="10"/>
      <c r="D941" s="10"/>
      <c r="E941" s="10"/>
      <c r="F941" s="10"/>
      <c r="G941" s="69"/>
      <c r="H941" s="69"/>
      <c r="I941" s="69"/>
      <c r="J941" s="70"/>
      <c r="K941" s="69"/>
      <c r="L941" s="69"/>
      <c r="M941" s="69"/>
      <c r="N941" s="69"/>
      <c r="O941" s="2"/>
      <c r="P941" s="2"/>
      <c r="Q941" s="32"/>
      <c r="R941" s="32"/>
      <c r="S941" s="32"/>
      <c r="T941" s="3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2"/>
      <c r="C942" s="10"/>
      <c r="D942" s="10"/>
      <c r="E942" s="10"/>
      <c r="F942" s="10"/>
      <c r="G942" s="69"/>
      <c r="H942" s="69"/>
      <c r="I942" s="69"/>
      <c r="J942" s="70"/>
      <c r="K942" s="69"/>
      <c r="L942" s="69"/>
      <c r="M942" s="69"/>
      <c r="N942" s="69"/>
      <c r="O942" s="2"/>
      <c r="P942" s="2"/>
      <c r="Q942" s="32"/>
      <c r="R942" s="32"/>
      <c r="S942" s="32"/>
      <c r="T942" s="3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2"/>
      <c r="C943" s="10"/>
      <c r="D943" s="10"/>
      <c r="E943" s="10"/>
      <c r="F943" s="10"/>
      <c r="G943" s="69"/>
      <c r="H943" s="69"/>
      <c r="I943" s="69"/>
      <c r="J943" s="70"/>
      <c r="K943" s="69"/>
      <c r="L943" s="69"/>
      <c r="M943" s="69"/>
      <c r="N943" s="69"/>
      <c r="O943" s="2"/>
      <c r="P943" s="2"/>
      <c r="Q943" s="32"/>
      <c r="R943" s="32"/>
      <c r="S943" s="32"/>
      <c r="T943" s="3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2"/>
      <c r="C944" s="10"/>
      <c r="D944" s="10"/>
      <c r="E944" s="10"/>
      <c r="F944" s="10"/>
      <c r="G944" s="69"/>
      <c r="H944" s="69"/>
      <c r="I944" s="69"/>
      <c r="J944" s="70"/>
      <c r="K944" s="69"/>
      <c r="L944" s="69"/>
      <c r="M944" s="69"/>
      <c r="N944" s="69"/>
      <c r="O944" s="2"/>
      <c r="P944" s="2"/>
      <c r="Q944" s="32"/>
      <c r="R944" s="32"/>
      <c r="S944" s="32"/>
      <c r="T944" s="3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2"/>
      <c r="C945" s="10"/>
      <c r="D945" s="10"/>
      <c r="E945" s="10"/>
      <c r="F945" s="10"/>
      <c r="G945" s="69"/>
      <c r="H945" s="69"/>
      <c r="I945" s="69"/>
      <c r="J945" s="70"/>
      <c r="K945" s="69"/>
      <c r="L945" s="69"/>
      <c r="M945" s="69"/>
      <c r="N945" s="69"/>
      <c r="O945" s="2"/>
      <c r="P945" s="2"/>
      <c r="Q945" s="32"/>
      <c r="R945" s="32"/>
      <c r="S945" s="32"/>
      <c r="T945" s="3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2"/>
      <c r="C946" s="10"/>
      <c r="D946" s="10"/>
      <c r="E946" s="10"/>
      <c r="F946" s="10"/>
      <c r="G946" s="69"/>
      <c r="H946" s="69"/>
      <c r="I946" s="69"/>
      <c r="J946" s="70"/>
      <c r="K946" s="69"/>
      <c r="L946" s="69"/>
      <c r="M946" s="69"/>
      <c r="N946" s="69"/>
      <c r="O946" s="2"/>
      <c r="P946" s="2"/>
      <c r="Q946" s="32"/>
      <c r="R946" s="32"/>
      <c r="S946" s="32"/>
      <c r="T946" s="3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2"/>
      <c r="C947" s="10"/>
      <c r="D947" s="10"/>
      <c r="E947" s="10"/>
      <c r="F947" s="10"/>
      <c r="G947" s="69"/>
      <c r="H947" s="69"/>
      <c r="I947" s="69"/>
      <c r="J947" s="70"/>
      <c r="K947" s="69"/>
      <c r="L947" s="69"/>
      <c r="M947" s="69"/>
      <c r="N947" s="69"/>
      <c r="O947" s="2"/>
      <c r="P947" s="2"/>
      <c r="Q947" s="32"/>
      <c r="R947" s="32"/>
      <c r="S947" s="32"/>
      <c r="T947" s="3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2"/>
      <c r="C948" s="10"/>
      <c r="D948" s="10"/>
      <c r="E948" s="10"/>
      <c r="F948" s="10"/>
      <c r="G948" s="69"/>
      <c r="H948" s="69"/>
      <c r="I948" s="69"/>
      <c r="J948" s="70"/>
      <c r="K948" s="69"/>
      <c r="L948" s="69"/>
      <c r="M948" s="69"/>
      <c r="N948" s="69"/>
      <c r="O948" s="2"/>
      <c r="P948" s="2"/>
      <c r="Q948" s="32"/>
      <c r="R948" s="32"/>
      <c r="S948" s="32"/>
      <c r="T948" s="3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2"/>
      <c r="C949" s="10"/>
      <c r="D949" s="10"/>
      <c r="E949" s="10"/>
      <c r="F949" s="10"/>
      <c r="G949" s="69"/>
      <c r="H949" s="69"/>
      <c r="I949" s="69"/>
      <c r="J949" s="70"/>
      <c r="K949" s="69"/>
      <c r="L949" s="69"/>
      <c r="M949" s="69"/>
      <c r="N949" s="69"/>
      <c r="O949" s="2"/>
      <c r="P949" s="2"/>
      <c r="Q949" s="32"/>
      <c r="R949" s="32"/>
      <c r="S949" s="32"/>
      <c r="T949" s="3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2"/>
      <c r="C950" s="10"/>
      <c r="D950" s="10"/>
      <c r="E950" s="10"/>
      <c r="F950" s="10"/>
      <c r="G950" s="69"/>
      <c r="H950" s="69"/>
      <c r="I950" s="69"/>
      <c r="J950" s="70"/>
      <c r="K950" s="69"/>
      <c r="L950" s="69"/>
      <c r="M950" s="69"/>
      <c r="N950" s="69"/>
      <c r="O950" s="2"/>
      <c r="P950" s="2"/>
      <c r="Q950" s="32"/>
      <c r="R950" s="32"/>
      <c r="S950" s="32"/>
      <c r="T950" s="3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2"/>
      <c r="C951" s="10"/>
      <c r="D951" s="10"/>
      <c r="E951" s="10"/>
      <c r="F951" s="10"/>
      <c r="G951" s="69"/>
      <c r="H951" s="69"/>
      <c r="I951" s="69"/>
      <c r="J951" s="70"/>
      <c r="K951" s="69"/>
      <c r="L951" s="69"/>
      <c r="M951" s="69"/>
      <c r="N951" s="69"/>
      <c r="O951" s="2"/>
      <c r="P951" s="2"/>
      <c r="Q951" s="32"/>
      <c r="R951" s="32"/>
      <c r="S951" s="32"/>
      <c r="T951" s="3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2"/>
      <c r="C952" s="10"/>
      <c r="D952" s="10"/>
      <c r="E952" s="10"/>
      <c r="F952" s="10"/>
      <c r="G952" s="69"/>
      <c r="H952" s="69"/>
      <c r="I952" s="69"/>
      <c r="J952" s="70"/>
      <c r="K952" s="69"/>
      <c r="L952" s="69"/>
      <c r="M952" s="69"/>
      <c r="N952" s="69"/>
      <c r="O952" s="2"/>
      <c r="P952" s="2"/>
      <c r="Q952" s="32"/>
      <c r="R952" s="32"/>
      <c r="S952" s="32"/>
      <c r="T952" s="3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2"/>
      <c r="C953" s="10"/>
      <c r="D953" s="10"/>
      <c r="E953" s="10"/>
      <c r="F953" s="10"/>
      <c r="G953" s="69"/>
      <c r="H953" s="69"/>
      <c r="I953" s="69"/>
      <c r="J953" s="70"/>
      <c r="K953" s="69"/>
      <c r="L953" s="69"/>
      <c r="M953" s="69"/>
      <c r="N953" s="69"/>
      <c r="O953" s="2"/>
      <c r="P953" s="2"/>
      <c r="Q953" s="32"/>
      <c r="R953" s="32"/>
      <c r="S953" s="32"/>
      <c r="T953" s="3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2"/>
      <c r="C954" s="10"/>
      <c r="D954" s="10"/>
      <c r="E954" s="10"/>
      <c r="F954" s="10"/>
      <c r="G954" s="69"/>
      <c r="H954" s="69"/>
      <c r="I954" s="69"/>
      <c r="J954" s="70"/>
      <c r="K954" s="69"/>
      <c r="L954" s="69"/>
      <c r="M954" s="69"/>
      <c r="N954" s="69"/>
      <c r="O954" s="2"/>
      <c r="P954" s="2"/>
      <c r="Q954" s="32"/>
      <c r="R954" s="32"/>
      <c r="S954" s="32"/>
      <c r="T954" s="3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2"/>
      <c r="C955" s="10"/>
      <c r="D955" s="10"/>
      <c r="E955" s="10"/>
      <c r="F955" s="10"/>
      <c r="G955" s="69"/>
      <c r="H955" s="69"/>
      <c r="I955" s="69"/>
      <c r="J955" s="70"/>
      <c r="K955" s="69"/>
      <c r="L955" s="69"/>
      <c r="M955" s="69"/>
      <c r="N955" s="69"/>
      <c r="O955" s="2"/>
      <c r="P955" s="2"/>
      <c r="Q955" s="32"/>
      <c r="R955" s="32"/>
      <c r="S955" s="32"/>
      <c r="T955" s="3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2"/>
      <c r="C956" s="10"/>
      <c r="D956" s="10"/>
      <c r="E956" s="10"/>
      <c r="F956" s="10"/>
      <c r="G956" s="69"/>
      <c r="H956" s="69"/>
      <c r="I956" s="69"/>
      <c r="J956" s="70"/>
      <c r="K956" s="69"/>
      <c r="L956" s="69"/>
      <c r="M956" s="69"/>
      <c r="N956" s="69"/>
      <c r="O956" s="2"/>
      <c r="P956" s="2"/>
      <c r="Q956" s="32"/>
      <c r="R956" s="32"/>
      <c r="S956" s="32"/>
      <c r="T956" s="3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2"/>
      <c r="C957" s="10"/>
      <c r="D957" s="10"/>
      <c r="E957" s="10"/>
      <c r="F957" s="10"/>
      <c r="G957" s="69"/>
      <c r="H957" s="69"/>
      <c r="I957" s="69"/>
      <c r="J957" s="70"/>
      <c r="K957" s="69"/>
      <c r="L957" s="69"/>
      <c r="M957" s="69"/>
      <c r="N957" s="69"/>
      <c r="O957" s="2"/>
      <c r="P957" s="2"/>
      <c r="Q957" s="32"/>
      <c r="R957" s="32"/>
      <c r="S957" s="32"/>
      <c r="T957" s="3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2"/>
      <c r="C958" s="10"/>
      <c r="D958" s="10"/>
      <c r="E958" s="10"/>
      <c r="F958" s="10"/>
      <c r="G958" s="69"/>
      <c r="H958" s="69"/>
      <c r="I958" s="69"/>
      <c r="J958" s="70"/>
      <c r="K958" s="69"/>
      <c r="L958" s="69"/>
      <c r="M958" s="69"/>
      <c r="N958" s="69"/>
      <c r="O958" s="2"/>
      <c r="P958" s="2"/>
      <c r="Q958" s="32"/>
      <c r="R958" s="32"/>
      <c r="S958" s="32"/>
      <c r="T958" s="3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2"/>
      <c r="C959" s="10"/>
      <c r="D959" s="10"/>
      <c r="E959" s="10"/>
      <c r="F959" s="10"/>
      <c r="G959" s="69"/>
      <c r="H959" s="69"/>
      <c r="I959" s="69"/>
      <c r="J959" s="70"/>
      <c r="K959" s="69"/>
      <c r="L959" s="69"/>
      <c r="M959" s="69"/>
      <c r="N959" s="69"/>
      <c r="O959" s="2"/>
      <c r="P959" s="2"/>
      <c r="Q959" s="32"/>
      <c r="R959" s="32"/>
      <c r="S959" s="32"/>
      <c r="T959" s="3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2"/>
      <c r="C960" s="10"/>
      <c r="D960" s="10"/>
      <c r="E960" s="10"/>
      <c r="F960" s="10"/>
      <c r="G960" s="69"/>
      <c r="H960" s="69"/>
      <c r="I960" s="69"/>
      <c r="J960" s="70"/>
      <c r="K960" s="69"/>
      <c r="L960" s="69"/>
      <c r="M960" s="69"/>
      <c r="N960" s="69"/>
      <c r="O960" s="2"/>
      <c r="P960" s="2"/>
      <c r="Q960" s="32"/>
      <c r="R960" s="32"/>
      <c r="S960" s="32"/>
      <c r="T960" s="3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2"/>
      <c r="C961" s="10"/>
      <c r="D961" s="10"/>
      <c r="E961" s="10"/>
      <c r="F961" s="10"/>
      <c r="G961" s="69"/>
      <c r="H961" s="69"/>
      <c r="I961" s="69"/>
      <c r="J961" s="70"/>
      <c r="K961" s="69"/>
      <c r="L961" s="69"/>
      <c r="M961" s="69"/>
      <c r="N961" s="69"/>
      <c r="O961" s="2"/>
      <c r="P961" s="2"/>
      <c r="Q961" s="32"/>
      <c r="R961" s="32"/>
      <c r="S961" s="32"/>
      <c r="T961" s="3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2"/>
      <c r="C962" s="10"/>
      <c r="D962" s="10"/>
      <c r="E962" s="10"/>
      <c r="F962" s="10"/>
      <c r="G962" s="69"/>
      <c r="H962" s="69"/>
      <c r="I962" s="69"/>
      <c r="J962" s="70"/>
      <c r="K962" s="69"/>
      <c r="L962" s="69"/>
      <c r="M962" s="69"/>
      <c r="N962" s="69"/>
      <c r="O962" s="2"/>
      <c r="P962" s="2"/>
      <c r="Q962" s="32"/>
      <c r="R962" s="32"/>
      <c r="S962" s="32"/>
      <c r="T962" s="3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2"/>
      <c r="C963" s="10"/>
      <c r="D963" s="10"/>
      <c r="E963" s="10"/>
      <c r="F963" s="10"/>
      <c r="G963" s="69"/>
      <c r="H963" s="69"/>
      <c r="I963" s="69"/>
      <c r="J963" s="70"/>
      <c r="K963" s="69"/>
      <c r="L963" s="69"/>
      <c r="M963" s="69"/>
      <c r="N963" s="69"/>
      <c r="O963" s="2"/>
      <c r="P963" s="2"/>
      <c r="Q963" s="32"/>
      <c r="R963" s="32"/>
      <c r="S963" s="32"/>
      <c r="T963" s="3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2"/>
      <c r="C964" s="10"/>
      <c r="D964" s="10"/>
      <c r="E964" s="10"/>
      <c r="F964" s="10"/>
      <c r="G964" s="69"/>
      <c r="H964" s="69"/>
      <c r="I964" s="69"/>
      <c r="J964" s="70"/>
      <c r="K964" s="69"/>
      <c r="L964" s="69"/>
      <c r="M964" s="69"/>
      <c r="N964" s="69"/>
      <c r="O964" s="2"/>
      <c r="P964" s="2"/>
      <c r="Q964" s="32"/>
      <c r="R964" s="32"/>
      <c r="S964" s="32"/>
      <c r="T964" s="3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2"/>
      <c r="C965" s="10"/>
      <c r="D965" s="10"/>
      <c r="E965" s="10"/>
      <c r="F965" s="10"/>
      <c r="G965" s="69"/>
      <c r="H965" s="69"/>
      <c r="I965" s="69"/>
      <c r="J965" s="70"/>
      <c r="K965" s="69"/>
      <c r="L965" s="69"/>
      <c r="M965" s="69"/>
      <c r="N965" s="69"/>
      <c r="O965" s="2"/>
      <c r="P965" s="2"/>
      <c r="Q965" s="32"/>
      <c r="R965" s="32"/>
      <c r="S965" s="32"/>
      <c r="T965" s="3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2"/>
      <c r="C966" s="10"/>
      <c r="D966" s="10"/>
      <c r="E966" s="10"/>
      <c r="F966" s="10"/>
      <c r="G966" s="69"/>
      <c r="H966" s="69"/>
      <c r="I966" s="69"/>
      <c r="J966" s="70"/>
      <c r="K966" s="69"/>
      <c r="L966" s="69"/>
      <c r="M966" s="69"/>
      <c r="N966" s="69"/>
      <c r="O966" s="2"/>
      <c r="P966" s="2"/>
      <c r="Q966" s="32"/>
      <c r="R966" s="32"/>
      <c r="S966" s="32"/>
      <c r="T966" s="3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2"/>
      <c r="C967" s="10"/>
      <c r="D967" s="10"/>
      <c r="E967" s="10"/>
      <c r="F967" s="10"/>
      <c r="G967" s="69"/>
      <c r="H967" s="69"/>
      <c r="I967" s="69"/>
      <c r="J967" s="70"/>
      <c r="K967" s="69"/>
      <c r="L967" s="69"/>
      <c r="M967" s="69"/>
      <c r="N967" s="69"/>
      <c r="O967" s="2"/>
      <c r="P967" s="2"/>
      <c r="Q967" s="32"/>
      <c r="R967" s="32"/>
      <c r="S967" s="32"/>
      <c r="T967" s="3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2"/>
      <c r="C968" s="10"/>
      <c r="D968" s="10"/>
      <c r="E968" s="10"/>
      <c r="F968" s="10"/>
      <c r="G968" s="69"/>
      <c r="H968" s="69"/>
      <c r="I968" s="69"/>
      <c r="J968" s="70"/>
      <c r="K968" s="69"/>
      <c r="L968" s="69"/>
      <c r="M968" s="69"/>
      <c r="N968" s="69"/>
      <c r="O968" s="2"/>
      <c r="P968" s="2"/>
      <c r="Q968" s="32"/>
      <c r="R968" s="32"/>
      <c r="S968" s="32"/>
      <c r="T968" s="3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2"/>
      <c r="C969" s="10"/>
      <c r="D969" s="10"/>
      <c r="E969" s="10"/>
      <c r="F969" s="10"/>
      <c r="G969" s="69"/>
      <c r="H969" s="69"/>
      <c r="I969" s="69"/>
      <c r="J969" s="70"/>
      <c r="K969" s="69"/>
      <c r="L969" s="69"/>
      <c r="M969" s="69"/>
      <c r="N969" s="69"/>
      <c r="O969" s="2"/>
      <c r="P969" s="2"/>
      <c r="Q969" s="32"/>
      <c r="R969" s="32"/>
      <c r="S969" s="32"/>
      <c r="T969" s="3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2"/>
      <c r="C970" s="10"/>
      <c r="D970" s="10"/>
      <c r="E970" s="10"/>
      <c r="F970" s="10"/>
      <c r="G970" s="69"/>
      <c r="H970" s="69"/>
      <c r="I970" s="69"/>
      <c r="J970" s="70"/>
      <c r="K970" s="69"/>
      <c r="L970" s="69"/>
      <c r="M970" s="69"/>
      <c r="N970" s="69"/>
      <c r="O970" s="2"/>
      <c r="P970" s="2"/>
      <c r="Q970" s="32"/>
      <c r="R970" s="32"/>
      <c r="S970" s="32"/>
      <c r="T970" s="3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2"/>
      <c r="C971" s="10"/>
      <c r="D971" s="10"/>
      <c r="E971" s="10"/>
      <c r="F971" s="10"/>
      <c r="G971" s="69"/>
      <c r="H971" s="69"/>
      <c r="I971" s="69"/>
      <c r="J971" s="70"/>
      <c r="K971" s="69"/>
      <c r="L971" s="69"/>
      <c r="M971" s="69"/>
      <c r="N971" s="69"/>
      <c r="O971" s="2"/>
      <c r="P971" s="2"/>
      <c r="Q971" s="32"/>
      <c r="R971" s="32"/>
      <c r="S971" s="32"/>
      <c r="T971" s="3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2"/>
      <c r="C972" s="10"/>
      <c r="D972" s="10"/>
      <c r="E972" s="10"/>
      <c r="F972" s="10"/>
      <c r="G972" s="69"/>
      <c r="H972" s="69"/>
      <c r="I972" s="69"/>
      <c r="J972" s="70"/>
      <c r="K972" s="69"/>
      <c r="L972" s="69"/>
      <c r="M972" s="69"/>
      <c r="N972" s="69"/>
      <c r="O972" s="2"/>
      <c r="P972" s="2"/>
      <c r="Q972" s="32"/>
      <c r="R972" s="32"/>
      <c r="S972" s="32"/>
      <c r="T972" s="3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2"/>
      <c r="C973" s="10"/>
      <c r="D973" s="10"/>
      <c r="E973" s="10"/>
      <c r="F973" s="10"/>
      <c r="G973" s="69"/>
      <c r="H973" s="69"/>
      <c r="I973" s="69"/>
      <c r="J973" s="70"/>
      <c r="K973" s="69"/>
      <c r="L973" s="69"/>
      <c r="M973" s="69"/>
      <c r="N973" s="69"/>
      <c r="O973" s="2"/>
      <c r="P973" s="2"/>
      <c r="Q973" s="32"/>
      <c r="R973" s="32"/>
      <c r="S973" s="32"/>
      <c r="T973" s="3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2"/>
      <c r="C974" s="10"/>
      <c r="D974" s="10"/>
      <c r="E974" s="10"/>
      <c r="F974" s="10"/>
      <c r="G974" s="69"/>
      <c r="H974" s="69"/>
      <c r="I974" s="69"/>
      <c r="J974" s="70"/>
      <c r="K974" s="69"/>
      <c r="L974" s="69"/>
      <c r="M974" s="69"/>
      <c r="N974" s="69"/>
      <c r="O974" s="2"/>
      <c r="P974" s="2"/>
      <c r="Q974" s="32"/>
      <c r="R974" s="32"/>
      <c r="S974" s="32"/>
      <c r="T974" s="3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2"/>
      <c r="C975" s="10"/>
      <c r="D975" s="10"/>
      <c r="E975" s="10"/>
      <c r="F975" s="10"/>
      <c r="G975" s="69"/>
      <c r="H975" s="69"/>
      <c r="I975" s="69"/>
      <c r="J975" s="70"/>
      <c r="K975" s="69"/>
      <c r="L975" s="69"/>
      <c r="M975" s="69"/>
      <c r="N975" s="69"/>
      <c r="O975" s="2"/>
      <c r="P975" s="2"/>
      <c r="Q975" s="32"/>
      <c r="R975" s="32"/>
      <c r="S975" s="32"/>
      <c r="T975" s="3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2"/>
      <c r="C976" s="10"/>
      <c r="D976" s="10"/>
      <c r="E976" s="10"/>
      <c r="F976" s="10"/>
      <c r="G976" s="69"/>
      <c r="H976" s="69"/>
      <c r="I976" s="69"/>
      <c r="J976" s="70"/>
      <c r="K976" s="69"/>
      <c r="L976" s="69"/>
      <c r="M976" s="69"/>
      <c r="N976" s="69"/>
      <c r="O976" s="2"/>
      <c r="P976" s="2"/>
      <c r="Q976" s="32"/>
      <c r="R976" s="32"/>
      <c r="S976" s="32"/>
      <c r="T976" s="3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2"/>
      <c r="C977" s="10"/>
      <c r="D977" s="10"/>
      <c r="E977" s="10"/>
      <c r="F977" s="10"/>
      <c r="G977" s="69"/>
      <c r="H977" s="69"/>
      <c r="I977" s="69"/>
      <c r="J977" s="70"/>
      <c r="K977" s="69"/>
      <c r="L977" s="69"/>
      <c r="M977" s="69"/>
      <c r="N977" s="69"/>
      <c r="O977" s="2"/>
      <c r="P977" s="2"/>
      <c r="Q977" s="32"/>
      <c r="R977" s="32"/>
      <c r="S977" s="32"/>
      <c r="T977" s="3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2"/>
      <c r="C978" s="10"/>
      <c r="D978" s="10"/>
      <c r="E978" s="10"/>
      <c r="F978" s="10"/>
      <c r="G978" s="69"/>
      <c r="H978" s="69"/>
      <c r="I978" s="69"/>
      <c r="J978" s="70"/>
      <c r="K978" s="69"/>
      <c r="L978" s="69"/>
      <c r="M978" s="69"/>
      <c r="N978" s="69"/>
      <c r="O978" s="2"/>
      <c r="P978" s="2"/>
      <c r="Q978" s="32"/>
      <c r="R978" s="32"/>
      <c r="S978" s="32"/>
      <c r="T978" s="3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2"/>
      <c r="C979" s="10"/>
      <c r="D979" s="10"/>
      <c r="E979" s="10"/>
      <c r="F979" s="10"/>
      <c r="G979" s="69"/>
      <c r="H979" s="69"/>
      <c r="I979" s="69"/>
      <c r="J979" s="70"/>
      <c r="K979" s="69"/>
      <c r="L979" s="69"/>
      <c r="M979" s="69"/>
      <c r="N979" s="69"/>
      <c r="O979" s="2"/>
      <c r="P979" s="2"/>
      <c r="Q979" s="32"/>
      <c r="R979" s="32"/>
      <c r="S979" s="32"/>
      <c r="T979" s="3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2"/>
      <c r="C980" s="10"/>
      <c r="D980" s="10"/>
      <c r="E980" s="10"/>
      <c r="F980" s="10"/>
      <c r="G980" s="69"/>
      <c r="H980" s="69"/>
      <c r="I980" s="69"/>
      <c r="J980" s="70"/>
      <c r="K980" s="69"/>
      <c r="L980" s="69"/>
      <c r="M980" s="69"/>
      <c r="N980" s="69"/>
      <c r="O980" s="2"/>
      <c r="P980" s="2"/>
      <c r="Q980" s="32"/>
      <c r="R980" s="32"/>
      <c r="S980" s="32"/>
      <c r="T980" s="3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2"/>
      <c r="C981" s="10"/>
      <c r="D981" s="10"/>
      <c r="E981" s="10"/>
      <c r="F981" s="10"/>
      <c r="G981" s="69"/>
      <c r="H981" s="69"/>
      <c r="I981" s="69"/>
      <c r="J981" s="70"/>
      <c r="K981" s="69"/>
      <c r="L981" s="69"/>
      <c r="M981" s="69"/>
      <c r="N981" s="69"/>
      <c r="O981" s="2"/>
      <c r="P981" s="2"/>
      <c r="Q981" s="32"/>
      <c r="R981" s="32"/>
      <c r="S981" s="32"/>
      <c r="T981" s="3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2"/>
      <c r="C982" s="10"/>
      <c r="D982" s="10"/>
      <c r="E982" s="10"/>
      <c r="F982" s="10"/>
      <c r="G982" s="69"/>
      <c r="H982" s="69"/>
      <c r="I982" s="69"/>
      <c r="J982" s="70"/>
      <c r="K982" s="69"/>
      <c r="L982" s="69"/>
      <c r="M982" s="69"/>
      <c r="N982" s="69"/>
      <c r="O982" s="2"/>
      <c r="P982" s="2"/>
      <c r="Q982" s="32"/>
      <c r="R982" s="32"/>
      <c r="S982" s="32"/>
      <c r="T982" s="3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2"/>
      <c r="C983" s="10"/>
      <c r="D983" s="10"/>
      <c r="E983" s="10"/>
      <c r="F983" s="10"/>
      <c r="G983" s="69"/>
      <c r="H983" s="69"/>
      <c r="I983" s="69"/>
      <c r="J983" s="70"/>
      <c r="K983" s="69"/>
      <c r="L983" s="69"/>
      <c r="M983" s="69"/>
      <c r="N983" s="69"/>
      <c r="O983" s="2"/>
      <c r="P983" s="2"/>
      <c r="Q983" s="32"/>
      <c r="R983" s="32"/>
      <c r="S983" s="32"/>
      <c r="T983" s="3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2"/>
      <c r="C984" s="10"/>
      <c r="D984" s="10"/>
      <c r="E984" s="10"/>
      <c r="F984" s="10"/>
      <c r="G984" s="69"/>
      <c r="H984" s="69"/>
      <c r="I984" s="69"/>
      <c r="J984" s="70"/>
      <c r="K984" s="69"/>
      <c r="L984" s="69"/>
      <c r="M984" s="69"/>
      <c r="N984" s="69"/>
      <c r="O984" s="2"/>
      <c r="P984" s="2"/>
      <c r="Q984" s="32"/>
      <c r="R984" s="32"/>
      <c r="S984" s="32"/>
      <c r="T984" s="3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2"/>
      <c r="C985" s="10"/>
      <c r="D985" s="10"/>
      <c r="E985" s="10"/>
      <c r="F985" s="10"/>
      <c r="G985" s="69"/>
      <c r="H985" s="69"/>
      <c r="I985" s="69"/>
      <c r="J985" s="70"/>
      <c r="K985" s="69"/>
      <c r="L985" s="69"/>
      <c r="M985" s="69"/>
      <c r="N985" s="69"/>
      <c r="O985" s="2"/>
      <c r="P985" s="2"/>
      <c r="Q985" s="32"/>
      <c r="R985" s="32"/>
      <c r="S985" s="32"/>
      <c r="T985" s="3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2"/>
      <c r="C986" s="10"/>
      <c r="D986" s="10"/>
      <c r="E986" s="10"/>
      <c r="F986" s="10"/>
      <c r="G986" s="69"/>
      <c r="H986" s="69"/>
      <c r="I986" s="69"/>
      <c r="J986" s="70"/>
      <c r="K986" s="69"/>
      <c r="L986" s="69"/>
      <c r="M986" s="69"/>
      <c r="N986" s="69"/>
      <c r="O986" s="2"/>
      <c r="P986" s="2"/>
      <c r="Q986" s="32"/>
      <c r="R986" s="32"/>
      <c r="S986" s="32"/>
      <c r="T986" s="3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2"/>
      <c r="C987" s="10"/>
      <c r="D987" s="10"/>
      <c r="E987" s="10"/>
      <c r="F987" s="10"/>
      <c r="G987" s="69"/>
      <c r="H987" s="69"/>
      <c r="I987" s="69"/>
      <c r="J987" s="70"/>
      <c r="K987" s="69"/>
      <c r="L987" s="69"/>
      <c r="M987" s="69"/>
      <c r="N987" s="69"/>
      <c r="O987" s="2"/>
      <c r="P987" s="2"/>
      <c r="Q987" s="32"/>
      <c r="R987" s="32"/>
      <c r="S987" s="32"/>
      <c r="T987" s="3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2"/>
      <c r="C988" s="10"/>
      <c r="D988" s="10"/>
      <c r="E988" s="10"/>
      <c r="F988" s="10"/>
      <c r="G988" s="69"/>
      <c r="H988" s="69"/>
      <c r="I988" s="69"/>
      <c r="J988" s="70"/>
      <c r="K988" s="69"/>
      <c r="L988" s="69"/>
      <c r="M988" s="69"/>
      <c r="N988" s="69"/>
      <c r="O988" s="2"/>
      <c r="P988" s="2"/>
      <c r="Q988" s="32"/>
      <c r="R988" s="32"/>
      <c r="S988" s="32"/>
      <c r="T988" s="3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2"/>
      <c r="C989" s="10"/>
      <c r="D989" s="10"/>
      <c r="E989" s="10"/>
      <c r="F989" s="10"/>
      <c r="G989" s="69"/>
      <c r="H989" s="69"/>
      <c r="I989" s="69"/>
      <c r="J989" s="70"/>
      <c r="K989" s="69"/>
      <c r="L989" s="69"/>
      <c r="M989" s="69"/>
      <c r="N989" s="69"/>
      <c r="O989" s="2"/>
      <c r="P989" s="2"/>
      <c r="Q989" s="32"/>
      <c r="R989" s="32"/>
      <c r="S989" s="32"/>
      <c r="T989" s="3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2"/>
      <c r="C990" s="10"/>
      <c r="D990" s="10"/>
      <c r="E990" s="10"/>
      <c r="F990" s="10"/>
      <c r="G990" s="69"/>
      <c r="H990" s="69"/>
      <c r="I990" s="69"/>
      <c r="J990" s="70"/>
      <c r="K990" s="69"/>
      <c r="L990" s="69"/>
      <c r="M990" s="69"/>
      <c r="N990" s="69"/>
      <c r="O990" s="2"/>
      <c r="P990" s="2"/>
      <c r="Q990" s="32"/>
      <c r="R990" s="32"/>
      <c r="S990" s="32"/>
      <c r="T990" s="3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2"/>
      <c r="C991" s="10"/>
      <c r="D991" s="10"/>
      <c r="E991" s="10"/>
      <c r="F991" s="10"/>
      <c r="G991" s="69"/>
      <c r="H991" s="69"/>
      <c r="I991" s="69"/>
      <c r="J991" s="70"/>
      <c r="K991" s="69"/>
      <c r="L991" s="69"/>
      <c r="M991" s="69"/>
      <c r="N991" s="69"/>
      <c r="O991" s="2"/>
      <c r="P991" s="2"/>
      <c r="Q991" s="32"/>
      <c r="R991" s="32"/>
      <c r="S991" s="32"/>
      <c r="T991" s="3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2"/>
      <c r="C992" s="10"/>
      <c r="D992" s="10"/>
      <c r="E992" s="10"/>
      <c r="F992" s="10"/>
      <c r="G992" s="69"/>
      <c r="H992" s="69"/>
      <c r="I992" s="69"/>
      <c r="J992" s="70"/>
      <c r="K992" s="69"/>
      <c r="L992" s="69"/>
      <c r="M992" s="69"/>
      <c r="N992" s="69"/>
      <c r="O992" s="2"/>
      <c r="P992" s="2"/>
      <c r="Q992" s="32"/>
      <c r="R992" s="32"/>
      <c r="S992" s="32"/>
      <c r="T992" s="3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2"/>
      <c r="C993" s="10"/>
      <c r="D993" s="10"/>
      <c r="E993" s="10"/>
      <c r="F993" s="10"/>
      <c r="G993" s="69"/>
      <c r="H993" s="69"/>
      <c r="I993" s="69"/>
      <c r="J993" s="70"/>
      <c r="K993" s="69"/>
      <c r="L993" s="69"/>
      <c r="M993" s="69"/>
      <c r="N993" s="69"/>
      <c r="O993" s="2"/>
      <c r="P993" s="2"/>
      <c r="Q993" s="32"/>
      <c r="R993" s="32"/>
      <c r="S993" s="32"/>
      <c r="T993" s="3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2"/>
      <c r="C994" s="10"/>
      <c r="D994" s="10"/>
      <c r="E994" s="10"/>
      <c r="F994" s="10"/>
      <c r="G994" s="69"/>
      <c r="H994" s="69"/>
      <c r="I994" s="69"/>
      <c r="J994" s="70"/>
      <c r="K994" s="69"/>
      <c r="L994" s="69"/>
      <c r="M994" s="69"/>
      <c r="N994" s="69"/>
      <c r="O994" s="2"/>
      <c r="P994" s="2"/>
      <c r="Q994" s="32"/>
      <c r="R994" s="32"/>
      <c r="S994" s="32"/>
      <c r="T994" s="3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2"/>
      <c r="C995" s="10"/>
      <c r="D995" s="10"/>
      <c r="E995" s="10"/>
      <c r="F995" s="10"/>
      <c r="G995" s="69"/>
      <c r="H995" s="69"/>
      <c r="I995" s="69"/>
      <c r="J995" s="70"/>
      <c r="K995" s="69"/>
      <c r="L995" s="69"/>
      <c r="M995" s="69"/>
      <c r="N995" s="69"/>
      <c r="O995" s="2"/>
      <c r="P995" s="2"/>
      <c r="Q995" s="32"/>
      <c r="R995" s="32"/>
      <c r="S995" s="32"/>
      <c r="T995" s="3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2"/>
      <c r="C996" s="10"/>
      <c r="D996" s="10"/>
      <c r="E996" s="10"/>
      <c r="F996" s="10"/>
      <c r="G996" s="69"/>
      <c r="H996" s="69"/>
      <c r="I996" s="69"/>
      <c r="J996" s="70"/>
      <c r="K996" s="69"/>
      <c r="L996" s="69"/>
      <c r="M996" s="69"/>
      <c r="N996" s="69"/>
      <c r="O996" s="2"/>
      <c r="P996" s="2"/>
      <c r="Q996" s="32"/>
      <c r="R996" s="32"/>
      <c r="S996" s="32"/>
      <c r="T996" s="3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2"/>
      <c r="C997" s="10"/>
      <c r="D997" s="10"/>
      <c r="E997" s="10"/>
      <c r="F997" s="10"/>
      <c r="G997" s="69"/>
      <c r="H997" s="69"/>
      <c r="I997" s="69"/>
      <c r="J997" s="70"/>
      <c r="K997" s="69"/>
      <c r="L997" s="69"/>
      <c r="M997" s="69"/>
      <c r="N997" s="69"/>
      <c r="O997" s="2"/>
      <c r="P997" s="2"/>
      <c r="Q997" s="32"/>
      <c r="R997" s="32"/>
      <c r="S997" s="32"/>
      <c r="T997" s="3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2"/>
      <c r="C998" s="10"/>
      <c r="D998" s="10"/>
      <c r="E998" s="10"/>
      <c r="F998" s="10"/>
      <c r="G998" s="69"/>
      <c r="H998" s="69"/>
      <c r="I998" s="69"/>
      <c r="J998" s="70"/>
      <c r="K998" s="69"/>
      <c r="L998" s="69"/>
      <c r="M998" s="69"/>
      <c r="N998" s="69"/>
      <c r="O998" s="2"/>
      <c r="P998" s="2"/>
      <c r="Q998" s="32"/>
      <c r="R998" s="32"/>
      <c r="S998" s="32"/>
      <c r="T998" s="3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2"/>
      <c r="C999" s="10"/>
      <c r="D999" s="10"/>
      <c r="E999" s="10"/>
      <c r="F999" s="10"/>
      <c r="G999" s="69"/>
      <c r="H999" s="69"/>
      <c r="I999" s="69"/>
      <c r="J999" s="70"/>
      <c r="K999" s="69"/>
      <c r="L999" s="69"/>
      <c r="M999" s="69"/>
      <c r="N999" s="69"/>
      <c r="O999" s="2"/>
      <c r="P999" s="2"/>
      <c r="Q999" s="32"/>
      <c r="R999" s="32"/>
      <c r="S999" s="32"/>
      <c r="T999" s="3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2"/>
      <c r="C1000" s="10"/>
      <c r="D1000" s="10"/>
      <c r="E1000" s="10"/>
      <c r="F1000" s="10"/>
      <c r="G1000" s="69"/>
      <c r="H1000" s="69"/>
      <c r="I1000" s="69"/>
      <c r="J1000" s="70"/>
      <c r="K1000" s="69"/>
      <c r="L1000" s="69"/>
      <c r="M1000" s="69"/>
      <c r="N1000" s="69"/>
      <c r="O1000" s="2"/>
      <c r="P1000" s="2"/>
      <c r="Q1000" s="32"/>
      <c r="R1000" s="32"/>
      <c r="S1000" s="32"/>
      <c r="T1000" s="3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>
    <outlinePr summaryBelow="0" summaryRight="0"/>
  </sheetPr>
  <dimension ref="A1:Z1000"/>
  <sheetViews>
    <sheetView workbookViewId="0">
      <pane ySplit="1" topLeftCell="A46" activePane="bottomLeft" state="frozen"/>
      <selection pane="bottomLeft" activeCell="K46" sqref="K46:L122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77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hidden="1" customHeight="1" x14ac:dyDescent="0.3">
      <c r="A2" s="2" t="s">
        <v>296</v>
      </c>
      <c r="B2" s="32" t="s">
        <v>23</v>
      </c>
      <c r="C2" s="10">
        <v>9646253</v>
      </c>
      <c r="D2" s="2" t="s">
        <v>976</v>
      </c>
      <c r="E2" s="69">
        <v>19066.400000000001</v>
      </c>
      <c r="F2" s="69">
        <v>3677.1</v>
      </c>
      <c r="G2" s="69">
        <f t="shared" ref="G2:G3" si="0">F2*0.7</f>
        <v>2573.9699999999998</v>
      </c>
      <c r="H2" s="70">
        <v>0.20366600000000001</v>
      </c>
      <c r="I2" s="69">
        <f t="shared" ref="I2:I11" si="1">(E2+G2)*H2*0.9</f>
        <v>3966.6668367780012</v>
      </c>
      <c r="J2" s="79" t="s">
        <v>468</v>
      </c>
      <c r="K2" s="61">
        <f t="shared" ref="K2:K7" si="2">E2*0.1*H2</f>
        <v>388.31774224000009</v>
      </c>
      <c r="L2" s="61">
        <f t="shared" ref="L2:L3" si="3">G2*0.1*H2</f>
        <v>52.423017401999999</v>
      </c>
      <c r="M2" s="58">
        <f>SUM(K:L)</f>
        <v>14104.770619492112</v>
      </c>
      <c r="N2" s="2" t="s">
        <v>412</v>
      </c>
      <c r="O2" s="2" t="s">
        <v>413</v>
      </c>
      <c r="P2" s="32">
        <v>36796.639999999999</v>
      </c>
      <c r="Q2" s="32">
        <f>SUM(I:I)</f>
        <v>135322.64458145454</v>
      </c>
      <c r="R2" s="32">
        <f>SUM(P:P)</f>
        <v>-89993.404999999999</v>
      </c>
      <c r="S2" s="32">
        <f>Q2+R2</f>
        <v>45329.239581454545</v>
      </c>
      <c r="T2" s="2"/>
      <c r="U2" s="2"/>
      <c r="V2" s="2"/>
      <c r="W2" s="2"/>
      <c r="X2" s="2"/>
      <c r="Y2" s="2"/>
      <c r="Z2" s="2"/>
    </row>
    <row r="3" spans="1:26" ht="15.75" hidden="1" customHeight="1" x14ac:dyDescent="0.3">
      <c r="A3" s="2" t="s">
        <v>296</v>
      </c>
      <c r="B3" s="32" t="s">
        <v>23</v>
      </c>
      <c r="C3" s="10">
        <v>9766638</v>
      </c>
      <c r="D3" s="2" t="s">
        <v>977</v>
      </c>
      <c r="E3" s="69">
        <v>-32953.4</v>
      </c>
      <c r="F3" s="69">
        <v>1859.7</v>
      </c>
      <c r="G3" s="69">
        <f t="shared" si="0"/>
        <v>1301.79</v>
      </c>
      <c r="H3" s="70">
        <v>0.20366600000000001</v>
      </c>
      <c r="I3" s="69">
        <f t="shared" si="1"/>
        <v>-5801.7211220340005</v>
      </c>
      <c r="J3" s="79" t="s">
        <v>468</v>
      </c>
      <c r="K3" s="61">
        <f t="shared" si="2"/>
        <v>-671.14871644000004</v>
      </c>
      <c r="L3" s="61">
        <f t="shared" si="3"/>
        <v>26.513036214000003</v>
      </c>
      <c r="M3" s="58"/>
      <c r="N3" s="2" t="s">
        <v>469</v>
      </c>
      <c r="O3" s="2" t="s">
        <v>420</v>
      </c>
      <c r="P3" s="69">
        <v>-29.97</v>
      </c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hidden="1" customHeight="1" x14ac:dyDescent="0.3">
      <c r="A4" s="2" t="s">
        <v>296</v>
      </c>
      <c r="B4" s="2" t="s">
        <v>17</v>
      </c>
      <c r="C4" s="10">
        <v>9667475</v>
      </c>
      <c r="D4" s="32" t="s">
        <v>978</v>
      </c>
      <c r="E4" s="69">
        <v>27649.7</v>
      </c>
      <c r="F4" s="69">
        <v>3272.6</v>
      </c>
      <c r="G4" s="69">
        <f>F4*0.65</f>
        <v>2127.19</v>
      </c>
      <c r="H4" s="70">
        <v>0.20366600000000001</v>
      </c>
      <c r="I4" s="69">
        <f t="shared" si="1"/>
        <v>5458.0860708660002</v>
      </c>
      <c r="J4" s="79" t="s">
        <v>468</v>
      </c>
      <c r="K4" s="61">
        <f t="shared" si="2"/>
        <v>563.13038002000008</v>
      </c>
      <c r="L4" s="61">
        <f>(F4*0.05+G4*0.1)*H4</f>
        <v>76.649495434000016</v>
      </c>
      <c r="M4" s="58"/>
      <c r="N4" s="2" t="s">
        <v>312</v>
      </c>
      <c r="O4" s="2" t="s">
        <v>415</v>
      </c>
      <c r="P4" s="32">
        <v>-36.229999999999997</v>
      </c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hidden="1" customHeight="1" x14ac:dyDescent="0.3">
      <c r="A5" s="32" t="s">
        <v>317</v>
      </c>
      <c r="B5" s="32" t="s">
        <v>23</v>
      </c>
      <c r="C5" s="10">
        <v>9646253</v>
      </c>
      <c r="D5" s="2" t="s">
        <v>976</v>
      </c>
      <c r="E5" s="69">
        <v>81644.350000000006</v>
      </c>
      <c r="F5" s="69">
        <v>11992.5</v>
      </c>
      <c r="G5" s="69">
        <f t="shared" ref="G5:G6" si="4">F5*0.7</f>
        <v>8394.75</v>
      </c>
      <c r="H5" s="70">
        <v>0.20366600000000001</v>
      </c>
      <c r="I5" s="69">
        <f t="shared" si="1"/>
        <v>16504.113006540003</v>
      </c>
      <c r="J5" s="79" t="s">
        <v>468</v>
      </c>
      <c r="K5" s="61">
        <f t="shared" si="2"/>
        <v>1662.8178187100004</v>
      </c>
      <c r="L5" s="61">
        <f t="shared" ref="L5:L6" si="5">G5*0.1*H5</f>
        <v>170.97251535000001</v>
      </c>
      <c r="M5" s="58"/>
      <c r="N5" s="2" t="s">
        <v>295</v>
      </c>
      <c r="O5" s="2" t="s">
        <v>416</v>
      </c>
      <c r="P5" s="32">
        <v>-143.9</v>
      </c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hidden="1" customHeight="1" x14ac:dyDescent="0.3">
      <c r="A6" s="32" t="s">
        <v>317</v>
      </c>
      <c r="B6" s="32" t="s">
        <v>23</v>
      </c>
      <c r="C6" s="10">
        <v>9766638</v>
      </c>
      <c r="D6" s="2" t="s">
        <v>977</v>
      </c>
      <c r="E6" s="69">
        <v>16683.45</v>
      </c>
      <c r="F6" s="69">
        <v>2705.5</v>
      </c>
      <c r="G6" s="69">
        <f t="shared" si="4"/>
        <v>1893.85</v>
      </c>
      <c r="H6" s="70">
        <v>0.20366600000000001</v>
      </c>
      <c r="I6" s="69">
        <f t="shared" si="1"/>
        <v>3405.2079436200002</v>
      </c>
      <c r="J6" s="79" t="s">
        <v>468</v>
      </c>
      <c r="K6" s="61">
        <f t="shared" si="2"/>
        <v>339.78515277000008</v>
      </c>
      <c r="L6" s="61">
        <f t="shared" si="5"/>
        <v>38.571285410000002</v>
      </c>
      <c r="M6" s="58"/>
      <c r="N6" s="2" t="s">
        <v>894</v>
      </c>
      <c r="O6" s="2" t="s">
        <v>895</v>
      </c>
      <c r="P6" s="32">
        <v>-35000</v>
      </c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hidden="1" customHeight="1" x14ac:dyDescent="0.3">
      <c r="A7" s="32" t="s">
        <v>317</v>
      </c>
      <c r="B7" s="2" t="s">
        <v>17</v>
      </c>
      <c r="C7" s="10">
        <v>9667475</v>
      </c>
      <c r="D7" s="32" t="s">
        <v>978</v>
      </c>
      <c r="E7" s="69">
        <v>-35155.25</v>
      </c>
      <c r="F7" s="69">
        <v>7762.2</v>
      </c>
      <c r="G7" s="69">
        <f>F7*0.65</f>
        <v>5045.43</v>
      </c>
      <c r="H7" s="70">
        <v>0.20366600000000001</v>
      </c>
      <c r="I7" s="69">
        <f t="shared" si="1"/>
        <v>-5519.1119401080005</v>
      </c>
      <c r="J7" s="79" t="s">
        <v>468</v>
      </c>
      <c r="K7" s="61">
        <f t="shared" si="2"/>
        <v>-715.9929146500001</v>
      </c>
      <c r="L7" s="61">
        <f>(F7*0.05+G7*0.1)*H7</f>
        <v>181.80306589800003</v>
      </c>
      <c r="M7" s="58"/>
      <c r="N7" s="2" t="s">
        <v>299</v>
      </c>
      <c r="O7" s="2" t="s">
        <v>573</v>
      </c>
      <c r="P7" s="32">
        <v>-193.86</v>
      </c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hidden="1" customHeight="1" x14ac:dyDescent="0.3">
      <c r="A8" s="32" t="s">
        <v>317</v>
      </c>
      <c r="B8" s="32" t="s">
        <v>155</v>
      </c>
      <c r="C8" s="72" t="s">
        <v>979</v>
      </c>
      <c r="D8" s="72" t="s">
        <v>980</v>
      </c>
      <c r="E8" s="69">
        <v>-17450.669999999998</v>
      </c>
      <c r="F8" s="69">
        <v>8466.76</v>
      </c>
      <c r="G8" s="69">
        <f>F8*0.6</f>
        <v>5080.0559999999996</v>
      </c>
      <c r="H8" s="70">
        <v>0.74563800000000002</v>
      </c>
      <c r="I8" s="69">
        <f t="shared" si="1"/>
        <v>-8301.5998935587995</v>
      </c>
      <c r="J8" s="79" t="s">
        <v>468</v>
      </c>
      <c r="K8" s="61">
        <v>0</v>
      </c>
      <c r="L8" s="61">
        <f>F8*0.1*H8*0.9</f>
        <v>568.18241935920003</v>
      </c>
      <c r="M8" s="58"/>
      <c r="N8" s="2" t="s">
        <v>299</v>
      </c>
      <c r="O8" s="2" t="s">
        <v>417</v>
      </c>
      <c r="P8" s="32">
        <v>302.19</v>
      </c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hidden="1" customHeight="1" x14ac:dyDescent="0.3">
      <c r="A9" s="32" t="s">
        <v>325</v>
      </c>
      <c r="B9" s="32" t="s">
        <v>23</v>
      </c>
      <c r="C9" s="10">
        <v>9646253</v>
      </c>
      <c r="D9" s="2" t="s">
        <v>976</v>
      </c>
      <c r="E9" s="69">
        <v>13188.1</v>
      </c>
      <c r="F9" s="69">
        <v>23955.1</v>
      </c>
      <c r="G9" s="69">
        <f t="shared" ref="G9:G10" si="6">F9*0.7</f>
        <v>16768.57</v>
      </c>
      <c r="H9" s="70">
        <v>0.20449899999999999</v>
      </c>
      <c r="I9" s="69">
        <f t="shared" si="1"/>
        <v>5513.4981524969999</v>
      </c>
      <c r="J9" s="79" t="s">
        <v>468</v>
      </c>
      <c r="K9" s="61">
        <f t="shared" ref="K9:K11" si="7">E9*0.1*H9</f>
        <v>269.69532619</v>
      </c>
      <c r="L9" s="61">
        <f t="shared" ref="L9:L10" si="8">G9*0.1*H9</f>
        <v>342.91557964299994</v>
      </c>
      <c r="M9" s="58"/>
      <c r="N9" s="2" t="s">
        <v>981</v>
      </c>
      <c r="O9" s="2" t="s">
        <v>438</v>
      </c>
      <c r="P9" s="29">
        <v>-59.945</v>
      </c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hidden="1" customHeight="1" x14ac:dyDescent="0.3">
      <c r="A10" s="32" t="s">
        <v>325</v>
      </c>
      <c r="B10" s="32" t="s">
        <v>23</v>
      </c>
      <c r="C10" s="10">
        <v>9766638</v>
      </c>
      <c r="D10" s="2" t="s">
        <v>977</v>
      </c>
      <c r="E10" s="69">
        <v>-16980.05</v>
      </c>
      <c r="F10" s="69">
        <v>784.35</v>
      </c>
      <c r="G10" s="69">
        <f t="shared" si="6"/>
        <v>549.04499999999996</v>
      </c>
      <c r="H10" s="70">
        <v>0.20449899999999999</v>
      </c>
      <c r="I10" s="69">
        <f t="shared" si="1"/>
        <v>-3024.1116823455</v>
      </c>
      <c r="J10" s="79" t="s">
        <v>468</v>
      </c>
      <c r="K10" s="61">
        <f t="shared" si="7"/>
        <v>-347.24032449499998</v>
      </c>
      <c r="L10" s="61">
        <f t="shared" si="8"/>
        <v>11.2279153455</v>
      </c>
      <c r="M10" s="58"/>
      <c r="N10" s="2" t="s">
        <v>599</v>
      </c>
      <c r="O10" s="2" t="s">
        <v>473</v>
      </c>
      <c r="P10" s="32">
        <v>-49</v>
      </c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hidden="1" customHeight="1" x14ac:dyDescent="0.3">
      <c r="A11" s="32" t="s">
        <v>325</v>
      </c>
      <c r="B11" s="2" t="s">
        <v>17</v>
      </c>
      <c r="C11" s="10">
        <v>9667475</v>
      </c>
      <c r="D11" s="32" t="s">
        <v>978</v>
      </c>
      <c r="E11" s="69">
        <v>-186591.1</v>
      </c>
      <c r="F11" s="69">
        <v>15272.05</v>
      </c>
      <c r="G11" s="69">
        <f>F11*0.65</f>
        <v>9926.8325000000004</v>
      </c>
      <c r="H11" s="70">
        <v>0.20449899999999999</v>
      </c>
      <c r="I11" s="69">
        <f t="shared" si="1"/>
        <v>-32514.899435534251</v>
      </c>
      <c r="J11" s="79" t="s">
        <v>468</v>
      </c>
      <c r="K11" s="61">
        <f t="shared" si="7"/>
        <v>-3815.7693358899996</v>
      </c>
      <c r="L11" s="61">
        <f>(F11*0.05+G11*0.1)*H11</f>
        <v>359.15867958924997</v>
      </c>
      <c r="M11" s="58"/>
      <c r="N11" s="2" t="s">
        <v>419</v>
      </c>
      <c r="O11" s="2" t="s">
        <v>982</v>
      </c>
      <c r="P11" s="69">
        <v>-226.28</v>
      </c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hidden="1" customHeight="1" x14ac:dyDescent="0.3">
      <c r="A12" s="2" t="s">
        <v>325</v>
      </c>
      <c r="B12" s="2" t="s">
        <v>30</v>
      </c>
      <c r="C12" s="10">
        <v>9870578</v>
      </c>
      <c r="D12" s="10" t="s">
        <v>983</v>
      </c>
      <c r="E12" s="32">
        <v>8977.2999999999993</v>
      </c>
      <c r="F12" s="32">
        <v>193.9</v>
      </c>
      <c r="G12" s="69">
        <f>F12*0.7</f>
        <v>135.72999999999999</v>
      </c>
      <c r="H12" s="70">
        <v>0.20222200000000001</v>
      </c>
      <c r="I12" s="69">
        <f>(E12+G12)*H12*0.93</f>
        <v>1713.8552919737999</v>
      </c>
      <c r="J12" s="79" t="s">
        <v>468</v>
      </c>
      <c r="K12" s="61">
        <f>E12*0.07*H12</f>
        <v>127.07852924200002</v>
      </c>
      <c r="L12" s="61">
        <f>(F12*0.03+G12*0.07)*H12</f>
        <v>3.0976568182000004</v>
      </c>
      <c r="M12" s="58"/>
      <c r="N12" s="2" t="s">
        <v>334</v>
      </c>
      <c r="O12" s="2" t="s">
        <v>421</v>
      </c>
      <c r="P12" s="32">
        <v>-127.16</v>
      </c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hidden="1" customHeight="1" x14ac:dyDescent="0.3">
      <c r="A13" s="2" t="s">
        <v>332</v>
      </c>
      <c r="B13" s="29" t="s">
        <v>35</v>
      </c>
      <c r="C13" s="10" t="s">
        <v>984</v>
      </c>
      <c r="D13" s="46" t="s">
        <v>985</v>
      </c>
      <c r="E13" s="69">
        <v>9380.6</v>
      </c>
      <c r="F13" s="69">
        <v>509.7</v>
      </c>
      <c r="G13" s="69">
        <f>F13*0.82</f>
        <v>417.95399999999995</v>
      </c>
      <c r="H13" s="75">
        <v>0.27323999999999998</v>
      </c>
      <c r="I13" s="69">
        <f>(E13+G13)*H13*0.9</f>
        <v>2409.621205464</v>
      </c>
      <c r="J13" s="78">
        <f>F13*0.05*H13</f>
        <v>6.9635213999999994</v>
      </c>
      <c r="K13" s="61">
        <f>E13*0.1*H13</f>
        <v>256.31551439999998</v>
      </c>
      <c r="L13" s="61">
        <f>(F13*0.01+G13*0.1)*H13</f>
        <v>12.812879376</v>
      </c>
      <c r="M13" s="58"/>
      <c r="N13" s="2" t="s">
        <v>334</v>
      </c>
      <c r="O13" s="2" t="s">
        <v>422</v>
      </c>
      <c r="P13" s="32">
        <v>45.33</v>
      </c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hidden="1" customHeight="1" x14ac:dyDescent="0.3">
      <c r="A14" s="2" t="s">
        <v>332</v>
      </c>
      <c r="B14" s="2" t="s">
        <v>30</v>
      </c>
      <c r="C14" s="10">
        <v>9870578</v>
      </c>
      <c r="D14" s="2" t="s">
        <v>983</v>
      </c>
      <c r="E14" s="69">
        <v>-8869.2999999999993</v>
      </c>
      <c r="F14" s="69">
        <v>9654.1</v>
      </c>
      <c r="G14" s="69">
        <f t="shared" ref="G14:G20" si="9">F14*0.7</f>
        <v>6757.87</v>
      </c>
      <c r="H14" s="70">
        <v>0.203038</v>
      </c>
      <c r="I14" s="69">
        <f t="shared" ref="I14:I16" si="10">(E14+G14)*H14*0.93</f>
        <v>-398.69148763619989</v>
      </c>
      <c r="J14" s="79" t="s">
        <v>468</v>
      </c>
      <c r="K14" s="61">
        <f t="shared" ref="K14:K16" si="11">E14*0.07*H14</f>
        <v>-126.056345338</v>
      </c>
      <c r="L14" s="61">
        <f t="shared" ref="L14:L16" si="12">(F14*0.03+G14*0.07)*H14</f>
        <v>154.8517833082</v>
      </c>
      <c r="M14" s="58"/>
      <c r="N14" s="2" t="s">
        <v>303</v>
      </c>
      <c r="O14" s="2" t="s">
        <v>423</v>
      </c>
      <c r="P14" s="32">
        <v>7.09</v>
      </c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hidden="1" customHeight="1" x14ac:dyDescent="0.3">
      <c r="A15" s="2" t="s">
        <v>332</v>
      </c>
      <c r="B15" s="2" t="s">
        <v>30</v>
      </c>
      <c r="C15" s="10">
        <v>9886830</v>
      </c>
      <c r="D15" s="2" t="s">
        <v>986</v>
      </c>
      <c r="E15" s="32">
        <v>-45178.7</v>
      </c>
      <c r="F15" s="32">
        <v>1898.9</v>
      </c>
      <c r="G15" s="69">
        <f t="shared" si="9"/>
        <v>1329.23</v>
      </c>
      <c r="H15" s="70">
        <v>0.203038</v>
      </c>
      <c r="I15" s="69">
        <f t="shared" si="10"/>
        <v>-8279.8910815698</v>
      </c>
      <c r="J15" s="79" t="s">
        <v>468</v>
      </c>
      <c r="K15" s="61">
        <f t="shared" si="11"/>
        <v>-642.10950234200004</v>
      </c>
      <c r="L15" s="61">
        <f t="shared" si="12"/>
        <v>30.4583597978</v>
      </c>
      <c r="M15" s="58"/>
      <c r="N15" s="2" t="s">
        <v>306</v>
      </c>
      <c r="O15" s="2" t="s">
        <v>425</v>
      </c>
      <c r="P15" s="32">
        <v>7.19</v>
      </c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hidden="1" customHeight="1" x14ac:dyDescent="0.3">
      <c r="A16" s="2" t="s">
        <v>332</v>
      </c>
      <c r="B16" s="2" t="s">
        <v>30</v>
      </c>
      <c r="C16" s="10">
        <v>9886838</v>
      </c>
      <c r="D16" s="2" t="s">
        <v>987</v>
      </c>
      <c r="E16" s="32">
        <v>-1200</v>
      </c>
      <c r="F16" s="32">
        <v>0</v>
      </c>
      <c r="G16" s="69">
        <f t="shared" si="9"/>
        <v>0</v>
      </c>
      <c r="H16" s="70">
        <v>0.203038</v>
      </c>
      <c r="I16" s="69">
        <f t="shared" si="10"/>
        <v>-226.59040800000002</v>
      </c>
      <c r="J16" s="79" t="s">
        <v>468</v>
      </c>
      <c r="K16" s="61">
        <f t="shared" si="11"/>
        <v>-17.055192000000002</v>
      </c>
      <c r="L16" s="61">
        <f t="shared" si="12"/>
        <v>0</v>
      </c>
      <c r="M16" s="58"/>
      <c r="N16" s="2" t="s">
        <v>367</v>
      </c>
      <c r="O16" s="2" t="s">
        <v>426</v>
      </c>
      <c r="P16" s="32">
        <v>88.46</v>
      </c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hidden="1" customHeight="1" x14ac:dyDescent="0.3">
      <c r="A17" s="2" t="s">
        <v>332</v>
      </c>
      <c r="B17" s="32" t="s">
        <v>23</v>
      </c>
      <c r="C17" s="10">
        <v>9886827</v>
      </c>
      <c r="D17" s="10" t="s">
        <v>988</v>
      </c>
      <c r="E17" s="32">
        <v>-19065.05</v>
      </c>
      <c r="F17" s="32">
        <v>1945.85</v>
      </c>
      <c r="G17" s="69">
        <f t="shared" si="9"/>
        <v>1362.0949999999998</v>
      </c>
      <c r="H17" s="70">
        <v>0.201207</v>
      </c>
      <c r="I17" s="69">
        <f t="shared" ref="I17:I22" si="13">(E17+G17)*H17*0.9</f>
        <v>-3205.7626200164996</v>
      </c>
      <c r="J17" s="79" t="s">
        <v>468</v>
      </c>
      <c r="K17" s="61">
        <f t="shared" ref="K17:K22" si="14">E17*0.1*H17</f>
        <v>-383.60215153500002</v>
      </c>
      <c r="L17" s="61">
        <f t="shared" ref="L17:L20" si="15">G17*0.1*H17</f>
        <v>27.406304866499998</v>
      </c>
      <c r="M17" s="58"/>
      <c r="N17" s="2" t="s">
        <v>311</v>
      </c>
      <c r="O17" s="2" t="s">
        <v>473</v>
      </c>
      <c r="P17" s="32">
        <v>-49</v>
      </c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hidden="1" customHeight="1" x14ac:dyDescent="0.3">
      <c r="A18" s="2" t="s">
        <v>332</v>
      </c>
      <c r="B18" s="32" t="s">
        <v>23</v>
      </c>
      <c r="C18" s="10">
        <v>9646253</v>
      </c>
      <c r="D18" s="2" t="s">
        <v>976</v>
      </c>
      <c r="E18" s="32">
        <v>-9879.5</v>
      </c>
      <c r="F18" s="32">
        <v>239.5</v>
      </c>
      <c r="G18" s="69">
        <f t="shared" si="9"/>
        <v>167.64999999999998</v>
      </c>
      <c r="H18" s="70">
        <v>0.201207</v>
      </c>
      <c r="I18" s="69">
        <f t="shared" si="13"/>
        <v>-1758.6829826549999</v>
      </c>
      <c r="J18" s="79" t="s">
        <v>468</v>
      </c>
      <c r="K18" s="61">
        <f t="shared" si="14"/>
        <v>-198.78245565</v>
      </c>
      <c r="L18" s="61">
        <f t="shared" si="15"/>
        <v>3.3732353549999994</v>
      </c>
      <c r="M18" s="58"/>
      <c r="N18" s="2" t="s">
        <v>311</v>
      </c>
      <c r="O18" s="2" t="s">
        <v>428</v>
      </c>
      <c r="P18" s="32">
        <v>-65.510000000000005</v>
      </c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hidden="1" customHeight="1" x14ac:dyDescent="0.3">
      <c r="A19" s="2" t="s">
        <v>332</v>
      </c>
      <c r="B19" s="32" t="s">
        <v>23</v>
      </c>
      <c r="C19" s="10">
        <v>9886835</v>
      </c>
      <c r="D19" s="10" t="s">
        <v>989</v>
      </c>
      <c r="E19" s="32">
        <v>-2968.25</v>
      </c>
      <c r="F19" s="32">
        <v>662.4</v>
      </c>
      <c r="G19" s="69">
        <f t="shared" si="9"/>
        <v>463.67999999999995</v>
      </c>
      <c r="H19" s="70">
        <v>0.201207</v>
      </c>
      <c r="I19" s="69">
        <f t="shared" si="13"/>
        <v>-453.54331439100002</v>
      </c>
      <c r="J19" s="79" t="s">
        <v>468</v>
      </c>
      <c r="K19" s="61">
        <f t="shared" si="14"/>
        <v>-59.723267774999997</v>
      </c>
      <c r="L19" s="61">
        <f t="shared" si="15"/>
        <v>9.3295661759999984</v>
      </c>
      <c r="M19" s="58"/>
      <c r="N19" s="2" t="s">
        <v>990</v>
      </c>
      <c r="O19" s="2" t="s">
        <v>991</v>
      </c>
      <c r="P19" s="69">
        <v>-141.74</v>
      </c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hidden="1" customHeight="1" x14ac:dyDescent="0.3">
      <c r="A20" s="2" t="s">
        <v>332</v>
      </c>
      <c r="B20" s="32" t="s">
        <v>23</v>
      </c>
      <c r="C20" s="10">
        <v>9766638</v>
      </c>
      <c r="D20" s="2" t="s">
        <v>977</v>
      </c>
      <c r="E20" s="69">
        <v>4411.05</v>
      </c>
      <c r="F20" s="69">
        <v>1683.05</v>
      </c>
      <c r="G20" s="69">
        <f t="shared" si="9"/>
        <v>1178.135</v>
      </c>
      <c r="H20" s="70">
        <v>0.201207</v>
      </c>
      <c r="I20" s="69">
        <f t="shared" si="13"/>
        <v>1012.1248316655</v>
      </c>
      <c r="J20" s="79" t="s">
        <v>468</v>
      </c>
      <c r="K20" s="61">
        <f t="shared" si="14"/>
        <v>88.753413735000009</v>
      </c>
      <c r="L20" s="61">
        <f t="shared" si="15"/>
        <v>23.7049008945</v>
      </c>
      <c r="M20" s="58"/>
      <c r="N20" s="2" t="s">
        <v>314</v>
      </c>
      <c r="O20" s="2" t="s">
        <v>430</v>
      </c>
      <c r="P20" s="32">
        <v>223.71</v>
      </c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hidden="1" customHeight="1" x14ac:dyDescent="0.3">
      <c r="A21" s="2" t="s">
        <v>332</v>
      </c>
      <c r="B21" s="2" t="s">
        <v>10</v>
      </c>
      <c r="C21" s="10">
        <v>1081786</v>
      </c>
      <c r="D21" s="32" t="s">
        <v>992</v>
      </c>
      <c r="E21" s="69">
        <v>-3055.1</v>
      </c>
      <c r="F21" s="69">
        <v>4372.8</v>
      </c>
      <c r="G21" s="69">
        <f t="shared" ref="G21:G22" si="16">F21*0.72</f>
        <v>3148.4160000000002</v>
      </c>
      <c r="H21" s="73">
        <v>0.20202000000000001</v>
      </c>
      <c r="I21" s="69">
        <f t="shared" si="13"/>
        <v>16.966528488000048</v>
      </c>
      <c r="J21" s="79" t="s">
        <v>468</v>
      </c>
      <c r="K21" s="61">
        <f t="shared" si="14"/>
        <v>-61.719130200000002</v>
      </c>
      <c r="L21" s="61">
        <f t="shared" ref="L21:L22" si="17">(F21*0.03+G21*0.1)*H21</f>
        <v>90.106091712000008</v>
      </c>
      <c r="M21" s="58"/>
      <c r="N21" s="2" t="s">
        <v>376</v>
      </c>
      <c r="O21" s="2" t="s">
        <v>473</v>
      </c>
      <c r="P21" s="32">
        <v>-2778</v>
      </c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hidden="1" customHeight="1" x14ac:dyDescent="0.3">
      <c r="A22" s="2" t="s">
        <v>332</v>
      </c>
      <c r="B22" s="2" t="s">
        <v>10</v>
      </c>
      <c r="C22" s="10">
        <v>1081860</v>
      </c>
      <c r="D22" s="2" t="s">
        <v>993</v>
      </c>
      <c r="E22" s="32">
        <v>10308.1</v>
      </c>
      <c r="F22" s="32">
        <v>4012.45</v>
      </c>
      <c r="G22" s="69">
        <f t="shared" si="16"/>
        <v>2888.9639999999999</v>
      </c>
      <c r="H22" s="73">
        <v>0.20202000000000001</v>
      </c>
      <c r="I22" s="69">
        <f t="shared" si="13"/>
        <v>2399.4637823520002</v>
      </c>
      <c r="J22" s="79" t="s">
        <v>468</v>
      </c>
      <c r="K22" s="61">
        <f t="shared" si="14"/>
        <v>208.24423620000005</v>
      </c>
      <c r="L22" s="61">
        <f t="shared" si="17"/>
        <v>82.680705197999998</v>
      </c>
      <c r="M22" s="58"/>
      <c r="N22" s="2" t="s">
        <v>431</v>
      </c>
      <c r="O22" s="2" t="s">
        <v>994</v>
      </c>
      <c r="P22" s="32">
        <v>-113.14</v>
      </c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hidden="1" customHeight="1" x14ac:dyDescent="0.3">
      <c r="A23" s="2" t="s">
        <v>332</v>
      </c>
      <c r="B23" s="10" t="s">
        <v>25</v>
      </c>
      <c r="C23" s="10">
        <v>6915814</v>
      </c>
      <c r="D23" s="32" t="s">
        <v>995</v>
      </c>
      <c r="E23" s="32">
        <v>-18522.5</v>
      </c>
      <c r="F23" s="32">
        <v>954.5</v>
      </c>
      <c r="G23" s="69">
        <f t="shared" ref="G23:G29" si="18">F23*0.7</f>
        <v>668.15</v>
      </c>
      <c r="H23" s="70">
        <v>0.203038</v>
      </c>
      <c r="I23" s="69">
        <f t="shared" ref="I23:I24" si="19">(E23+G23)*H23*0.93</f>
        <v>-3371.3537092289998</v>
      </c>
      <c r="J23" s="79" t="s">
        <v>468</v>
      </c>
      <c r="K23" s="61">
        <f t="shared" ref="K23:K24" si="20">E23*0.07*H23</f>
        <v>-263.25399485000003</v>
      </c>
      <c r="L23" s="61">
        <f t="shared" ref="L23:L24" si="21">(F23*0.03+G23*0.07)*H23</f>
        <v>15.310181909000001</v>
      </c>
      <c r="M23" s="58"/>
      <c r="N23" s="2" t="s">
        <v>431</v>
      </c>
      <c r="O23" s="2" t="s">
        <v>996</v>
      </c>
      <c r="P23" s="32">
        <v>-7</v>
      </c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hidden="1" customHeight="1" x14ac:dyDescent="0.3">
      <c r="A24" s="2" t="s">
        <v>332</v>
      </c>
      <c r="B24" s="10" t="s">
        <v>25</v>
      </c>
      <c r="C24" s="10">
        <v>6993889</v>
      </c>
      <c r="D24" s="32" t="s">
        <v>997</v>
      </c>
      <c r="E24" s="32">
        <v>-577.5</v>
      </c>
      <c r="F24" s="32">
        <v>64.5</v>
      </c>
      <c r="G24" s="69">
        <f t="shared" si="18"/>
        <v>45.15</v>
      </c>
      <c r="H24" s="70">
        <v>0.203038</v>
      </c>
      <c r="I24" s="69">
        <f t="shared" si="19"/>
        <v>-100.52116974900001</v>
      </c>
      <c r="J24" s="79" t="s">
        <v>468</v>
      </c>
      <c r="K24" s="61">
        <f t="shared" si="20"/>
        <v>-8.2078111500000013</v>
      </c>
      <c r="L24" s="61">
        <f t="shared" si="21"/>
        <v>1.0345801290000001</v>
      </c>
      <c r="M24" s="58"/>
      <c r="N24" s="2" t="s">
        <v>431</v>
      </c>
      <c r="O24" s="2" t="s">
        <v>998</v>
      </c>
      <c r="P24" s="32">
        <v>-113.14</v>
      </c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hidden="1" customHeight="1" x14ac:dyDescent="0.3">
      <c r="A25" s="2" t="s">
        <v>332</v>
      </c>
      <c r="B25" s="10" t="s">
        <v>31</v>
      </c>
      <c r="C25" s="10">
        <v>2504558</v>
      </c>
      <c r="D25" s="10" t="s">
        <v>999</v>
      </c>
      <c r="E25" s="32">
        <v>-4449</v>
      </c>
      <c r="F25" s="32">
        <v>138.25</v>
      </c>
      <c r="G25" s="32">
        <f t="shared" si="18"/>
        <v>96.774999999999991</v>
      </c>
      <c r="H25" s="73">
        <v>0.74532600000000004</v>
      </c>
      <c r="I25" s="69">
        <f>(E25+G25)*H25*0.8</f>
        <v>-2595.0611602800004</v>
      </c>
      <c r="J25" s="79" t="s">
        <v>468</v>
      </c>
      <c r="K25" s="61">
        <f>E25*0.1*H25</f>
        <v>-331.59553740000007</v>
      </c>
      <c r="L25" s="61">
        <f>G25*0.1*H25</f>
        <v>7.212892365000001</v>
      </c>
      <c r="M25" s="58"/>
      <c r="N25" s="2" t="s">
        <v>431</v>
      </c>
      <c r="O25" s="2" t="s">
        <v>1000</v>
      </c>
      <c r="P25" s="32">
        <v>-28</v>
      </c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hidden="1" customHeight="1" x14ac:dyDescent="0.3">
      <c r="A26" s="2" t="s">
        <v>340</v>
      </c>
      <c r="B26" s="2" t="s">
        <v>30</v>
      </c>
      <c r="C26" s="10">
        <v>9886830</v>
      </c>
      <c r="D26" s="10" t="s">
        <v>1001</v>
      </c>
      <c r="E26" s="32">
        <v>1263</v>
      </c>
      <c r="F26" s="32">
        <v>45</v>
      </c>
      <c r="G26" s="69">
        <f t="shared" si="18"/>
        <v>31.499999999999996</v>
      </c>
      <c r="H26" s="70">
        <v>0.19996900000000001</v>
      </c>
      <c r="I26" s="69">
        <f t="shared" ref="I26:I27" si="22">(E26+G26)*H26*0.93</f>
        <v>240.73967956500002</v>
      </c>
      <c r="J26" s="79" t="s">
        <v>468</v>
      </c>
      <c r="K26" s="61">
        <f t="shared" ref="K26:K27" si="23">E26*0.07*H26</f>
        <v>17.679259290000005</v>
      </c>
      <c r="L26" s="61">
        <f t="shared" ref="L26:L27" si="24">(F26*0.03+G26*0.07)*H26</f>
        <v>0.71088979499999994</v>
      </c>
      <c r="M26" s="58"/>
      <c r="N26" s="2" t="s">
        <v>1002</v>
      </c>
      <c r="O26" s="2" t="s">
        <v>473</v>
      </c>
      <c r="P26" s="32">
        <v>-49</v>
      </c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hidden="1" customHeight="1" x14ac:dyDescent="0.3">
      <c r="A27" s="2" t="s">
        <v>340</v>
      </c>
      <c r="B27" s="2" t="s">
        <v>30</v>
      </c>
      <c r="C27" s="10">
        <v>9886838</v>
      </c>
      <c r="D27" s="32" t="s">
        <v>1003</v>
      </c>
      <c r="E27" s="69">
        <v>-27955.5</v>
      </c>
      <c r="F27" s="69">
        <v>975.5</v>
      </c>
      <c r="G27" s="69">
        <f t="shared" si="18"/>
        <v>682.84999999999991</v>
      </c>
      <c r="H27" s="70">
        <v>0.19996900000000001</v>
      </c>
      <c r="I27" s="69">
        <f t="shared" si="22"/>
        <v>-5071.9266295005009</v>
      </c>
      <c r="J27" s="79" t="s">
        <v>468</v>
      </c>
      <c r="K27" s="61">
        <f t="shared" si="23"/>
        <v>-391.31633656500009</v>
      </c>
      <c r="L27" s="61">
        <f t="shared" si="24"/>
        <v>15.4105110005</v>
      </c>
      <c r="M27" s="58"/>
      <c r="N27" s="2" t="s">
        <v>443</v>
      </c>
      <c r="O27" s="2" t="s">
        <v>473</v>
      </c>
      <c r="P27" s="32">
        <v>-3255</v>
      </c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hidden="1" customHeight="1" x14ac:dyDescent="0.3">
      <c r="A28" s="2" t="s">
        <v>340</v>
      </c>
      <c r="B28" s="32" t="s">
        <v>23</v>
      </c>
      <c r="C28" s="10">
        <v>9886827</v>
      </c>
      <c r="D28" s="10" t="s">
        <v>988</v>
      </c>
      <c r="E28" s="32">
        <v>-299.95</v>
      </c>
      <c r="F28" s="32">
        <v>1324.15</v>
      </c>
      <c r="G28" s="69">
        <f t="shared" si="18"/>
        <v>926.90499999999997</v>
      </c>
      <c r="H28" s="70">
        <v>0.19841300000000001</v>
      </c>
      <c r="I28" s="69">
        <f t="shared" ref="I28:I29" si="25">(E28+G28)*H28*0.9</f>
        <v>111.95642017349999</v>
      </c>
      <c r="J28" s="79" t="s">
        <v>468</v>
      </c>
      <c r="K28" s="61">
        <f t="shared" ref="K28:K29" si="26">E28*0.1*H28</f>
        <v>-5.9513979350000001</v>
      </c>
      <c r="L28" s="61">
        <f t="shared" ref="L28:L29" si="27">G28*0.1*H28</f>
        <v>18.3910001765</v>
      </c>
      <c r="M28" s="58"/>
      <c r="N28" s="2" t="s">
        <v>443</v>
      </c>
      <c r="O28" s="2" t="s">
        <v>505</v>
      </c>
      <c r="P28" s="32">
        <v>-113.14</v>
      </c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hidden="1" customHeight="1" x14ac:dyDescent="0.3">
      <c r="A29" s="2" t="s">
        <v>340</v>
      </c>
      <c r="B29" s="32" t="s">
        <v>23</v>
      </c>
      <c r="C29" s="10">
        <v>9886835</v>
      </c>
      <c r="D29" s="10" t="s">
        <v>989</v>
      </c>
      <c r="E29" s="32">
        <v>-4980.95</v>
      </c>
      <c r="F29" s="32">
        <v>545.85</v>
      </c>
      <c r="G29" s="69">
        <f t="shared" si="18"/>
        <v>382.09499999999997</v>
      </c>
      <c r="H29" s="70">
        <v>0.19841300000000001</v>
      </c>
      <c r="I29" s="69">
        <f t="shared" si="25"/>
        <v>-821.22535540349998</v>
      </c>
      <c r="J29" s="79" t="s">
        <v>468</v>
      </c>
      <c r="K29" s="61">
        <f t="shared" si="26"/>
        <v>-98.828523235000006</v>
      </c>
      <c r="L29" s="61">
        <f t="shared" si="27"/>
        <v>7.5812615235000003</v>
      </c>
      <c r="M29" s="58"/>
      <c r="N29" s="2" t="s">
        <v>322</v>
      </c>
      <c r="O29" s="96">
        <v>10050</v>
      </c>
      <c r="P29" s="32">
        <v>-10885</v>
      </c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hidden="1" x14ac:dyDescent="0.3">
      <c r="A30" s="2" t="s">
        <v>340</v>
      </c>
      <c r="B30" s="46" t="s">
        <v>138</v>
      </c>
      <c r="C30" s="97">
        <v>1086299</v>
      </c>
      <c r="D30" s="10" t="s">
        <v>1004</v>
      </c>
      <c r="E30" s="32">
        <v>61287.55</v>
      </c>
      <c r="F30" s="32">
        <v>28413.65</v>
      </c>
      <c r="G30" s="32">
        <f t="shared" ref="G30:G35" si="28">F30*0.66</f>
        <v>18753.009000000002</v>
      </c>
      <c r="H30" s="73">
        <v>0.20152600000000001</v>
      </c>
      <c r="I30" s="69">
        <f t="shared" ref="I30:I35" si="29">(E30+G30)*H30</f>
        <v>16130.253693034003</v>
      </c>
      <c r="J30" s="79" t="s">
        <v>468</v>
      </c>
      <c r="K30" s="61">
        <v>0</v>
      </c>
      <c r="L30" s="61">
        <f t="shared" ref="L30:L35" si="30">F30*0.09*H30</f>
        <v>515.34803069100008</v>
      </c>
      <c r="M30" s="58"/>
      <c r="N30" s="2" t="s">
        <v>507</v>
      </c>
      <c r="O30" s="2" t="s">
        <v>902</v>
      </c>
      <c r="P30" s="32">
        <v>-9000</v>
      </c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hidden="1" x14ac:dyDescent="0.3">
      <c r="A31" s="2" t="s">
        <v>340</v>
      </c>
      <c r="B31" s="46" t="s">
        <v>138</v>
      </c>
      <c r="C31" s="97">
        <v>1086297</v>
      </c>
      <c r="D31" s="32" t="s">
        <v>1005</v>
      </c>
      <c r="E31" s="32">
        <v>-87540.3</v>
      </c>
      <c r="F31" s="32">
        <v>44044.25</v>
      </c>
      <c r="G31" s="32">
        <f t="shared" si="28"/>
        <v>29069.205000000002</v>
      </c>
      <c r="H31" s="73">
        <v>0.20152600000000001</v>
      </c>
      <c r="I31" s="69">
        <f t="shared" si="29"/>
        <v>-11783.445890970001</v>
      </c>
      <c r="J31" s="79" t="s">
        <v>468</v>
      </c>
      <c r="K31" s="61">
        <v>0</v>
      </c>
      <c r="L31" s="61">
        <f t="shared" si="30"/>
        <v>798.8455372950001</v>
      </c>
      <c r="M31" s="58"/>
      <c r="N31" s="2" t="s">
        <v>973</v>
      </c>
      <c r="O31" s="2" t="s">
        <v>1006</v>
      </c>
      <c r="P31" s="32">
        <v>-10000</v>
      </c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hidden="1" x14ac:dyDescent="0.3">
      <c r="A32" s="2" t="s">
        <v>340</v>
      </c>
      <c r="B32" s="46" t="s">
        <v>138</v>
      </c>
      <c r="C32" s="10">
        <v>1086296</v>
      </c>
      <c r="D32" s="32" t="s">
        <v>1007</v>
      </c>
      <c r="E32" s="32">
        <v>24650.1</v>
      </c>
      <c r="F32" s="32">
        <v>6068.25</v>
      </c>
      <c r="G32" s="32">
        <f t="shared" si="28"/>
        <v>4005.0450000000001</v>
      </c>
      <c r="H32" s="73">
        <v>0.20152600000000001</v>
      </c>
      <c r="I32" s="69">
        <f t="shared" si="29"/>
        <v>5774.7567512699998</v>
      </c>
      <c r="J32" s="79" t="s">
        <v>468</v>
      </c>
      <c r="K32" s="61">
        <v>0</v>
      </c>
      <c r="L32" s="61">
        <f t="shared" si="30"/>
        <v>110.061913455</v>
      </c>
      <c r="M32" s="58"/>
      <c r="N32" s="2" t="s">
        <v>973</v>
      </c>
      <c r="O32" s="2" t="s">
        <v>902</v>
      </c>
      <c r="P32" s="32">
        <v>-55000</v>
      </c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hidden="1" x14ac:dyDescent="0.3">
      <c r="A33" s="2" t="s">
        <v>340</v>
      </c>
      <c r="B33" s="46" t="s">
        <v>138</v>
      </c>
      <c r="C33" s="10">
        <v>1086295</v>
      </c>
      <c r="D33" s="32" t="s">
        <v>1008</v>
      </c>
      <c r="E33" s="69">
        <v>-2653</v>
      </c>
      <c r="F33" s="69">
        <v>207.25</v>
      </c>
      <c r="G33" s="32">
        <f t="shared" si="28"/>
        <v>136.785</v>
      </c>
      <c r="H33" s="73">
        <v>0.20152600000000001</v>
      </c>
      <c r="I33" s="69">
        <f t="shared" si="29"/>
        <v>-507.08274409000006</v>
      </c>
      <c r="J33" s="79" t="s">
        <v>468</v>
      </c>
      <c r="K33" s="61">
        <v>0</v>
      </c>
      <c r="L33" s="61">
        <f t="shared" si="30"/>
        <v>3.7589637150000001</v>
      </c>
      <c r="M33" s="58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hidden="1" x14ac:dyDescent="0.3">
      <c r="A34" s="32" t="s">
        <v>359</v>
      </c>
      <c r="B34" s="46" t="s">
        <v>138</v>
      </c>
      <c r="C34" s="10">
        <v>1086296</v>
      </c>
      <c r="D34" s="32" t="s">
        <v>1007</v>
      </c>
      <c r="E34" s="69">
        <v>-855.9</v>
      </c>
      <c r="F34" s="69">
        <v>2193.1</v>
      </c>
      <c r="G34" s="32">
        <f t="shared" si="28"/>
        <v>1447.4459999999999</v>
      </c>
      <c r="H34" s="73">
        <v>0.20186899999999999</v>
      </c>
      <c r="I34" s="69">
        <f t="shared" si="29"/>
        <v>119.41479947399998</v>
      </c>
      <c r="J34" s="79" t="s">
        <v>468</v>
      </c>
      <c r="K34" s="61">
        <v>0</v>
      </c>
      <c r="L34" s="61">
        <f t="shared" si="30"/>
        <v>39.844701350999998</v>
      </c>
      <c r="M34" s="58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hidden="1" x14ac:dyDescent="0.3">
      <c r="A35" s="32" t="s">
        <v>359</v>
      </c>
      <c r="B35" s="46" t="s">
        <v>138</v>
      </c>
      <c r="C35" s="97">
        <v>1086299</v>
      </c>
      <c r="D35" s="10" t="s">
        <v>1004</v>
      </c>
      <c r="E35" s="32">
        <v>-4509</v>
      </c>
      <c r="F35" s="32">
        <v>5044.6499999999996</v>
      </c>
      <c r="G35" s="32">
        <f t="shared" si="28"/>
        <v>3329.4690000000001</v>
      </c>
      <c r="H35" s="73">
        <v>0.20186899999999999</v>
      </c>
      <c r="I35" s="69">
        <f t="shared" si="29"/>
        <v>-238.11074343899998</v>
      </c>
      <c r="J35" s="79" t="s">
        <v>468</v>
      </c>
      <c r="K35" s="61">
        <v>0</v>
      </c>
      <c r="L35" s="61">
        <f t="shared" si="30"/>
        <v>91.652260576499984</v>
      </c>
      <c r="M35" s="58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hidden="1" x14ac:dyDescent="0.3">
      <c r="A36" s="32" t="s">
        <v>359</v>
      </c>
      <c r="B36" s="32" t="s">
        <v>146</v>
      </c>
      <c r="C36" s="97" t="s">
        <v>1009</v>
      </c>
      <c r="D36" s="10" t="s">
        <v>1010</v>
      </c>
      <c r="E36" s="32">
        <v>17983.2</v>
      </c>
      <c r="F36" s="32">
        <v>2427.35</v>
      </c>
      <c r="G36" s="69">
        <f>F36*0.7</f>
        <v>1699.1449999999998</v>
      </c>
      <c r="H36" s="74">
        <v>1</v>
      </c>
      <c r="I36" s="69">
        <f t="shared" ref="I36:I37" si="31">(E36+G36)*H36*0.9</f>
        <v>17714.110500000003</v>
      </c>
      <c r="J36" s="19" t="s">
        <v>468</v>
      </c>
      <c r="K36" s="61">
        <f t="shared" ref="K36:K37" si="32">E36*0.1*H36</f>
        <v>1798.3200000000002</v>
      </c>
      <c r="L36" s="61">
        <f>(F36*0.05+G36*0.1)*H36</f>
        <v>291.28199999999998</v>
      </c>
      <c r="M36" s="58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hidden="1" x14ac:dyDescent="0.3">
      <c r="A37" s="32" t="s">
        <v>359</v>
      </c>
      <c r="B37" s="32" t="s">
        <v>117</v>
      </c>
      <c r="C37" s="97" t="s">
        <v>1009</v>
      </c>
      <c r="D37" s="10" t="s">
        <v>1010</v>
      </c>
      <c r="E37" s="32">
        <v>2363</v>
      </c>
      <c r="F37" s="32">
        <v>151.5</v>
      </c>
      <c r="G37" s="69">
        <f>F37*0.77</f>
        <v>116.655</v>
      </c>
      <c r="H37" s="74">
        <v>1</v>
      </c>
      <c r="I37" s="69">
        <f t="shared" si="31"/>
        <v>2231.6895000000004</v>
      </c>
      <c r="J37" s="19" t="s">
        <v>468</v>
      </c>
      <c r="K37" s="61">
        <f t="shared" si="32"/>
        <v>236.3</v>
      </c>
      <c r="L37" s="61">
        <f>(F37*0.08+G37*0.1)*H37</f>
        <v>23.785500000000003</v>
      </c>
      <c r="M37" s="58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hidden="1" x14ac:dyDescent="0.3">
      <c r="A38" s="32" t="s">
        <v>359</v>
      </c>
      <c r="B38" s="2" t="s">
        <v>30</v>
      </c>
      <c r="C38" s="10">
        <v>9886838</v>
      </c>
      <c r="D38" s="2" t="s">
        <v>987</v>
      </c>
      <c r="E38" s="32">
        <v>22773.9</v>
      </c>
      <c r="F38" s="32">
        <v>2474.85</v>
      </c>
      <c r="G38" s="69">
        <f t="shared" ref="G38:G39" si="33">F38*0.7</f>
        <v>1732.3949999999998</v>
      </c>
      <c r="H38" s="70">
        <v>0.20187357</v>
      </c>
      <c r="I38" s="69">
        <f t="shared" ref="I38:I39" si="34">(E38+G38)*H38*0.93</f>
        <v>4600.8711309845303</v>
      </c>
      <c r="J38" s="79" t="s">
        <v>468</v>
      </c>
      <c r="K38" s="61">
        <f t="shared" ref="K38:K39" si="35">E38*0.07*H38</f>
        <v>321.82139470761007</v>
      </c>
      <c r="L38" s="61">
        <f t="shared" ref="L38:L39" si="36">(F38*0.03+G38*0.07)*H38</f>
        <v>39.468937572445498</v>
      </c>
      <c r="M38" s="58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hidden="1" x14ac:dyDescent="0.3">
      <c r="A39" s="32" t="s">
        <v>359</v>
      </c>
      <c r="B39" s="2" t="s">
        <v>30</v>
      </c>
      <c r="C39" s="10">
        <v>9886830</v>
      </c>
      <c r="D39" s="2" t="s">
        <v>986</v>
      </c>
      <c r="E39" s="69">
        <v>121288.95</v>
      </c>
      <c r="F39" s="69">
        <v>3905.15</v>
      </c>
      <c r="G39" s="69">
        <f t="shared" si="33"/>
        <v>2733.605</v>
      </c>
      <c r="H39" s="70">
        <v>0.20187357</v>
      </c>
      <c r="I39" s="69">
        <f t="shared" si="34"/>
        <v>23284.294622685353</v>
      </c>
      <c r="J39" s="79" t="s">
        <v>468</v>
      </c>
      <c r="K39" s="61">
        <f t="shared" si="35"/>
        <v>1713.9523336636053</v>
      </c>
      <c r="L39" s="61">
        <f t="shared" si="36"/>
        <v>62.279379178954507</v>
      </c>
      <c r="M39" s="58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hidden="1" x14ac:dyDescent="0.3">
      <c r="A40" s="32" t="s">
        <v>359</v>
      </c>
      <c r="B40" s="32" t="s">
        <v>61</v>
      </c>
      <c r="C40" s="10" t="s">
        <v>1011</v>
      </c>
      <c r="D40" s="10" t="s">
        <v>1012</v>
      </c>
      <c r="E40" s="32">
        <v>-2355.8000000000002</v>
      </c>
      <c r="F40" s="32">
        <v>386.15</v>
      </c>
      <c r="G40" s="69">
        <f>F40*0.6</f>
        <v>231.68999999999997</v>
      </c>
      <c r="H40" s="70">
        <v>1.14192</v>
      </c>
      <c r="I40" s="69">
        <f t="shared" ref="I40:I46" si="37">(E40+G40)*H40*0.9</f>
        <v>-2183.0073220800004</v>
      </c>
      <c r="J40" s="19" t="s">
        <v>468</v>
      </c>
      <c r="K40" s="61">
        <f t="shared" ref="K40:K49" si="38">E40*0.1*H40</f>
        <v>-269.01351360000007</v>
      </c>
      <c r="L40" s="61">
        <f t="shared" ref="L40:L41" si="39">(F40*0.05+G40*0.1)*H40</f>
        <v>48.504764880000003</v>
      </c>
      <c r="M40" s="58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hidden="1" x14ac:dyDescent="0.3">
      <c r="A41" s="32" t="s">
        <v>359</v>
      </c>
      <c r="B41" s="32" t="s">
        <v>69</v>
      </c>
      <c r="C41" s="10" t="s">
        <v>1011</v>
      </c>
      <c r="D41" s="10" t="s">
        <v>1012</v>
      </c>
      <c r="E41" s="32">
        <v>-3224.58</v>
      </c>
      <c r="F41" s="32">
        <v>385.21</v>
      </c>
      <c r="G41" s="69">
        <f>F41*0.75</f>
        <v>288.90749999999997</v>
      </c>
      <c r="H41" s="74">
        <v>1</v>
      </c>
      <c r="I41" s="69">
        <f t="shared" si="37"/>
        <v>-2642.1052500000001</v>
      </c>
      <c r="J41" s="78">
        <f t="shared" ref="J41:J43" si="40">F41*0.05*H41</f>
        <v>19.2605</v>
      </c>
      <c r="K41" s="61">
        <f t="shared" si="38"/>
        <v>-322.45800000000003</v>
      </c>
      <c r="L41" s="61">
        <f t="shared" si="39"/>
        <v>48.151249999999997</v>
      </c>
      <c r="M41" s="58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hidden="1" x14ac:dyDescent="0.3">
      <c r="A42" s="32" t="s">
        <v>359</v>
      </c>
      <c r="B42" s="10" t="s">
        <v>122</v>
      </c>
      <c r="C42" s="97" t="s">
        <v>1009</v>
      </c>
      <c r="D42" s="10" t="s">
        <v>1010</v>
      </c>
      <c r="E42" s="32">
        <v>832</v>
      </c>
      <c r="F42" s="32">
        <v>84</v>
      </c>
      <c r="G42" s="32">
        <f>F42*0.72</f>
        <v>60.48</v>
      </c>
      <c r="H42" s="75">
        <v>0.27339000000000002</v>
      </c>
      <c r="I42" s="69">
        <f t="shared" si="37"/>
        <v>219.59559648000004</v>
      </c>
      <c r="J42" s="78">
        <f t="shared" si="40"/>
        <v>1.1482380000000001</v>
      </c>
      <c r="K42" s="61">
        <f t="shared" si="38"/>
        <v>22.746048000000002</v>
      </c>
      <c r="L42" s="61">
        <f>(F42*0.03+G42*0.1)*H42</f>
        <v>2.3424055200000002</v>
      </c>
      <c r="M42" s="58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hidden="1" x14ac:dyDescent="0.3">
      <c r="A43" s="32" t="s">
        <v>359</v>
      </c>
      <c r="B43" s="29" t="s">
        <v>35</v>
      </c>
      <c r="C43" s="10" t="s">
        <v>1011</v>
      </c>
      <c r="D43" s="10" t="s">
        <v>1012</v>
      </c>
      <c r="E43" s="32">
        <v>3769.4</v>
      </c>
      <c r="F43" s="32">
        <v>221</v>
      </c>
      <c r="G43" s="69">
        <f>F43*0.82</f>
        <v>181.22</v>
      </c>
      <c r="H43" s="75">
        <v>0.27339000000000002</v>
      </c>
      <c r="I43" s="69">
        <f t="shared" si="37"/>
        <v>972.05400162000001</v>
      </c>
      <c r="J43" s="78">
        <f t="shared" si="40"/>
        <v>3.0209595000000005</v>
      </c>
      <c r="K43" s="61">
        <f t="shared" si="38"/>
        <v>103.05162660000002</v>
      </c>
      <c r="L43" s="61">
        <f>(F43*0.01+G43*0.1)*H43</f>
        <v>5.5585654800000004</v>
      </c>
      <c r="M43" s="58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hidden="1" x14ac:dyDescent="0.3">
      <c r="A44" s="32" t="s">
        <v>359</v>
      </c>
      <c r="B44" s="32" t="s">
        <v>23</v>
      </c>
      <c r="C44" s="10">
        <v>9886827</v>
      </c>
      <c r="D44" s="10" t="s">
        <v>988</v>
      </c>
      <c r="E44" s="32">
        <v>-15656.29</v>
      </c>
      <c r="F44" s="32">
        <v>4528.8</v>
      </c>
      <c r="G44" s="69">
        <f t="shared" ref="G44:G47" si="41">F44*0.7</f>
        <v>3170.16</v>
      </c>
      <c r="H44" s="70">
        <v>0.20366600000000001</v>
      </c>
      <c r="I44" s="69">
        <f t="shared" si="37"/>
        <v>-2288.7001373220005</v>
      </c>
      <c r="J44" s="79" t="s">
        <v>468</v>
      </c>
      <c r="K44" s="61">
        <f t="shared" si="38"/>
        <v>-318.86539591400003</v>
      </c>
      <c r="L44" s="61">
        <f t="shared" ref="L44:L45" si="42">G44*0.1*H44</f>
        <v>64.565380656000002</v>
      </c>
      <c r="M44" s="58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hidden="1" x14ac:dyDescent="0.3">
      <c r="A45" s="32" t="s">
        <v>359</v>
      </c>
      <c r="B45" s="32" t="s">
        <v>23</v>
      </c>
      <c r="C45" s="10">
        <v>9886835</v>
      </c>
      <c r="D45" s="10" t="s">
        <v>989</v>
      </c>
      <c r="E45" s="32">
        <v>7045.3</v>
      </c>
      <c r="F45" s="32">
        <v>2172.1</v>
      </c>
      <c r="G45" s="69">
        <f t="shared" si="41"/>
        <v>1520.4699999999998</v>
      </c>
      <c r="H45" s="70">
        <v>0.20366600000000001</v>
      </c>
      <c r="I45" s="69">
        <f t="shared" si="37"/>
        <v>1570.1005015380001</v>
      </c>
      <c r="J45" s="79" t="s">
        <v>468</v>
      </c>
      <c r="K45" s="61">
        <f t="shared" si="38"/>
        <v>143.48880698000002</v>
      </c>
      <c r="L45" s="61">
        <f t="shared" si="42"/>
        <v>30.966804302</v>
      </c>
      <c r="M45" s="58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32" t="s">
        <v>359</v>
      </c>
      <c r="B46" s="32" t="s">
        <v>145</v>
      </c>
      <c r="C46" s="97" t="s">
        <v>1009</v>
      </c>
      <c r="D46" s="10" t="s">
        <v>1010</v>
      </c>
      <c r="E46" s="32">
        <v>3109.02</v>
      </c>
      <c r="F46" s="32">
        <v>432.02</v>
      </c>
      <c r="G46" s="69">
        <f t="shared" si="41"/>
        <v>302.41399999999999</v>
      </c>
      <c r="H46" s="70">
        <v>1.1409800000000001</v>
      </c>
      <c r="I46" s="69">
        <f t="shared" si="37"/>
        <v>3503.1401687880002</v>
      </c>
      <c r="J46" s="19" t="s">
        <v>468</v>
      </c>
      <c r="K46" s="61">
        <f t="shared" si="38"/>
        <v>354.73296396000006</v>
      </c>
      <c r="L46" s="61">
        <f>(F46*0.05+G46*0.1)*H46</f>
        <v>59.151141552000006</v>
      </c>
      <c r="M46" s="58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hidden="1" x14ac:dyDescent="0.3">
      <c r="A47" s="32" t="s">
        <v>359</v>
      </c>
      <c r="B47" s="10" t="s">
        <v>31</v>
      </c>
      <c r="C47" s="10">
        <v>2529212</v>
      </c>
      <c r="D47" s="10" t="s">
        <v>1013</v>
      </c>
      <c r="E47" s="32">
        <v>-4359.96</v>
      </c>
      <c r="F47" s="32">
        <v>250.69</v>
      </c>
      <c r="G47" s="32">
        <f t="shared" si="41"/>
        <v>175.48299999999998</v>
      </c>
      <c r="H47" s="70">
        <v>0.74240899999999999</v>
      </c>
      <c r="I47" s="69">
        <f>(E47+G47)*H47*0.8</f>
        <v>-2485.2747080744002</v>
      </c>
      <c r="J47" s="79" t="s">
        <v>468</v>
      </c>
      <c r="K47" s="61">
        <f t="shared" si="38"/>
        <v>-323.68735436400004</v>
      </c>
      <c r="L47" s="61">
        <f>G47*0.1*H47</f>
        <v>13.028015854699998</v>
      </c>
      <c r="M47" s="58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hidden="1" x14ac:dyDescent="0.3">
      <c r="A48" s="2" t="s">
        <v>366</v>
      </c>
      <c r="B48" s="32" t="s">
        <v>69</v>
      </c>
      <c r="C48" s="10" t="s">
        <v>1011</v>
      </c>
      <c r="D48" s="10" t="s">
        <v>1012</v>
      </c>
      <c r="E48" s="32">
        <v>-875</v>
      </c>
      <c r="F48" s="32">
        <v>111.25</v>
      </c>
      <c r="G48" s="69">
        <f>F48*0.75</f>
        <v>83.4375</v>
      </c>
      <c r="H48" s="74">
        <v>1</v>
      </c>
      <c r="I48" s="69">
        <f t="shared" ref="I48:I49" si="43">(E48+G48)*H48*0.9</f>
        <v>-712.40625</v>
      </c>
      <c r="J48" s="78">
        <f t="shared" ref="J48:J49" si="44">F48*0.05*H48</f>
        <v>5.5625</v>
      </c>
      <c r="K48" s="61">
        <f t="shared" si="38"/>
        <v>-87.5</v>
      </c>
      <c r="L48" s="61">
        <f>(F48*0.05+G48*0.1)*H48</f>
        <v>13.90625</v>
      </c>
      <c r="M48" s="58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hidden="1" x14ac:dyDescent="0.3">
      <c r="A49" s="2" t="s">
        <v>366</v>
      </c>
      <c r="B49" s="29" t="s">
        <v>35</v>
      </c>
      <c r="C49" s="10" t="s">
        <v>1011</v>
      </c>
      <c r="D49" s="10" t="s">
        <v>1012</v>
      </c>
      <c r="E49" s="32">
        <v>-19920</v>
      </c>
      <c r="F49" s="32">
        <v>1255</v>
      </c>
      <c r="G49" s="69">
        <f>F49*0.82</f>
        <v>1029.0999999999999</v>
      </c>
      <c r="H49" s="75">
        <v>0.2752</v>
      </c>
      <c r="I49" s="69">
        <f t="shared" si="43"/>
        <v>-4678.8981120000008</v>
      </c>
      <c r="J49" s="78">
        <f t="shared" si="44"/>
        <v>17.268799999999999</v>
      </c>
      <c r="K49" s="61">
        <f t="shared" si="38"/>
        <v>-548.19839999999999</v>
      </c>
      <c r="L49" s="61">
        <f>(F49*0.01+G49*0.1)*H49</f>
        <v>31.774591999999998</v>
      </c>
      <c r="M49" s="58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hidden="1" x14ac:dyDescent="0.3">
      <c r="A50" s="2" t="s">
        <v>366</v>
      </c>
      <c r="B50" s="46" t="s">
        <v>138</v>
      </c>
      <c r="C50" s="10">
        <v>1086296</v>
      </c>
      <c r="D50" s="32" t="s">
        <v>1007</v>
      </c>
      <c r="E50" s="69">
        <v>22748.5</v>
      </c>
      <c r="F50" s="69">
        <v>2215.5500000000002</v>
      </c>
      <c r="G50" s="32">
        <f t="shared" ref="G50:G51" si="45">F50*0.66</f>
        <v>1462.2630000000001</v>
      </c>
      <c r="H50" s="73">
        <v>0.201654</v>
      </c>
      <c r="I50" s="69">
        <f t="shared" ref="I50:I51" si="46">(E50+G50)*H50</f>
        <v>4882.1972020019994</v>
      </c>
      <c r="J50" s="79" t="s">
        <v>468</v>
      </c>
      <c r="K50" s="61">
        <v>0</v>
      </c>
      <c r="L50" s="61">
        <f t="shared" ref="L50:L51" si="47">F50*0.09*H50</f>
        <v>40.209706773000001</v>
      </c>
      <c r="M50" s="58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hidden="1" x14ac:dyDescent="0.3">
      <c r="A51" s="2" t="s">
        <v>366</v>
      </c>
      <c r="B51" s="46" t="s">
        <v>138</v>
      </c>
      <c r="C51" s="97">
        <v>1086299</v>
      </c>
      <c r="D51" s="10" t="s">
        <v>1004</v>
      </c>
      <c r="E51" s="32">
        <v>11565.1</v>
      </c>
      <c r="F51" s="32">
        <v>3250</v>
      </c>
      <c r="G51" s="32">
        <f t="shared" si="45"/>
        <v>2145</v>
      </c>
      <c r="H51" s="73">
        <v>0.201654</v>
      </c>
      <c r="I51" s="69">
        <f t="shared" si="46"/>
        <v>2764.6965054000002</v>
      </c>
      <c r="J51" s="79" t="s">
        <v>468</v>
      </c>
      <c r="K51" s="61">
        <v>0</v>
      </c>
      <c r="L51" s="61">
        <f t="shared" si="47"/>
        <v>58.983795000000001</v>
      </c>
      <c r="M51" s="58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hidden="1" x14ac:dyDescent="0.3">
      <c r="A52" s="2" t="s">
        <v>366</v>
      </c>
      <c r="B52" s="32" t="s">
        <v>23</v>
      </c>
      <c r="C52" s="10">
        <v>9886827</v>
      </c>
      <c r="D52" s="10" t="s">
        <v>988</v>
      </c>
      <c r="E52" s="32">
        <v>-6619.2</v>
      </c>
      <c r="F52" s="32">
        <v>10884.95</v>
      </c>
      <c r="G52" s="69">
        <f t="shared" ref="G52:G55" si="48">F52*0.7</f>
        <v>7619.4650000000001</v>
      </c>
      <c r="H52" s="70">
        <v>0.2</v>
      </c>
      <c r="I52" s="69">
        <f t="shared" ref="I52:I53" si="49">(E52+G52)*H52*0.9</f>
        <v>180.04770000000008</v>
      </c>
      <c r="J52" s="79" t="s">
        <v>468</v>
      </c>
      <c r="K52" s="61">
        <f t="shared" ref="K52:K53" si="50">E52*0.1*H52</f>
        <v>-132.38400000000001</v>
      </c>
      <c r="L52" s="61">
        <f t="shared" ref="L52:L53" si="51">G52*0.1*H52</f>
        <v>152.38930000000002</v>
      </c>
      <c r="M52" s="58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hidden="1" x14ac:dyDescent="0.3">
      <c r="A53" s="2" t="s">
        <v>366</v>
      </c>
      <c r="B53" s="32" t="s">
        <v>23</v>
      </c>
      <c r="C53" s="10">
        <v>9886835</v>
      </c>
      <c r="D53" s="10" t="s">
        <v>989</v>
      </c>
      <c r="E53" s="32">
        <v>-52367.65</v>
      </c>
      <c r="F53" s="32">
        <v>3178.1</v>
      </c>
      <c r="G53" s="69">
        <f t="shared" si="48"/>
        <v>2224.6699999999996</v>
      </c>
      <c r="H53" s="70">
        <v>0.2</v>
      </c>
      <c r="I53" s="69">
        <f t="shared" si="49"/>
        <v>-9025.7364000000016</v>
      </c>
      <c r="J53" s="79" t="s">
        <v>468</v>
      </c>
      <c r="K53" s="61">
        <f t="shared" si="50"/>
        <v>-1047.3530000000001</v>
      </c>
      <c r="L53" s="61">
        <f t="shared" si="51"/>
        <v>44.493400000000001</v>
      </c>
      <c r="M53" s="58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hidden="1" x14ac:dyDescent="0.3">
      <c r="A54" s="2" t="s">
        <v>366</v>
      </c>
      <c r="B54" s="2" t="s">
        <v>30</v>
      </c>
      <c r="C54" s="10">
        <v>9886830</v>
      </c>
      <c r="D54" s="2" t="s">
        <v>1001</v>
      </c>
      <c r="E54" s="69">
        <v>51542.15</v>
      </c>
      <c r="F54" s="69">
        <v>6181.65</v>
      </c>
      <c r="G54" s="69">
        <f t="shared" si="48"/>
        <v>4327.1549999999997</v>
      </c>
      <c r="H54" s="70">
        <v>0.20166645999999999</v>
      </c>
      <c r="I54" s="69">
        <f t="shared" ref="I54:I55" si="52">(E54+G54)*H54*0.93</f>
        <v>10478.277414669579</v>
      </c>
      <c r="J54" s="79" t="s">
        <v>468</v>
      </c>
      <c r="K54" s="61">
        <f t="shared" ref="K54:K55" si="53">E54*0.07*H54</f>
        <v>727.60260519023007</v>
      </c>
      <c r="L54" s="61">
        <f t="shared" ref="L54:L55" si="54">(F54*0.03+G54*0.07)*H54</f>
        <v>98.483886324260979</v>
      </c>
      <c r="M54" s="58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hidden="1" x14ac:dyDescent="0.3">
      <c r="A55" s="2" t="s">
        <v>366</v>
      </c>
      <c r="B55" s="2" t="s">
        <v>30</v>
      </c>
      <c r="C55" s="10">
        <v>9886838</v>
      </c>
      <c r="D55" s="2" t="s">
        <v>987</v>
      </c>
      <c r="E55" s="32">
        <v>4489.05</v>
      </c>
      <c r="F55" s="32">
        <v>3892.25</v>
      </c>
      <c r="G55" s="69">
        <f t="shared" si="48"/>
        <v>2724.5749999999998</v>
      </c>
      <c r="H55" s="70">
        <v>0.20166645999999999</v>
      </c>
      <c r="I55" s="69">
        <f t="shared" si="52"/>
        <v>1352.913982291275</v>
      </c>
      <c r="J55" s="79" t="s">
        <v>468</v>
      </c>
      <c r="K55" s="61">
        <f t="shared" si="53"/>
        <v>63.370357558410007</v>
      </c>
      <c r="L55" s="61">
        <f t="shared" si="54"/>
        <v>62.009966035864998</v>
      </c>
      <c r="M55" s="58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hidden="1" x14ac:dyDescent="0.3">
      <c r="A56" s="32" t="s">
        <v>366</v>
      </c>
      <c r="B56" s="32" t="s">
        <v>61</v>
      </c>
      <c r="C56" s="97" t="s">
        <v>1009</v>
      </c>
      <c r="D56" s="10" t="s">
        <v>1010</v>
      </c>
      <c r="E56" s="32">
        <v>82.57</v>
      </c>
      <c r="F56" s="32">
        <v>2699</v>
      </c>
      <c r="G56" s="69">
        <f t="shared" ref="G56:G57" si="55">F56*0.6</f>
        <v>1619.3999999999999</v>
      </c>
      <c r="H56" s="70">
        <v>1.1331800000000001</v>
      </c>
      <c r="I56" s="69">
        <f t="shared" ref="I56:I61" si="56">(E56+G56)*H56*0.9</f>
        <v>1735.77452814</v>
      </c>
      <c r="J56" s="19" t="s">
        <v>468</v>
      </c>
      <c r="K56" s="61">
        <f t="shared" ref="K56:K62" si="57">E56*0.1*H56</f>
        <v>9.35666726</v>
      </c>
      <c r="L56" s="61">
        <f t="shared" ref="L56:L58" si="58">(F56*0.05+G56*0.1)*H56</f>
        <v>336.42981020000002</v>
      </c>
      <c r="M56" s="58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hidden="1" x14ac:dyDescent="0.3">
      <c r="A57" s="32" t="s">
        <v>366</v>
      </c>
      <c r="B57" s="32" t="s">
        <v>61</v>
      </c>
      <c r="C57" s="10" t="s">
        <v>1011</v>
      </c>
      <c r="D57" s="10" t="s">
        <v>1012</v>
      </c>
      <c r="E57" s="32">
        <v>-3414.45</v>
      </c>
      <c r="F57" s="32">
        <v>5011.24</v>
      </c>
      <c r="G57" s="69">
        <f t="shared" si="55"/>
        <v>3006.7439999999997</v>
      </c>
      <c r="H57" s="70">
        <v>1.1331800000000001</v>
      </c>
      <c r="I57" s="69">
        <f t="shared" si="56"/>
        <v>-415.80385657200014</v>
      </c>
      <c r="J57" s="19" t="s">
        <v>468</v>
      </c>
      <c r="K57" s="61">
        <f t="shared" si="57"/>
        <v>-386.91864509999999</v>
      </c>
      <c r="L57" s="61">
        <f t="shared" si="58"/>
        <v>624.65006375200005</v>
      </c>
      <c r="M57" s="58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hidden="1" x14ac:dyDescent="0.3">
      <c r="A58" s="32" t="s">
        <v>366</v>
      </c>
      <c r="B58" s="32" t="s">
        <v>146</v>
      </c>
      <c r="C58" s="97" t="s">
        <v>1009</v>
      </c>
      <c r="D58" s="10" t="s">
        <v>1010</v>
      </c>
      <c r="E58" s="32">
        <v>-4581</v>
      </c>
      <c r="F58" s="32">
        <v>310</v>
      </c>
      <c r="G58" s="69">
        <f>F58*0.7</f>
        <v>217</v>
      </c>
      <c r="H58" s="74">
        <v>1</v>
      </c>
      <c r="I58" s="69">
        <f t="shared" si="56"/>
        <v>-3927.6</v>
      </c>
      <c r="J58" s="19" t="s">
        <v>468</v>
      </c>
      <c r="K58" s="61">
        <f t="shared" si="57"/>
        <v>-458.1</v>
      </c>
      <c r="L58" s="61">
        <f t="shared" si="58"/>
        <v>37.200000000000003</v>
      </c>
      <c r="M58" s="58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hidden="1" x14ac:dyDescent="0.3">
      <c r="A59" s="32" t="s">
        <v>366</v>
      </c>
      <c r="B59" s="32" t="s">
        <v>117</v>
      </c>
      <c r="C59" s="10" t="s">
        <v>1011</v>
      </c>
      <c r="D59" s="10" t="s">
        <v>1012</v>
      </c>
      <c r="E59" s="32">
        <v>2588</v>
      </c>
      <c r="F59" s="32">
        <v>206</v>
      </c>
      <c r="G59" s="69">
        <f t="shared" ref="G59:G60" si="59">F59*0.77</f>
        <v>158.62</v>
      </c>
      <c r="H59" s="74">
        <v>1</v>
      </c>
      <c r="I59" s="69">
        <f t="shared" si="56"/>
        <v>2471.9580000000001</v>
      </c>
      <c r="J59" s="19" t="s">
        <v>468</v>
      </c>
      <c r="K59" s="61">
        <f t="shared" si="57"/>
        <v>258.8</v>
      </c>
      <c r="L59" s="61">
        <f t="shared" ref="L59:L60" si="60">(F59*0.08+G59*0.1)*H59</f>
        <v>32.341999999999999</v>
      </c>
      <c r="M59" s="58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hidden="1" x14ac:dyDescent="0.3">
      <c r="A60" s="32" t="s">
        <v>366</v>
      </c>
      <c r="B60" s="32" t="s">
        <v>117</v>
      </c>
      <c r="C60" s="97" t="s">
        <v>1009</v>
      </c>
      <c r="D60" s="10" t="s">
        <v>1010</v>
      </c>
      <c r="E60" s="69">
        <v>-10379.65</v>
      </c>
      <c r="F60" s="69">
        <v>1684.38</v>
      </c>
      <c r="G60" s="69">
        <f t="shared" si="59"/>
        <v>1296.9726000000001</v>
      </c>
      <c r="H60" s="74">
        <v>1</v>
      </c>
      <c r="I60" s="69">
        <f t="shared" si="56"/>
        <v>-8174.4096600000003</v>
      </c>
      <c r="J60" s="19" t="s">
        <v>468</v>
      </c>
      <c r="K60" s="61">
        <f t="shared" si="57"/>
        <v>-1037.9649999999999</v>
      </c>
      <c r="L60" s="61">
        <f t="shared" si="60"/>
        <v>264.44766000000004</v>
      </c>
      <c r="M60" s="58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32" t="s">
        <v>366</v>
      </c>
      <c r="B61" s="32" t="s">
        <v>145</v>
      </c>
      <c r="C61" s="97" t="s">
        <v>1009</v>
      </c>
      <c r="D61" s="10" t="s">
        <v>1010</v>
      </c>
      <c r="E61" s="32">
        <v>-642.76</v>
      </c>
      <c r="F61" s="32">
        <v>90.48</v>
      </c>
      <c r="G61" s="69">
        <f t="shared" ref="G61:G62" si="61">F61*0.7</f>
        <v>63.335999999999999</v>
      </c>
      <c r="H61" s="70">
        <v>1.13307</v>
      </c>
      <c r="I61" s="69">
        <f t="shared" si="56"/>
        <v>-590.87515651199999</v>
      </c>
      <c r="J61" s="19" t="s">
        <v>468</v>
      </c>
      <c r="K61" s="61">
        <f t="shared" si="57"/>
        <v>-72.829207319999995</v>
      </c>
      <c r="L61" s="61">
        <f>(F61*0.05+G61*0.1)*H61</f>
        <v>12.302420832000001</v>
      </c>
      <c r="M61" s="58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hidden="1" x14ac:dyDescent="0.3">
      <c r="A62" s="32" t="s">
        <v>366</v>
      </c>
      <c r="B62" s="10" t="s">
        <v>31</v>
      </c>
      <c r="C62" s="10">
        <v>2529212</v>
      </c>
      <c r="D62" s="10" t="s">
        <v>1013</v>
      </c>
      <c r="E62" s="32">
        <v>12376.86</v>
      </c>
      <c r="F62" s="32">
        <v>4359.67</v>
      </c>
      <c r="G62" s="32">
        <f t="shared" si="61"/>
        <v>3051.7689999999998</v>
      </c>
      <c r="H62" s="70">
        <v>0.74417500000000003</v>
      </c>
      <c r="I62" s="69">
        <f>(E62+G62)*H62*0.8</f>
        <v>9185.279988860002</v>
      </c>
      <c r="J62" s="79" t="s">
        <v>468</v>
      </c>
      <c r="K62" s="61">
        <f t="shared" si="57"/>
        <v>921.05497905000016</v>
      </c>
      <c r="L62" s="61">
        <f>G62*0.1*H62</f>
        <v>227.10501955750001</v>
      </c>
      <c r="M62" s="58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hidden="1" x14ac:dyDescent="0.3">
      <c r="A63" s="2" t="s">
        <v>370</v>
      </c>
      <c r="B63" s="46" t="s">
        <v>138</v>
      </c>
      <c r="C63" s="10">
        <v>1086296</v>
      </c>
      <c r="D63" s="32" t="s">
        <v>1007</v>
      </c>
      <c r="E63" s="69">
        <v>51088.2</v>
      </c>
      <c r="F63" s="69">
        <v>9667.15</v>
      </c>
      <c r="G63" s="32">
        <f t="shared" ref="G63:G65" si="62">F63*0.66</f>
        <v>6380.3190000000004</v>
      </c>
      <c r="H63" s="73">
        <v>0.200846</v>
      </c>
      <c r="I63" s="69">
        <f t="shared" ref="I63:I65" si="63">(E63+G63)*H63</f>
        <v>11542.322167074</v>
      </c>
      <c r="J63" s="79" t="s">
        <v>468</v>
      </c>
      <c r="K63" s="61">
        <v>0</v>
      </c>
      <c r="L63" s="61">
        <f t="shared" ref="L63:L65" si="64">F63*0.09*H63</f>
        <v>174.74475680099997</v>
      </c>
      <c r="M63" s="58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hidden="1" x14ac:dyDescent="0.3">
      <c r="A64" s="2" t="s">
        <v>370</v>
      </c>
      <c r="B64" s="46" t="s">
        <v>138</v>
      </c>
      <c r="C64" s="97">
        <v>1086297</v>
      </c>
      <c r="D64" s="32" t="s">
        <v>1005</v>
      </c>
      <c r="E64" s="32">
        <v>-11159.55</v>
      </c>
      <c r="F64" s="32">
        <v>8147.05</v>
      </c>
      <c r="G64" s="32">
        <f t="shared" si="62"/>
        <v>5377.0530000000008</v>
      </c>
      <c r="H64" s="73">
        <v>0.200846</v>
      </c>
      <c r="I64" s="69">
        <f t="shared" si="63"/>
        <v>-1161.3913924619997</v>
      </c>
      <c r="J64" s="79" t="s">
        <v>468</v>
      </c>
      <c r="K64" s="61">
        <v>0</v>
      </c>
      <c r="L64" s="61">
        <f t="shared" si="64"/>
        <v>147.26721638699999</v>
      </c>
      <c r="M64" s="58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hidden="1" x14ac:dyDescent="0.3">
      <c r="A65" s="2" t="s">
        <v>370</v>
      </c>
      <c r="B65" s="46" t="s">
        <v>138</v>
      </c>
      <c r="C65" s="97">
        <v>1086299</v>
      </c>
      <c r="D65" s="10" t="s">
        <v>1004</v>
      </c>
      <c r="E65" s="32">
        <v>24322.45</v>
      </c>
      <c r="F65" s="32">
        <v>13075.55</v>
      </c>
      <c r="G65" s="32">
        <f t="shared" si="62"/>
        <v>8629.8629999999994</v>
      </c>
      <c r="H65" s="73">
        <v>0.200846</v>
      </c>
      <c r="I65" s="69">
        <f t="shared" si="63"/>
        <v>6618.3402567980002</v>
      </c>
      <c r="J65" s="79" t="s">
        <v>468</v>
      </c>
      <c r="K65" s="61">
        <v>0</v>
      </c>
      <c r="L65" s="61">
        <f t="shared" si="64"/>
        <v>236.35547237699996</v>
      </c>
      <c r="M65" s="58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hidden="1" x14ac:dyDescent="0.3">
      <c r="A66" s="2" t="s">
        <v>370</v>
      </c>
      <c r="B66" s="32" t="s">
        <v>23</v>
      </c>
      <c r="C66" s="10">
        <v>9886827</v>
      </c>
      <c r="D66" s="10" t="s">
        <v>988</v>
      </c>
      <c r="E66" s="32">
        <v>28513.25</v>
      </c>
      <c r="F66" s="32">
        <v>797.85</v>
      </c>
      <c r="G66" s="69">
        <f t="shared" ref="G66:G69" si="65">F66*0.7</f>
        <v>558.495</v>
      </c>
      <c r="H66" s="70">
        <v>0.199203187</v>
      </c>
      <c r="I66" s="69">
        <f t="shared" ref="I66:I67" si="66">(E66+G66)*H66*0.9</f>
        <v>5212.0658300861833</v>
      </c>
      <c r="J66" s="79" t="s">
        <v>468</v>
      </c>
      <c r="K66" s="61">
        <f t="shared" ref="K66:K67" si="67">E66*0.1*H66</f>
        <v>567.9930271727751</v>
      </c>
      <c r="L66" s="61">
        <f t="shared" ref="L66:L67" si="68">G66*0.1*H66</f>
        <v>11.125398392356502</v>
      </c>
      <c r="M66" s="58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hidden="1" x14ac:dyDescent="0.3">
      <c r="A67" s="2" t="s">
        <v>370</v>
      </c>
      <c r="B67" s="32" t="s">
        <v>23</v>
      </c>
      <c r="C67" s="10">
        <v>9886835</v>
      </c>
      <c r="D67" s="10" t="s">
        <v>989</v>
      </c>
      <c r="E67" s="69">
        <v>4601.2</v>
      </c>
      <c r="F67" s="69">
        <v>4093.65</v>
      </c>
      <c r="G67" s="69">
        <f t="shared" si="65"/>
        <v>2865.5549999999998</v>
      </c>
      <c r="H67" s="70">
        <v>0.199203187</v>
      </c>
      <c r="I67" s="69">
        <f t="shared" si="66"/>
        <v>1338.6612532933666</v>
      </c>
      <c r="J67" s="79" t="s">
        <v>468</v>
      </c>
      <c r="K67" s="61">
        <f t="shared" si="67"/>
        <v>91.657370402440009</v>
      </c>
      <c r="L67" s="61">
        <f t="shared" si="68"/>
        <v>57.0827688523785</v>
      </c>
      <c r="M67" s="58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hidden="1" x14ac:dyDescent="0.3">
      <c r="A68" s="2" t="s">
        <v>370</v>
      </c>
      <c r="B68" s="2" t="s">
        <v>30</v>
      </c>
      <c r="C68" s="10">
        <v>9886838</v>
      </c>
      <c r="D68" s="2" t="s">
        <v>987</v>
      </c>
      <c r="E68" s="32">
        <v>-4006.7</v>
      </c>
      <c r="F68" s="32">
        <v>877.9</v>
      </c>
      <c r="G68" s="69">
        <f t="shared" si="65"/>
        <v>614.53</v>
      </c>
      <c r="H68" s="70">
        <v>0.20039899999999999</v>
      </c>
      <c r="I68" s="69">
        <f t="shared" ref="I68:I69" si="69">(E68+G68)*H68*0.93</f>
        <v>-632.20235252190002</v>
      </c>
      <c r="J68" s="79" t="s">
        <v>468</v>
      </c>
      <c r="K68" s="61">
        <f t="shared" ref="K68:K69" si="70">E68*0.07*H68</f>
        <v>-56.205707130999997</v>
      </c>
      <c r="L68" s="61">
        <f t="shared" ref="L68:L69" si="71">(F68*0.03+G68*0.07)*H68</f>
        <v>13.8984922859</v>
      </c>
      <c r="M68" s="58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hidden="1" x14ac:dyDescent="0.3">
      <c r="A69" s="2" t="s">
        <v>370</v>
      </c>
      <c r="B69" s="2" t="s">
        <v>30</v>
      </c>
      <c r="C69" s="10">
        <v>9886830</v>
      </c>
      <c r="D69" s="2" t="s">
        <v>986</v>
      </c>
      <c r="E69" s="32">
        <v>41672.300000000003</v>
      </c>
      <c r="F69" s="32">
        <v>3773.6</v>
      </c>
      <c r="G69" s="69">
        <f t="shared" si="65"/>
        <v>2641.52</v>
      </c>
      <c r="H69" s="70">
        <v>0.20039899999999999</v>
      </c>
      <c r="I69" s="69">
        <f t="shared" si="69"/>
        <v>8258.8140491874001</v>
      </c>
      <c r="J69" s="79" t="s">
        <v>468</v>
      </c>
      <c r="K69" s="61">
        <f t="shared" si="70"/>
        <v>584.57610733900015</v>
      </c>
      <c r="L69" s="61">
        <f t="shared" si="71"/>
        <v>59.741827645600004</v>
      </c>
      <c r="M69" s="58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hidden="1" x14ac:dyDescent="0.3">
      <c r="A70" s="2" t="s">
        <v>370</v>
      </c>
      <c r="B70" s="32" t="s">
        <v>61</v>
      </c>
      <c r="C70" s="10" t="s">
        <v>1011</v>
      </c>
      <c r="D70" s="10" t="s">
        <v>1012</v>
      </c>
      <c r="E70" s="32">
        <v>-2296</v>
      </c>
      <c r="F70" s="32">
        <v>147.19999999999999</v>
      </c>
      <c r="G70" s="69">
        <f>F70*0.6</f>
        <v>88.32</v>
      </c>
      <c r="H70" s="70">
        <v>1.1366099999999999</v>
      </c>
      <c r="I70" s="69">
        <f t="shared" ref="I70:I71" si="72">(E70+G70)*H70*0.9</f>
        <v>-2258.3440483199997</v>
      </c>
      <c r="J70" s="19" t="s">
        <v>468</v>
      </c>
      <c r="K70" s="61">
        <f t="shared" ref="K70:K74" si="73">E70*0.1*H70</f>
        <v>-260.96565600000002</v>
      </c>
      <c r="L70" s="61">
        <f>(F70*0.05+G70*0.1)*H70</f>
        <v>18.403989119999999</v>
      </c>
      <c r="M70" s="58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hidden="1" x14ac:dyDescent="0.3">
      <c r="A71" s="2" t="s">
        <v>370</v>
      </c>
      <c r="B71" s="32" t="s">
        <v>117</v>
      </c>
      <c r="C71" s="10" t="s">
        <v>1011</v>
      </c>
      <c r="D71" s="10" t="s">
        <v>1012</v>
      </c>
      <c r="E71" s="32">
        <v>-7476.84</v>
      </c>
      <c r="F71" s="32">
        <v>563.16999999999996</v>
      </c>
      <c r="G71" s="69">
        <f>F71*0.77</f>
        <v>433.64089999999999</v>
      </c>
      <c r="H71" s="74">
        <v>1</v>
      </c>
      <c r="I71" s="69">
        <f t="shared" si="72"/>
        <v>-6338.8791899999997</v>
      </c>
      <c r="J71" s="19" t="s">
        <v>468</v>
      </c>
      <c r="K71" s="61">
        <f t="shared" si="73"/>
        <v>-747.68400000000008</v>
      </c>
      <c r="L71" s="61">
        <f>(F71*0.08+G71*0.1)*H71</f>
        <v>88.417689999999993</v>
      </c>
      <c r="M71" s="58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hidden="1" x14ac:dyDescent="0.3">
      <c r="A72" s="32" t="s">
        <v>370</v>
      </c>
      <c r="B72" s="32" t="s">
        <v>31</v>
      </c>
      <c r="C72" s="10">
        <v>2590080</v>
      </c>
      <c r="D72" s="32" t="s">
        <v>1014</v>
      </c>
      <c r="E72" s="69">
        <v>-7201.28</v>
      </c>
      <c r="F72" s="69">
        <v>646.22</v>
      </c>
      <c r="G72" s="69">
        <f t="shared" ref="G72:G74" si="74">F72*0.7</f>
        <v>452.35399999999998</v>
      </c>
      <c r="H72" s="70">
        <v>0.74369300000000005</v>
      </c>
      <c r="I72" s="69">
        <f t="shared" ref="I72:I74" si="75">(E72+G72)*H72*0.8</f>
        <v>-4015.3032189744004</v>
      </c>
      <c r="J72" s="19" t="s">
        <v>468</v>
      </c>
      <c r="K72" s="61">
        <f t="shared" si="73"/>
        <v>-535.5541527040001</v>
      </c>
      <c r="L72" s="61">
        <f t="shared" ref="L72:L74" si="76">G72*0.1*H72</f>
        <v>33.641250332200002</v>
      </c>
      <c r="M72" s="58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hidden="1" x14ac:dyDescent="0.3">
      <c r="A73" s="32" t="s">
        <v>370</v>
      </c>
      <c r="B73" s="32" t="s">
        <v>31</v>
      </c>
      <c r="C73" s="10">
        <v>2596847</v>
      </c>
      <c r="D73" s="32" t="s">
        <v>1015</v>
      </c>
      <c r="E73" s="69">
        <v>11752.3</v>
      </c>
      <c r="F73" s="69">
        <v>913.83</v>
      </c>
      <c r="G73" s="69">
        <f t="shared" si="74"/>
        <v>639.68100000000004</v>
      </c>
      <c r="H73" s="70">
        <v>0.74369300000000005</v>
      </c>
      <c r="I73" s="69">
        <f t="shared" si="75"/>
        <v>7372.6636206664007</v>
      </c>
      <c r="J73" s="19" t="s">
        <v>468</v>
      </c>
      <c r="K73" s="61">
        <f t="shared" si="73"/>
        <v>874.01032439000005</v>
      </c>
      <c r="L73" s="61">
        <f t="shared" si="76"/>
        <v>47.572628193300005</v>
      </c>
      <c r="M73" s="58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hidden="1" x14ac:dyDescent="0.3">
      <c r="A74" s="32" t="s">
        <v>370</v>
      </c>
      <c r="B74" s="10" t="s">
        <v>31</v>
      </c>
      <c r="C74" s="10">
        <v>2529212</v>
      </c>
      <c r="D74" s="10" t="s">
        <v>1013</v>
      </c>
      <c r="E74" s="32">
        <v>-8399.9699999999993</v>
      </c>
      <c r="F74" s="32">
        <v>3061.51</v>
      </c>
      <c r="G74" s="32">
        <f t="shared" si="74"/>
        <v>2143.0570000000002</v>
      </c>
      <c r="H74" s="70">
        <v>0.74369300000000005</v>
      </c>
      <c r="I74" s="69">
        <f t="shared" si="75"/>
        <v>-3722.5779197672</v>
      </c>
      <c r="J74" s="79" t="s">
        <v>468</v>
      </c>
      <c r="K74" s="61">
        <f t="shared" si="73"/>
        <v>-624.69988892100002</v>
      </c>
      <c r="L74" s="61">
        <f t="shared" si="76"/>
        <v>159.37764895010002</v>
      </c>
      <c r="M74" s="58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hidden="1" x14ac:dyDescent="0.3">
      <c r="A75" s="32" t="s">
        <v>372</v>
      </c>
      <c r="B75" s="46" t="s">
        <v>138</v>
      </c>
      <c r="C75" s="10">
        <v>1086296</v>
      </c>
      <c r="D75" s="32" t="s">
        <v>1007</v>
      </c>
      <c r="E75" s="69">
        <v>-13800.5</v>
      </c>
      <c r="F75" s="69">
        <v>1256.3499999999999</v>
      </c>
      <c r="G75" s="32">
        <f t="shared" ref="G75:G77" si="77">F75*0.66</f>
        <v>829.19100000000003</v>
      </c>
      <c r="H75" s="73">
        <v>0.20222100000000001</v>
      </c>
      <c r="I75" s="69">
        <f t="shared" ref="I75:I77" si="78">(E75+G75)*H75</f>
        <v>-2623.0710772890002</v>
      </c>
      <c r="J75" s="79" t="s">
        <v>468</v>
      </c>
      <c r="K75" s="61">
        <v>0</v>
      </c>
      <c r="L75" s="61">
        <f t="shared" ref="L75:L77" si="79">F75*0.09*H75</f>
        <v>22.865431801499998</v>
      </c>
      <c r="M75" s="58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hidden="1" x14ac:dyDescent="0.3">
      <c r="A76" s="32" t="s">
        <v>372</v>
      </c>
      <c r="B76" s="46" t="s">
        <v>138</v>
      </c>
      <c r="C76" s="97">
        <v>1086297</v>
      </c>
      <c r="D76" s="32" t="s">
        <v>1005</v>
      </c>
      <c r="E76" s="32">
        <v>43820.35</v>
      </c>
      <c r="F76" s="32">
        <v>11451.35</v>
      </c>
      <c r="G76" s="32">
        <f t="shared" si="77"/>
        <v>7557.8910000000005</v>
      </c>
      <c r="H76" s="73">
        <v>0.20222100000000001</v>
      </c>
      <c r="I76" s="69">
        <f t="shared" si="78"/>
        <v>10389.759273261001</v>
      </c>
      <c r="J76" s="79" t="s">
        <v>468</v>
      </c>
      <c r="K76" s="61">
        <v>0</v>
      </c>
      <c r="L76" s="61">
        <f t="shared" si="79"/>
        <v>208.4133103515</v>
      </c>
      <c r="M76" s="58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hidden="1" x14ac:dyDescent="0.3">
      <c r="A77" s="32" t="s">
        <v>372</v>
      </c>
      <c r="B77" s="46" t="s">
        <v>138</v>
      </c>
      <c r="C77" s="97">
        <v>1086299</v>
      </c>
      <c r="D77" s="10" t="s">
        <v>1004</v>
      </c>
      <c r="E77" s="32">
        <v>-11081.25</v>
      </c>
      <c r="F77" s="32">
        <v>992.4</v>
      </c>
      <c r="G77" s="32">
        <f t="shared" si="77"/>
        <v>654.98400000000004</v>
      </c>
      <c r="H77" s="73">
        <v>0.20222100000000001</v>
      </c>
      <c r="I77" s="69">
        <f t="shared" si="78"/>
        <v>-2108.4099367859999</v>
      </c>
      <c r="J77" s="79" t="s">
        <v>468</v>
      </c>
      <c r="K77" s="61">
        <v>0</v>
      </c>
      <c r="L77" s="61">
        <f t="shared" si="79"/>
        <v>18.061570835999998</v>
      </c>
      <c r="M77" s="58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hidden="1" x14ac:dyDescent="0.3">
      <c r="A78" s="32" t="s">
        <v>372</v>
      </c>
      <c r="B78" s="32" t="s">
        <v>23</v>
      </c>
      <c r="C78" s="10">
        <v>9886835</v>
      </c>
      <c r="D78" s="10" t="s">
        <v>989</v>
      </c>
      <c r="E78" s="32">
        <v>-2089.5</v>
      </c>
      <c r="F78" s="32">
        <v>330.5</v>
      </c>
      <c r="G78" s="69">
        <f t="shared" ref="G78:G80" si="80">F78*0.7</f>
        <v>231.35</v>
      </c>
      <c r="H78" s="70">
        <v>0.20366598799999999</v>
      </c>
      <c r="I78" s="69">
        <f t="shared" ref="I78:I83" si="81">(E78+G78)*H78*0.9</f>
        <v>-340.59776004198</v>
      </c>
      <c r="J78" s="79" t="s">
        <v>468</v>
      </c>
      <c r="K78" s="61">
        <f t="shared" ref="K78:K83" si="82">E78*0.1*H78</f>
        <v>-42.556008192600004</v>
      </c>
      <c r="L78" s="61">
        <f t="shared" ref="L78:L80" si="83">G78*0.1*H78</f>
        <v>4.71181263238</v>
      </c>
      <c r="M78" s="58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hidden="1" x14ac:dyDescent="0.3">
      <c r="A79" s="32" t="s">
        <v>372</v>
      </c>
      <c r="B79" s="32" t="s">
        <v>23</v>
      </c>
      <c r="C79" s="10">
        <v>9995089</v>
      </c>
      <c r="D79" s="10" t="s">
        <v>1016</v>
      </c>
      <c r="E79" s="32">
        <v>-36990.85</v>
      </c>
      <c r="F79" s="32">
        <v>7854</v>
      </c>
      <c r="G79" s="69">
        <f t="shared" si="80"/>
        <v>5497.7999999999993</v>
      </c>
      <c r="H79" s="70">
        <v>0.20366598799999999</v>
      </c>
      <c r="I79" s="69">
        <f t="shared" si="81"/>
        <v>-5772.6568290450596</v>
      </c>
      <c r="J79" s="79" t="s">
        <v>468</v>
      </c>
      <c r="K79" s="61">
        <f t="shared" si="82"/>
        <v>-753.37780122098002</v>
      </c>
      <c r="L79" s="61">
        <f t="shared" si="83"/>
        <v>111.97148688263999</v>
      </c>
      <c r="M79" s="58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hidden="1" x14ac:dyDescent="0.3">
      <c r="A80" s="32" t="s">
        <v>372</v>
      </c>
      <c r="B80" s="32" t="s">
        <v>23</v>
      </c>
      <c r="C80" s="10">
        <v>9995086</v>
      </c>
      <c r="D80" s="10" t="s">
        <v>1017</v>
      </c>
      <c r="E80" s="32">
        <v>-91320.5</v>
      </c>
      <c r="F80" s="32">
        <v>4855.3</v>
      </c>
      <c r="G80" s="69">
        <f t="shared" si="80"/>
        <v>3398.71</v>
      </c>
      <c r="H80" s="70">
        <v>0.20366598799999999</v>
      </c>
      <c r="I80" s="69">
        <f t="shared" si="81"/>
        <v>-16116.010404370667</v>
      </c>
      <c r="J80" s="79" t="s">
        <v>468</v>
      </c>
      <c r="K80" s="61">
        <f t="shared" si="82"/>
        <v>-1859.8879857154002</v>
      </c>
      <c r="L80" s="61">
        <f t="shared" si="83"/>
        <v>69.22016300754801</v>
      </c>
      <c r="M80" s="58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hidden="1" x14ac:dyDescent="0.3">
      <c r="A81" s="2" t="s">
        <v>372</v>
      </c>
      <c r="B81" s="29" t="s">
        <v>35</v>
      </c>
      <c r="C81" s="2" t="s">
        <v>1011</v>
      </c>
      <c r="D81" s="32" t="s">
        <v>1012</v>
      </c>
      <c r="E81" s="69">
        <v>-1800</v>
      </c>
      <c r="F81" s="69">
        <v>90</v>
      </c>
      <c r="G81" s="69">
        <f>F81*0.82</f>
        <v>73.8</v>
      </c>
      <c r="H81" s="75">
        <v>0.27928999999999998</v>
      </c>
      <c r="I81" s="69">
        <f t="shared" si="81"/>
        <v>-433.89935819999999</v>
      </c>
      <c r="J81" s="78">
        <f>F81*0.05*H81</f>
        <v>1.2568049999999999</v>
      </c>
      <c r="K81" s="61">
        <f t="shared" si="82"/>
        <v>-50.272199999999998</v>
      </c>
      <c r="L81" s="61">
        <f>(F81*0.01+G81*0.1)*H81</f>
        <v>2.3125211999999995</v>
      </c>
      <c r="M81" s="58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hidden="1" x14ac:dyDescent="0.3">
      <c r="A82" s="2" t="s">
        <v>372</v>
      </c>
      <c r="B82" s="32" t="s">
        <v>61</v>
      </c>
      <c r="C82" s="10" t="s">
        <v>1011</v>
      </c>
      <c r="D82" s="10" t="s">
        <v>1012</v>
      </c>
      <c r="E82" s="32">
        <v>-49647.72</v>
      </c>
      <c r="F82" s="32">
        <v>13471.37</v>
      </c>
      <c r="G82" s="69">
        <f t="shared" ref="G82:G83" si="84">F82*0.6</f>
        <v>8082.8220000000001</v>
      </c>
      <c r="H82" s="70">
        <v>1.1285700000000001</v>
      </c>
      <c r="I82" s="69">
        <f t="shared" si="81"/>
        <v>-42218.007242274005</v>
      </c>
      <c r="J82" s="19" t="s">
        <v>468</v>
      </c>
      <c r="K82" s="61">
        <f t="shared" si="82"/>
        <v>-5603.092736040001</v>
      </c>
      <c r="L82" s="61">
        <f t="shared" ref="L82:L83" si="85">(F82*0.05+G82*0.1)*H82</f>
        <v>1672.3722444990003</v>
      </c>
      <c r="M82" s="58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hidden="1" x14ac:dyDescent="0.3">
      <c r="A83" s="2" t="s">
        <v>372</v>
      </c>
      <c r="B83" s="32" t="s">
        <v>61</v>
      </c>
      <c r="C83" s="10" t="s">
        <v>1018</v>
      </c>
      <c r="D83" s="10" t="s">
        <v>1019</v>
      </c>
      <c r="E83" s="32">
        <v>-9162.4599999999991</v>
      </c>
      <c r="F83" s="32">
        <v>1029.95</v>
      </c>
      <c r="G83" s="69">
        <f t="shared" si="84"/>
        <v>617.97</v>
      </c>
      <c r="H83" s="70">
        <v>1.1285700000000001</v>
      </c>
      <c r="I83" s="69">
        <f t="shared" si="81"/>
        <v>-8678.7495713700009</v>
      </c>
      <c r="J83" s="19" t="s">
        <v>468</v>
      </c>
      <c r="K83" s="61">
        <f t="shared" si="82"/>
        <v>-1034.0477482200001</v>
      </c>
      <c r="L83" s="61">
        <f t="shared" si="85"/>
        <v>127.86077386500001</v>
      </c>
      <c r="M83" s="58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hidden="1" x14ac:dyDescent="0.3">
      <c r="A84" s="2" t="s">
        <v>372</v>
      </c>
      <c r="B84" s="2" t="s">
        <v>30</v>
      </c>
      <c r="C84" s="10">
        <v>9886838</v>
      </c>
      <c r="D84" s="2" t="s">
        <v>1003</v>
      </c>
      <c r="E84" s="32">
        <v>4590.1000000000004</v>
      </c>
      <c r="F84" s="32">
        <v>95.3</v>
      </c>
      <c r="G84" s="69">
        <f t="shared" ref="G84:G89" si="86">F84*0.7</f>
        <v>66.709999999999994</v>
      </c>
      <c r="H84" s="70">
        <v>0.20230899999999999</v>
      </c>
      <c r="I84" s="69">
        <f t="shared" ref="I84:I89" si="87">(E84+G84)*H84*0.93</f>
        <v>876.16655408970007</v>
      </c>
      <c r="J84" s="79" t="s">
        <v>468</v>
      </c>
      <c r="K84" s="61">
        <f t="shared" ref="K84:K89" si="88">E84*0.07*H84</f>
        <v>65.003297863000014</v>
      </c>
      <c r="L84" s="61">
        <f t="shared" ref="L84:L89" si="89">(F84*0.03+G84*0.07)*H84</f>
        <v>1.5231237682999998</v>
      </c>
      <c r="M84" s="58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hidden="1" x14ac:dyDescent="0.3">
      <c r="A85" s="2" t="s">
        <v>372</v>
      </c>
      <c r="B85" s="2" t="s">
        <v>30</v>
      </c>
      <c r="C85" s="10">
        <v>9886830</v>
      </c>
      <c r="D85" s="2" t="s">
        <v>1001</v>
      </c>
      <c r="E85" s="32">
        <v>-3220</v>
      </c>
      <c r="F85" s="32">
        <v>65.400000000000006</v>
      </c>
      <c r="G85" s="69">
        <f t="shared" si="86"/>
        <v>45.78</v>
      </c>
      <c r="H85" s="70">
        <v>0.20230899999999999</v>
      </c>
      <c r="I85" s="69">
        <f t="shared" si="87"/>
        <v>-597.22114480139999</v>
      </c>
      <c r="J85" s="79" t="s">
        <v>468</v>
      </c>
      <c r="K85" s="61">
        <f t="shared" si="88"/>
        <v>-45.600448600000007</v>
      </c>
      <c r="L85" s="61">
        <f t="shared" si="89"/>
        <v>1.0452496794000001</v>
      </c>
      <c r="M85" s="58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hidden="1" x14ac:dyDescent="0.3">
      <c r="A86" s="2" t="s">
        <v>372</v>
      </c>
      <c r="B86" s="2" t="s">
        <v>30</v>
      </c>
      <c r="C86" s="10">
        <v>9995097</v>
      </c>
      <c r="D86" s="10" t="s">
        <v>1020</v>
      </c>
      <c r="E86" s="32">
        <v>188813.9</v>
      </c>
      <c r="F86" s="32">
        <v>8484</v>
      </c>
      <c r="G86" s="69">
        <f t="shared" si="86"/>
        <v>5938.7999999999993</v>
      </c>
      <c r="H86" s="70">
        <v>0.20230899999999999</v>
      </c>
      <c r="I86" s="69">
        <f t="shared" si="87"/>
        <v>36642.208305398992</v>
      </c>
      <c r="J86" s="79" t="s">
        <v>468</v>
      </c>
      <c r="K86" s="61">
        <f t="shared" si="88"/>
        <v>2673.9125906569998</v>
      </c>
      <c r="L86" s="61">
        <f t="shared" si="89"/>
        <v>135.59477492399998</v>
      </c>
      <c r="M86" s="58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hidden="1" x14ac:dyDescent="0.3">
      <c r="A87" s="2" t="s">
        <v>372</v>
      </c>
      <c r="B87" s="2" t="s">
        <v>30</v>
      </c>
      <c r="C87" s="10">
        <v>9995097</v>
      </c>
      <c r="D87" s="10" t="s">
        <v>1020</v>
      </c>
      <c r="E87" s="32">
        <v>-128311.7</v>
      </c>
      <c r="F87" s="32">
        <v>3902</v>
      </c>
      <c r="G87" s="69">
        <f t="shared" si="86"/>
        <v>2731.3999999999996</v>
      </c>
      <c r="H87" s="70">
        <v>0.20230899999999999</v>
      </c>
      <c r="I87" s="69">
        <f t="shared" si="87"/>
        <v>-23627.603168811002</v>
      </c>
      <c r="J87" s="79" t="s">
        <v>468</v>
      </c>
      <c r="K87" s="61">
        <f t="shared" si="88"/>
        <v>-1817.1028200710002</v>
      </c>
      <c r="L87" s="61">
        <f t="shared" si="89"/>
        <v>62.363367721999992</v>
      </c>
      <c r="M87" s="58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hidden="1" x14ac:dyDescent="0.3">
      <c r="A88" s="2" t="s">
        <v>372</v>
      </c>
      <c r="B88" s="32" t="s">
        <v>25</v>
      </c>
      <c r="C88" s="10">
        <v>10011420</v>
      </c>
      <c r="D88" s="2" t="s">
        <v>1021</v>
      </c>
      <c r="E88" s="69">
        <v>2561</v>
      </c>
      <c r="F88" s="69">
        <v>87</v>
      </c>
      <c r="G88" s="69">
        <f t="shared" si="86"/>
        <v>60.9</v>
      </c>
      <c r="H88" s="70">
        <v>0.20219311000000001</v>
      </c>
      <c r="I88" s="69">
        <f t="shared" si="87"/>
        <v>493.02100705137008</v>
      </c>
      <c r="J88" s="79" t="s">
        <v>468</v>
      </c>
      <c r="K88" s="61">
        <f t="shared" si="88"/>
        <v>36.247158829700005</v>
      </c>
      <c r="L88" s="61">
        <f t="shared" si="89"/>
        <v>1.38967324503</v>
      </c>
      <c r="M88" s="58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hidden="1" x14ac:dyDescent="0.3">
      <c r="A89" s="2" t="s">
        <v>372</v>
      </c>
      <c r="B89" s="32" t="s">
        <v>25</v>
      </c>
      <c r="C89" s="10">
        <v>10011430</v>
      </c>
      <c r="D89" s="2" t="s">
        <v>1022</v>
      </c>
      <c r="E89" s="69">
        <v>744.55</v>
      </c>
      <c r="F89" s="69">
        <v>742.55</v>
      </c>
      <c r="G89" s="69">
        <f t="shared" si="86"/>
        <v>519.78499999999997</v>
      </c>
      <c r="H89" s="70">
        <v>0.20219311000000001</v>
      </c>
      <c r="I89" s="69">
        <f t="shared" si="87"/>
        <v>237.74503793062053</v>
      </c>
      <c r="J89" s="79" t="s">
        <v>468</v>
      </c>
      <c r="K89" s="61">
        <f t="shared" si="88"/>
        <v>10.538001603535001</v>
      </c>
      <c r="L89" s="61">
        <f t="shared" si="89"/>
        <v>11.860941012609501</v>
      </c>
      <c r="M89" s="58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hidden="1" x14ac:dyDescent="0.3">
      <c r="A90" s="32" t="s">
        <v>372</v>
      </c>
      <c r="B90" s="32" t="s">
        <v>136</v>
      </c>
      <c r="C90" s="10" t="s">
        <v>1009</v>
      </c>
      <c r="D90" s="10" t="s">
        <v>1010</v>
      </c>
      <c r="E90" s="69">
        <v>3127.05</v>
      </c>
      <c r="F90" s="69">
        <v>216.45</v>
      </c>
      <c r="G90" s="69">
        <f t="shared" ref="G90:G91" si="90">F90*0.75</f>
        <v>162.33749999999998</v>
      </c>
      <c r="H90" s="70">
        <v>1</v>
      </c>
      <c r="I90" s="69">
        <f t="shared" ref="I90:I91" si="91">(E90+G90)*H90*0.9</f>
        <v>2960.4487500000005</v>
      </c>
      <c r="J90" s="79" t="s">
        <v>468</v>
      </c>
      <c r="K90" s="61">
        <f t="shared" ref="K90:K96" si="92">E90*0.1*H90</f>
        <v>312.70500000000004</v>
      </c>
      <c r="L90" s="61">
        <f t="shared" ref="L90:L91" si="93">(F90*0.05+G90*0.1)*H90</f>
        <v>27.056249999999999</v>
      </c>
      <c r="M90" s="58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hidden="1" x14ac:dyDescent="0.3">
      <c r="A91" s="32" t="s">
        <v>372</v>
      </c>
      <c r="B91" s="32" t="s">
        <v>136</v>
      </c>
      <c r="C91" s="10" t="s">
        <v>1011</v>
      </c>
      <c r="D91" s="10" t="s">
        <v>1012</v>
      </c>
      <c r="E91" s="69">
        <v>-7372.02</v>
      </c>
      <c r="F91" s="69">
        <v>2099.4699999999998</v>
      </c>
      <c r="G91" s="69">
        <f t="shared" si="90"/>
        <v>1574.6025</v>
      </c>
      <c r="H91" s="70">
        <v>1</v>
      </c>
      <c r="I91" s="69">
        <f t="shared" si="91"/>
        <v>-5217.6757500000003</v>
      </c>
      <c r="J91" s="79" t="s">
        <v>468</v>
      </c>
      <c r="K91" s="61">
        <f t="shared" si="92"/>
        <v>-737.20200000000011</v>
      </c>
      <c r="L91" s="61">
        <f t="shared" si="93"/>
        <v>262.43375000000003</v>
      </c>
      <c r="M91" s="58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hidden="1" x14ac:dyDescent="0.3">
      <c r="A92" s="32" t="s">
        <v>372</v>
      </c>
      <c r="B92" s="32" t="s">
        <v>31</v>
      </c>
      <c r="C92" s="10">
        <v>2596847</v>
      </c>
      <c r="D92" s="32" t="s">
        <v>1015</v>
      </c>
      <c r="E92" s="69">
        <v>3830.36</v>
      </c>
      <c r="F92" s="69">
        <v>442.56</v>
      </c>
      <c r="G92" s="32">
        <f t="shared" ref="G92:G93" si="94">F92*0.7</f>
        <v>309.79199999999997</v>
      </c>
      <c r="H92" s="70">
        <v>0.74973699999999999</v>
      </c>
      <c r="I92" s="69">
        <f t="shared" ref="I92:I93" si="95">(E92+G92)*H92*0.8</f>
        <v>2483.2201120192003</v>
      </c>
      <c r="J92" s="79" t="s">
        <v>468</v>
      </c>
      <c r="K92" s="61">
        <f t="shared" si="92"/>
        <v>287.17626153200001</v>
      </c>
      <c r="L92" s="61">
        <f t="shared" ref="L92:L93" si="96">G92*0.1*H92</f>
        <v>23.226252470399999</v>
      </c>
      <c r="M92" s="58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hidden="1" x14ac:dyDescent="0.3">
      <c r="A93" s="32" t="s">
        <v>372</v>
      </c>
      <c r="B93" s="32" t="s">
        <v>31</v>
      </c>
      <c r="C93" s="10">
        <v>2590080</v>
      </c>
      <c r="D93" s="32" t="s">
        <v>1014</v>
      </c>
      <c r="E93" s="69">
        <v>10731.36</v>
      </c>
      <c r="F93" s="69">
        <v>521.66</v>
      </c>
      <c r="G93" s="32">
        <f t="shared" si="94"/>
        <v>365.16199999999998</v>
      </c>
      <c r="H93" s="70">
        <v>0.74973699999999999</v>
      </c>
      <c r="I93" s="69">
        <f t="shared" si="95"/>
        <v>6655.5784917712008</v>
      </c>
      <c r="J93" s="79" t="s">
        <v>468</v>
      </c>
      <c r="K93" s="61">
        <f t="shared" si="92"/>
        <v>804.56976523200012</v>
      </c>
      <c r="L93" s="61">
        <f t="shared" si="96"/>
        <v>27.377546239399997</v>
      </c>
      <c r="M93" s="58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hidden="1" x14ac:dyDescent="0.3">
      <c r="A94" s="2" t="s">
        <v>377</v>
      </c>
      <c r="B94" s="32" t="s">
        <v>69</v>
      </c>
      <c r="C94" s="10" t="s">
        <v>1011</v>
      </c>
      <c r="D94" s="10" t="s">
        <v>1012</v>
      </c>
      <c r="E94" s="32">
        <v>167</v>
      </c>
      <c r="F94" s="32">
        <v>109</v>
      </c>
      <c r="G94" s="69">
        <f>F94*0.75</f>
        <v>81.75</v>
      </c>
      <c r="H94" s="74">
        <v>1</v>
      </c>
      <c r="I94" s="69">
        <f t="shared" ref="I94:I96" si="97">(E94+G94)*H94*0.9</f>
        <v>223.875</v>
      </c>
      <c r="J94" s="78">
        <f t="shared" ref="J94:J95" si="98">F94*0.05*H94</f>
        <v>5.45</v>
      </c>
      <c r="K94" s="61">
        <f t="shared" si="92"/>
        <v>16.7</v>
      </c>
      <c r="L94" s="61">
        <f>(F94*0.05+G94*0.1)*H94</f>
        <v>13.625</v>
      </c>
      <c r="M94" s="58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hidden="1" x14ac:dyDescent="0.3">
      <c r="A95" s="2" t="s">
        <v>377</v>
      </c>
      <c r="B95" s="29" t="s">
        <v>35</v>
      </c>
      <c r="C95" s="10" t="s">
        <v>1011</v>
      </c>
      <c r="D95" s="10" t="s">
        <v>1012</v>
      </c>
      <c r="E95" s="32">
        <v>-1100</v>
      </c>
      <c r="F95" s="32">
        <v>60</v>
      </c>
      <c r="G95" s="69">
        <f>F95*0.82</f>
        <v>49.199999999999996</v>
      </c>
      <c r="H95" s="75">
        <v>0.27564</v>
      </c>
      <c r="I95" s="69">
        <f t="shared" si="97"/>
        <v>-260.67826080000003</v>
      </c>
      <c r="J95" s="78">
        <f t="shared" si="98"/>
        <v>0.82691999999999999</v>
      </c>
      <c r="K95" s="61">
        <f t="shared" si="92"/>
        <v>-30.320399999999999</v>
      </c>
      <c r="L95" s="61">
        <f>(F95*0.01+G95*0.1)*H95</f>
        <v>1.5215327999999999</v>
      </c>
      <c r="M95" s="58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hidden="1" x14ac:dyDescent="0.3">
      <c r="A96" s="2" t="s">
        <v>377</v>
      </c>
      <c r="B96" s="32" t="s">
        <v>61</v>
      </c>
      <c r="C96" s="10" t="s">
        <v>1018</v>
      </c>
      <c r="D96" s="10" t="s">
        <v>1019</v>
      </c>
      <c r="E96" s="32">
        <v>2953.65</v>
      </c>
      <c r="F96" s="32">
        <v>2953.65</v>
      </c>
      <c r="G96" s="69">
        <f>F96*0.6</f>
        <v>1772.19</v>
      </c>
      <c r="H96" s="70">
        <v>1.13923</v>
      </c>
      <c r="I96" s="69">
        <f t="shared" si="97"/>
        <v>4845.4368328800001</v>
      </c>
      <c r="J96" s="19" t="s">
        <v>468</v>
      </c>
      <c r="K96" s="61">
        <f t="shared" si="92"/>
        <v>336.48866894999998</v>
      </c>
      <c r="L96" s="61">
        <f>(F96*0.05+G96*0.1)*H96</f>
        <v>370.13753584500006</v>
      </c>
      <c r="M96" s="58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hidden="1" x14ac:dyDescent="0.3">
      <c r="A97" s="2" t="s">
        <v>377</v>
      </c>
      <c r="B97" s="32" t="s">
        <v>140</v>
      </c>
      <c r="C97" s="10">
        <v>6915814</v>
      </c>
      <c r="D97" s="10" t="s">
        <v>1023</v>
      </c>
      <c r="E97" s="32">
        <v>-55</v>
      </c>
      <c r="F97" s="32">
        <v>38.340000000000003</v>
      </c>
      <c r="G97" s="69">
        <f>F97*0.65</f>
        <v>24.921000000000003</v>
      </c>
      <c r="H97" s="70">
        <v>0.66465792999999995</v>
      </c>
      <c r="I97" s="69">
        <f>((E97+G97)*0.9)*H97</f>
        <v>-17.993021288822998</v>
      </c>
      <c r="J97" s="19" t="s">
        <v>468</v>
      </c>
      <c r="K97" s="61">
        <v>0</v>
      </c>
      <c r="L97" s="61">
        <f>F97*0.05*H97*0.9</f>
        <v>1.1467343266290002</v>
      </c>
      <c r="M97" s="58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hidden="1" x14ac:dyDescent="0.3">
      <c r="A98" s="2" t="s">
        <v>377</v>
      </c>
      <c r="B98" s="2" t="s">
        <v>30</v>
      </c>
      <c r="C98" s="10">
        <v>9995091</v>
      </c>
      <c r="D98" s="2" t="s">
        <v>1024</v>
      </c>
      <c r="E98" s="69">
        <v>382</v>
      </c>
      <c r="F98" s="69">
        <v>18</v>
      </c>
      <c r="G98" s="69">
        <f t="shared" ref="G98:G101" si="99">F98*0.7</f>
        <v>12.6</v>
      </c>
      <c r="H98" s="70">
        <v>0.20088900000000001</v>
      </c>
      <c r="I98" s="69">
        <f t="shared" ref="I98:I101" si="100">(E98+G98)*H98*0.93</f>
        <v>73.721843442000022</v>
      </c>
      <c r="J98" s="79" t="s">
        <v>468</v>
      </c>
      <c r="K98" s="61">
        <f t="shared" ref="K98:K101" si="101">E98*0.07*H98</f>
        <v>5.3717718600000008</v>
      </c>
      <c r="L98" s="61">
        <f t="shared" ref="L98:L101" si="102">(F98*0.03+G98*0.07)*H98</f>
        <v>0.28566415800000006</v>
      </c>
      <c r="M98" s="58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hidden="1" x14ac:dyDescent="0.3">
      <c r="A99" s="2" t="s">
        <v>377</v>
      </c>
      <c r="B99" s="2" t="s">
        <v>30</v>
      </c>
      <c r="C99" s="10">
        <v>9995097</v>
      </c>
      <c r="D99" s="10" t="s">
        <v>1020</v>
      </c>
      <c r="E99" s="32">
        <v>-84012.1</v>
      </c>
      <c r="F99" s="32">
        <v>5834.5</v>
      </c>
      <c r="G99" s="69">
        <f t="shared" si="99"/>
        <v>4084.1499999999996</v>
      </c>
      <c r="H99" s="70">
        <v>0.20088900000000001</v>
      </c>
      <c r="I99" s="69">
        <f t="shared" si="100"/>
        <v>-14932.680731221504</v>
      </c>
      <c r="J99" s="79" t="s">
        <v>468</v>
      </c>
      <c r="K99" s="61">
        <f t="shared" si="101"/>
        <v>-1181.3974729830002</v>
      </c>
      <c r="L99" s="61">
        <f t="shared" si="102"/>
        <v>92.594862769499997</v>
      </c>
      <c r="M99" s="58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hidden="1" x14ac:dyDescent="0.3">
      <c r="A100" s="2" t="s">
        <v>377</v>
      </c>
      <c r="B100" s="32" t="s">
        <v>25</v>
      </c>
      <c r="C100" s="10">
        <v>10011420</v>
      </c>
      <c r="D100" s="2" t="s">
        <v>1021</v>
      </c>
      <c r="E100" s="69">
        <v>-44932.25</v>
      </c>
      <c r="F100" s="69">
        <v>30449.599999999999</v>
      </c>
      <c r="G100" s="69">
        <f t="shared" si="99"/>
        <v>21314.719999999998</v>
      </c>
      <c r="H100" s="70">
        <v>0.200817</v>
      </c>
      <c r="I100" s="69">
        <f t="shared" si="100"/>
        <v>-4410.8054154693009</v>
      </c>
      <c r="J100" s="79" t="s">
        <v>468</v>
      </c>
      <c r="K100" s="61">
        <f t="shared" si="101"/>
        <v>-631.62117537749998</v>
      </c>
      <c r="L100" s="61">
        <f t="shared" si="102"/>
        <v>483.06898853279995</v>
      </c>
      <c r="M100" s="58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hidden="1" x14ac:dyDescent="0.3">
      <c r="A101" s="2" t="s">
        <v>377</v>
      </c>
      <c r="B101" s="32" t="s">
        <v>25</v>
      </c>
      <c r="C101" s="10">
        <v>10011430</v>
      </c>
      <c r="D101" s="2" t="s">
        <v>1022</v>
      </c>
      <c r="E101" s="69">
        <v>-34599.9</v>
      </c>
      <c r="F101" s="69">
        <v>12998.35</v>
      </c>
      <c r="G101" s="69">
        <f t="shared" si="99"/>
        <v>9098.8449999999993</v>
      </c>
      <c r="H101" s="70">
        <v>0.200817</v>
      </c>
      <c r="I101" s="69">
        <f t="shared" si="100"/>
        <v>-4762.5721865995502</v>
      </c>
      <c r="J101" s="79" t="s">
        <v>468</v>
      </c>
      <c r="K101" s="61">
        <f t="shared" si="101"/>
        <v>-486.37736828100009</v>
      </c>
      <c r="L101" s="61">
        <f t="shared" si="102"/>
        <v>206.21288250405001</v>
      </c>
      <c r="M101" s="58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hidden="1" x14ac:dyDescent="0.3">
      <c r="A102" s="2" t="s">
        <v>377</v>
      </c>
      <c r="B102" s="32" t="s">
        <v>136</v>
      </c>
      <c r="C102" s="10" t="s">
        <v>1009</v>
      </c>
      <c r="D102" s="10" t="s">
        <v>1010</v>
      </c>
      <c r="E102" s="69">
        <v>10752.51</v>
      </c>
      <c r="F102" s="69">
        <v>1343.87</v>
      </c>
      <c r="G102" s="69">
        <f>F102*0.75</f>
        <v>1007.9024999999999</v>
      </c>
      <c r="H102" s="70">
        <v>1</v>
      </c>
      <c r="I102" s="69">
        <f t="shared" ref="I102:I106" si="103">(E102+G102)*H102*0.9</f>
        <v>10584.37125</v>
      </c>
      <c r="J102" s="79" t="s">
        <v>468</v>
      </c>
      <c r="K102" s="61">
        <f t="shared" ref="K102:K106" si="104">E102*0.1*H102</f>
        <v>1075.251</v>
      </c>
      <c r="L102" s="61">
        <f t="shared" ref="L102:L105" si="105">(F102*0.05+G102*0.1)*H102</f>
        <v>167.98374999999999</v>
      </c>
      <c r="M102" s="58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 t="s">
        <v>377</v>
      </c>
      <c r="B103" s="32" t="s">
        <v>145</v>
      </c>
      <c r="C103" s="97" t="s">
        <v>1025</v>
      </c>
      <c r="D103" s="10" t="s">
        <v>1026</v>
      </c>
      <c r="E103" s="32">
        <v>7024.45</v>
      </c>
      <c r="F103" s="32">
        <v>1197.78</v>
      </c>
      <c r="G103" s="69">
        <f>F103*0.7</f>
        <v>838.44599999999991</v>
      </c>
      <c r="H103" s="70">
        <v>1.13809</v>
      </c>
      <c r="I103" s="69">
        <f t="shared" si="103"/>
        <v>8053.814977776</v>
      </c>
      <c r="J103" s="19" t="s">
        <v>468</v>
      </c>
      <c r="K103" s="61">
        <f t="shared" si="104"/>
        <v>799.44563005000009</v>
      </c>
      <c r="L103" s="61">
        <f t="shared" si="105"/>
        <v>163.58177282400001</v>
      </c>
      <c r="M103" s="58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hidden="1" x14ac:dyDescent="0.3">
      <c r="A104" s="2" t="s">
        <v>379</v>
      </c>
      <c r="B104" s="10" t="s">
        <v>132</v>
      </c>
      <c r="C104" s="10" t="s">
        <v>1011</v>
      </c>
      <c r="D104" s="32" t="s">
        <v>1012</v>
      </c>
      <c r="E104" s="32">
        <v>20268.66</v>
      </c>
      <c r="F104" s="32">
        <v>1990.76</v>
      </c>
      <c r="G104" s="32">
        <f t="shared" ref="G104:G105" si="106">F104*0.75</f>
        <v>1493.07</v>
      </c>
      <c r="H104" s="75">
        <v>0.27393000000000001</v>
      </c>
      <c r="I104" s="69">
        <f t="shared" si="103"/>
        <v>5365.0716290099999</v>
      </c>
      <c r="J104" s="78">
        <f t="shared" ref="J104:J106" si="107">F104*0.05*H104</f>
        <v>27.266444340000003</v>
      </c>
      <c r="K104" s="61">
        <f t="shared" si="104"/>
        <v>555.21940338000002</v>
      </c>
      <c r="L104" s="61">
        <f t="shared" si="105"/>
        <v>68.166110849999995</v>
      </c>
      <c r="M104" s="58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hidden="1" x14ac:dyDescent="0.3">
      <c r="A105" s="2" t="s">
        <v>379</v>
      </c>
      <c r="B105" s="10" t="s">
        <v>132</v>
      </c>
      <c r="C105" s="10" t="s">
        <v>1027</v>
      </c>
      <c r="D105" s="46" t="s">
        <v>1028</v>
      </c>
      <c r="E105" s="32">
        <v>14186.73</v>
      </c>
      <c r="F105" s="32">
        <v>2384.41</v>
      </c>
      <c r="G105" s="32">
        <f t="shared" si="106"/>
        <v>1788.3074999999999</v>
      </c>
      <c r="H105" s="75">
        <v>0.27393000000000001</v>
      </c>
      <c r="I105" s="69">
        <f t="shared" si="103"/>
        <v>3938.4378201374998</v>
      </c>
      <c r="J105" s="78">
        <f t="shared" si="107"/>
        <v>32.658071565</v>
      </c>
      <c r="K105" s="61">
        <f t="shared" si="104"/>
        <v>388.61709489000003</v>
      </c>
      <c r="L105" s="61">
        <f t="shared" si="105"/>
        <v>81.6451789125</v>
      </c>
      <c r="M105" s="58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hidden="1" x14ac:dyDescent="0.3">
      <c r="A106" s="2" t="s">
        <v>379</v>
      </c>
      <c r="B106" s="29" t="s">
        <v>35</v>
      </c>
      <c r="C106" s="10" t="s">
        <v>1011</v>
      </c>
      <c r="D106" s="10" t="s">
        <v>1012</v>
      </c>
      <c r="E106" s="32">
        <v>4730</v>
      </c>
      <c r="F106" s="32">
        <v>160</v>
      </c>
      <c r="G106" s="69">
        <f>F106*0.82</f>
        <v>131.19999999999999</v>
      </c>
      <c r="H106" s="75">
        <v>0.27393000000000001</v>
      </c>
      <c r="I106" s="69">
        <f t="shared" si="103"/>
        <v>1198.4656643999999</v>
      </c>
      <c r="J106" s="78">
        <f t="shared" si="107"/>
        <v>2.1914400000000001</v>
      </c>
      <c r="K106" s="61">
        <f t="shared" si="104"/>
        <v>129.56889000000001</v>
      </c>
      <c r="L106" s="61">
        <f>(F106*0.01+G106*0.1)*H106</f>
        <v>4.0322496000000001</v>
      </c>
      <c r="M106" s="58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hidden="1" x14ac:dyDescent="0.3">
      <c r="A107" s="2" t="s">
        <v>379</v>
      </c>
      <c r="B107" s="32" t="s">
        <v>140</v>
      </c>
      <c r="C107" s="10">
        <v>6915814</v>
      </c>
      <c r="D107" s="10" t="s">
        <v>1023</v>
      </c>
      <c r="E107" s="32">
        <v>3437.77</v>
      </c>
      <c r="F107" s="32">
        <v>2036.68</v>
      </c>
      <c r="G107" s="69">
        <f>F107*0.65</f>
        <v>1323.8420000000001</v>
      </c>
      <c r="H107" s="70">
        <v>0.65338584</v>
      </c>
      <c r="I107" s="69">
        <f>((E107+G107)*0.9-570.58)*H107</f>
        <v>2427.2439781494722</v>
      </c>
      <c r="J107" s="19" t="s">
        <v>468</v>
      </c>
      <c r="K107" s="61">
        <v>0</v>
      </c>
      <c r="L107" s="61">
        <f>F107*0.05*H107*0.9</f>
        <v>59.883204267504006</v>
      </c>
      <c r="M107" s="58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hidden="1" x14ac:dyDescent="0.3">
      <c r="A108" s="2" t="s">
        <v>379</v>
      </c>
      <c r="B108" s="32" t="s">
        <v>61</v>
      </c>
      <c r="C108" s="10" t="s">
        <v>1018</v>
      </c>
      <c r="D108" s="10" t="s">
        <v>1019</v>
      </c>
      <c r="E108" s="32">
        <v>25917.5</v>
      </c>
      <c r="F108" s="32">
        <v>8441.0300000000007</v>
      </c>
      <c r="G108" s="69">
        <f>F108*0.6</f>
        <v>5064.6180000000004</v>
      </c>
      <c r="H108" s="70">
        <v>1.12683</v>
      </c>
      <c r="I108" s="69">
        <f>(E108+G108)*H108*0.9</f>
        <v>31420.422023346007</v>
      </c>
      <c r="J108" s="19" t="s">
        <v>468</v>
      </c>
      <c r="K108" s="61">
        <f>E108*0.1*H108</f>
        <v>2920.4616525000001</v>
      </c>
      <c r="L108" s="61">
        <f>(F108*0.05+G108*0.1)*H108</f>
        <v>1046.2766418390001</v>
      </c>
      <c r="M108" s="58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hidden="1" x14ac:dyDescent="0.3">
      <c r="A109" s="2" t="s">
        <v>379</v>
      </c>
      <c r="B109" s="2" t="s">
        <v>30</v>
      </c>
      <c r="C109" s="10">
        <v>9995097</v>
      </c>
      <c r="D109" s="10" t="s">
        <v>1020</v>
      </c>
      <c r="E109" s="32">
        <v>-11907.25</v>
      </c>
      <c r="F109" s="32">
        <v>894.45</v>
      </c>
      <c r="G109" s="69">
        <f t="shared" ref="G109:G113" si="108">F109*0.7</f>
        <v>626.11500000000001</v>
      </c>
      <c r="H109" s="70">
        <v>0.19900100000000001</v>
      </c>
      <c r="I109" s="69">
        <f t="shared" ref="I109:I111" si="109">(E109+G109)*H109*0.93</f>
        <v>-2087.8101459055501</v>
      </c>
      <c r="J109" s="79" t="s">
        <v>468</v>
      </c>
      <c r="K109" s="61">
        <f t="shared" ref="K109:K111" si="110">E109*0.07*H109</f>
        <v>-165.86882600750002</v>
      </c>
      <c r="L109" s="61">
        <f t="shared" ref="L109:L111" si="111">(F109*0.03+G109*0.07)*H109</f>
        <v>14.061719111550001</v>
      </c>
      <c r="M109" s="58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hidden="1" x14ac:dyDescent="0.3">
      <c r="A110" s="2" t="s">
        <v>379</v>
      </c>
      <c r="B110" s="32" t="s">
        <v>25</v>
      </c>
      <c r="C110" s="10">
        <v>10011430</v>
      </c>
      <c r="D110" s="32" t="s">
        <v>1022</v>
      </c>
      <c r="E110" s="32">
        <v>-68838.600000000006</v>
      </c>
      <c r="F110" s="32">
        <v>3067.25</v>
      </c>
      <c r="G110" s="69">
        <f t="shared" si="108"/>
        <v>2147.0749999999998</v>
      </c>
      <c r="H110" s="70">
        <v>0.200265</v>
      </c>
      <c r="I110" s="69">
        <f t="shared" si="109"/>
        <v>-12421.059776336253</v>
      </c>
      <c r="J110" s="79" t="s">
        <v>468</v>
      </c>
      <c r="K110" s="61">
        <f t="shared" si="110"/>
        <v>-965.0173560300002</v>
      </c>
      <c r="L110" s="61">
        <f t="shared" si="111"/>
        <v>48.526762878749999</v>
      </c>
      <c r="M110" s="58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hidden="1" x14ac:dyDescent="0.3">
      <c r="A111" s="2" t="s">
        <v>379</v>
      </c>
      <c r="B111" s="32" t="s">
        <v>25</v>
      </c>
      <c r="C111" s="10">
        <v>10011420</v>
      </c>
      <c r="D111" s="10" t="s">
        <v>1021</v>
      </c>
      <c r="E111" s="32">
        <v>74573.25</v>
      </c>
      <c r="F111" s="32">
        <v>4096.45</v>
      </c>
      <c r="G111" s="69">
        <f t="shared" si="108"/>
        <v>2867.5149999999999</v>
      </c>
      <c r="H111" s="70">
        <v>0.200265</v>
      </c>
      <c r="I111" s="69">
        <f t="shared" si="109"/>
        <v>14423.06756653425</v>
      </c>
      <c r="J111" s="79" t="s">
        <v>468</v>
      </c>
      <c r="K111" s="61">
        <f t="shared" si="110"/>
        <v>1045.4088337875</v>
      </c>
      <c r="L111" s="61">
        <f t="shared" si="111"/>
        <v>64.809669180750006</v>
      </c>
      <c r="M111" s="58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2" t="s">
        <v>379</v>
      </c>
      <c r="B112" s="32" t="s">
        <v>145</v>
      </c>
      <c r="C112" s="97" t="s">
        <v>1025</v>
      </c>
      <c r="D112" s="10" t="s">
        <v>1026</v>
      </c>
      <c r="E112" s="32">
        <v>1847.34</v>
      </c>
      <c r="F112" s="32">
        <v>210.42</v>
      </c>
      <c r="G112" s="69">
        <f t="shared" si="108"/>
        <v>147.29399999999998</v>
      </c>
      <c r="H112" s="70">
        <v>1.12774</v>
      </c>
      <c r="I112" s="69">
        <f>(E112+G112)*H112*0.9</f>
        <v>2024.4856924440001</v>
      </c>
      <c r="J112" s="19" t="s">
        <v>468</v>
      </c>
      <c r="K112" s="61">
        <f>E112*0.1*H112</f>
        <v>208.33192116000001</v>
      </c>
      <c r="L112" s="61">
        <f>(F112*0.05+G112*0.1)*H112</f>
        <v>28.475886095999996</v>
      </c>
      <c r="M112" s="58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hidden="1" x14ac:dyDescent="0.3">
      <c r="A113" s="32" t="s">
        <v>380</v>
      </c>
      <c r="B113" s="10" t="s">
        <v>152</v>
      </c>
      <c r="C113" s="10">
        <v>2707518</v>
      </c>
      <c r="D113" s="10" t="s">
        <v>1029</v>
      </c>
      <c r="E113" s="32">
        <v>6751.2</v>
      </c>
      <c r="F113" s="32">
        <v>3324.6</v>
      </c>
      <c r="G113" s="69">
        <f t="shared" si="108"/>
        <v>2327.2199999999998</v>
      </c>
      <c r="H113" s="73">
        <v>0.74386799999999997</v>
      </c>
      <c r="I113" s="69">
        <f>(E113+G113)*H113*0.8</f>
        <v>5402.5169028480004</v>
      </c>
      <c r="J113" s="19" t="s">
        <v>468</v>
      </c>
      <c r="K113" s="61">
        <f>E113*0.15*H113</f>
        <v>753.30024623999998</v>
      </c>
      <c r="L113" s="61">
        <f>G113*0.15*H113</f>
        <v>259.67167304399999</v>
      </c>
      <c r="M113" s="58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hidden="1" x14ac:dyDescent="0.3">
      <c r="A114" s="32" t="s">
        <v>380</v>
      </c>
      <c r="B114" s="29" t="s">
        <v>35</v>
      </c>
      <c r="C114" s="10" t="s">
        <v>1027</v>
      </c>
      <c r="D114" s="46" t="s">
        <v>1028</v>
      </c>
      <c r="E114" s="69">
        <v>1620</v>
      </c>
      <c r="F114" s="69">
        <v>90</v>
      </c>
      <c r="G114" s="69">
        <f>F114*0.82</f>
        <v>73.8</v>
      </c>
      <c r="H114" s="75">
        <v>0.27349000000000001</v>
      </c>
      <c r="I114" s="69">
        <f t="shared" ref="I114:I115" si="112">(E114+G114)*H114*0.9</f>
        <v>416.91362580000003</v>
      </c>
      <c r="J114" s="78">
        <f t="shared" ref="J114:J115" si="113">F114*0.05*H114</f>
        <v>1.2307049999999999</v>
      </c>
      <c r="K114" s="61">
        <f t="shared" ref="K114:K115" si="114">E114*0.1*H114</f>
        <v>44.30538</v>
      </c>
      <c r="L114" s="61">
        <f>(F114*0.01+G114*0.1)*H114</f>
        <v>2.2644972000000001</v>
      </c>
      <c r="M114" s="58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hidden="1" x14ac:dyDescent="0.3">
      <c r="A115" s="32" t="s">
        <v>380</v>
      </c>
      <c r="B115" s="10" t="s">
        <v>132</v>
      </c>
      <c r="C115" s="10" t="s">
        <v>1027</v>
      </c>
      <c r="D115" s="10" t="s">
        <v>1028</v>
      </c>
      <c r="E115" s="32">
        <v>-208.76</v>
      </c>
      <c r="F115" s="32">
        <v>4913.78</v>
      </c>
      <c r="G115" s="32">
        <f>F115*0.75</f>
        <v>3685.335</v>
      </c>
      <c r="H115" s="75">
        <v>0.27349000000000001</v>
      </c>
      <c r="I115" s="69">
        <f t="shared" si="112"/>
        <v>855.72764707500005</v>
      </c>
      <c r="J115" s="78">
        <f t="shared" si="113"/>
        <v>67.193484609999999</v>
      </c>
      <c r="K115" s="61">
        <f t="shared" si="114"/>
        <v>-5.7093772400000002</v>
      </c>
      <c r="L115" s="61">
        <f>(F115*0.05+G115*0.1)*H115</f>
        <v>167.98371152499999</v>
      </c>
      <c r="M115" s="58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hidden="1" x14ac:dyDescent="0.3">
      <c r="A116" s="32" t="s">
        <v>380</v>
      </c>
      <c r="B116" s="32" t="s">
        <v>140</v>
      </c>
      <c r="C116" s="10">
        <v>6915814</v>
      </c>
      <c r="D116" s="10" t="s">
        <v>1023</v>
      </c>
      <c r="E116" s="32">
        <v>10006.700000000001</v>
      </c>
      <c r="F116" s="32">
        <v>1870.5</v>
      </c>
      <c r="G116" s="69">
        <f>F116*0.65</f>
        <v>1215.825</v>
      </c>
      <c r="H116" s="70">
        <v>0.65593482000000003</v>
      </c>
      <c r="I116" s="69">
        <f>((E116+G116)*0.9-3297.77)*H116</f>
        <v>4461.9982528870505</v>
      </c>
      <c r="J116" s="19" t="s">
        <v>468</v>
      </c>
      <c r="K116" s="61">
        <v>0</v>
      </c>
      <c r="L116" s="61">
        <f>F116*0.05*H116*0.9</f>
        <v>55.211673636450008</v>
      </c>
      <c r="M116" s="58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hidden="1" x14ac:dyDescent="0.3">
      <c r="A117" s="32" t="s">
        <v>380</v>
      </c>
      <c r="B117" s="2" t="s">
        <v>30</v>
      </c>
      <c r="C117" s="10">
        <v>9995097</v>
      </c>
      <c r="D117" s="46" t="s">
        <v>1020</v>
      </c>
      <c r="E117" s="69">
        <v>5799.75</v>
      </c>
      <c r="F117" s="69">
        <v>2079.9</v>
      </c>
      <c r="G117" s="69">
        <f t="shared" ref="G117:G119" si="115">F117*0.7</f>
        <v>1455.93</v>
      </c>
      <c r="H117" s="70">
        <v>0.200848</v>
      </c>
      <c r="I117" s="69">
        <f t="shared" ref="I117:I119" si="116">(E117+G117)*H117*0.93</f>
        <v>1355.2785994752001</v>
      </c>
      <c r="J117" s="79" t="s">
        <v>468</v>
      </c>
      <c r="K117" s="61">
        <f t="shared" ref="K117:K119" si="117">E117*0.07*H117</f>
        <v>81.540773160000001</v>
      </c>
      <c r="L117" s="61">
        <f t="shared" ref="L117:L119" si="118">(F117*0.03+G117*0.07)*H117</f>
        <v>33.001756660800005</v>
      </c>
      <c r="M117" s="58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hidden="1" x14ac:dyDescent="0.3">
      <c r="A118" s="32" t="s">
        <v>380</v>
      </c>
      <c r="B118" s="32" t="s">
        <v>25</v>
      </c>
      <c r="C118" s="10">
        <v>10011430</v>
      </c>
      <c r="D118" s="2" t="s">
        <v>1022</v>
      </c>
      <c r="E118" s="69">
        <v>-44691.75</v>
      </c>
      <c r="F118" s="69">
        <v>10783.75</v>
      </c>
      <c r="G118" s="69">
        <f t="shared" si="115"/>
        <v>7548.6249999999991</v>
      </c>
      <c r="H118" s="70">
        <v>0.20095099999999999</v>
      </c>
      <c r="I118" s="69">
        <f t="shared" si="116"/>
        <v>-6941.4717440437507</v>
      </c>
      <c r="J118" s="79" t="s">
        <v>468</v>
      </c>
      <c r="K118" s="61">
        <f t="shared" si="117"/>
        <v>-628.65962979749997</v>
      </c>
      <c r="L118" s="61">
        <f t="shared" si="118"/>
        <v>171.19342235374998</v>
      </c>
      <c r="M118" s="58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hidden="1" x14ac:dyDescent="0.3">
      <c r="A119" s="32" t="s">
        <v>380</v>
      </c>
      <c r="B119" s="32" t="s">
        <v>25</v>
      </c>
      <c r="C119" s="10">
        <v>10011420</v>
      </c>
      <c r="D119" s="2" t="s">
        <v>1021</v>
      </c>
      <c r="E119" s="69">
        <v>41231.85</v>
      </c>
      <c r="F119" s="69">
        <v>4454.1499999999996</v>
      </c>
      <c r="G119" s="69">
        <f t="shared" si="115"/>
        <v>3117.9049999999997</v>
      </c>
      <c r="H119" s="70">
        <v>0.20095099999999999</v>
      </c>
      <c r="I119" s="69">
        <f t="shared" si="116"/>
        <v>8288.2786838146494</v>
      </c>
      <c r="J119" s="79" t="s">
        <v>468</v>
      </c>
      <c r="K119" s="61">
        <f t="shared" si="117"/>
        <v>579.99070425450009</v>
      </c>
      <c r="L119" s="61">
        <f t="shared" si="118"/>
        <v>70.710205835349996</v>
      </c>
      <c r="M119" s="58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hidden="1" x14ac:dyDescent="0.3">
      <c r="A120" s="32" t="s">
        <v>380</v>
      </c>
      <c r="B120" s="32" t="s">
        <v>61</v>
      </c>
      <c r="C120" s="2" t="s">
        <v>1018</v>
      </c>
      <c r="D120" s="32" t="s">
        <v>1019</v>
      </c>
      <c r="E120" s="69">
        <v>-32357.08</v>
      </c>
      <c r="F120" s="69">
        <v>3863.54</v>
      </c>
      <c r="G120" s="69">
        <f t="shared" ref="G120:G121" si="119">F120*0.6</f>
        <v>2318.1239999999998</v>
      </c>
      <c r="H120" s="70">
        <v>1.10371</v>
      </c>
      <c r="I120" s="69">
        <f t="shared" ref="I120:I123" si="120">(E120+G120)*H120*0.9</f>
        <v>-29838.866514084006</v>
      </c>
      <c r="J120" s="19" t="s">
        <v>468</v>
      </c>
      <c r="K120" s="61">
        <f t="shared" ref="K120:K123" si="121">E120*0.1*H120</f>
        <v>-3571.2832766800007</v>
      </c>
      <c r="L120" s="61">
        <f t="shared" ref="L120:L122" si="122">(F120*0.05+G120*0.1)*H120</f>
        <v>469.06505067400002</v>
      </c>
      <c r="M120" s="58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hidden="1" x14ac:dyDescent="0.3">
      <c r="A121" s="32" t="s">
        <v>380</v>
      </c>
      <c r="B121" s="32" t="s">
        <v>61</v>
      </c>
      <c r="C121" s="2" t="s">
        <v>1030</v>
      </c>
      <c r="D121" s="32" t="s">
        <v>1031</v>
      </c>
      <c r="E121" s="69">
        <v>8482.24</v>
      </c>
      <c r="F121" s="69">
        <v>702.22</v>
      </c>
      <c r="G121" s="69">
        <f t="shared" si="119"/>
        <v>421.33199999999999</v>
      </c>
      <c r="H121" s="70">
        <v>1.10371</v>
      </c>
      <c r="I121" s="69">
        <f t="shared" si="120"/>
        <v>8844.2653069080006</v>
      </c>
      <c r="J121" s="19" t="s">
        <v>468</v>
      </c>
      <c r="K121" s="61">
        <f t="shared" si="121"/>
        <v>936.19331104000003</v>
      </c>
      <c r="L121" s="61">
        <f t="shared" si="122"/>
        <v>85.255195982000004</v>
      </c>
      <c r="M121" s="58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32" t="s">
        <v>380</v>
      </c>
      <c r="B122" s="32" t="s">
        <v>145</v>
      </c>
      <c r="C122" s="97" t="s">
        <v>1025</v>
      </c>
      <c r="D122" s="10" t="s">
        <v>1026</v>
      </c>
      <c r="E122" s="32">
        <v>3470.06</v>
      </c>
      <c r="F122" s="32">
        <v>261.98</v>
      </c>
      <c r="G122" s="69">
        <f t="shared" ref="G122:G123" si="123">F122*0.7</f>
        <v>183.386</v>
      </c>
      <c r="H122" s="70">
        <v>1.1123099999999999</v>
      </c>
      <c r="I122" s="69">
        <f t="shared" si="120"/>
        <v>3657.388068234</v>
      </c>
      <c r="J122" s="19" t="s">
        <v>468</v>
      </c>
      <c r="K122" s="61">
        <f t="shared" si="121"/>
        <v>385.97824386000002</v>
      </c>
      <c r="L122" s="61">
        <f t="shared" si="122"/>
        <v>34.968356856</v>
      </c>
      <c r="M122" s="58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hidden="1" x14ac:dyDescent="0.3">
      <c r="A123" s="2" t="s">
        <v>377</v>
      </c>
      <c r="B123" s="32" t="s">
        <v>137</v>
      </c>
      <c r="C123" s="10">
        <v>10049382</v>
      </c>
      <c r="D123" s="32" t="s">
        <v>1032</v>
      </c>
      <c r="E123" s="32">
        <v>1114.5999999999999</v>
      </c>
      <c r="F123" s="32">
        <v>116.52</v>
      </c>
      <c r="G123" s="32">
        <f t="shared" si="123"/>
        <v>81.563999999999993</v>
      </c>
      <c r="H123" s="70">
        <v>1</v>
      </c>
      <c r="I123" s="69">
        <f t="shared" si="120"/>
        <v>1076.5476000000001</v>
      </c>
      <c r="J123" s="19" t="s">
        <v>468</v>
      </c>
      <c r="K123" s="61">
        <f t="shared" si="121"/>
        <v>111.46</v>
      </c>
      <c r="L123" s="61">
        <f>(F123*0.1+G123*0.1)*H123</f>
        <v>19.808399999999999</v>
      </c>
      <c r="M123" s="58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hidden="1" x14ac:dyDescent="0.3">
      <c r="A124" s="91" t="s">
        <v>381</v>
      </c>
      <c r="B124" s="32" t="s">
        <v>133</v>
      </c>
      <c r="C124" s="10">
        <v>1086296</v>
      </c>
      <c r="D124" s="10" t="s">
        <v>1007</v>
      </c>
      <c r="E124" s="32">
        <v>63323.3</v>
      </c>
      <c r="F124" s="32">
        <v>4468</v>
      </c>
      <c r="G124" s="32">
        <f t="shared" ref="G124:G126" si="124">F124*0.66</f>
        <v>2948.88</v>
      </c>
      <c r="H124" s="70">
        <v>0.19864999999999999</v>
      </c>
      <c r="I124" s="69">
        <f t="shared" ref="I124:I126" si="125">(E124+G124)*H124</f>
        <v>13164.968557</v>
      </c>
      <c r="J124" s="79" t="s">
        <v>468</v>
      </c>
      <c r="K124" s="61">
        <v>0</v>
      </c>
      <c r="L124" s="61">
        <f t="shared" ref="L124:L126" si="126">F124*0.09*H124</f>
        <v>79.881137999999993</v>
      </c>
      <c r="M124" s="58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hidden="1" x14ac:dyDescent="0.3">
      <c r="A125" s="91" t="s">
        <v>381</v>
      </c>
      <c r="B125" s="10" t="s">
        <v>133</v>
      </c>
      <c r="C125" s="10">
        <v>1086299</v>
      </c>
      <c r="D125" s="10" t="s">
        <v>1004</v>
      </c>
      <c r="E125" s="32">
        <v>-4328.45</v>
      </c>
      <c r="F125" s="32">
        <v>5980.85</v>
      </c>
      <c r="G125" s="32">
        <f t="shared" si="124"/>
        <v>3947.3610000000003</v>
      </c>
      <c r="H125" s="70">
        <v>0.19864999999999999</v>
      </c>
      <c r="I125" s="69">
        <f t="shared" si="125"/>
        <v>-75.703329849999889</v>
      </c>
      <c r="J125" s="79" t="s">
        <v>468</v>
      </c>
      <c r="K125" s="61">
        <v>0</v>
      </c>
      <c r="L125" s="61">
        <f t="shared" si="126"/>
        <v>106.928626725</v>
      </c>
      <c r="M125" s="58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hidden="1" x14ac:dyDescent="0.3">
      <c r="A126" s="91" t="s">
        <v>381</v>
      </c>
      <c r="B126" s="2" t="s">
        <v>138</v>
      </c>
      <c r="C126" s="10">
        <v>1086299</v>
      </c>
      <c r="D126" s="10" t="s">
        <v>1004</v>
      </c>
      <c r="E126" s="32">
        <v>-79999.8</v>
      </c>
      <c r="F126" s="32">
        <v>3064.05</v>
      </c>
      <c r="G126" s="32">
        <f t="shared" si="124"/>
        <v>2022.2730000000001</v>
      </c>
      <c r="H126" s="70">
        <v>0.19864999999999999</v>
      </c>
      <c r="I126" s="69">
        <f t="shared" si="125"/>
        <v>-15490.23573855</v>
      </c>
      <c r="J126" s="79" t="s">
        <v>468</v>
      </c>
      <c r="K126" s="61">
        <v>0</v>
      </c>
      <c r="L126" s="61">
        <f t="shared" si="126"/>
        <v>54.780617924999994</v>
      </c>
      <c r="M126" s="58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hidden="1" x14ac:dyDescent="0.3">
      <c r="A127" s="32" t="s">
        <v>381</v>
      </c>
      <c r="B127" s="10" t="s">
        <v>132</v>
      </c>
      <c r="C127" s="10" t="s">
        <v>1027</v>
      </c>
      <c r="D127" s="10" t="s">
        <v>1028</v>
      </c>
      <c r="E127" s="32">
        <v>-22930.16</v>
      </c>
      <c r="F127" s="32">
        <v>3322.6</v>
      </c>
      <c r="G127" s="32">
        <f>F127*0.75</f>
        <v>2491.9499999999998</v>
      </c>
      <c r="H127" s="75">
        <v>0.27132000000000001</v>
      </c>
      <c r="I127" s="69">
        <f>(E127+G127)*H127*0.9</f>
        <v>-4990.7656234799997</v>
      </c>
      <c r="J127" s="78">
        <f>F127*0.05*H127</f>
        <v>45.074391599999998</v>
      </c>
      <c r="K127" s="61">
        <f>E127*0.1*H127</f>
        <v>-622.14110112000003</v>
      </c>
      <c r="L127" s="61">
        <f>(F127*0.05+G127*0.1)*H127</f>
        <v>112.685979</v>
      </c>
      <c r="M127" s="58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hidden="1" x14ac:dyDescent="0.3">
      <c r="A128" s="32" t="s">
        <v>381</v>
      </c>
      <c r="B128" s="32" t="s">
        <v>140</v>
      </c>
      <c r="C128" s="10">
        <v>6915814</v>
      </c>
      <c r="D128" s="10" t="s">
        <v>1023</v>
      </c>
      <c r="E128" s="32">
        <v>4084.5</v>
      </c>
      <c r="F128" s="32">
        <v>117.02</v>
      </c>
      <c r="G128" s="69">
        <f>F128*0.65</f>
        <v>76.063000000000002</v>
      </c>
      <c r="H128" s="70">
        <v>0.64624356000000005</v>
      </c>
      <c r="I128" s="69">
        <f>((E128+G128)*0.9+503.06)*H128</f>
        <v>2744.9626255454523</v>
      </c>
      <c r="J128" s="19" t="s">
        <v>468</v>
      </c>
      <c r="K128" s="61">
        <v>0</v>
      </c>
      <c r="L128" s="61">
        <f>F128*0.05*H128*0.9</f>
        <v>3.4030539626040004</v>
      </c>
      <c r="M128" s="58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hidden="1" x14ac:dyDescent="0.3">
      <c r="A129" s="32" t="s">
        <v>381</v>
      </c>
      <c r="B129" s="32" t="s">
        <v>148</v>
      </c>
      <c r="C129" s="10">
        <v>10102192</v>
      </c>
      <c r="D129" s="32" t="s">
        <v>1033</v>
      </c>
      <c r="E129" s="69">
        <v>82626.25</v>
      </c>
      <c r="F129" s="69">
        <v>11519.7</v>
      </c>
      <c r="G129" s="69">
        <f>F129*0.7</f>
        <v>8063.79</v>
      </c>
      <c r="H129" s="70">
        <v>0.197628</v>
      </c>
      <c r="I129" s="69">
        <f>(E129+G129)*H129*0.85</f>
        <v>15234.457541351998</v>
      </c>
      <c r="J129" s="19" t="s">
        <v>468</v>
      </c>
      <c r="K129" s="61">
        <f t="shared" ref="K129:K131" si="127">E129*0.1*H129</f>
        <v>1632.9260535000001</v>
      </c>
      <c r="L129" s="61">
        <f>(F129*0.05*0.95+G129*0.1)*H129</f>
        <v>267.50229441300002</v>
      </c>
      <c r="M129" s="58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hidden="1" x14ac:dyDescent="0.3">
      <c r="A130" s="32" t="s">
        <v>381</v>
      </c>
      <c r="B130" s="32" t="s">
        <v>61</v>
      </c>
      <c r="C130" s="2" t="s">
        <v>1018</v>
      </c>
      <c r="D130" s="32" t="s">
        <v>1019</v>
      </c>
      <c r="E130" s="69">
        <v>-9542.26</v>
      </c>
      <c r="F130" s="69">
        <v>1455.53</v>
      </c>
      <c r="G130" s="69">
        <f t="shared" ref="G130:G131" si="128">F130*0.6</f>
        <v>873.31799999999998</v>
      </c>
      <c r="H130" s="70">
        <v>1.10571</v>
      </c>
      <c r="I130" s="69">
        <f t="shared" ref="I130:I131" si="129">(E130+G130)*H130*0.9</f>
        <v>-8626.8022729380009</v>
      </c>
      <c r="J130" s="19" t="s">
        <v>468</v>
      </c>
      <c r="K130" s="61">
        <f t="shared" si="127"/>
        <v>-1055.09723046</v>
      </c>
      <c r="L130" s="61">
        <f t="shared" ref="L130:L131" si="130">(F130*0.05+G130*0.1)*H130</f>
        <v>177.03334839299998</v>
      </c>
      <c r="M130" s="58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hidden="1" x14ac:dyDescent="0.3">
      <c r="A131" s="32" t="s">
        <v>381</v>
      </c>
      <c r="B131" s="32" t="s">
        <v>61</v>
      </c>
      <c r="C131" s="2" t="s">
        <v>1030</v>
      </c>
      <c r="D131" s="32" t="s">
        <v>1031</v>
      </c>
      <c r="E131" s="69">
        <v>3324.13</v>
      </c>
      <c r="F131" s="69">
        <v>481.19</v>
      </c>
      <c r="G131" s="69">
        <f t="shared" si="128"/>
        <v>288.714</v>
      </c>
      <c r="H131" s="70">
        <v>1.10571</v>
      </c>
      <c r="I131" s="69">
        <f t="shared" si="129"/>
        <v>3595.281965316</v>
      </c>
      <c r="J131" s="19" t="s">
        <v>468</v>
      </c>
      <c r="K131" s="61">
        <f t="shared" si="127"/>
        <v>367.55237822999999</v>
      </c>
      <c r="L131" s="61">
        <f t="shared" si="130"/>
        <v>58.526225439000001</v>
      </c>
      <c r="M131" s="58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hidden="1" x14ac:dyDescent="0.3">
      <c r="A132" s="32" t="s">
        <v>381</v>
      </c>
      <c r="B132" s="10" t="s">
        <v>152</v>
      </c>
      <c r="C132" s="10">
        <v>2707518</v>
      </c>
      <c r="D132" s="10" t="s">
        <v>1029</v>
      </c>
      <c r="E132" s="32">
        <v>5965.76</v>
      </c>
      <c r="F132" s="32">
        <v>295.12</v>
      </c>
      <c r="G132" s="69">
        <f t="shared" ref="G132:G136" si="131">F132*0.7</f>
        <v>206.584</v>
      </c>
      <c r="H132" s="73">
        <v>0.73931100000000005</v>
      </c>
      <c r="I132" s="69">
        <f>(E132+G132)*H132*0.8</f>
        <v>3650.6254519872004</v>
      </c>
      <c r="J132" s="19" t="s">
        <v>468</v>
      </c>
      <c r="K132" s="61">
        <f>E132*0.15*H132</f>
        <v>661.58279870400008</v>
      </c>
      <c r="L132" s="61">
        <f>G132*0.15*H132</f>
        <v>22.909473543600001</v>
      </c>
      <c r="M132" s="58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hidden="1" x14ac:dyDescent="0.3">
      <c r="A133" s="32" t="s">
        <v>381</v>
      </c>
      <c r="B133" s="32" t="s">
        <v>43</v>
      </c>
      <c r="C133" s="10">
        <v>10049382</v>
      </c>
      <c r="D133" s="32" t="s">
        <v>1032</v>
      </c>
      <c r="E133" s="69">
        <v>12064</v>
      </c>
      <c r="F133" s="69">
        <v>451.31</v>
      </c>
      <c r="G133" s="32">
        <f t="shared" si="131"/>
        <v>315.91699999999997</v>
      </c>
      <c r="H133" s="75">
        <v>0.64963899999999997</v>
      </c>
      <c r="I133" s="69">
        <f>(E133+G133)*H133*0.9</f>
        <v>7238.2292099667002</v>
      </c>
      <c r="J133" s="19" t="s">
        <v>468</v>
      </c>
      <c r="K133" s="61">
        <f>E133*0.1*H133</f>
        <v>783.72448959999997</v>
      </c>
      <c r="L133" s="61">
        <f>(F133*0.05+G133*0.1)*H133</f>
        <v>35.182629250799998</v>
      </c>
      <c r="M133" s="58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hidden="1" x14ac:dyDescent="0.3">
      <c r="A134" s="32" t="s">
        <v>381</v>
      </c>
      <c r="B134" s="2" t="s">
        <v>30</v>
      </c>
      <c r="C134" s="10">
        <v>9995097</v>
      </c>
      <c r="D134" s="10" t="s">
        <v>1020</v>
      </c>
      <c r="E134" s="32">
        <v>-5</v>
      </c>
      <c r="F134" s="32">
        <v>238</v>
      </c>
      <c r="G134" s="69">
        <f t="shared" si="131"/>
        <v>166.6</v>
      </c>
      <c r="H134" s="70">
        <v>0.19758700000000001</v>
      </c>
      <c r="I134" s="69">
        <f t="shared" ref="I134:I136" si="132">(E134+G134)*H134*0.93</f>
        <v>29.694955056000005</v>
      </c>
      <c r="J134" s="79" t="s">
        <v>468</v>
      </c>
      <c r="K134" s="61">
        <f t="shared" ref="K134:K136" si="133">E134*0.07*H134</f>
        <v>-6.9155450000000007E-2</v>
      </c>
      <c r="L134" s="61">
        <f t="shared" ref="L134:L136" si="134">(F134*0.03+G134*0.07)*H134</f>
        <v>3.7150307740000001</v>
      </c>
      <c r="M134" s="58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hidden="1" x14ac:dyDescent="0.3">
      <c r="A135" s="32" t="s">
        <v>381</v>
      </c>
      <c r="B135" s="32" t="s">
        <v>25</v>
      </c>
      <c r="C135" s="10">
        <v>10011430</v>
      </c>
      <c r="D135" s="2" t="s">
        <v>1022</v>
      </c>
      <c r="E135" s="69">
        <v>-8701.4</v>
      </c>
      <c r="F135" s="69">
        <v>244.6</v>
      </c>
      <c r="G135" s="69">
        <f t="shared" si="131"/>
        <v>171.22</v>
      </c>
      <c r="H135" s="70">
        <v>0.19781883</v>
      </c>
      <c r="I135" s="69">
        <f t="shared" si="132"/>
        <v>-1569.3101113791422</v>
      </c>
      <c r="J135" s="79" t="s">
        <v>468</v>
      </c>
      <c r="K135" s="61">
        <f t="shared" si="133"/>
        <v>-120.49105371534002</v>
      </c>
      <c r="L135" s="61">
        <f t="shared" si="134"/>
        <v>3.8225323796219999</v>
      </c>
      <c r="M135" s="58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hidden="1" x14ac:dyDescent="0.3">
      <c r="A136" s="32" t="s">
        <v>381</v>
      </c>
      <c r="B136" s="32" t="s">
        <v>25</v>
      </c>
      <c r="C136" s="10">
        <v>10011420</v>
      </c>
      <c r="D136" s="2" t="s">
        <v>1021</v>
      </c>
      <c r="E136" s="69">
        <v>48610.400000000001</v>
      </c>
      <c r="F136" s="69">
        <v>1501.55</v>
      </c>
      <c r="G136" s="69">
        <f t="shared" si="131"/>
        <v>1051.0849999999998</v>
      </c>
      <c r="H136" s="70">
        <v>0.19781883</v>
      </c>
      <c r="I136" s="69">
        <f t="shared" si="132"/>
        <v>9136.2984786491706</v>
      </c>
      <c r="J136" s="79" t="s">
        <v>468</v>
      </c>
      <c r="K136" s="61">
        <f t="shared" si="133"/>
        <v>673.12367176824011</v>
      </c>
      <c r="L136" s="61">
        <f t="shared" si="134"/>
        <v>23.465754270733498</v>
      </c>
      <c r="M136" s="58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hidden="1" x14ac:dyDescent="0.3">
      <c r="A137" s="32" t="s">
        <v>382</v>
      </c>
      <c r="B137" s="32" t="s">
        <v>133</v>
      </c>
      <c r="C137" s="10">
        <v>1086296</v>
      </c>
      <c r="D137" s="10" t="s">
        <v>1007</v>
      </c>
      <c r="E137" s="32">
        <v>-7532.5</v>
      </c>
      <c r="F137" s="32">
        <v>781.35</v>
      </c>
      <c r="G137" s="32">
        <f t="shared" ref="G137:G139" si="135">F137*0.66</f>
        <v>515.69100000000003</v>
      </c>
      <c r="H137" s="70">
        <v>0.197605</v>
      </c>
      <c r="I137" s="69">
        <f t="shared" ref="I137:I139" si="136">(E137+G137)*H137</f>
        <v>-1386.5565424450001</v>
      </c>
      <c r="J137" s="79" t="s">
        <v>468</v>
      </c>
      <c r="K137" s="61">
        <v>0</v>
      </c>
      <c r="L137" s="61">
        <f t="shared" ref="L137:L139" si="137">F137*0.09*H137</f>
        <v>13.895880007500001</v>
      </c>
      <c r="M137" s="58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hidden="1" x14ac:dyDescent="0.3">
      <c r="A138" s="32" t="s">
        <v>382</v>
      </c>
      <c r="B138" s="2" t="s">
        <v>138</v>
      </c>
      <c r="C138" s="10">
        <v>1086296</v>
      </c>
      <c r="D138" s="10" t="s">
        <v>1007</v>
      </c>
      <c r="E138" s="32">
        <v>91217.9</v>
      </c>
      <c r="F138" s="32">
        <v>20646.400000000001</v>
      </c>
      <c r="G138" s="32">
        <f t="shared" si="135"/>
        <v>13626.624000000002</v>
      </c>
      <c r="H138" s="70">
        <v>0.197605</v>
      </c>
      <c r="I138" s="69">
        <f t="shared" si="136"/>
        <v>20717.802165019999</v>
      </c>
      <c r="J138" s="79" t="s">
        <v>468</v>
      </c>
      <c r="K138" s="61">
        <v>0</v>
      </c>
      <c r="L138" s="61">
        <f t="shared" si="137"/>
        <v>367.18486848000003</v>
      </c>
      <c r="M138" s="58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hidden="1" x14ac:dyDescent="0.3">
      <c r="A139" s="32" t="s">
        <v>382</v>
      </c>
      <c r="B139" s="2" t="s">
        <v>138</v>
      </c>
      <c r="C139" s="10">
        <v>1086299</v>
      </c>
      <c r="D139" s="10" t="s">
        <v>1004</v>
      </c>
      <c r="E139" s="32">
        <v>54940.45</v>
      </c>
      <c r="F139" s="32">
        <v>9787.9500000000007</v>
      </c>
      <c r="G139" s="32">
        <f t="shared" si="135"/>
        <v>6460.0470000000005</v>
      </c>
      <c r="H139" s="70">
        <v>0.197605</v>
      </c>
      <c r="I139" s="69">
        <f t="shared" si="136"/>
        <v>12133.045209684999</v>
      </c>
      <c r="J139" s="79" t="s">
        <v>468</v>
      </c>
      <c r="K139" s="61">
        <v>0</v>
      </c>
      <c r="L139" s="61">
        <f t="shared" si="137"/>
        <v>174.07330737750002</v>
      </c>
      <c r="M139" s="58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hidden="1" x14ac:dyDescent="0.3">
      <c r="A140" s="32" t="s">
        <v>382</v>
      </c>
      <c r="B140" s="10" t="s">
        <v>152</v>
      </c>
      <c r="C140" s="10">
        <v>2707518</v>
      </c>
      <c r="D140" s="10" t="s">
        <v>1029</v>
      </c>
      <c r="E140" s="32">
        <v>31440.54</v>
      </c>
      <c r="F140" s="32">
        <v>689.42</v>
      </c>
      <c r="G140" s="69">
        <f t="shared" ref="G140:G145" si="138">F140*0.7</f>
        <v>482.59399999999994</v>
      </c>
      <c r="H140" s="73">
        <v>0.74226599999999998</v>
      </c>
      <c r="I140" s="69">
        <f>(E140+G140)*H140*0.8</f>
        <v>18956.365585315201</v>
      </c>
      <c r="J140" s="19" t="s">
        <v>468</v>
      </c>
      <c r="K140" s="61">
        <f>E140*0.15*H140</f>
        <v>3500.5865795459999</v>
      </c>
      <c r="L140" s="61">
        <f>G140*0.15*H140</f>
        <v>53.731967700599988</v>
      </c>
      <c r="M140" s="58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hidden="1" x14ac:dyDescent="0.3">
      <c r="A141" s="32" t="s">
        <v>382</v>
      </c>
      <c r="B141" s="32" t="s">
        <v>43</v>
      </c>
      <c r="C141" s="10">
        <v>10049382</v>
      </c>
      <c r="D141" s="32" t="s">
        <v>1032</v>
      </c>
      <c r="E141" s="69">
        <v>-23408.6</v>
      </c>
      <c r="F141" s="69">
        <v>7040.93</v>
      </c>
      <c r="G141" s="32">
        <f t="shared" si="138"/>
        <v>4928.6509999999998</v>
      </c>
      <c r="H141" s="75">
        <v>0.66093000000000002</v>
      </c>
      <c r="I141" s="69">
        <f>(E141+G141)*H141*0.9</f>
        <v>-10992.557423313001</v>
      </c>
      <c r="J141" s="19" t="s">
        <v>468</v>
      </c>
      <c r="K141" s="61">
        <f t="shared" ref="K141:K142" si="139">E141*0.1*H141</f>
        <v>-1547.1445998000002</v>
      </c>
      <c r="L141" s="61">
        <f>(F141*0.05+G141*0.1)*H141</f>
        <v>558.42742378800006</v>
      </c>
      <c r="M141" s="58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hidden="1" x14ac:dyDescent="0.3">
      <c r="A142" s="32" t="s">
        <v>382</v>
      </c>
      <c r="B142" s="32" t="s">
        <v>148</v>
      </c>
      <c r="C142" s="10">
        <v>10102192</v>
      </c>
      <c r="D142" s="32" t="s">
        <v>1033</v>
      </c>
      <c r="E142" s="69">
        <v>-45931.05</v>
      </c>
      <c r="F142" s="69">
        <v>4021.65</v>
      </c>
      <c r="G142" s="69">
        <f t="shared" si="138"/>
        <v>2815.1549999999997</v>
      </c>
      <c r="H142" s="70">
        <v>0.19880999999999999</v>
      </c>
      <c r="I142" s="69">
        <f>(E142+G142)*H142*0.85</f>
        <v>-7286.0904222074996</v>
      </c>
      <c r="J142" s="19" t="s">
        <v>468</v>
      </c>
      <c r="K142" s="61">
        <f t="shared" si="139"/>
        <v>-913.15520505000006</v>
      </c>
      <c r="L142" s="61">
        <f>(F142*0.05*0.95+G142*0.1)*H142</f>
        <v>93.946447788749978</v>
      </c>
      <c r="M142" s="58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hidden="1" x14ac:dyDescent="0.3">
      <c r="A143" s="32" t="s">
        <v>382</v>
      </c>
      <c r="B143" s="2" t="s">
        <v>30</v>
      </c>
      <c r="C143" s="10">
        <v>9995097</v>
      </c>
      <c r="D143" s="10" t="s">
        <v>1020</v>
      </c>
      <c r="E143" s="32">
        <v>-7788.1</v>
      </c>
      <c r="F143" s="32">
        <v>681.3</v>
      </c>
      <c r="G143" s="69">
        <f t="shared" si="138"/>
        <v>476.90999999999991</v>
      </c>
      <c r="H143" s="70">
        <v>0.198658</v>
      </c>
      <c r="I143" s="69">
        <f t="shared" ref="I143:I145" si="140">(E143+G143)*H143*0.93</f>
        <v>-1350.7565362086</v>
      </c>
      <c r="J143" s="79" t="s">
        <v>468</v>
      </c>
      <c r="K143" s="61">
        <f t="shared" ref="K143:K145" si="141">E143*0.07*H143</f>
        <v>-108.301785886</v>
      </c>
      <c r="L143" s="61">
        <f t="shared" ref="L143:L145" si="142">(F143*0.03+G143*0.07)*H143</f>
        <v>10.692309936599999</v>
      </c>
      <c r="M143" s="58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hidden="1" x14ac:dyDescent="0.3">
      <c r="A144" s="32" t="s">
        <v>382</v>
      </c>
      <c r="B144" s="32" t="s">
        <v>25</v>
      </c>
      <c r="C144" s="10">
        <v>10102186</v>
      </c>
      <c r="D144" s="2" t="s">
        <v>1034</v>
      </c>
      <c r="E144" s="69">
        <v>-36954.5</v>
      </c>
      <c r="F144" s="69">
        <v>3423</v>
      </c>
      <c r="G144" s="69">
        <f t="shared" si="138"/>
        <v>2396.1</v>
      </c>
      <c r="H144" s="70">
        <v>0.197327</v>
      </c>
      <c r="I144" s="69">
        <f t="shared" si="140"/>
        <v>-6341.9540190240004</v>
      </c>
      <c r="J144" s="79" t="s">
        <v>468</v>
      </c>
      <c r="K144" s="61">
        <f t="shared" si="141"/>
        <v>-510.448443505</v>
      </c>
      <c r="L144" s="61">
        <f t="shared" si="142"/>
        <v>53.360575359000009</v>
      </c>
      <c r="M144" s="58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hidden="1" x14ac:dyDescent="0.3">
      <c r="A145" s="32" t="s">
        <v>382</v>
      </c>
      <c r="B145" s="32" t="s">
        <v>25</v>
      </c>
      <c r="C145" s="10">
        <v>10102182</v>
      </c>
      <c r="D145" s="2" t="s">
        <v>1035</v>
      </c>
      <c r="E145" s="69">
        <v>38817.199999999997</v>
      </c>
      <c r="F145" s="69">
        <v>2008.05</v>
      </c>
      <c r="G145" s="69">
        <f t="shared" si="138"/>
        <v>1405.635</v>
      </c>
      <c r="H145" s="70">
        <v>0.197327</v>
      </c>
      <c r="I145" s="69">
        <f t="shared" si="140"/>
        <v>7381.4577667018502</v>
      </c>
      <c r="J145" s="79" t="s">
        <v>468</v>
      </c>
      <c r="K145" s="61">
        <f t="shared" si="141"/>
        <v>536.17771370800006</v>
      </c>
      <c r="L145" s="61">
        <f t="shared" si="142"/>
        <v>31.30315610565</v>
      </c>
      <c r="M145" s="58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hidden="1" x14ac:dyDescent="0.3">
      <c r="A146" s="32" t="s">
        <v>383</v>
      </c>
      <c r="B146" s="2" t="s">
        <v>138</v>
      </c>
      <c r="C146" s="10">
        <v>1086295</v>
      </c>
      <c r="D146" s="10" t="s">
        <v>1008</v>
      </c>
      <c r="E146" s="32">
        <v>-6613</v>
      </c>
      <c r="F146" s="32">
        <v>11138.9</v>
      </c>
      <c r="G146" s="32">
        <f t="shared" ref="G146:G149" si="143">F146*0.66</f>
        <v>7351.674</v>
      </c>
      <c r="H146" s="70">
        <v>0.19317000000000001</v>
      </c>
      <c r="I146" s="69">
        <f t="shared" ref="I146:I149" si="144">(E146+G146)*H146</f>
        <v>142.68965657999999</v>
      </c>
      <c r="J146" s="79" t="s">
        <v>468</v>
      </c>
      <c r="K146" s="61">
        <v>0</v>
      </c>
      <c r="L146" s="61">
        <f t="shared" ref="L146:L149" si="145">F146*0.09*H146</f>
        <v>193.65311817</v>
      </c>
      <c r="M146" s="58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hidden="1" x14ac:dyDescent="0.3">
      <c r="A147" s="32" t="s">
        <v>383</v>
      </c>
      <c r="B147" s="2" t="s">
        <v>138</v>
      </c>
      <c r="C147" s="10">
        <v>1086296</v>
      </c>
      <c r="D147" s="10" t="s">
        <v>1007</v>
      </c>
      <c r="E147" s="69">
        <v>3657</v>
      </c>
      <c r="F147" s="69">
        <v>96.75</v>
      </c>
      <c r="G147" s="32">
        <f t="shared" si="143"/>
        <v>63.855000000000004</v>
      </c>
      <c r="H147" s="70">
        <v>0.19317000000000001</v>
      </c>
      <c r="I147" s="69">
        <f t="shared" si="144"/>
        <v>718.75756035000006</v>
      </c>
      <c r="J147" s="79" t="s">
        <v>468</v>
      </c>
      <c r="K147" s="61">
        <v>0</v>
      </c>
      <c r="L147" s="61">
        <f t="shared" si="145"/>
        <v>1.6820277749999999</v>
      </c>
      <c r="M147" s="58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hidden="1" x14ac:dyDescent="0.3">
      <c r="A148" s="32" t="s">
        <v>383</v>
      </c>
      <c r="B148" s="2" t="s">
        <v>138</v>
      </c>
      <c r="C148" s="10">
        <v>1086297</v>
      </c>
      <c r="D148" s="10" t="s">
        <v>1005</v>
      </c>
      <c r="E148" s="32">
        <v>400</v>
      </c>
      <c r="F148" s="32">
        <v>0</v>
      </c>
      <c r="G148" s="32">
        <f t="shared" si="143"/>
        <v>0</v>
      </c>
      <c r="H148" s="70">
        <v>0.19317000000000001</v>
      </c>
      <c r="I148" s="69">
        <f t="shared" si="144"/>
        <v>77.268000000000001</v>
      </c>
      <c r="J148" s="79" t="s">
        <v>468</v>
      </c>
      <c r="K148" s="61">
        <v>0</v>
      </c>
      <c r="L148" s="61">
        <f t="shared" si="145"/>
        <v>0</v>
      </c>
      <c r="M148" s="58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hidden="1" x14ac:dyDescent="0.3">
      <c r="A149" s="32" t="s">
        <v>383</v>
      </c>
      <c r="B149" s="2" t="s">
        <v>138</v>
      </c>
      <c r="C149" s="10">
        <v>1086299</v>
      </c>
      <c r="D149" s="10" t="s">
        <v>1004</v>
      </c>
      <c r="E149" s="32">
        <v>30553.599999999999</v>
      </c>
      <c r="F149" s="32">
        <v>1495.2</v>
      </c>
      <c r="G149" s="32">
        <f t="shared" si="143"/>
        <v>986.83200000000011</v>
      </c>
      <c r="H149" s="70">
        <v>0.19317000000000001</v>
      </c>
      <c r="I149" s="69">
        <f t="shared" si="144"/>
        <v>6092.6652494399996</v>
      </c>
      <c r="J149" s="79" t="s">
        <v>468</v>
      </c>
      <c r="K149" s="61">
        <v>0</v>
      </c>
      <c r="L149" s="61">
        <f t="shared" si="145"/>
        <v>25.994500560000002</v>
      </c>
      <c r="M149" s="58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hidden="1" x14ac:dyDescent="0.3">
      <c r="A150" s="32" t="s">
        <v>383</v>
      </c>
      <c r="B150" s="32" t="s">
        <v>43</v>
      </c>
      <c r="C150" s="10">
        <v>10049382</v>
      </c>
      <c r="D150" s="32" t="s">
        <v>1032</v>
      </c>
      <c r="E150" s="69">
        <v>237.5</v>
      </c>
      <c r="F150" s="32">
        <v>32.49</v>
      </c>
      <c r="G150" s="32">
        <f t="shared" ref="G150:G152" si="146">F150*0.7</f>
        <v>22.742999999999999</v>
      </c>
      <c r="H150" s="75">
        <v>0.64132199999999995</v>
      </c>
      <c r="I150" s="69">
        <f>(E150+G150)*H150*0.9</f>
        <v>150.20960512139999</v>
      </c>
      <c r="J150" s="19" t="s">
        <v>468</v>
      </c>
      <c r="K150" s="61">
        <f>E150*0.1*H150</f>
        <v>15.231397499999998</v>
      </c>
      <c r="L150" s="61">
        <f>(F150*0.05+G150*0.1)*H150</f>
        <v>2.5003862135999997</v>
      </c>
      <c r="M150" s="58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hidden="1" x14ac:dyDescent="0.3">
      <c r="A151" s="32" t="s">
        <v>383</v>
      </c>
      <c r="B151" s="2" t="s">
        <v>30</v>
      </c>
      <c r="C151" s="10">
        <v>9995097</v>
      </c>
      <c r="D151" s="10" t="s">
        <v>1020</v>
      </c>
      <c r="E151" s="32">
        <v>6966.8</v>
      </c>
      <c r="F151" s="32">
        <v>89.4</v>
      </c>
      <c r="G151" s="69">
        <f t="shared" si="146"/>
        <v>62.58</v>
      </c>
      <c r="H151" s="70">
        <v>0.19267699999999999</v>
      </c>
      <c r="I151" s="69">
        <f t="shared" ref="I151:I152" si="147">(E151+G151)*H151*0.93</f>
        <v>1259.5918607418</v>
      </c>
      <c r="J151" s="79" t="s">
        <v>468</v>
      </c>
      <c r="K151" s="61">
        <f t="shared" ref="K151:K152" si="148">E151*0.07*H151</f>
        <v>93.963948651999999</v>
      </c>
      <c r="L151" s="61">
        <f t="shared" ref="L151:L152" si="149">(F151*0.03+G151*0.07)*H151</f>
        <v>1.3608005801999998</v>
      </c>
      <c r="M151" s="58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hidden="1" x14ac:dyDescent="0.3">
      <c r="A152" s="32" t="s">
        <v>383</v>
      </c>
      <c r="B152" s="32" t="s">
        <v>25</v>
      </c>
      <c r="C152" s="10">
        <v>10102182</v>
      </c>
      <c r="D152" s="2" t="s">
        <v>1035</v>
      </c>
      <c r="E152" s="69">
        <v>18451.650000000001</v>
      </c>
      <c r="F152" s="69">
        <v>2434.65</v>
      </c>
      <c r="G152" s="69">
        <f t="shared" si="146"/>
        <v>1704.2549999999999</v>
      </c>
      <c r="H152" s="70">
        <v>0.19283007999999999</v>
      </c>
      <c r="I152" s="69">
        <f t="shared" si="147"/>
        <v>3614.5982394688326</v>
      </c>
      <c r="J152" s="79" t="s">
        <v>468</v>
      </c>
      <c r="K152" s="61">
        <f t="shared" si="148"/>
        <v>249.06232019424004</v>
      </c>
      <c r="L152" s="61">
        <f t="shared" si="149"/>
        <v>37.088426587488001</v>
      </c>
      <c r="M152" s="58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hidden="1" x14ac:dyDescent="0.3">
      <c r="A153" s="2" t="s">
        <v>384</v>
      </c>
      <c r="B153" s="2" t="s">
        <v>138</v>
      </c>
      <c r="C153" s="10">
        <v>1086295</v>
      </c>
      <c r="D153" s="10" t="s">
        <v>1008</v>
      </c>
      <c r="E153" s="32">
        <v>12008.9</v>
      </c>
      <c r="F153" s="32">
        <v>982.6</v>
      </c>
      <c r="G153" s="32">
        <f t="shared" ref="G153:G155" si="150">F153*0.66</f>
        <v>648.51600000000008</v>
      </c>
      <c r="H153" s="70">
        <v>0.19320599999999999</v>
      </c>
      <c r="I153" s="69">
        <f t="shared" ref="I153:I155" si="151">(E153+G153)*H153</f>
        <v>2445.4887156959999</v>
      </c>
      <c r="J153" s="79" t="s">
        <v>468</v>
      </c>
      <c r="K153" s="61">
        <v>0</v>
      </c>
      <c r="L153" s="61">
        <f t="shared" ref="L153:L155" si="152">F153*0.09*H153</f>
        <v>17.085979404</v>
      </c>
      <c r="M153" s="58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hidden="1" x14ac:dyDescent="0.3">
      <c r="A154" s="2" t="s">
        <v>384</v>
      </c>
      <c r="B154" s="2" t="s">
        <v>138</v>
      </c>
      <c r="C154" s="10">
        <v>1086296</v>
      </c>
      <c r="D154" s="10" t="s">
        <v>1007</v>
      </c>
      <c r="E154" s="32">
        <v>89342.1</v>
      </c>
      <c r="F154" s="32">
        <v>21322.15</v>
      </c>
      <c r="G154" s="32">
        <f t="shared" si="150"/>
        <v>14072.619000000002</v>
      </c>
      <c r="H154" s="70">
        <v>0.19320599999999999</v>
      </c>
      <c r="I154" s="69">
        <f t="shared" si="151"/>
        <v>19980.344199114003</v>
      </c>
      <c r="J154" s="79" t="s">
        <v>468</v>
      </c>
      <c r="K154" s="61">
        <v>0</v>
      </c>
      <c r="L154" s="61">
        <f t="shared" si="152"/>
        <v>370.76105816099999</v>
      </c>
      <c r="M154" s="58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hidden="1" x14ac:dyDescent="0.3">
      <c r="A155" s="2" t="s">
        <v>384</v>
      </c>
      <c r="B155" s="2" t="s">
        <v>138</v>
      </c>
      <c r="C155" s="10">
        <v>1086297</v>
      </c>
      <c r="D155" s="10" t="s">
        <v>1005</v>
      </c>
      <c r="E155" s="32">
        <v>-1536.2</v>
      </c>
      <c r="F155" s="32">
        <v>434.1</v>
      </c>
      <c r="G155" s="32">
        <f t="shared" si="150"/>
        <v>286.50600000000003</v>
      </c>
      <c r="H155" s="70">
        <v>0.19320599999999999</v>
      </c>
      <c r="I155" s="69">
        <f t="shared" si="151"/>
        <v>-241.44837896399997</v>
      </c>
      <c r="J155" s="79" t="s">
        <v>468</v>
      </c>
      <c r="K155" s="61">
        <v>0</v>
      </c>
      <c r="L155" s="61">
        <f t="shared" si="152"/>
        <v>7.5483652140000004</v>
      </c>
      <c r="M155" s="58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hidden="1" x14ac:dyDescent="0.3">
      <c r="A156" s="32" t="s">
        <v>384</v>
      </c>
      <c r="B156" s="2" t="s">
        <v>30</v>
      </c>
      <c r="C156" s="10">
        <v>9995097</v>
      </c>
      <c r="D156" s="10" t="s">
        <v>1020</v>
      </c>
      <c r="E156" s="32">
        <v>37486.1</v>
      </c>
      <c r="F156" s="32">
        <v>1378.25</v>
      </c>
      <c r="G156" s="69">
        <f t="shared" ref="G156:G158" si="153">F156*0.7</f>
        <v>964.77499999999998</v>
      </c>
      <c r="H156" s="70">
        <v>0.19317400000000001</v>
      </c>
      <c r="I156" s="69">
        <f t="shared" ref="I156:I158" si="154">(E156+G156)*H156*0.93</f>
        <v>6907.7696743425013</v>
      </c>
      <c r="J156" s="79" t="s">
        <v>468</v>
      </c>
      <c r="K156" s="61">
        <f t="shared" ref="K156:K158" si="155">E156*0.07*H156</f>
        <v>506.89379169800003</v>
      </c>
      <c r="L156" s="61">
        <f t="shared" ref="L156:L158" si="156">(F156*0.03+G156*0.07)*H156</f>
        <v>21.033123174500002</v>
      </c>
      <c r="M156" s="58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hidden="1" x14ac:dyDescent="0.3">
      <c r="A157" s="32" t="s">
        <v>384</v>
      </c>
      <c r="B157" s="32" t="s">
        <v>25</v>
      </c>
      <c r="C157" s="10">
        <v>10102182</v>
      </c>
      <c r="D157" s="2" t="s">
        <v>1035</v>
      </c>
      <c r="E157" s="69">
        <v>-10903.7</v>
      </c>
      <c r="F157" s="69">
        <v>1498.3</v>
      </c>
      <c r="G157" s="69">
        <f t="shared" si="153"/>
        <v>1048.81</v>
      </c>
      <c r="H157" s="70">
        <v>0.19106799999999999</v>
      </c>
      <c r="I157" s="69">
        <f t="shared" si="154"/>
        <v>-1751.1473339436002</v>
      </c>
      <c r="J157" s="79" t="s">
        <v>468</v>
      </c>
      <c r="K157" s="61">
        <f t="shared" si="155"/>
        <v>-145.83437061200001</v>
      </c>
      <c r="L157" s="61">
        <f t="shared" si="156"/>
        <v>22.615897567599998</v>
      </c>
      <c r="M157" s="58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hidden="1" x14ac:dyDescent="0.3">
      <c r="A158" s="32" t="s">
        <v>384</v>
      </c>
      <c r="B158" s="32" t="s">
        <v>25</v>
      </c>
      <c r="C158" s="10">
        <v>10102186</v>
      </c>
      <c r="D158" s="2" t="s">
        <v>1034</v>
      </c>
      <c r="E158" s="69">
        <v>4110.5</v>
      </c>
      <c r="F158" s="69">
        <v>125.5</v>
      </c>
      <c r="G158" s="69">
        <f t="shared" si="153"/>
        <v>87.85</v>
      </c>
      <c r="H158" s="70">
        <v>0.19106799999999999</v>
      </c>
      <c r="I158" s="69">
        <f t="shared" si="154"/>
        <v>746.01841415399997</v>
      </c>
      <c r="J158" s="79" t="s">
        <v>468</v>
      </c>
      <c r="K158" s="61">
        <f t="shared" si="155"/>
        <v>54.976950979999998</v>
      </c>
      <c r="L158" s="61">
        <f t="shared" si="156"/>
        <v>1.894343686</v>
      </c>
      <c r="M158" s="58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69"/>
      <c r="L159" s="32"/>
      <c r="M159" s="32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69"/>
      <c r="L160" s="32"/>
      <c r="M160" s="32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69"/>
      <c r="L161" s="32"/>
      <c r="M161" s="32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84" t="s">
        <v>520</v>
      </c>
      <c r="L162" s="69"/>
      <c r="M162" s="32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80" t="s">
        <v>498</v>
      </c>
      <c r="L163" s="32"/>
      <c r="M163" s="32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69"/>
      <c r="L164" s="32"/>
      <c r="M164" s="32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69"/>
      <c r="L165" s="32"/>
      <c r="M165" s="32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69"/>
      <c r="L166" s="32"/>
      <c r="M166" s="32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69"/>
      <c r="L167" s="32"/>
      <c r="M167" s="32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69"/>
      <c r="L168" s="32"/>
      <c r="M168" s="32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69"/>
      <c r="L169" s="32"/>
      <c r="M169" s="32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69"/>
      <c r="L170" s="32"/>
      <c r="M170" s="32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69"/>
      <c r="L171" s="32"/>
      <c r="M171" s="32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69"/>
      <c r="L172" s="32"/>
      <c r="M172" s="32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69"/>
      <c r="L173" s="32"/>
      <c r="M173" s="32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69"/>
      <c r="L174" s="32"/>
      <c r="M174" s="32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69"/>
      <c r="L175" s="32"/>
      <c r="M175" s="32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69"/>
      <c r="L176" s="32"/>
      <c r="M176" s="32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69"/>
      <c r="L177" s="32"/>
      <c r="M177" s="32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69"/>
      <c r="L178" s="32"/>
      <c r="M178" s="32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69"/>
      <c r="L179" s="32"/>
      <c r="M179" s="32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69"/>
      <c r="L180" s="32"/>
      <c r="M180" s="32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69"/>
      <c r="L181" s="32"/>
      <c r="M181" s="32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69"/>
      <c r="M182" s="32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69"/>
      <c r="M183" s="32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69"/>
      <c r="M184" s="32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69"/>
      <c r="M185" s="32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32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32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32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32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32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32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69"/>
      <c r="M192" s="32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69"/>
      <c r="M193" s="32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32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32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32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32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32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32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69"/>
      <c r="M200" s="32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32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>
        <f>SUM(J2:J200)</f>
        <v>236.37278101499999</v>
      </c>
      <c r="K202" s="32"/>
      <c r="L202" s="32"/>
      <c r="M202" s="32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32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32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76"/>
      <c r="L205" s="32"/>
      <c r="M205" s="32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76"/>
      <c r="L206" s="32"/>
      <c r="M206" s="32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76"/>
      <c r="L207" s="32"/>
      <c r="M207" s="32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32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32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32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32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32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76"/>
      <c r="L213" s="32"/>
      <c r="M213" s="32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32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32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32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76"/>
      <c r="L217" s="32"/>
      <c r="M217" s="32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76"/>
      <c r="L218" s="32"/>
      <c r="M218" s="32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76"/>
      <c r="L219" s="32"/>
      <c r="M219" s="32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69"/>
      <c r="L220" s="32"/>
      <c r="M220" s="32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69"/>
      <c r="L221" s="32"/>
      <c r="M221" s="32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32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32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32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32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32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76"/>
      <c r="L227" s="32"/>
      <c r="M227" s="32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32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32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69"/>
      <c r="L230" s="32"/>
      <c r="M230" s="32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69"/>
      <c r="L231" s="32"/>
      <c r="M231" s="32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69"/>
      <c r="L232" s="32"/>
      <c r="M232" s="32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76"/>
      <c r="L233" s="32"/>
      <c r="M233" s="32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69"/>
      <c r="M234" s="32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32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69"/>
      <c r="L236" s="32"/>
      <c r="M236" s="32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69"/>
      <c r="L237" s="32"/>
      <c r="M237" s="32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76"/>
      <c r="L238" s="32"/>
      <c r="M238" s="32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69"/>
      <c r="M239" s="32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32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32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69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69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69"/>
      <c r="L245" s="32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76"/>
      <c r="L246" s="32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69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69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69"/>
      <c r="L253" s="32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69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69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69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69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69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autoFilter ref="A1:Z158" xr:uid="{00000000-0001-0000-0E00-000000000000}">
    <filterColumn colId="1">
      <filters>
        <filter val="HSH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O2" sqref="O2"/>
    </sheetView>
  </sheetViews>
  <sheetFormatPr defaultColWidth="12.6640625" defaultRowHeight="15.75" customHeight="1" x14ac:dyDescent="0.25"/>
  <cols>
    <col min="1" max="14" width="12.6640625" customWidth="1"/>
    <col min="15" max="21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521</v>
      </c>
      <c r="D1" s="63" t="s">
        <v>522</v>
      </c>
      <c r="E1" s="63" t="s">
        <v>399</v>
      </c>
      <c r="F1" s="62" t="s">
        <v>400</v>
      </c>
      <c r="G1" s="62" t="s">
        <v>401</v>
      </c>
      <c r="H1" s="62" t="s">
        <v>402</v>
      </c>
      <c r="I1" s="62" t="s">
        <v>403</v>
      </c>
      <c r="J1" s="64" t="s">
        <v>404</v>
      </c>
      <c r="K1" s="62" t="s">
        <v>405</v>
      </c>
      <c r="L1" s="77" t="s">
        <v>464</v>
      </c>
      <c r="M1" s="65" t="s">
        <v>406</v>
      </c>
      <c r="N1" s="65" t="s">
        <v>407</v>
      </c>
      <c r="O1" s="65" t="s">
        <v>408</v>
      </c>
      <c r="P1" s="66" t="s">
        <v>409</v>
      </c>
      <c r="Q1" s="66" t="s">
        <v>294</v>
      </c>
      <c r="R1" s="66" t="s">
        <v>410</v>
      </c>
      <c r="S1" s="67" t="s">
        <v>283</v>
      </c>
      <c r="T1" s="67" t="s">
        <v>284</v>
      </c>
      <c r="U1" s="68" t="s">
        <v>285</v>
      </c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48</v>
      </c>
      <c r="C2" s="2" t="s">
        <v>1036</v>
      </c>
      <c r="D2" s="2" t="s">
        <v>1037</v>
      </c>
      <c r="E2" s="2" t="s">
        <v>1038</v>
      </c>
      <c r="F2" s="46" t="s">
        <v>1039</v>
      </c>
      <c r="G2" s="69">
        <v>17774.66</v>
      </c>
      <c r="H2" s="69">
        <v>3811.15</v>
      </c>
      <c r="I2" s="69">
        <f>H2*0</f>
        <v>0</v>
      </c>
      <c r="J2" s="70">
        <v>1</v>
      </c>
      <c r="K2" s="69">
        <f>(G2+I2)*0*J2</f>
        <v>0</v>
      </c>
      <c r="L2" s="19" t="s">
        <v>468</v>
      </c>
      <c r="M2" s="61">
        <f>G2*J2</f>
        <v>17774.66</v>
      </c>
      <c r="N2" s="61">
        <f>H2*J2</f>
        <v>3811.15</v>
      </c>
      <c r="O2" s="61">
        <f>SUM(M:N)</f>
        <v>28365.8518</v>
      </c>
      <c r="P2" s="2" t="s">
        <v>412</v>
      </c>
      <c r="Q2" s="2" t="s">
        <v>413</v>
      </c>
      <c r="R2" s="32">
        <v>0</v>
      </c>
      <c r="S2" s="32">
        <f>SUM(K:K)</f>
        <v>31235.393193398755</v>
      </c>
      <c r="T2" s="32">
        <f>SUM(R:R)</f>
        <v>0</v>
      </c>
      <c r="U2" s="32">
        <v>0</v>
      </c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32" t="s">
        <v>48</v>
      </c>
      <c r="C3" s="10" t="s">
        <v>1040</v>
      </c>
      <c r="D3" s="10" t="s">
        <v>1041</v>
      </c>
      <c r="E3" s="10" t="s">
        <v>1042</v>
      </c>
      <c r="F3" s="46" t="s">
        <v>1043</v>
      </c>
      <c r="G3" s="69">
        <v>283.06</v>
      </c>
      <c r="H3" s="69">
        <v>3336.32</v>
      </c>
      <c r="I3" s="69">
        <f>H3*0.71</f>
        <v>2368.7872000000002</v>
      </c>
      <c r="J3" s="70">
        <v>1</v>
      </c>
      <c r="K3" s="69">
        <f>(G3+I3)*J3+H3*0.03*J3</f>
        <v>2751.9367999999999</v>
      </c>
      <c r="L3" s="19" t="s">
        <v>468</v>
      </c>
      <c r="M3" s="61">
        <f>H3*0.26*J3</f>
        <v>867.44320000000005</v>
      </c>
      <c r="N3" s="61">
        <f>-H3*0.26*J3</f>
        <v>-867.44320000000005</v>
      </c>
      <c r="O3" s="61"/>
      <c r="P3" s="2"/>
      <c r="Q3" s="2"/>
      <c r="R3" s="32"/>
      <c r="S3" s="32"/>
      <c r="T3" s="32"/>
      <c r="U3" s="3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29" t="s">
        <v>35</v>
      </c>
      <c r="C4" s="10" t="s">
        <v>1036</v>
      </c>
      <c r="D4" s="10" t="s">
        <v>1037</v>
      </c>
      <c r="E4" s="10" t="s">
        <v>1044</v>
      </c>
      <c r="F4" s="46" t="s">
        <v>1045</v>
      </c>
      <c r="G4" s="69">
        <v>2942.02</v>
      </c>
      <c r="H4" s="69">
        <v>246.21</v>
      </c>
      <c r="I4" s="69">
        <f t="shared" ref="I4:I8" si="0">H4*0.83</f>
        <v>204.35429999999999</v>
      </c>
      <c r="J4" s="75">
        <v>0.26985999999999999</v>
      </c>
      <c r="K4" s="69">
        <f t="shared" ref="K4:K8" si="1">(G4+I4)*J4</f>
        <v>849.0805685979999</v>
      </c>
      <c r="L4" s="78">
        <f t="shared" ref="L4:L8" si="2">H4*0.05*J4</f>
        <v>3.3221115300000004</v>
      </c>
      <c r="M4" s="61">
        <v>0</v>
      </c>
      <c r="N4" s="61">
        <v>0</v>
      </c>
      <c r="O4" s="61"/>
      <c r="P4" s="2"/>
      <c r="Q4" s="2"/>
      <c r="R4" s="32"/>
      <c r="S4" s="32"/>
      <c r="T4" s="32"/>
      <c r="U4" s="3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29" t="s">
        <v>35</v>
      </c>
      <c r="C5" s="10" t="s">
        <v>1036</v>
      </c>
      <c r="D5" s="10" t="s">
        <v>1037</v>
      </c>
      <c r="E5" s="10" t="s">
        <v>1046</v>
      </c>
      <c r="F5" s="46" t="s">
        <v>1047</v>
      </c>
      <c r="G5" s="69">
        <v>1071.82</v>
      </c>
      <c r="H5" s="69">
        <v>559.78</v>
      </c>
      <c r="I5" s="69">
        <f t="shared" si="0"/>
        <v>464.61739999999998</v>
      </c>
      <c r="J5" s="75">
        <v>0.26985999999999999</v>
      </c>
      <c r="K5" s="69">
        <f t="shared" si="1"/>
        <v>414.62299676399994</v>
      </c>
      <c r="L5" s="78">
        <f t="shared" si="2"/>
        <v>7.5531115399999997</v>
      </c>
      <c r="M5" s="61">
        <v>0</v>
      </c>
      <c r="N5" s="61">
        <v>0</v>
      </c>
      <c r="O5" s="61"/>
      <c r="P5" s="32"/>
      <c r="Q5" s="32"/>
      <c r="R5" s="69"/>
      <c r="S5" s="32"/>
      <c r="T5" s="32"/>
      <c r="U5" s="32"/>
      <c r="V5" s="2"/>
      <c r="W5" s="2"/>
      <c r="X5" s="2"/>
      <c r="Y5" s="2"/>
      <c r="Z5" s="2"/>
    </row>
    <row r="6" spans="1:26" ht="15.75" customHeight="1" x14ac:dyDescent="0.3">
      <c r="A6" s="2" t="s">
        <v>296</v>
      </c>
      <c r="B6" s="29" t="s">
        <v>35</v>
      </c>
      <c r="C6" s="10" t="s">
        <v>1036</v>
      </c>
      <c r="D6" s="10" t="s">
        <v>1037</v>
      </c>
      <c r="E6" s="10" t="s">
        <v>1048</v>
      </c>
      <c r="F6" s="10" t="s">
        <v>1049</v>
      </c>
      <c r="G6" s="69">
        <v>2369.23</v>
      </c>
      <c r="H6" s="69">
        <v>1595.47</v>
      </c>
      <c r="I6" s="69">
        <f t="shared" si="0"/>
        <v>1324.2401</v>
      </c>
      <c r="J6" s="75">
        <v>0.26985999999999999</v>
      </c>
      <c r="K6" s="69">
        <f t="shared" si="1"/>
        <v>996.71984118599994</v>
      </c>
      <c r="L6" s="78">
        <f t="shared" si="2"/>
        <v>21.527676710000001</v>
      </c>
      <c r="M6" s="61">
        <v>0</v>
      </c>
      <c r="N6" s="61">
        <v>0</v>
      </c>
      <c r="O6" s="61"/>
      <c r="P6" s="32"/>
      <c r="Q6" s="32"/>
      <c r="R6" s="69"/>
      <c r="S6" s="32"/>
      <c r="T6" s="32"/>
      <c r="U6" s="32"/>
      <c r="V6" s="2"/>
      <c r="W6" s="2"/>
      <c r="X6" s="2"/>
      <c r="Y6" s="2"/>
      <c r="Z6" s="2"/>
    </row>
    <row r="7" spans="1:26" ht="15.75" customHeight="1" x14ac:dyDescent="0.3">
      <c r="A7" s="2" t="s">
        <v>296</v>
      </c>
      <c r="B7" s="29" t="s">
        <v>35</v>
      </c>
      <c r="C7" s="10" t="s">
        <v>1036</v>
      </c>
      <c r="D7" s="10" t="s">
        <v>1037</v>
      </c>
      <c r="E7" s="10" t="s">
        <v>1050</v>
      </c>
      <c r="F7" s="86" t="s">
        <v>1051</v>
      </c>
      <c r="G7" s="69">
        <v>2558.9299999999998</v>
      </c>
      <c r="H7" s="69">
        <v>72.58</v>
      </c>
      <c r="I7" s="69">
        <f t="shared" si="0"/>
        <v>60.241399999999999</v>
      </c>
      <c r="J7" s="75">
        <v>0.26985999999999999</v>
      </c>
      <c r="K7" s="69">
        <f t="shared" si="1"/>
        <v>706.8095940039999</v>
      </c>
      <c r="L7" s="78">
        <f t="shared" si="2"/>
        <v>0.97932193999999995</v>
      </c>
      <c r="M7" s="61">
        <v>0</v>
      </c>
      <c r="N7" s="61">
        <v>0</v>
      </c>
      <c r="O7" s="61"/>
      <c r="P7" s="2"/>
      <c r="Q7" s="2"/>
      <c r="R7" s="32"/>
      <c r="S7" s="32"/>
      <c r="T7" s="32"/>
      <c r="U7" s="32"/>
      <c r="V7" s="2"/>
      <c r="W7" s="2"/>
      <c r="X7" s="2"/>
      <c r="Y7" s="2"/>
      <c r="Z7" s="2"/>
    </row>
    <row r="8" spans="1:26" ht="15.75" customHeight="1" x14ac:dyDescent="0.3">
      <c r="A8" s="2" t="s">
        <v>296</v>
      </c>
      <c r="B8" s="29" t="s">
        <v>35</v>
      </c>
      <c r="C8" s="10" t="s">
        <v>1036</v>
      </c>
      <c r="D8" s="10" t="s">
        <v>1037</v>
      </c>
      <c r="E8" s="10" t="s">
        <v>1052</v>
      </c>
      <c r="F8" s="86" t="s">
        <v>1053</v>
      </c>
      <c r="G8" s="69">
        <v>4361.08</v>
      </c>
      <c r="H8" s="69">
        <v>504.6</v>
      </c>
      <c r="I8" s="69">
        <f t="shared" si="0"/>
        <v>418.81799999999998</v>
      </c>
      <c r="J8" s="75">
        <v>0.26985999999999999</v>
      </c>
      <c r="K8" s="69">
        <f t="shared" si="1"/>
        <v>1289.90327428</v>
      </c>
      <c r="L8" s="78">
        <f t="shared" si="2"/>
        <v>6.8085678000000005</v>
      </c>
      <c r="M8" s="61">
        <v>0</v>
      </c>
      <c r="N8" s="61">
        <v>0</v>
      </c>
      <c r="O8" s="61"/>
      <c r="P8" s="2"/>
      <c r="Q8" s="2"/>
      <c r="R8" s="32"/>
      <c r="S8" s="32"/>
      <c r="T8" s="32"/>
      <c r="U8" s="32"/>
      <c r="V8" s="2"/>
      <c r="W8" s="2"/>
      <c r="X8" s="2"/>
      <c r="Y8" s="2"/>
      <c r="Z8" s="2"/>
    </row>
    <row r="9" spans="1:26" ht="15.75" customHeight="1" x14ac:dyDescent="0.3">
      <c r="A9" s="2" t="s">
        <v>296</v>
      </c>
      <c r="B9" s="2" t="s">
        <v>107</v>
      </c>
      <c r="C9" s="10">
        <v>1645939</v>
      </c>
      <c r="D9" s="10" t="s">
        <v>1054</v>
      </c>
      <c r="E9" s="10">
        <v>1645939</v>
      </c>
      <c r="F9" s="86" t="s">
        <v>1054</v>
      </c>
      <c r="G9" s="69">
        <v>-218.11</v>
      </c>
      <c r="H9" s="69">
        <v>169.48</v>
      </c>
      <c r="I9" s="69">
        <f t="shared" ref="I9:I13" si="3">H9*0.77</f>
        <v>130.49959999999999</v>
      </c>
      <c r="J9" s="70">
        <v>1</v>
      </c>
      <c r="K9" s="69">
        <f t="shared" ref="K9:K13" si="4">((G9+I9)*0.85-H9*0.15*0.23)*J9</f>
        <v>-80.315900000000013</v>
      </c>
      <c r="L9" s="19" t="s">
        <v>468</v>
      </c>
      <c r="M9" s="61">
        <v>0</v>
      </c>
      <c r="N9" s="61">
        <v>0</v>
      </c>
      <c r="O9" s="61"/>
      <c r="P9" s="2"/>
      <c r="Q9" s="2"/>
      <c r="R9" s="32"/>
      <c r="S9" s="32"/>
      <c r="T9" s="32"/>
      <c r="U9" s="32"/>
      <c r="V9" s="2"/>
      <c r="W9" s="2"/>
      <c r="X9" s="2"/>
      <c r="Y9" s="2"/>
      <c r="Z9" s="2"/>
    </row>
    <row r="10" spans="1:26" ht="15.75" customHeight="1" x14ac:dyDescent="0.3">
      <c r="A10" s="2" t="s">
        <v>296</v>
      </c>
      <c r="B10" s="2" t="s">
        <v>107</v>
      </c>
      <c r="C10" s="10">
        <v>1645939</v>
      </c>
      <c r="D10" s="10" t="s">
        <v>1054</v>
      </c>
      <c r="E10" s="10">
        <v>2324359</v>
      </c>
      <c r="F10" s="10" t="s">
        <v>1055</v>
      </c>
      <c r="G10" s="69">
        <v>-374.95</v>
      </c>
      <c r="H10" s="69">
        <v>80.31</v>
      </c>
      <c r="I10" s="69">
        <f t="shared" si="3"/>
        <v>61.838700000000003</v>
      </c>
      <c r="J10" s="70">
        <v>1</v>
      </c>
      <c r="K10" s="69">
        <f t="shared" si="4"/>
        <v>-268.91529999999995</v>
      </c>
      <c r="L10" s="19" t="s">
        <v>468</v>
      </c>
      <c r="M10" s="61">
        <v>0</v>
      </c>
      <c r="N10" s="61">
        <v>0</v>
      </c>
      <c r="O10" s="61"/>
      <c r="P10" s="2"/>
      <c r="Q10" s="2"/>
      <c r="R10" s="32"/>
      <c r="S10" s="32"/>
      <c r="T10" s="32"/>
      <c r="U10" s="32"/>
      <c r="V10" s="2"/>
      <c r="W10" s="2"/>
      <c r="X10" s="2"/>
      <c r="Y10" s="2"/>
      <c r="Z10" s="2"/>
    </row>
    <row r="11" spans="1:26" ht="15.75" customHeight="1" x14ac:dyDescent="0.3">
      <c r="A11" s="2" t="s">
        <v>296</v>
      </c>
      <c r="B11" s="2" t="s">
        <v>107</v>
      </c>
      <c r="C11" s="10">
        <v>1645939</v>
      </c>
      <c r="D11" s="10" t="s">
        <v>1054</v>
      </c>
      <c r="E11" s="10">
        <v>2324360</v>
      </c>
      <c r="F11" s="46" t="s">
        <v>1056</v>
      </c>
      <c r="G11" s="69">
        <v>409.11</v>
      </c>
      <c r="H11" s="69">
        <v>104.93</v>
      </c>
      <c r="I11" s="69">
        <f t="shared" si="3"/>
        <v>80.79610000000001</v>
      </c>
      <c r="J11" s="70">
        <v>1</v>
      </c>
      <c r="K11" s="69">
        <f t="shared" si="4"/>
        <v>412.80009999999999</v>
      </c>
      <c r="L11" s="19" t="s">
        <v>468</v>
      </c>
      <c r="M11" s="61">
        <v>0</v>
      </c>
      <c r="N11" s="61">
        <v>0</v>
      </c>
      <c r="O11" s="61"/>
      <c r="P11" s="2"/>
      <c r="Q11" s="2"/>
      <c r="R11" s="32"/>
      <c r="S11" s="32"/>
      <c r="T11" s="32"/>
      <c r="U11" s="32"/>
      <c r="V11" s="2"/>
      <c r="W11" s="2"/>
      <c r="X11" s="2"/>
      <c r="Y11" s="2"/>
      <c r="Z11" s="2"/>
    </row>
    <row r="12" spans="1:26" ht="15.75" customHeight="1" x14ac:dyDescent="0.3">
      <c r="A12" s="2" t="s">
        <v>296</v>
      </c>
      <c r="B12" s="2" t="s">
        <v>107</v>
      </c>
      <c r="C12" s="10">
        <v>1645939</v>
      </c>
      <c r="D12" s="10" t="s">
        <v>1054</v>
      </c>
      <c r="E12" s="10">
        <v>2376363</v>
      </c>
      <c r="F12" s="86" t="s">
        <v>1057</v>
      </c>
      <c r="G12" s="69">
        <v>47.99</v>
      </c>
      <c r="H12" s="69">
        <v>1.6</v>
      </c>
      <c r="I12" s="69">
        <f t="shared" si="3"/>
        <v>1.2320000000000002</v>
      </c>
      <c r="J12" s="70">
        <v>1</v>
      </c>
      <c r="K12" s="69">
        <f t="shared" si="4"/>
        <v>41.783500000000004</v>
      </c>
      <c r="L12" s="19" t="s">
        <v>468</v>
      </c>
      <c r="M12" s="61">
        <v>0</v>
      </c>
      <c r="N12" s="61">
        <v>0</v>
      </c>
      <c r="O12" s="61"/>
      <c r="P12" s="2"/>
      <c r="Q12" s="2"/>
      <c r="R12" s="32"/>
      <c r="S12" s="32"/>
      <c r="T12" s="32"/>
      <c r="U12" s="32"/>
      <c r="V12" s="2"/>
      <c r="W12" s="2"/>
      <c r="X12" s="2"/>
      <c r="Y12" s="2"/>
      <c r="Z12" s="2"/>
    </row>
    <row r="13" spans="1:26" ht="15.75" customHeight="1" x14ac:dyDescent="0.3">
      <c r="A13" s="2" t="s">
        <v>296</v>
      </c>
      <c r="B13" s="2" t="s">
        <v>107</v>
      </c>
      <c r="C13" s="10">
        <v>1645939</v>
      </c>
      <c r="D13" s="10" t="s">
        <v>1054</v>
      </c>
      <c r="E13" s="10">
        <v>2376379</v>
      </c>
      <c r="F13" s="86" t="s">
        <v>1058</v>
      </c>
      <c r="G13" s="69">
        <v>-696.51</v>
      </c>
      <c r="H13" s="69">
        <v>591.6</v>
      </c>
      <c r="I13" s="69">
        <f t="shared" si="3"/>
        <v>455.53200000000004</v>
      </c>
      <c r="J13" s="70">
        <v>1</v>
      </c>
      <c r="K13" s="69">
        <f t="shared" si="4"/>
        <v>-225.24149999999995</v>
      </c>
      <c r="L13" s="19" t="s">
        <v>468</v>
      </c>
      <c r="M13" s="61">
        <v>0</v>
      </c>
      <c r="N13" s="61">
        <v>0</v>
      </c>
      <c r="O13" s="61"/>
      <c r="P13" s="2"/>
      <c r="Q13" s="2"/>
      <c r="R13" s="32"/>
      <c r="S13" s="32"/>
      <c r="T13" s="32"/>
      <c r="U13" s="32"/>
      <c r="V13" s="2"/>
      <c r="W13" s="2"/>
      <c r="X13" s="2"/>
      <c r="Y13" s="2"/>
      <c r="Z13" s="2"/>
    </row>
    <row r="14" spans="1:26" ht="15.75" customHeight="1" x14ac:dyDescent="0.3">
      <c r="A14" s="2" t="s">
        <v>296</v>
      </c>
      <c r="B14" s="91" t="s">
        <v>10</v>
      </c>
      <c r="C14" s="10" t="s">
        <v>15</v>
      </c>
      <c r="D14" s="10" t="s">
        <v>15</v>
      </c>
      <c r="E14" s="10">
        <v>643557</v>
      </c>
      <c r="F14" s="86" t="s">
        <v>1059</v>
      </c>
      <c r="G14" s="69">
        <v>-5811.5</v>
      </c>
      <c r="H14" s="69">
        <v>830</v>
      </c>
      <c r="I14" s="69">
        <f t="shared" ref="I14:I17" si="5">H14*0.75</f>
        <v>622.5</v>
      </c>
      <c r="J14" s="70">
        <v>0.20533899999999999</v>
      </c>
      <c r="K14" s="69">
        <f t="shared" ref="K14:K15" si="6">(G14+I14)*J14</f>
        <v>-1065.5040710000001</v>
      </c>
      <c r="L14" s="19" t="s">
        <v>468</v>
      </c>
      <c r="M14" s="61">
        <v>0</v>
      </c>
      <c r="N14" s="61">
        <v>0</v>
      </c>
      <c r="O14" s="61"/>
      <c r="P14" s="2"/>
      <c r="Q14" s="2"/>
      <c r="R14" s="32"/>
      <c r="S14" s="32"/>
      <c r="T14" s="32"/>
      <c r="U14" s="32"/>
      <c r="V14" s="2"/>
      <c r="W14" s="2"/>
      <c r="X14" s="2"/>
      <c r="Y14" s="2"/>
      <c r="Z14" s="2"/>
    </row>
    <row r="15" spans="1:26" ht="15.75" customHeight="1" x14ac:dyDescent="0.3">
      <c r="A15" s="2" t="s">
        <v>296</v>
      </c>
      <c r="B15" s="91" t="s">
        <v>10</v>
      </c>
      <c r="C15" s="10" t="s">
        <v>15</v>
      </c>
      <c r="D15" s="10" t="s">
        <v>15</v>
      </c>
      <c r="E15" s="10">
        <v>677999</v>
      </c>
      <c r="F15" s="10" t="s">
        <v>1060</v>
      </c>
      <c r="G15" s="69">
        <v>-1916.75</v>
      </c>
      <c r="H15" s="69">
        <v>277.5</v>
      </c>
      <c r="I15" s="69">
        <f t="shared" si="5"/>
        <v>208.125</v>
      </c>
      <c r="J15" s="70">
        <v>0.20533899999999999</v>
      </c>
      <c r="K15" s="69">
        <f t="shared" si="6"/>
        <v>-350.84734887499997</v>
      </c>
      <c r="L15" s="19" t="s">
        <v>468</v>
      </c>
      <c r="M15" s="61">
        <v>0</v>
      </c>
      <c r="N15" s="61">
        <v>0</v>
      </c>
      <c r="O15" s="61"/>
      <c r="P15" s="2"/>
      <c r="Q15" s="2"/>
      <c r="R15" s="32"/>
      <c r="S15" s="32"/>
      <c r="T15" s="32"/>
      <c r="U15" s="32"/>
      <c r="V15" s="2"/>
      <c r="W15" s="2"/>
      <c r="X15" s="2"/>
      <c r="Y15" s="2"/>
      <c r="Z15" s="2"/>
    </row>
    <row r="16" spans="1:26" ht="15.75" customHeight="1" x14ac:dyDescent="0.3">
      <c r="A16" s="2" t="s">
        <v>296</v>
      </c>
      <c r="B16" s="2" t="s">
        <v>148</v>
      </c>
      <c r="C16" s="2" t="s">
        <v>15</v>
      </c>
      <c r="D16" s="2" t="s">
        <v>15</v>
      </c>
      <c r="E16" s="10">
        <v>9259374</v>
      </c>
      <c r="F16" s="32" t="s">
        <v>1061</v>
      </c>
      <c r="G16" s="69">
        <v>2156.65</v>
      </c>
      <c r="H16" s="69">
        <v>1011.55</v>
      </c>
      <c r="I16" s="69">
        <f t="shared" si="5"/>
        <v>758.66249999999991</v>
      </c>
      <c r="J16" s="70">
        <v>0.20533899999999999</v>
      </c>
      <c r="K16" s="69">
        <f t="shared" ref="K16:K17" si="7">(G16+I16)*J16*0.95</f>
        <v>568.69598576562498</v>
      </c>
      <c r="L16" s="19" t="s">
        <v>468</v>
      </c>
      <c r="M16" s="61">
        <v>0</v>
      </c>
      <c r="N16" s="61">
        <v>0</v>
      </c>
      <c r="O16" s="61"/>
      <c r="P16" s="2"/>
      <c r="Q16" s="2"/>
      <c r="R16" s="32"/>
      <c r="S16" s="32"/>
      <c r="T16" s="32"/>
      <c r="U16" s="32"/>
      <c r="V16" s="2"/>
      <c r="W16" s="2"/>
      <c r="X16" s="2"/>
      <c r="Y16" s="2"/>
      <c r="Z16" s="2"/>
    </row>
    <row r="17" spans="1:26" ht="15.75" customHeight="1" x14ac:dyDescent="0.3">
      <c r="A17" s="2" t="s">
        <v>296</v>
      </c>
      <c r="B17" s="2" t="s">
        <v>148</v>
      </c>
      <c r="C17" s="2" t="s">
        <v>15</v>
      </c>
      <c r="D17" s="2" t="s">
        <v>15</v>
      </c>
      <c r="E17" s="10">
        <v>9700950</v>
      </c>
      <c r="F17" s="32" t="s">
        <v>1062</v>
      </c>
      <c r="G17" s="69">
        <v>2806.65</v>
      </c>
      <c r="H17" s="69">
        <v>1255.05</v>
      </c>
      <c r="I17" s="69">
        <f t="shared" si="5"/>
        <v>941.28749999999991</v>
      </c>
      <c r="J17" s="70">
        <v>0.20533899999999999</v>
      </c>
      <c r="K17" s="69">
        <f t="shared" si="7"/>
        <v>731.11785139687493</v>
      </c>
      <c r="L17" s="19" t="s">
        <v>468</v>
      </c>
      <c r="M17" s="61">
        <v>0</v>
      </c>
      <c r="N17" s="61">
        <v>0</v>
      </c>
      <c r="O17" s="61"/>
      <c r="P17" s="2"/>
      <c r="Q17" s="2"/>
      <c r="R17" s="32"/>
      <c r="S17" s="32"/>
      <c r="T17" s="32"/>
      <c r="U17" s="32"/>
      <c r="V17" s="2"/>
      <c r="W17" s="2"/>
      <c r="X17" s="2"/>
      <c r="Y17" s="2"/>
      <c r="Z17" s="2"/>
    </row>
    <row r="18" spans="1:26" ht="15.75" customHeight="1" x14ac:dyDescent="0.3">
      <c r="A18" s="2" t="s">
        <v>296</v>
      </c>
      <c r="B18" s="2" t="s">
        <v>1063</v>
      </c>
      <c r="C18" s="10" t="s">
        <v>15</v>
      </c>
      <c r="D18" s="10" t="s">
        <v>15</v>
      </c>
      <c r="E18" s="10">
        <v>142334</v>
      </c>
      <c r="F18" s="86" t="s">
        <v>1064</v>
      </c>
      <c r="G18" s="69">
        <v>-2441.09</v>
      </c>
      <c r="H18" s="69">
        <v>436.5</v>
      </c>
      <c r="I18" s="69">
        <f>H18*0.85</f>
        <v>371.02499999999998</v>
      </c>
      <c r="J18" s="75">
        <v>0.26985999999999999</v>
      </c>
      <c r="K18" s="69">
        <f t="shared" ref="K18:K21" si="8">(G18+I18)*J18</f>
        <v>-558.62774089999994</v>
      </c>
      <c r="L18" s="19" t="s">
        <v>468</v>
      </c>
      <c r="M18" s="61">
        <v>0</v>
      </c>
      <c r="N18" s="61">
        <v>0</v>
      </c>
      <c r="O18" s="61"/>
      <c r="P18" s="2"/>
      <c r="Q18" s="2"/>
      <c r="R18" s="32"/>
      <c r="S18" s="32"/>
      <c r="T18" s="32"/>
      <c r="U18" s="32"/>
      <c r="V18" s="2"/>
      <c r="W18" s="2"/>
      <c r="X18" s="2"/>
      <c r="Y18" s="2"/>
      <c r="Z18" s="2"/>
    </row>
    <row r="19" spans="1:26" ht="15.75" customHeight="1" x14ac:dyDescent="0.3">
      <c r="A19" s="2" t="s">
        <v>317</v>
      </c>
      <c r="B19" s="32" t="s">
        <v>48</v>
      </c>
      <c r="C19" s="10" t="s">
        <v>15</v>
      </c>
      <c r="D19" s="10" t="s">
        <v>15</v>
      </c>
      <c r="E19" s="10" t="s">
        <v>1065</v>
      </c>
      <c r="F19" s="86" t="s">
        <v>1066</v>
      </c>
      <c r="G19" s="69">
        <v>27293.08</v>
      </c>
      <c r="H19" s="69">
        <v>7069.5</v>
      </c>
      <c r="I19" s="69">
        <f>H19*0.7</f>
        <v>4948.6499999999996</v>
      </c>
      <c r="J19" s="70">
        <v>1</v>
      </c>
      <c r="K19" s="69">
        <f t="shared" si="8"/>
        <v>32241.730000000003</v>
      </c>
      <c r="L19" s="19" t="s">
        <v>468</v>
      </c>
      <c r="M19" s="61">
        <v>0</v>
      </c>
      <c r="N19" s="61">
        <f>H19*0.3*J19</f>
        <v>2120.85</v>
      </c>
      <c r="O19" s="61"/>
      <c r="P19" s="2"/>
      <c r="Q19" s="2"/>
      <c r="R19" s="32"/>
      <c r="S19" s="32"/>
      <c r="T19" s="32"/>
      <c r="U19" s="32"/>
      <c r="V19" s="2"/>
      <c r="W19" s="2"/>
      <c r="X19" s="2"/>
      <c r="Y19" s="2"/>
      <c r="Z19" s="2"/>
    </row>
    <row r="20" spans="1:26" ht="15.75" customHeight="1" x14ac:dyDescent="0.3">
      <c r="A20" s="2" t="s">
        <v>317</v>
      </c>
      <c r="B20" s="32" t="s">
        <v>48</v>
      </c>
      <c r="C20" s="10" t="s">
        <v>1067</v>
      </c>
      <c r="D20" s="10" t="s">
        <v>1068</v>
      </c>
      <c r="E20" s="10" t="s">
        <v>1069</v>
      </c>
      <c r="F20" s="46" t="s">
        <v>1070</v>
      </c>
      <c r="G20" s="69">
        <v>-5019.2700000000004</v>
      </c>
      <c r="H20" s="69">
        <v>1238.26</v>
      </c>
      <c r="I20" s="69">
        <f>H20*0.73</f>
        <v>903.9298</v>
      </c>
      <c r="J20" s="70">
        <v>1</v>
      </c>
      <c r="K20" s="69">
        <f t="shared" si="8"/>
        <v>-4115.3402000000006</v>
      </c>
      <c r="L20" s="19" t="s">
        <v>468</v>
      </c>
      <c r="M20" s="61">
        <v>0</v>
      </c>
      <c r="N20" s="61">
        <f>H20*0.27*J20</f>
        <v>334.33020000000005</v>
      </c>
      <c r="O20" s="61"/>
      <c r="P20" s="2"/>
      <c r="Q20" s="2"/>
      <c r="R20" s="32"/>
      <c r="S20" s="32"/>
      <c r="T20" s="32"/>
      <c r="U20" s="32"/>
      <c r="V20" s="2"/>
      <c r="W20" s="2"/>
      <c r="X20" s="2"/>
      <c r="Y20" s="2"/>
      <c r="Z20" s="2"/>
    </row>
    <row r="21" spans="1:26" ht="15.75" customHeight="1" x14ac:dyDescent="0.3">
      <c r="A21" s="2" t="s">
        <v>317</v>
      </c>
      <c r="B21" s="32" t="s">
        <v>48</v>
      </c>
      <c r="C21" s="10" t="s">
        <v>1071</v>
      </c>
      <c r="D21" s="10" t="s">
        <v>1072</v>
      </c>
      <c r="E21" s="10" t="s">
        <v>1071</v>
      </c>
      <c r="F21" s="86" t="s">
        <v>1072</v>
      </c>
      <c r="G21" s="69">
        <v>-1350</v>
      </c>
      <c r="H21" s="69">
        <v>213.47</v>
      </c>
      <c r="I21" s="69">
        <f>H21*0.7</f>
        <v>149.429</v>
      </c>
      <c r="J21" s="70">
        <v>1</v>
      </c>
      <c r="K21" s="69">
        <f t="shared" si="8"/>
        <v>-1200.5709999999999</v>
      </c>
      <c r="L21" s="19" t="s">
        <v>468</v>
      </c>
      <c r="M21" s="61">
        <v>0</v>
      </c>
      <c r="N21" s="61">
        <f>H21*0.3*J21</f>
        <v>64.040999999999997</v>
      </c>
      <c r="O21" s="61"/>
      <c r="P21" s="2"/>
      <c r="Q21" s="2"/>
      <c r="R21" s="32"/>
      <c r="S21" s="32"/>
      <c r="T21" s="32"/>
      <c r="U21" s="32"/>
      <c r="V21" s="2"/>
      <c r="W21" s="2"/>
      <c r="X21" s="2"/>
      <c r="Y21" s="2"/>
      <c r="Z21" s="2"/>
    </row>
    <row r="22" spans="1:26" ht="15.75" customHeight="1" x14ac:dyDescent="0.3">
      <c r="A22" s="2" t="s">
        <v>317</v>
      </c>
      <c r="B22" s="32" t="s">
        <v>48</v>
      </c>
      <c r="C22" s="10" t="s">
        <v>1040</v>
      </c>
      <c r="D22" s="10" t="s">
        <v>1041</v>
      </c>
      <c r="E22" s="10" t="s">
        <v>1042</v>
      </c>
      <c r="F22" s="46" t="s">
        <v>1043</v>
      </c>
      <c r="G22" s="69">
        <v>-30615.87</v>
      </c>
      <c r="H22" s="69">
        <v>14903.53</v>
      </c>
      <c r="I22" s="69">
        <f>H22*0.71</f>
        <v>10581.506299999999</v>
      </c>
      <c r="J22" s="70">
        <v>1</v>
      </c>
      <c r="K22" s="69">
        <f>(G22+I22)*J22+H22*0.03*J22</f>
        <v>-19587.257800000003</v>
      </c>
      <c r="L22" s="19" t="s">
        <v>468</v>
      </c>
      <c r="M22" s="61">
        <v>0</v>
      </c>
      <c r="N22" s="61">
        <f>H22*0.26*J22</f>
        <v>3874.9178000000002</v>
      </c>
      <c r="O22" s="61"/>
      <c r="P22" s="2"/>
      <c r="Q22" s="2"/>
      <c r="R22" s="32"/>
      <c r="S22" s="32"/>
      <c r="T22" s="32"/>
      <c r="U22" s="32"/>
      <c r="V22" s="2"/>
      <c r="W22" s="2"/>
      <c r="X22" s="2"/>
      <c r="Y22" s="2"/>
      <c r="Z22" s="2"/>
    </row>
    <row r="23" spans="1:26" ht="15.75" customHeight="1" x14ac:dyDescent="0.3">
      <c r="A23" s="32" t="s">
        <v>317</v>
      </c>
      <c r="B23" s="32" t="s">
        <v>69</v>
      </c>
      <c r="C23" s="10" t="s">
        <v>15</v>
      </c>
      <c r="D23" s="10" t="s">
        <v>15</v>
      </c>
      <c r="E23" s="10" t="s">
        <v>1050</v>
      </c>
      <c r="F23" s="86" t="s">
        <v>1051</v>
      </c>
      <c r="G23" s="69">
        <v>-14.36</v>
      </c>
      <c r="H23" s="69">
        <v>192.83</v>
      </c>
      <c r="I23" s="69">
        <f>H23*0.8</f>
        <v>154.26400000000001</v>
      </c>
      <c r="J23" s="70">
        <v>1</v>
      </c>
      <c r="K23" s="69">
        <f t="shared" ref="K23:K25" si="9">(G23+I23)*J23</f>
        <v>139.904</v>
      </c>
      <c r="L23" s="19">
        <f t="shared" ref="L23:L25" si="10">H23*0.05*J23</f>
        <v>9.6415000000000006</v>
      </c>
      <c r="M23" s="61">
        <v>0</v>
      </c>
      <c r="N23" s="61">
        <v>0</v>
      </c>
      <c r="O23" s="61"/>
      <c r="P23" s="2"/>
      <c r="Q23" s="2"/>
      <c r="R23" s="32"/>
      <c r="S23" s="32"/>
      <c r="T23" s="32"/>
      <c r="U23" s="32"/>
      <c r="V23" s="2"/>
      <c r="W23" s="2"/>
      <c r="X23" s="2"/>
      <c r="Y23" s="2"/>
      <c r="Z23" s="2"/>
    </row>
    <row r="24" spans="1:26" ht="15.75" customHeight="1" x14ac:dyDescent="0.3">
      <c r="A24" s="32" t="s">
        <v>317</v>
      </c>
      <c r="B24" s="29" t="s">
        <v>35</v>
      </c>
      <c r="C24" s="10" t="s">
        <v>1073</v>
      </c>
      <c r="D24" s="10" t="s">
        <v>1074</v>
      </c>
      <c r="E24" s="10" t="s">
        <v>1075</v>
      </c>
      <c r="F24" s="86" t="s">
        <v>1076</v>
      </c>
      <c r="G24" s="69">
        <v>15819</v>
      </c>
      <c r="H24" s="69">
        <v>9996.7900000000009</v>
      </c>
      <c r="I24" s="69">
        <f t="shared" ref="I24:I25" si="11">H24*0.83</f>
        <v>8297.3356999999996</v>
      </c>
      <c r="J24" s="75">
        <v>0.26644000000000001</v>
      </c>
      <c r="K24" s="69">
        <f t="shared" si="9"/>
        <v>6425.5564839079998</v>
      </c>
      <c r="L24" s="78">
        <f t="shared" si="10"/>
        <v>133.17723638000001</v>
      </c>
      <c r="M24" s="61">
        <v>0</v>
      </c>
      <c r="N24" s="61">
        <v>0</v>
      </c>
      <c r="O24" s="61"/>
      <c r="P24" s="2"/>
      <c r="Q24" s="2"/>
      <c r="R24" s="32"/>
      <c r="S24" s="32"/>
      <c r="T24" s="32"/>
      <c r="U24" s="32"/>
      <c r="V24" s="2"/>
      <c r="W24" s="2"/>
      <c r="X24" s="2"/>
      <c r="Y24" s="2"/>
      <c r="Z24" s="2"/>
    </row>
    <row r="25" spans="1:26" ht="15.75" customHeight="1" x14ac:dyDescent="0.3">
      <c r="A25" s="32" t="s">
        <v>317</v>
      </c>
      <c r="B25" s="29" t="s">
        <v>35</v>
      </c>
      <c r="C25" s="10" t="s">
        <v>1036</v>
      </c>
      <c r="D25" s="10" t="s">
        <v>1037</v>
      </c>
      <c r="E25" s="10" t="s">
        <v>1050</v>
      </c>
      <c r="F25" s="86" t="s">
        <v>1051</v>
      </c>
      <c r="G25" s="69">
        <v>-3799.23</v>
      </c>
      <c r="H25" s="69">
        <v>268.44</v>
      </c>
      <c r="I25" s="69">
        <f t="shared" si="11"/>
        <v>222.80519999999999</v>
      </c>
      <c r="J25" s="75">
        <v>0.26644000000000001</v>
      </c>
      <c r="K25" s="69">
        <f t="shared" si="9"/>
        <v>-952.90262371200015</v>
      </c>
      <c r="L25" s="78">
        <f t="shared" si="10"/>
        <v>3.5761576800000001</v>
      </c>
      <c r="M25" s="61">
        <v>0</v>
      </c>
      <c r="N25" s="61">
        <v>0</v>
      </c>
      <c r="O25" s="61"/>
      <c r="P25" s="2"/>
      <c r="Q25" s="2"/>
      <c r="R25" s="32"/>
      <c r="S25" s="32"/>
      <c r="T25" s="32"/>
      <c r="U25" s="32"/>
      <c r="V25" s="2"/>
      <c r="W25" s="2"/>
      <c r="X25" s="2"/>
      <c r="Y25" s="2"/>
      <c r="Z25" s="2"/>
    </row>
    <row r="26" spans="1:26" ht="15.75" customHeight="1" x14ac:dyDescent="0.3">
      <c r="A26" s="32" t="s">
        <v>317</v>
      </c>
      <c r="B26" s="2" t="s">
        <v>244</v>
      </c>
      <c r="C26" s="10" t="s">
        <v>15</v>
      </c>
      <c r="D26" s="10" t="s">
        <v>15</v>
      </c>
      <c r="E26" s="10">
        <v>1076476</v>
      </c>
      <c r="F26" s="86" t="s">
        <v>1077</v>
      </c>
      <c r="G26" s="69">
        <v>281.52</v>
      </c>
      <c r="H26" s="69">
        <v>74.45</v>
      </c>
      <c r="I26" s="69">
        <f t="shared" ref="I26:I27" si="12">H26*0.75</f>
        <v>55.837500000000006</v>
      </c>
      <c r="J26" s="70">
        <v>1</v>
      </c>
      <c r="K26" s="69">
        <f>((G26+I26)*0.85-H26*0.15*0.25)*J26</f>
        <v>283.96199999999993</v>
      </c>
      <c r="L26" s="79" t="s">
        <v>468</v>
      </c>
      <c r="M26" s="61">
        <v>0</v>
      </c>
      <c r="N26" s="61">
        <v>0</v>
      </c>
      <c r="O26" s="61"/>
      <c r="P26" s="2"/>
      <c r="Q26" s="2"/>
      <c r="R26" s="32"/>
      <c r="S26" s="32"/>
      <c r="T26" s="32"/>
      <c r="U26" s="32"/>
      <c r="V26" s="2"/>
      <c r="W26" s="2"/>
      <c r="X26" s="2"/>
      <c r="Y26" s="2"/>
      <c r="Z26" s="2"/>
    </row>
    <row r="27" spans="1:26" ht="15.75" customHeight="1" x14ac:dyDescent="0.3">
      <c r="A27" s="32" t="s">
        <v>317</v>
      </c>
      <c r="B27" s="91" t="s">
        <v>10</v>
      </c>
      <c r="C27" s="10" t="s">
        <v>15</v>
      </c>
      <c r="D27" s="10" t="s">
        <v>15</v>
      </c>
      <c r="E27" s="10">
        <v>677999</v>
      </c>
      <c r="F27" s="86" t="s">
        <v>1060</v>
      </c>
      <c r="G27" s="69">
        <v>-80</v>
      </c>
      <c r="H27" s="69">
        <v>8</v>
      </c>
      <c r="I27" s="69">
        <f t="shared" si="12"/>
        <v>6</v>
      </c>
      <c r="J27" s="73">
        <v>0.20576</v>
      </c>
      <c r="K27" s="69">
        <f t="shared" ref="K27:K28" si="13">(G27+I27)*J27</f>
        <v>-15.226240000000001</v>
      </c>
      <c r="L27" s="19" t="s">
        <v>468</v>
      </c>
      <c r="M27" s="61">
        <v>0</v>
      </c>
      <c r="N27" s="61">
        <v>0</v>
      </c>
      <c r="O27" s="61"/>
      <c r="P27" s="2"/>
      <c r="Q27" s="2"/>
      <c r="R27" s="32"/>
      <c r="S27" s="32"/>
      <c r="T27" s="32"/>
      <c r="U27" s="32"/>
      <c r="V27" s="2"/>
      <c r="W27" s="2"/>
      <c r="X27" s="2"/>
      <c r="Y27" s="2"/>
      <c r="Z27" s="2"/>
    </row>
    <row r="28" spans="1:26" ht="15.75" customHeight="1" x14ac:dyDescent="0.3">
      <c r="A28" s="2" t="s">
        <v>325</v>
      </c>
      <c r="B28" s="32" t="s">
        <v>48</v>
      </c>
      <c r="C28" s="10" t="s">
        <v>15</v>
      </c>
      <c r="D28" s="10" t="s">
        <v>15</v>
      </c>
      <c r="E28" s="10" t="s">
        <v>1065</v>
      </c>
      <c r="F28" s="86" t="s">
        <v>1066</v>
      </c>
      <c r="G28" s="69">
        <v>-721.63</v>
      </c>
      <c r="H28" s="69">
        <v>208.38</v>
      </c>
      <c r="I28" s="69">
        <f>H28*0.7</f>
        <v>145.86599999999999</v>
      </c>
      <c r="J28" s="70">
        <v>1</v>
      </c>
      <c r="K28" s="69">
        <f t="shared" si="13"/>
        <v>-575.76400000000001</v>
      </c>
      <c r="L28" s="19" t="s">
        <v>468</v>
      </c>
      <c r="M28" s="61">
        <v>0</v>
      </c>
      <c r="N28" s="61">
        <f>H28*0.3*J28</f>
        <v>62.513999999999996</v>
      </c>
      <c r="O28" s="61"/>
      <c r="P28" s="2"/>
      <c r="Q28" s="2"/>
      <c r="R28" s="32"/>
      <c r="S28" s="32"/>
      <c r="T28" s="32"/>
      <c r="U28" s="32"/>
      <c r="V28" s="2"/>
      <c r="W28" s="2"/>
      <c r="X28" s="2"/>
      <c r="Y28" s="2"/>
      <c r="Z28" s="2"/>
    </row>
    <row r="29" spans="1:26" ht="15.75" customHeight="1" x14ac:dyDescent="0.3">
      <c r="A29" s="2" t="s">
        <v>325</v>
      </c>
      <c r="B29" s="2" t="s">
        <v>244</v>
      </c>
      <c r="C29" s="10" t="s">
        <v>15</v>
      </c>
      <c r="D29" s="10" t="s">
        <v>15</v>
      </c>
      <c r="E29" s="10">
        <v>1076476</v>
      </c>
      <c r="F29" s="86" t="s">
        <v>1077</v>
      </c>
      <c r="G29" s="69">
        <v>-306.60000000000002</v>
      </c>
      <c r="H29" s="69">
        <v>338.84</v>
      </c>
      <c r="I29" s="69">
        <f>H29*0.75</f>
        <v>254.13</v>
      </c>
      <c r="J29" s="70">
        <v>1</v>
      </c>
      <c r="K29" s="69">
        <f>((G29+I29)*0.85-H29*0.15*0.25)*J29</f>
        <v>-57.306000000000019</v>
      </c>
      <c r="L29" s="79" t="s">
        <v>468</v>
      </c>
      <c r="M29" s="61">
        <v>0</v>
      </c>
      <c r="N29" s="61">
        <v>0</v>
      </c>
      <c r="O29" s="61"/>
      <c r="P29" s="2"/>
      <c r="Q29" s="2"/>
      <c r="R29" s="32"/>
      <c r="S29" s="32"/>
      <c r="T29" s="32"/>
      <c r="U29" s="32"/>
      <c r="V29" s="2"/>
      <c r="W29" s="2"/>
      <c r="X29" s="2"/>
      <c r="Y29" s="2"/>
      <c r="Z29" s="2"/>
    </row>
    <row r="30" spans="1:26" ht="13.8" x14ac:dyDescent="0.3">
      <c r="A30" s="32" t="s">
        <v>325</v>
      </c>
      <c r="B30" s="32" t="s">
        <v>69</v>
      </c>
      <c r="C30" s="10" t="s">
        <v>15</v>
      </c>
      <c r="D30" s="10" t="s">
        <v>15</v>
      </c>
      <c r="E30" s="10" t="s">
        <v>1050</v>
      </c>
      <c r="F30" s="86" t="s">
        <v>1051</v>
      </c>
      <c r="G30" s="69">
        <v>-199.59</v>
      </c>
      <c r="H30" s="69">
        <v>31.3</v>
      </c>
      <c r="I30" s="69">
        <f>H30*0.8</f>
        <v>25.040000000000003</v>
      </c>
      <c r="J30" s="70">
        <v>1</v>
      </c>
      <c r="K30" s="69">
        <f>(G30+I30)*J30</f>
        <v>-174.55</v>
      </c>
      <c r="L30" s="19">
        <f>H30*0.05*J30</f>
        <v>1.5650000000000002</v>
      </c>
      <c r="M30" s="61">
        <v>0</v>
      </c>
      <c r="N30" s="61">
        <v>0</v>
      </c>
      <c r="O30" s="61"/>
      <c r="P30" s="2"/>
      <c r="Q30" s="2"/>
      <c r="R30" s="32"/>
      <c r="S30" s="32"/>
      <c r="T30" s="32"/>
      <c r="U30" s="32"/>
      <c r="V30" s="2"/>
      <c r="W30" s="2"/>
      <c r="X30" s="2"/>
      <c r="Y30" s="2"/>
      <c r="Z30" s="2"/>
    </row>
    <row r="31" spans="1:26" ht="13.8" x14ac:dyDescent="0.3">
      <c r="A31" s="32" t="s">
        <v>325</v>
      </c>
      <c r="B31" s="2" t="s">
        <v>107</v>
      </c>
      <c r="C31" s="10" t="s">
        <v>15</v>
      </c>
      <c r="D31" s="10" t="s">
        <v>15</v>
      </c>
      <c r="E31" s="10">
        <v>1076476</v>
      </c>
      <c r="F31" s="86" t="s">
        <v>1077</v>
      </c>
      <c r="G31" s="69">
        <v>105.89</v>
      </c>
      <c r="H31" s="69">
        <v>78.25</v>
      </c>
      <c r="I31" s="69">
        <f>H31*0.77</f>
        <v>60.252500000000005</v>
      </c>
      <c r="J31" s="70">
        <v>1</v>
      </c>
      <c r="K31" s="69">
        <f>((G31+I31)*0.85-H31*0.15*0.23)*J31</f>
        <v>138.5215</v>
      </c>
      <c r="L31" s="19" t="s">
        <v>468</v>
      </c>
      <c r="M31" s="61">
        <v>0</v>
      </c>
      <c r="N31" s="61">
        <v>0</v>
      </c>
      <c r="O31" s="61"/>
      <c r="P31" s="2"/>
      <c r="Q31" s="2"/>
      <c r="R31" s="32"/>
      <c r="S31" s="32"/>
      <c r="T31" s="32"/>
      <c r="U31" s="32"/>
      <c r="V31" s="2"/>
      <c r="W31" s="2"/>
      <c r="X31" s="2"/>
      <c r="Y31" s="2"/>
      <c r="Z31" s="2"/>
    </row>
    <row r="32" spans="1:26" ht="13.8" x14ac:dyDescent="0.3">
      <c r="A32" s="2" t="s">
        <v>325</v>
      </c>
      <c r="B32" s="29" t="s">
        <v>35</v>
      </c>
      <c r="C32" s="10" t="s">
        <v>1073</v>
      </c>
      <c r="D32" s="10" t="s">
        <v>1074</v>
      </c>
      <c r="E32" s="10" t="s">
        <v>1075</v>
      </c>
      <c r="F32" s="86" t="s">
        <v>1076</v>
      </c>
      <c r="G32" s="69">
        <v>-9726.52</v>
      </c>
      <c r="H32" s="69">
        <v>17502.37</v>
      </c>
      <c r="I32" s="69">
        <f t="shared" ref="I32:I34" si="14">H32*0.83</f>
        <v>14526.967099999998</v>
      </c>
      <c r="J32" s="75">
        <v>0.26577000000000001</v>
      </c>
      <c r="K32" s="69">
        <f t="shared" ref="K32:K34" si="15">(G32+I32)*J32</f>
        <v>1275.8148257669993</v>
      </c>
      <c r="L32" s="78">
        <f t="shared" ref="L32:L35" si="16">H32*0.05*J32</f>
        <v>232.58024374500002</v>
      </c>
      <c r="M32" s="61">
        <v>0</v>
      </c>
      <c r="N32" s="61">
        <v>0</v>
      </c>
      <c r="O32" s="61"/>
      <c r="P32" s="2"/>
      <c r="Q32" s="2"/>
      <c r="R32" s="32"/>
      <c r="S32" s="32"/>
      <c r="T32" s="32"/>
      <c r="U32" s="32"/>
      <c r="V32" s="2"/>
      <c r="W32" s="2"/>
      <c r="X32" s="2"/>
      <c r="Y32" s="2"/>
      <c r="Z32" s="2"/>
    </row>
    <row r="33" spans="1:26" ht="13.8" x14ac:dyDescent="0.3">
      <c r="A33" s="2" t="s">
        <v>325</v>
      </c>
      <c r="B33" s="29" t="s">
        <v>35</v>
      </c>
      <c r="C33" s="10" t="s">
        <v>1036</v>
      </c>
      <c r="D33" s="10" t="s">
        <v>1037</v>
      </c>
      <c r="E33" s="10" t="s">
        <v>1048</v>
      </c>
      <c r="F33" s="86" t="s">
        <v>1049</v>
      </c>
      <c r="G33" s="69">
        <v>2694.85</v>
      </c>
      <c r="H33" s="69">
        <v>1078.98</v>
      </c>
      <c r="I33" s="69">
        <f t="shared" si="14"/>
        <v>895.55340000000001</v>
      </c>
      <c r="J33" s="75">
        <v>0.26577000000000001</v>
      </c>
      <c r="K33" s="69">
        <f t="shared" si="15"/>
        <v>954.22151161800002</v>
      </c>
      <c r="L33" s="78">
        <f t="shared" si="16"/>
        <v>14.338025730000002</v>
      </c>
      <c r="M33" s="61">
        <v>0</v>
      </c>
      <c r="N33" s="61">
        <v>0</v>
      </c>
      <c r="O33" s="61"/>
      <c r="P33" s="2"/>
      <c r="Q33" s="2"/>
      <c r="R33" s="32"/>
      <c r="S33" s="32"/>
      <c r="T33" s="32"/>
      <c r="U33" s="32"/>
      <c r="V33" s="2"/>
      <c r="W33" s="2"/>
      <c r="X33" s="2"/>
      <c r="Y33" s="2"/>
      <c r="Z33" s="2"/>
    </row>
    <row r="34" spans="1:26" ht="13.8" x14ac:dyDescent="0.3">
      <c r="A34" s="2" t="s">
        <v>325</v>
      </c>
      <c r="B34" s="29" t="s">
        <v>35</v>
      </c>
      <c r="C34" s="10" t="s">
        <v>1036</v>
      </c>
      <c r="D34" s="10" t="s">
        <v>1037</v>
      </c>
      <c r="E34" s="10" t="s">
        <v>1050</v>
      </c>
      <c r="F34" s="86" t="s">
        <v>1051</v>
      </c>
      <c r="G34" s="69">
        <v>495.75</v>
      </c>
      <c r="H34" s="69">
        <v>30.38</v>
      </c>
      <c r="I34" s="69">
        <f t="shared" si="14"/>
        <v>25.215399999999999</v>
      </c>
      <c r="J34" s="75">
        <v>0.26577000000000001</v>
      </c>
      <c r="K34" s="69">
        <f t="shared" si="15"/>
        <v>138.45697435800002</v>
      </c>
      <c r="L34" s="78">
        <f t="shared" si="16"/>
        <v>0.40370463000000006</v>
      </c>
      <c r="M34" s="61">
        <v>0</v>
      </c>
      <c r="N34" s="61">
        <v>0</v>
      </c>
      <c r="O34" s="61"/>
      <c r="P34" s="2"/>
      <c r="Q34" s="2"/>
      <c r="R34" s="32"/>
      <c r="S34" s="32"/>
      <c r="T34" s="32"/>
      <c r="U34" s="32"/>
      <c r="V34" s="2"/>
      <c r="W34" s="2"/>
      <c r="X34" s="2"/>
      <c r="Y34" s="2"/>
      <c r="Z34" s="2"/>
    </row>
    <row r="35" spans="1:26" ht="13.8" x14ac:dyDescent="0.3">
      <c r="A35" s="2" t="s">
        <v>332</v>
      </c>
      <c r="B35" s="32" t="s">
        <v>81</v>
      </c>
      <c r="C35" s="2" t="s">
        <v>15</v>
      </c>
      <c r="D35" s="2" t="s">
        <v>15</v>
      </c>
      <c r="E35" s="2" t="s">
        <v>1050</v>
      </c>
      <c r="F35" s="32" t="s">
        <v>1051</v>
      </c>
      <c r="G35" s="69">
        <v>-26.87</v>
      </c>
      <c r="H35" s="69">
        <v>3.28</v>
      </c>
      <c r="I35" s="69">
        <f>H35*0.95</f>
        <v>3.1159999999999997</v>
      </c>
      <c r="J35" s="70">
        <v>1</v>
      </c>
      <c r="K35" s="69">
        <f>(G35+I35)*J35*0.9+G35*0.1*J35-(G35+H35)*0.1*J35-H35*0.05*0.1*J35</f>
        <v>-21.723000000000003</v>
      </c>
      <c r="L35" s="78">
        <f t="shared" si="16"/>
        <v>0.16400000000000001</v>
      </c>
      <c r="M35" s="61">
        <v>0</v>
      </c>
      <c r="N35" s="61">
        <v>0</v>
      </c>
      <c r="O35" s="58"/>
      <c r="P35" s="2"/>
      <c r="Q35" s="2"/>
      <c r="R35" s="32"/>
      <c r="S35" s="32"/>
      <c r="T35" s="32"/>
      <c r="U35" s="32"/>
      <c r="V35" s="2"/>
      <c r="W35" s="2"/>
      <c r="X35" s="2"/>
      <c r="Y35" s="2"/>
      <c r="Z35" s="2"/>
    </row>
    <row r="36" spans="1:26" ht="13.8" x14ac:dyDescent="0.3">
      <c r="A36" s="32" t="s">
        <v>332</v>
      </c>
      <c r="B36" s="32" t="s">
        <v>48</v>
      </c>
      <c r="C36" s="10" t="s">
        <v>1036</v>
      </c>
      <c r="D36" s="10" t="s">
        <v>1037</v>
      </c>
      <c r="E36" s="10" t="s">
        <v>1078</v>
      </c>
      <c r="F36" s="86" t="s">
        <v>1079</v>
      </c>
      <c r="G36" s="69">
        <v>-1788.77</v>
      </c>
      <c r="H36" s="69">
        <v>1010.59</v>
      </c>
      <c r="I36" s="69">
        <f>H36*0.65</f>
        <v>656.88350000000003</v>
      </c>
      <c r="J36" s="70">
        <v>1</v>
      </c>
      <c r="K36" s="69">
        <f>(G36+I36)*J36+H36*0.03*J36</f>
        <v>-1101.5688</v>
      </c>
      <c r="L36" s="19" t="s">
        <v>468</v>
      </c>
      <c r="M36" s="61">
        <v>0</v>
      </c>
      <c r="N36" s="61">
        <f>H36*0.32*J36</f>
        <v>323.3888</v>
      </c>
      <c r="O36" s="61"/>
      <c r="P36" s="2"/>
      <c r="Q36" s="2"/>
      <c r="R36" s="32"/>
      <c r="S36" s="32"/>
      <c r="T36" s="32"/>
      <c r="U36" s="32"/>
      <c r="V36" s="2"/>
      <c r="W36" s="2"/>
      <c r="X36" s="2"/>
      <c r="Y36" s="2"/>
      <c r="Z36" s="2"/>
    </row>
    <row r="37" spans="1:26" ht="13.8" x14ac:dyDescent="0.3">
      <c r="A37" s="32" t="s">
        <v>332</v>
      </c>
      <c r="B37" s="2" t="s">
        <v>107</v>
      </c>
      <c r="C37" s="10" t="s">
        <v>15</v>
      </c>
      <c r="D37" s="10" t="s">
        <v>15</v>
      </c>
      <c r="E37" s="10">
        <v>1076476</v>
      </c>
      <c r="F37" s="86" t="s">
        <v>1077</v>
      </c>
      <c r="G37" s="69">
        <v>461.54</v>
      </c>
      <c r="H37" s="69">
        <v>66.91</v>
      </c>
      <c r="I37" s="69">
        <f>H37*0.77</f>
        <v>51.520699999999998</v>
      </c>
      <c r="J37" s="70">
        <v>1</v>
      </c>
      <c r="K37" s="69">
        <f>((G37+I37)*0.85-H37*0.15*0.23)*J37</f>
        <v>433.79319999999996</v>
      </c>
      <c r="L37" s="19" t="s">
        <v>468</v>
      </c>
      <c r="M37" s="61">
        <v>0</v>
      </c>
      <c r="N37" s="61">
        <v>0</v>
      </c>
      <c r="O37" s="61"/>
      <c r="P37" s="2"/>
      <c r="Q37" s="2"/>
      <c r="R37" s="32"/>
      <c r="S37" s="32"/>
      <c r="T37" s="32"/>
      <c r="U37" s="32"/>
      <c r="V37" s="2"/>
      <c r="W37" s="2"/>
      <c r="X37" s="2"/>
      <c r="Y37" s="2"/>
      <c r="Z37" s="2"/>
    </row>
    <row r="38" spans="1:26" ht="13.8" x14ac:dyDescent="0.3">
      <c r="A38" s="2" t="s">
        <v>332</v>
      </c>
      <c r="B38" s="32" t="s">
        <v>69</v>
      </c>
      <c r="C38" s="10" t="s">
        <v>15</v>
      </c>
      <c r="D38" s="10" t="s">
        <v>15</v>
      </c>
      <c r="E38" s="10" t="s">
        <v>1050</v>
      </c>
      <c r="F38" s="86" t="s">
        <v>1051</v>
      </c>
      <c r="G38" s="69">
        <v>-935.97</v>
      </c>
      <c r="H38" s="69">
        <v>152.19</v>
      </c>
      <c r="I38" s="69">
        <f>H38*0.8</f>
        <v>121.75200000000001</v>
      </c>
      <c r="J38" s="70">
        <v>1</v>
      </c>
      <c r="K38" s="69">
        <f t="shared" ref="K38:K41" si="17">(G38+I38)*J38</f>
        <v>-814.21800000000007</v>
      </c>
      <c r="L38" s="19">
        <f t="shared" ref="L38:L41" si="18">H38*0.05*J38</f>
        <v>7.6095000000000006</v>
      </c>
      <c r="M38" s="61">
        <v>0</v>
      </c>
      <c r="N38" s="61">
        <v>0</v>
      </c>
      <c r="O38" s="61"/>
      <c r="P38" s="2"/>
      <c r="Q38" s="2"/>
      <c r="R38" s="32"/>
      <c r="S38" s="32"/>
      <c r="T38" s="32"/>
      <c r="U38" s="32"/>
      <c r="V38" s="2"/>
      <c r="W38" s="2"/>
      <c r="X38" s="2"/>
      <c r="Y38" s="2"/>
      <c r="Z38" s="2"/>
    </row>
    <row r="39" spans="1:26" ht="13.8" x14ac:dyDescent="0.3">
      <c r="A39" s="2" t="s">
        <v>332</v>
      </c>
      <c r="B39" s="29" t="s">
        <v>35</v>
      </c>
      <c r="C39" s="10" t="s">
        <v>1073</v>
      </c>
      <c r="D39" s="10" t="s">
        <v>1074</v>
      </c>
      <c r="E39" s="10" t="s">
        <v>1075</v>
      </c>
      <c r="F39" s="86" t="s">
        <v>1076</v>
      </c>
      <c r="G39" s="69">
        <v>-425.74</v>
      </c>
      <c r="H39" s="69">
        <v>19601.02</v>
      </c>
      <c r="I39" s="69">
        <f t="shared" ref="I39:I41" si="19">H39*0.83</f>
        <v>16268.846599999999</v>
      </c>
      <c r="J39" s="75">
        <v>0.27323999999999998</v>
      </c>
      <c r="K39" s="69">
        <f t="shared" si="17"/>
        <v>4328.9704473839993</v>
      </c>
      <c r="L39" s="78">
        <f t="shared" si="18"/>
        <v>267.78913524000001</v>
      </c>
      <c r="M39" s="61">
        <v>0</v>
      </c>
      <c r="N39" s="61">
        <v>0</v>
      </c>
      <c r="O39" s="61"/>
      <c r="P39" s="2"/>
      <c r="Q39" s="2"/>
      <c r="R39" s="32"/>
      <c r="S39" s="32"/>
      <c r="T39" s="32"/>
      <c r="U39" s="32"/>
      <c r="V39" s="2"/>
      <c r="W39" s="2"/>
      <c r="X39" s="2"/>
      <c r="Y39" s="2"/>
      <c r="Z39" s="2"/>
    </row>
    <row r="40" spans="1:26" ht="13.8" x14ac:dyDescent="0.3">
      <c r="A40" s="2" t="s">
        <v>332</v>
      </c>
      <c r="B40" s="29" t="s">
        <v>35</v>
      </c>
      <c r="C40" s="10" t="s">
        <v>1036</v>
      </c>
      <c r="D40" s="10" t="s">
        <v>1037</v>
      </c>
      <c r="E40" s="10" t="s">
        <v>1048</v>
      </c>
      <c r="F40" s="86" t="s">
        <v>1049</v>
      </c>
      <c r="G40" s="69">
        <v>-2161.62</v>
      </c>
      <c r="H40" s="69">
        <v>1131.5</v>
      </c>
      <c r="I40" s="69">
        <f t="shared" si="19"/>
        <v>939.14499999999998</v>
      </c>
      <c r="J40" s="75">
        <v>0.27323999999999998</v>
      </c>
      <c r="K40" s="69">
        <f t="shared" si="17"/>
        <v>-334.02906899999994</v>
      </c>
      <c r="L40" s="78">
        <f t="shared" si="18"/>
        <v>15.458553</v>
      </c>
      <c r="M40" s="61">
        <v>0</v>
      </c>
      <c r="N40" s="61">
        <v>0</v>
      </c>
      <c r="O40" s="61"/>
      <c r="P40" s="2"/>
      <c r="Q40" s="2"/>
      <c r="R40" s="32"/>
      <c r="S40" s="32"/>
      <c r="T40" s="32"/>
      <c r="U40" s="32"/>
      <c r="V40" s="2"/>
      <c r="W40" s="2"/>
      <c r="X40" s="2"/>
      <c r="Y40" s="2"/>
      <c r="Z40" s="2"/>
    </row>
    <row r="41" spans="1:26" ht="13.8" x14ac:dyDescent="0.3">
      <c r="A41" s="2" t="s">
        <v>332</v>
      </c>
      <c r="B41" s="29" t="s">
        <v>35</v>
      </c>
      <c r="C41" s="10" t="s">
        <v>1036</v>
      </c>
      <c r="D41" s="10" t="s">
        <v>1037</v>
      </c>
      <c r="E41" s="10" t="s">
        <v>1050</v>
      </c>
      <c r="F41" s="86" t="s">
        <v>1051</v>
      </c>
      <c r="G41" s="69">
        <v>-1189.2</v>
      </c>
      <c r="H41" s="69">
        <v>778.27</v>
      </c>
      <c r="I41" s="69">
        <f t="shared" si="19"/>
        <v>645.96409999999992</v>
      </c>
      <c r="J41" s="75">
        <v>0.27323999999999998</v>
      </c>
      <c r="K41" s="69">
        <f t="shared" si="17"/>
        <v>-148.43377731600003</v>
      </c>
      <c r="L41" s="78">
        <f t="shared" si="18"/>
        <v>10.632724739999999</v>
      </c>
      <c r="M41" s="61">
        <v>0</v>
      </c>
      <c r="N41" s="61">
        <v>0</v>
      </c>
      <c r="O41" s="61"/>
      <c r="P41" s="2"/>
      <c r="Q41" s="2"/>
      <c r="R41" s="32"/>
      <c r="S41" s="32"/>
      <c r="T41" s="32"/>
      <c r="U41" s="32"/>
      <c r="V41" s="2"/>
      <c r="W41" s="2"/>
      <c r="X41" s="2"/>
      <c r="Y41" s="2"/>
      <c r="Z41" s="2"/>
    </row>
    <row r="42" spans="1:26" ht="13.8" x14ac:dyDescent="0.3">
      <c r="A42" s="2" t="s">
        <v>332</v>
      </c>
      <c r="B42" s="2" t="s">
        <v>244</v>
      </c>
      <c r="C42" s="10" t="s">
        <v>15</v>
      </c>
      <c r="D42" s="10" t="s">
        <v>15</v>
      </c>
      <c r="E42" s="10">
        <v>1076476</v>
      </c>
      <c r="F42" s="86" t="s">
        <v>1077</v>
      </c>
      <c r="G42" s="69">
        <v>-2875.77</v>
      </c>
      <c r="H42" s="69">
        <v>109.37</v>
      </c>
      <c r="I42" s="69">
        <f t="shared" ref="I42:I44" si="20">H42*0.75</f>
        <v>82.027500000000003</v>
      </c>
      <c r="J42" s="70">
        <v>1</v>
      </c>
      <c r="K42" s="69">
        <f>((G42+I42)*0.85-H42*0.15*0.25)*J42</f>
        <v>-2378.7824999999998</v>
      </c>
      <c r="L42" s="79" t="s">
        <v>468</v>
      </c>
      <c r="M42" s="61">
        <v>0</v>
      </c>
      <c r="N42" s="61">
        <v>0</v>
      </c>
      <c r="O42" s="61"/>
      <c r="P42" s="2"/>
      <c r="Q42" s="2"/>
      <c r="R42" s="32"/>
      <c r="S42" s="32"/>
      <c r="T42" s="32"/>
      <c r="U42" s="32"/>
      <c r="V42" s="2"/>
      <c r="W42" s="2"/>
      <c r="X42" s="2"/>
      <c r="Y42" s="2"/>
      <c r="Z42" s="2"/>
    </row>
    <row r="43" spans="1:26" ht="13.8" x14ac:dyDescent="0.3">
      <c r="A43" s="2" t="s">
        <v>332</v>
      </c>
      <c r="B43" s="91" t="s">
        <v>10</v>
      </c>
      <c r="C43" s="10" t="s">
        <v>15</v>
      </c>
      <c r="D43" s="10" t="s">
        <v>15</v>
      </c>
      <c r="E43" s="10">
        <v>643557</v>
      </c>
      <c r="F43" s="86" t="s">
        <v>1059</v>
      </c>
      <c r="G43" s="69">
        <v>9683.15</v>
      </c>
      <c r="H43" s="69">
        <v>11015.1</v>
      </c>
      <c r="I43" s="69">
        <f t="shared" si="20"/>
        <v>8261.3250000000007</v>
      </c>
      <c r="J43" s="73">
        <v>0.20202000000000001</v>
      </c>
      <c r="K43" s="69">
        <f t="shared" ref="K43:K44" si="21">(G43+I43)*J43</f>
        <v>3625.1428394999998</v>
      </c>
      <c r="L43" s="19" t="s">
        <v>468</v>
      </c>
      <c r="M43" s="61">
        <v>0</v>
      </c>
      <c r="N43" s="61">
        <v>0</v>
      </c>
      <c r="O43" s="61"/>
      <c r="P43" s="2"/>
      <c r="Q43" s="2"/>
      <c r="R43" s="32"/>
      <c r="S43" s="32"/>
      <c r="T43" s="32"/>
      <c r="U43" s="32"/>
      <c r="V43" s="2"/>
      <c r="W43" s="2"/>
      <c r="X43" s="2"/>
      <c r="Y43" s="2"/>
      <c r="Z43" s="2"/>
    </row>
    <row r="44" spans="1:26" ht="13.8" x14ac:dyDescent="0.3">
      <c r="A44" s="2" t="s">
        <v>332</v>
      </c>
      <c r="B44" s="91" t="s">
        <v>10</v>
      </c>
      <c r="C44" s="10" t="s">
        <v>15</v>
      </c>
      <c r="D44" s="10" t="s">
        <v>15</v>
      </c>
      <c r="E44" s="10">
        <v>643568</v>
      </c>
      <c r="F44" s="86" t="s">
        <v>1080</v>
      </c>
      <c r="G44" s="69">
        <v>-600</v>
      </c>
      <c r="H44" s="69">
        <v>38</v>
      </c>
      <c r="I44" s="69">
        <f t="shared" si="20"/>
        <v>28.5</v>
      </c>
      <c r="J44" s="73">
        <v>0.20202000000000001</v>
      </c>
      <c r="K44" s="69">
        <f t="shared" si="21"/>
        <v>-115.45443</v>
      </c>
      <c r="L44" s="19" t="s">
        <v>468</v>
      </c>
      <c r="M44" s="61">
        <v>0</v>
      </c>
      <c r="N44" s="61">
        <v>0</v>
      </c>
      <c r="O44" s="61"/>
      <c r="P44" s="2"/>
      <c r="Q44" s="2"/>
      <c r="R44" s="32"/>
      <c r="S44" s="32"/>
      <c r="T44" s="32"/>
      <c r="U44" s="32"/>
      <c r="V44" s="2"/>
      <c r="W44" s="2"/>
      <c r="X44" s="2"/>
      <c r="Y44" s="2"/>
      <c r="Z44" s="2"/>
    </row>
    <row r="45" spans="1:26" ht="13.8" x14ac:dyDescent="0.3">
      <c r="A45" s="2" t="s">
        <v>340</v>
      </c>
      <c r="B45" s="32" t="s">
        <v>81</v>
      </c>
      <c r="C45" s="2" t="s">
        <v>15</v>
      </c>
      <c r="D45" s="2" t="s">
        <v>15</v>
      </c>
      <c r="E45" s="2" t="s">
        <v>1050</v>
      </c>
      <c r="F45" s="32" t="s">
        <v>1051</v>
      </c>
      <c r="G45" s="69">
        <v>2915.57</v>
      </c>
      <c r="H45" s="69">
        <v>232.72</v>
      </c>
      <c r="I45" s="69">
        <f>H45*0.95</f>
        <v>221.08399999999997</v>
      </c>
      <c r="J45" s="70">
        <v>1</v>
      </c>
      <c r="K45" s="69">
        <f>(G45+I45)*J45*0.9+G45*0.1*J45-(G45+H45)*0.1*J45-H45*0.05*0.1*J45-(G45+H45)*0.03</f>
        <v>2704.1043000000004</v>
      </c>
      <c r="L45" s="78">
        <f t="shared" ref="L45:L47" si="22">H45*0.05*J45</f>
        <v>11.636000000000001</v>
      </c>
      <c r="M45" s="61">
        <v>0</v>
      </c>
      <c r="N45" s="61">
        <v>0</v>
      </c>
      <c r="O45" s="58"/>
      <c r="P45" s="2"/>
      <c r="Q45" s="2"/>
      <c r="R45" s="32"/>
      <c r="S45" s="32"/>
      <c r="T45" s="32"/>
      <c r="U45" s="32"/>
      <c r="V45" s="2"/>
      <c r="W45" s="2"/>
      <c r="X45" s="2"/>
      <c r="Y45" s="2"/>
      <c r="Z45" s="2"/>
    </row>
    <row r="46" spans="1:26" ht="13.8" x14ac:dyDescent="0.3">
      <c r="A46" s="2" t="s">
        <v>340</v>
      </c>
      <c r="B46" s="29" t="s">
        <v>35</v>
      </c>
      <c r="C46" s="10" t="s">
        <v>1073</v>
      </c>
      <c r="D46" s="10" t="s">
        <v>1074</v>
      </c>
      <c r="E46" s="10" t="s">
        <v>1075</v>
      </c>
      <c r="F46" s="46" t="s">
        <v>1076</v>
      </c>
      <c r="G46" s="69">
        <v>-12919.17</v>
      </c>
      <c r="H46" s="69">
        <v>13494.94</v>
      </c>
      <c r="I46" s="69">
        <f t="shared" ref="I46:I47" si="23">H46*0.83</f>
        <v>11200.8002</v>
      </c>
      <c r="J46" s="75">
        <v>0.27211000000000002</v>
      </c>
      <c r="K46" s="69">
        <f t="shared" ref="K46:K47" si="24">(G46+I46)*J46</f>
        <v>-467.58560627800011</v>
      </c>
      <c r="L46" s="78">
        <f t="shared" si="22"/>
        <v>183.60540617000004</v>
      </c>
      <c r="M46" s="61">
        <v>0</v>
      </c>
      <c r="N46" s="61">
        <v>0</v>
      </c>
      <c r="O46" s="61"/>
      <c r="P46" s="2"/>
      <c r="Q46" s="2"/>
      <c r="R46" s="32"/>
      <c r="S46" s="32"/>
      <c r="T46" s="32"/>
      <c r="U46" s="32"/>
      <c r="V46" s="2"/>
      <c r="W46" s="2"/>
      <c r="X46" s="2"/>
      <c r="Y46" s="2"/>
      <c r="Z46" s="2"/>
    </row>
    <row r="47" spans="1:26" ht="13.8" x14ac:dyDescent="0.3">
      <c r="A47" s="2" t="s">
        <v>340</v>
      </c>
      <c r="B47" s="29" t="s">
        <v>35</v>
      </c>
      <c r="C47" s="10" t="s">
        <v>1036</v>
      </c>
      <c r="D47" s="10" t="s">
        <v>1037</v>
      </c>
      <c r="E47" s="10" t="s">
        <v>1050</v>
      </c>
      <c r="F47" s="86" t="s">
        <v>1051</v>
      </c>
      <c r="G47" s="69">
        <v>936.68</v>
      </c>
      <c r="H47" s="69">
        <v>62.58</v>
      </c>
      <c r="I47" s="69">
        <f t="shared" si="23"/>
        <v>51.941399999999994</v>
      </c>
      <c r="J47" s="75">
        <v>0.27211000000000002</v>
      </c>
      <c r="K47" s="69">
        <f t="shared" si="24"/>
        <v>269.01376915400004</v>
      </c>
      <c r="L47" s="78">
        <f t="shared" si="22"/>
        <v>0.85143219000000003</v>
      </c>
      <c r="M47" s="61">
        <v>0</v>
      </c>
      <c r="N47" s="61">
        <v>0</v>
      </c>
      <c r="O47" s="61"/>
      <c r="P47" s="2"/>
      <c r="Q47" s="2"/>
      <c r="R47" s="32"/>
      <c r="S47" s="32"/>
      <c r="T47" s="32"/>
      <c r="U47" s="32"/>
      <c r="V47" s="2"/>
      <c r="W47" s="2"/>
      <c r="X47" s="2"/>
      <c r="Y47" s="2"/>
      <c r="Z47" s="2"/>
    </row>
    <row r="48" spans="1:26" ht="13.8" x14ac:dyDescent="0.3">
      <c r="A48" s="2" t="s">
        <v>340</v>
      </c>
      <c r="B48" s="2" t="s">
        <v>107</v>
      </c>
      <c r="C48" s="10" t="s">
        <v>15</v>
      </c>
      <c r="D48" s="10" t="s">
        <v>15</v>
      </c>
      <c r="E48" s="10">
        <v>1076476</v>
      </c>
      <c r="F48" s="86" t="s">
        <v>1077</v>
      </c>
      <c r="G48" s="69">
        <v>340.21</v>
      </c>
      <c r="H48" s="69">
        <v>19</v>
      </c>
      <c r="I48" s="69">
        <f>H48*0.77</f>
        <v>14.63</v>
      </c>
      <c r="J48" s="70">
        <v>1</v>
      </c>
      <c r="K48" s="69">
        <f>((G48+I48)*0.85-H48*0.15*0.23)*J48</f>
        <v>300.95849999999996</v>
      </c>
      <c r="L48" s="19" t="s">
        <v>468</v>
      </c>
      <c r="M48" s="61">
        <v>0</v>
      </c>
      <c r="N48" s="61">
        <v>0</v>
      </c>
      <c r="O48" s="61"/>
      <c r="P48" s="2"/>
      <c r="Q48" s="2"/>
      <c r="R48" s="32"/>
      <c r="S48" s="32"/>
      <c r="T48" s="32"/>
      <c r="U48" s="32"/>
      <c r="V48" s="2"/>
      <c r="W48" s="2"/>
      <c r="X48" s="2"/>
      <c r="Y48" s="2"/>
      <c r="Z48" s="2"/>
    </row>
    <row r="49" spans="1:26" ht="13.8" x14ac:dyDescent="0.3">
      <c r="A49" s="2" t="s">
        <v>340</v>
      </c>
      <c r="B49" s="2" t="s">
        <v>244</v>
      </c>
      <c r="C49" s="10" t="s">
        <v>15</v>
      </c>
      <c r="D49" s="10" t="s">
        <v>15</v>
      </c>
      <c r="E49" s="10">
        <v>1076476</v>
      </c>
      <c r="F49" s="86" t="s">
        <v>1077</v>
      </c>
      <c r="G49" s="69">
        <v>748.56</v>
      </c>
      <c r="H49" s="69">
        <v>131.44</v>
      </c>
      <c r="I49" s="69">
        <f>H49*0.75</f>
        <v>98.58</v>
      </c>
      <c r="J49" s="70">
        <v>1</v>
      </c>
      <c r="K49" s="69">
        <f>((G49+I49)*0.85-H49*0.15*0.25)*J49</f>
        <v>715.14</v>
      </c>
      <c r="L49" s="79" t="s">
        <v>468</v>
      </c>
      <c r="M49" s="61">
        <v>0</v>
      </c>
      <c r="N49" s="61">
        <v>0</v>
      </c>
      <c r="O49" s="61"/>
      <c r="P49" s="2"/>
      <c r="Q49" s="2"/>
      <c r="R49" s="32"/>
      <c r="S49" s="32"/>
      <c r="T49" s="32"/>
      <c r="U49" s="32"/>
      <c r="V49" s="2"/>
      <c r="W49" s="2"/>
      <c r="X49" s="2"/>
      <c r="Y49" s="2"/>
      <c r="Z49" s="2"/>
    </row>
    <row r="50" spans="1:26" ht="13.8" x14ac:dyDescent="0.3">
      <c r="A50" s="32" t="s">
        <v>359</v>
      </c>
      <c r="B50" s="32" t="s">
        <v>81</v>
      </c>
      <c r="C50" s="2" t="s">
        <v>15</v>
      </c>
      <c r="D50" s="2" t="s">
        <v>15</v>
      </c>
      <c r="E50" s="2" t="s">
        <v>1050</v>
      </c>
      <c r="F50" s="32" t="s">
        <v>1051</v>
      </c>
      <c r="G50" s="69">
        <v>-494.58</v>
      </c>
      <c r="H50" s="69">
        <v>50.27</v>
      </c>
      <c r="I50" s="69">
        <f>H50*0.95</f>
        <v>47.756500000000003</v>
      </c>
      <c r="J50" s="70">
        <v>1</v>
      </c>
      <c r="K50" s="69">
        <f>(G50+I50)*J50*0.9+G50*0.1*J50-(G50+H50)*0.1*J50-H50*0.05*0.1*J50-(G50+H50)*0.03</f>
        <v>-394.09020000000004</v>
      </c>
      <c r="L50" s="78">
        <f t="shared" ref="L50:L53" si="25">H50*0.05*J50</f>
        <v>2.5135000000000005</v>
      </c>
      <c r="M50" s="61">
        <v>0</v>
      </c>
      <c r="N50" s="61">
        <v>0</v>
      </c>
      <c r="O50" s="58"/>
      <c r="P50" s="2"/>
      <c r="Q50" s="2"/>
      <c r="R50" s="32"/>
      <c r="S50" s="32"/>
      <c r="T50" s="32"/>
      <c r="U50" s="32"/>
      <c r="V50" s="2"/>
      <c r="W50" s="2"/>
      <c r="X50" s="2"/>
      <c r="Y50" s="2"/>
      <c r="Z50" s="2"/>
    </row>
    <row r="51" spans="1:26" ht="13.8" x14ac:dyDescent="0.3">
      <c r="A51" s="32" t="s">
        <v>359</v>
      </c>
      <c r="B51" s="29" t="s">
        <v>35</v>
      </c>
      <c r="C51" s="10" t="s">
        <v>1073</v>
      </c>
      <c r="D51" s="10" t="s">
        <v>1074</v>
      </c>
      <c r="E51" s="10" t="s">
        <v>1075</v>
      </c>
      <c r="F51" s="86" t="s">
        <v>1076</v>
      </c>
      <c r="G51" s="69">
        <v>-6804.54</v>
      </c>
      <c r="H51" s="69">
        <v>10853.32</v>
      </c>
      <c r="I51" s="69">
        <f t="shared" ref="I51:I53" si="26">H51*0.83</f>
        <v>9008.2555999999986</v>
      </c>
      <c r="J51" s="75">
        <v>0.27339000000000002</v>
      </c>
      <c r="K51" s="69">
        <f t="shared" ref="K51:K54" si="27">(G51+I51)*J51</f>
        <v>602.47380788399971</v>
      </c>
      <c r="L51" s="78">
        <f t="shared" si="25"/>
        <v>148.35945774000004</v>
      </c>
      <c r="M51" s="61">
        <v>0</v>
      </c>
      <c r="N51" s="61">
        <v>0</v>
      </c>
      <c r="O51" s="61"/>
      <c r="P51" s="2"/>
      <c r="Q51" s="2"/>
      <c r="R51" s="32"/>
      <c r="S51" s="32"/>
      <c r="T51" s="32"/>
      <c r="U51" s="32"/>
      <c r="V51" s="2"/>
      <c r="W51" s="2"/>
      <c r="X51" s="2"/>
      <c r="Y51" s="2"/>
      <c r="Z51" s="2"/>
    </row>
    <row r="52" spans="1:26" ht="13.8" x14ac:dyDescent="0.3">
      <c r="A52" s="32" t="s">
        <v>359</v>
      </c>
      <c r="B52" s="29" t="s">
        <v>35</v>
      </c>
      <c r="C52" s="10" t="s">
        <v>1036</v>
      </c>
      <c r="D52" s="10" t="s">
        <v>1037</v>
      </c>
      <c r="E52" s="10" t="s">
        <v>1046</v>
      </c>
      <c r="F52" s="46" t="s">
        <v>1047</v>
      </c>
      <c r="G52" s="69">
        <v>2056.25</v>
      </c>
      <c r="H52" s="69">
        <v>301.38</v>
      </c>
      <c r="I52" s="69">
        <f t="shared" si="26"/>
        <v>250.1454</v>
      </c>
      <c r="J52" s="75">
        <v>0.27339000000000002</v>
      </c>
      <c r="K52" s="69">
        <f t="shared" si="27"/>
        <v>630.54543840600002</v>
      </c>
      <c r="L52" s="78">
        <f t="shared" si="25"/>
        <v>4.1197139100000006</v>
      </c>
      <c r="M52" s="61">
        <v>0</v>
      </c>
      <c r="N52" s="61">
        <v>0</v>
      </c>
      <c r="O52" s="61"/>
      <c r="P52" s="2"/>
      <c r="Q52" s="2"/>
      <c r="R52" s="32"/>
      <c r="S52" s="32"/>
      <c r="T52" s="32"/>
      <c r="U52" s="32"/>
      <c r="V52" s="2"/>
      <c r="W52" s="2"/>
      <c r="X52" s="2"/>
      <c r="Y52" s="2"/>
      <c r="Z52" s="2"/>
    </row>
    <row r="53" spans="1:26" ht="13.8" x14ac:dyDescent="0.3">
      <c r="A53" s="32" t="s">
        <v>359</v>
      </c>
      <c r="B53" s="29" t="s">
        <v>35</v>
      </c>
      <c r="C53" s="10" t="s">
        <v>1036</v>
      </c>
      <c r="D53" s="10" t="s">
        <v>1037</v>
      </c>
      <c r="E53" s="10" t="s">
        <v>1048</v>
      </c>
      <c r="F53" s="10" t="s">
        <v>1049</v>
      </c>
      <c r="G53" s="69">
        <v>-1722.99</v>
      </c>
      <c r="H53" s="69">
        <v>118.17</v>
      </c>
      <c r="I53" s="69">
        <f t="shared" si="26"/>
        <v>98.081099999999992</v>
      </c>
      <c r="J53" s="75">
        <v>0.27339000000000002</v>
      </c>
      <c r="K53" s="69">
        <f t="shared" si="27"/>
        <v>-444.23384417099999</v>
      </c>
      <c r="L53" s="78">
        <f t="shared" si="25"/>
        <v>1.6153248150000001</v>
      </c>
      <c r="M53" s="61">
        <v>0</v>
      </c>
      <c r="N53" s="61">
        <v>0</v>
      </c>
      <c r="O53" s="61"/>
      <c r="P53" s="2"/>
      <c r="Q53" s="2"/>
      <c r="R53" s="32"/>
      <c r="S53" s="32"/>
      <c r="T53" s="32"/>
      <c r="U53" s="32"/>
      <c r="V53" s="2"/>
      <c r="W53" s="2"/>
      <c r="X53" s="2"/>
      <c r="Y53" s="2"/>
      <c r="Z53" s="2"/>
    </row>
    <row r="54" spans="1:26" ht="13.8" x14ac:dyDescent="0.3">
      <c r="A54" s="32" t="s">
        <v>359</v>
      </c>
      <c r="B54" s="91" t="s">
        <v>10</v>
      </c>
      <c r="C54" s="10" t="s">
        <v>15</v>
      </c>
      <c r="D54" s="10" t="s">
        <v>15</v>
      </c>
      <c r="E54" s="10">
        <v>1080938</v>
      </c>
      <c r="F54" s="10" t="s">
        <v>1081</v>
      </c>
      <c r="G54" s="69">
        <v>-65</v>
      </c>
      <c r="H54" s="69">
        <v>3.5</v>
      </c>
      <c r="I54" s="69">
        <f>H54*0.75</f>
        <v>2.625</v>
      </c>
      <c r="J54" s="73">
        <v>0.20202000000000001</v>
      </c>
      <c r="K54" s="69">
        <f t="shared" si="27"/>
        <v>-12.6009975</v>
      </c>
      <c r="L54" s="19" t="s">
        <v>468</v>
      </c>
      <c r="M54" s="61">
        <v>0</v>
      </c>
      <c r="N54" s="61">
        <v>0</v>
      </c>
      <c r="O54" s="61"/>
      <c r="P54" s="2"/>
      <c r="Q54" s="2"/>
      <c r="R54" s="32"/>
      <c r="S54" s="32"/>
      <c r="T54" s="32"/>
      <c r="U54" s="32"/>
      <c r="V54" s="2"/>
      <c r="W54" s="2"/>
      <c r="X54" s="2"/>
      <c r="Y54" s="2"/>
      <c r="Z54" s="2"/>
    </row>
    <row r="55" spans="1:26" ht="13.8" x14ac:dyDescent="0.3">
      <c r="A55" s="32" t="s">
        <v>366</v>
      </c>
      <c r="B55" s="32" t="s">
        <v>81</v>
      </c>
      <c r="C55" s="2" t="s">
        <v>15</v>
      </c>
      <c r="D55" s="2" t="s">
        <v>15</v>
      </c>
      <c r="E55" s="2" t="s">
        <v>1050</v>
      </c>
      <c r="F55" s="32" t="s">
        <v>1051</v>
      </c>
      <c r="G55" s="69">
        <v>-637.1</v>
      </c>
      <c r="H55" s="69">
        <v>50.38</v>
      </c>
      <c r="I55" s="69">
        <f>H55*0.95</f>
        <v>47.860999999999997</v>
      </c>
      <c r="J55" s="70">
        <v>1</v>
      </c>
      <c r="K55" s="69">
        <f>((G55+I55)*J55*0.9+G55*0.1*J55-(G55+H55)*0.1*J55-H55*0.05*0.1)*J55*0.97</f>
        <v>-519.53684999999996</v>
      </c>
      <c r="L55" s="78">
        <f>H55*0.05*J55*0.97</f>
        <v>2.4434300000000002</v>
      </c>
      <c r="M55" s="61">
        <v>0</v>
      </c>
      <c r="N55" s="61">
        <v>0</v>
      </c>
      <c r="O55" s="58"/>
      <c r="P55" s="2"/>
      <c r="Q55" s="2"/>
      <c r="R55" s="32"/>
      <c r="S55" s="32"/>
      <c r="T55" s="32"/>
      <c r="U55" s="32"/>
      <c r="V55" s="2"/>
      <c r="W55" s="2"/>
      <c r="X55" s="2"/>
      <c r="Y55" s="2"/>
      <c r="Z55" s="2"/>
    </row>
    <row r="56" spans="1:26" ht="13.8" x14ac:dyDescent="0.3">
      <c r="A56" s="32" t="s">
        <v>366</v>
      </c>
      <c r="B56" s="29" t="s">
        <v>35</v>
      </c>
      <c r="C56" s="10" t="s">
        <v>1073</v>
      </c>
      <c r="D56" s="10" t="s">
        <v>1074</v>
      </c>
      <c r="E56" s="10" t="s">
        <v>1075</v>
      </c>
      <c r="F56" s="10" t="s">
        <v>1076</v>
      </c>
      <c r="G56" s="69">
        <v>3177.5</v>
      </c>
      <c r="H56" s="69">
        <v>706.36</v>
      </c>
      <c r="I56" s="69">
        <f t="shared" ref="I56:I60" si="28">H56*0.83</f>
        <v>586.27879999999993</v>
      </c>
      <c r="J56" s="75">
        <v>0.2752</v>
      </c>
      <c r="K56" s="69">
        <f t="shared" ref="K56:K60" si="29">(G56+I56)*J56</f>
        <v>1035.7919257599999</v>
      </c>
      <c r="L56" s="78">
        <f t="shared" ref="L56:L60" si="30">H56*0.05*J56</f>
        <v>9.7195136000000009</v>
      </c>
      <c r="M56" s="61">
        <v>0</v>
      </c>
      <c r="N56" s="61">
        <v>0</v>
      </c>
      <c r="O56" s="61"/>
      <c r="P56" s="2"/>
      <c r="Q56" s="2"/>
      <c r="R56" s="32"/>
      <c r="S56" s="32"/>
      <c r="T56" s="32"/>
      <c r="U56" s="32"/>
      <c r="V56" s="2"/>
      <c r="W56" s="2"/>
      <c r="X56" s="2"/>
      <c r="Y56" s="2"/>
      <c r="Z56" s="2"/>
    </row>
    <row r="57" spans="1:26" ht="13.8" x14ac:dyDescent="0.3">
      <c r="A57" s="32" t="s">
        <v>366</v>
      </c>
      <c r="B57" s="29" t="s">
        <v>35</v>
      </c>
      <c r="C57" s="10" t="s">
        <v>1036</v>
      </c>
      <c r="D57" s="10" t="s">
        <v>1037</v>
      </c>
      <c r="E57" s="10" t="s">
        <v>1082</v>
      </c>
      <c r="F57" s="10" t="s">
        <v>1083</v>
      </c>
      <c r="G57" s="69">
        <v>310.75</v>
      </c>
      <c r="H57" s="69">
        <v>25.76</v>
      </c>
      <c r="I57" s="69">
        <f t="shared" si="28"/>
        <v>21.380800000000001</v>
      </c>
      <c r="J57" s="75">
        <v>0.2752</v>
      </c>
      <c r="K57" s="69">
        <f t="shared" si="29"/>
        <v>91.402396160000009</v>
      </c>
      <c r="L57" s="78">
        <f t="shared" si="30"/>
        <v>0.35445760000000009</v>
      </c>
      <c r="M57" s="61">
        <v>0</v>
      </c>
      <c r="N57" s="61">
        <v>0</v>
      </c>
      <c r="O57" s="61"/>
      <c r="P57" s="2"/>
      <c r="Q57" s="2"/>
      <c r="R57" s="32"/>
      <c r="S57" s="32"/>
      <c r="T57" s="32"/>
      <c r="U57" s="32"/>
      <c r="V57" s="2"/>
      <c r="W57" s="2"/>
      <c r="X57" s="2"/>
      <c r="Y57" s="2"/>
      <c r="Z57" s="2"/>
    </row>
    <row r="58" spans="1:26" ht="13.8" x14ac:dyDescent="0.3">
      <c r="A58" s="32" t="s">
        <v>366</v>
      </c>
      <c r="B58" s="29" t="s">
        <v>35</v>
      </c>
      <c r="C58" s="10" t="s">
        <v>1036</v>
      </c>
      <c r="D58" s="10" t="s">
        <v>1037</v>
      </c>
      <c r="E58" s="10" t="s">
        <v>1048</v>
      </c>
      <c r="F58" s="10" t="s">
        <v>1049</v>
      </c>
      <c r="G58" s="69">
        <v>2267.6</v>
      </c>
      <c r="H58" s="69">
        <v>797.2</v>
      </c>
      <c r="I58" s="69">
        <f t="shared" si="28"/>
        <v>661.67600000000004</v>
      </c>
      <c r="J58" s="75">
        <v>0.2752</v>
      </c>
      <c r="K58" s="69">
        <f t="shared" si="29"/>
        <v>806.13675519999993</v>
      </c>
      <c r="L58" s="78">
        <f t="shared" si="30"/>
        <v>10.969472000000001</v>
      </c>
      <c r="M58" s="61">
        <v>0</v>
      </c>
      <c r="N58" s="61">
        <v>0</v>
      </c>
      <c r="O58" s="61"/>
      <c r="P58" s="2"/>
      <c r="Q58" s="2"/>
      <c r="R58" s="32"/>
      <c r="S58" s="32"/>
      <c r="T58" s="32"/>
      <c r="U58" s="32"/>
      <c r="V58" s="2"/>
      <c r="W58" s="2"/>
      <c r="X58" s="2"/>
      <c r="Y58" s="2"/>
      <c r="Z58" s="2"/>
    </row>
    <row r="59" spans="1:26" ht="13.8" x14ac:dyDescent="0.3">
      <c r="A59" s="32" t="s">
        <v>366</v>
      </c>
      <c r="B59" s="29" t="s">
        <v>35</v>
      </c>
      <c r="C59" s="10" t="s">
        <v>1036</v>
      </c>
      <c r="D59" s="10" t="s">
        <v>1037</v>
      </c>
      <c r="E59" s="10" t="s">
        <v>1050</v>
      </c>
      <c r="F59" s="10" t="s">
        <v>1051</v>
      </c>
      <c r="G59" s="69">
        <v>-3618.25</v>
      </c>
      <c r="H59" s="69">
        <v>217.58</v>
      </c>
      <c r="I59" s="69">
        <f t="shared" si="28"/>
        <v>180.59139999999999</v>
      </c>
      <c r="J59" s="75">
        <v>0.2752</v>
      </c>
      <c r="K59" s="69">
        <f t="shared" si="29"/>
        <v>-946.04364672000008</v>
      </c>
      <c r="L59" s="78">
        <f t="shared" si="30"/>
        <v>2.9939008000000005</v>
      </c>
      <c r="M59" s="61">
        <v>0</v>
      </c>
      <c r="N59" s="61">
        <v>0</v>
      </c>
      <c r="O59" s="61"/>
      <c r="P59" s="2"/>
      <c r="Q59" s="2"/>
      <c r="R59" s="32"/>
      <c r="S59" s="32"/>
      <c r="T59" s="32"/>
      <c r="U59" s="32"/>
      <c r="V59" s="2"/>
      <c r="W59" s="2"/>
      <c r="X59" s="2"/>
      <c r="Y59" s="2"/>
      <c r="Z59" s="2"/>
    </row>
    <row r="60" spans="1:26" ht="13.8" x14ac:dyDescent="0.3">
      <c r="A60" s="32" t="s">
        <v>366</v>
      </c>
      <c r="B60" s="29" t="s">
        <v>35</v>
      </c>
      <c r="C60" s="10" t="s">
        <v>1036</v>
      </c>
      <c r="D60" s="10" t="s">
        <v>1037</v>
      </c>
      <c r="E60" s="10" t="s">
        <v>1052</v>
      </c>
      <c r="F60" s="10" t="s">
        <v>1053</v>
      </c>
      <c r="G60" s="69">
        <v>-2644.21</v>
      </c>
      <c r="H60" s="69">
        <v>579.73</v>
      </c>
      <c r="I60" s="69">
        <f t="shared" si="28"/>
        <v>481.17590000000001</v>
      </c>
      <c r="J60" s="75">
        <v>0.2752</v>
      </c>
      <c r="K60" s="69">
        <f t="shared" si="29"/>
        <v>-595.26698432000001</v>
      </c>
      <c r="L60" s="78">
        <f t="shared" si="30"/>
        <v>7.977084800000001</v>
      </c>
      <c r="M60" s="61">
        <v>0</v>
      </c>
      <c r="N60" s="61">
        <v>0</v>
      </c>
      <c r="O60" s="61"/>
      <c r="P60" s="2"/>
      <c r="Q60" s="2"/>
      <c r="R60" s="32"/>
      <c r="S60" s="32"/>
      <c r="T60" s="32"/>
      <c r="U60" s="32"/>
      <c r="V60" s="2"/>
      <c r="W60" s="2"/>
      <c r="X60" s="2"/>
      <c r="Y60" s="2"/>
      <c r="Z60" s="2"/>
    </row>
    <row r="61" spans="1:26" ht="13.8" x14ac:dyDescent="0.3">
      <c r="A61" s="32" t="s">
        <v>366</v>
      </c>
      <c r="B61" s="2" t="s">
        <v>107</v>
      </c>
      <c r="C61" s="10" t="s">
        <v>15</v>
      </c>
      <c r="D61" s="10" t="s">
        <v>15</v>
      </c>
      <c r="E61" s="10">
        <v>1076476</v>
      </c>
      <c r="F61" s="86" t="s">
        <v>1077</v>
      </c>
      <c r="G61" s="69">
        <v>242.98</v>
      </c>
      <c r="H61" s="69">
        <v>70.680000000000007</v>
      </c>
      <c r="I61" s="69">
        <f>H61*0.77</f>
        <v>54.423600000000008</v>
      </c>
      <c r="J61" s="70">
        <v>1</v>
      </c>
      <c r="K61" s="69">
        <f>((G61+I61)*0.85-H61*0.15*0.23)*J61</f>
        <v>250.35459999999998</v>
      </c>
      <c r="L61" s="19" t="s">
        <v>468</v>
      </c>
      <c r="M61" s="61">
        <v>0</v>
      </c>
      <c r="N61" s="61">
        <v>0</v>
      </c>
      <c r="O61" s="61"/>
      <c r="P61" s="2"/>
      <c r="Q61" s="2"/>
      <c r="R61" s="32"/>
      <c r="S61" s="32"/>
      <c r="T61" s="32"/>
      <c r="U61" s="32"/>
      <c r="V61" s="2"/>
      <c r="W61" s="2"/>
      <c r="X61" s="2"/>
      <c r="Y61" s="2"/>
      <c r="Z61" s="2"/>
    </row>
    <row r="62" spans="1:26" ht="13.8" x14ac:dyDescent="0.3">
      <c r="A62" s="32" t="s">
        <v>366</v>
      </c>
      <c r="B62" s="2" t="s">
        <v>244</v>
      </c>
      <c r="C62" s="10" t="s">
        <v>15</v>
      </c>
      <c r="D62" s="10" t="s">
        <v>15</v>
      </c>
      <c r="E62" s="10">
        <v>1076476</v>
      </c>
      <c r="F62" s="86" t="s">
        <v>1077</v>
      </c>
      <c r="G62" s="69">
        <v>-2847.55</v>
      </c>
      <c r="H62" s="69">
        <v>497.58</v>
      </c>
      <c r="I62" s="69">
        <f>H62*0.75</f>
        <v>373.185</v>
      </c>
      <c r="J62" s="70">
        <v>1</v>
      </c>
      <c r="K62" s="69">
        <f>((G62+I62)*0.85-H62*0.15*0.25)*J62</f>
        <v>-2121.8695000000002</v>
      </c>
      <c r="L62" s="79" t="s">
        <v>468</v>
      </c>
      <c r="M62" s="61">
        <v>0</v>
      </c>
      <c r="N62" s="61">
        <v>0</v>
      </c>
      <c r="O62" s="61"/>
      <c r="P62" s="2"/>
      <c r="Q62" s="2"/>
      <c r="R62" s="32"/>
      <c r="S62" s="32"/>
      <c r="T62" s="32"/>
      <c r="U62" s="32"/>
      <c r="V62" s="2"/>
      <c r="W62" s="2"/>
      <c r="X62" s="2"/>
      <c r="Y62" s="2"/>
      <c r="Z62" s="2"/>
    </row>
    <row r="63" spans="1:26" ht="13.8" x14ac:dyDescent="0.3">
      <c r="A63" s="2" t="s">
        <v>370</v>
      </c>
      <c r="B63" s="29" t="s">
        <v>35</v>
      </c>
      <c r="C63" s="10" t="s">
        <v>1036</v>
      </c>
      <c r="D63" s="10" t="s">
        <v>1037</v>
      </c>
      <c r="E63" s="10" t="s">
        <v>1046</v>
      </c>
      <c r="F63" s="86" t="s">
        <v>1047</v>
      </c>
      <c r="G63" s="69">
        <v>940</v>
      </c>
      <c r="H63" s="69">
        <v>30</v>
      </c>
      <c r="I63" s="69">
        <f t="shared" ref="I63:I66" si="31">H63*0.83</f>
        <v>24.9</v>
      </c>
      <c r="J63" s="75">
        <v>0.27467999999999998</v>
      </c>
      <c r="K63" s="69">
        <f t="shared" ref="K63:K66" si="32">(G63+I63)*J63</f>
        <v>265.03873199999998</v>
      </c>
      <c r="L63" s="78">
        <f t="shared" ref="L63:L66" si="33">H63*0.05*J63</f>
        <v>0.41201999999999994</v>
      </c>
      <c r="M63" s="61">
        <v>0</v>
      </c>
      <c r="N63" s="61">
        <v>0</v>
      </c>
      <c r="O63" s="61"/>
      <c r="P63" s="2"/>
      <c r="Q63" s="2"/>
      <c r="R63" s="32"/>
      <c r="S63" s="32"/>
      <c r="T63" s="32"/>
      <c r="U63" s="32"/>
      <c r="V63" s="2"/>
      <c r="W63" s="2"/>
      <c r="X63" s="2"/>
      <c r="Y63" s="2"/>
      <c r="Z63" s="2"/>
    </row>
    <row r="64" spans="1:26" ht="13.8" x14ac:dyDescent="0.3">
      <c r="A64" s="2" t="s">
        <v>370</v>
      </c>
      <c r="B64" s="29" t="s">
        <v>35</v>
      </c>
      <c r="C64" s="10" t="s">
        <v>1036</v>
      </c>
      <c r="D64" s="10" t="s">
        <v>1037</v>
      </c>
      <c r="E64" s="10" t="s">
        <v>1082</v>
      </c>
      <c r="F64" s="86" t="s">
        <v>1083</v>
      </c>
      <c r="G64" s="69">
        <v>-672</v>
      </c>
      <c r="H64" s="69">
        <v>60.66</v>
      </c>
      <c r="I64" s="69">
        <f t="shared" si="31"/>
        <v>50.347799999999992</v>
      </c>
      <c r="J64" s="75">
        <v>0.27467999999999998</v>
      </c>
      <c r="K64" s="69">
        <f t="shared" si="32"/>
        <v>-170.755426296</v>
      </c>
      <c r="L64" s="78">
        <f t="shared" si="33"/>
        <v>0.83310443999999995</v>
      </c>
      <c r="M64" s="61">
        <v>0</v>
      </c>
      <c r="N64" s="61">
        <v>0</v>
      </c>
      <c r="O64" s="61"/>
      <c r="P64" s="2"/>
      <c r="Q64" s="2"/>
      <c r="R64" s="32"/>
      <c r="S64" s="32"/>
      <c r="T64" s="32"/>
      <c r="U64" s="32"/>
      <c r="V64" s="2"/>
      <c r="W64" s="2"/>
      <c r="X64" s="2"/>
      <c r="Y64" s="2"/>
      <c r="Z64" s="2"/>
    </row>
    <row r="65" spans="1:26" ht="13.8" x14ac:dyDescent="0.3">
      <c r="A65" s="2" t="s">
        <v>372</v>
      </c>
      <c r="B65" s="29" t="s">
        <v>35</v>
      </c>
      <c r="C65" s="10" t="s">
        <v>1036</v>
      </c>
      <c r="D65" s="10" t="s">
        <v>1037</v>
      </c>
      <c r="E65" s="10" t="s">
        <v>1046</v>
      </c>
      <c r="F65" s="86" t="s">
        <v>1047</v>
      </c>
      <c r="G65" s="69">
        <v>-1288.77</v>
      </c>
      <c r="H65" s="69">
        <v>1082.74</v>
      </c>
      <c r="I65" s="69">
        <f t="shared" si="31"/>
        <v>898.67419999999993</v>
      </c>
      <c r="J65" s="75">
        <v>0.27928999999999998</v>
      </c>
      <c r="K65" s="69">
        <f t="shared" si="32"/>
        <v>-108.949855982</v>
      </c>
      <c r="L65" s="78">
        <f t="shared" si="33"/>
        <v>15.119922729999999</v>
      </c>
      <c r="M65" s="61">
        <v>0</v>
      </c>
      <c r="N65" s="61">
        <v>0</v>
      </c>
      <c r="O65" s="61"/>
      <c r="P65" s="2"/>
      <c r="Q65" s="2"/>
      <c r="R65" s="32"/>
      <c r="S65" s="32"/>
      <c r="T65" s="32"/>
      <c r="U65" s="32"/>
      <c r="V65" s="2"/>
      <c r="W65" s="2"/>
      <c r="X65" s="2"/>
      <c r="Y65" s="2"/>
      <c r="Z65" s="2"/>
    </row>
    <row r="66" spans="1:26" ht="13.8" x14ac:dyDescent="0.3">
      <c r="A66" s="2" t="s">
        <v>372</v>
      </c>
      <c r="B66" s="29" t="s">
        <v>35</v>
      </c>
      <c r="C66" s="10" t="s">
        <v>1036</v>
      </c>
      <c r="D66" s="10" t="s">
        <v>1037</v>
      </c>
      <c r="E66" s="10" t="s">
        <v>1048</v>
      </c>
      <c r="F66" s="86" t="s">
        <v>1049</v>
      </c>
      <c r="G66" s="69">
        <v>-4747.49</v>
      </c>
      <c r="H66" s="69">
        <v>506.24</v>
      </c>
      <c r="I66" s="69">
        <f t="shared" si="31"/>
        <v>420.17919999999998</v>
      </c>
      <c r="J66" s="75">
        <v>0.27928999999999998</v>
      </c>
      <c r="K66" s="69">
        <f t="shared" si="32"/>
        <v>-1208.5746333320001</v>
      </c>
      <c r="L66" s="78">
        <f t="shared" si="33"/>
        <v>7.0693884799999998</v>
      </c>
      <c r="M66" s="61">
        <v>0</v>
      </c>
      <c r="N66" s="61">
        <v>0</v>
      </c>
      <c r="O66" s="61"/>
      <c r="P66" s="2"/>
      <c r="Q66" s="2"/>
      <c r="R66" s="32"/>
      <c r="S66" s="32"/>
      <c r="T66" s="32"/>
      <c r="U66" s="32"/>
      <c r="V66" s="2"/>
      <c r="W66" s="2"/>
      <c r="X66" s="2"/>
      <c r="Y66" s="2"/>
      <c r="Z66" s="2"/>
    </row>
    <row r="67" spans="1:26" ht="13.8" x14ac:dyDescent="0.3">
      <c r="A67" s="2" t="s">
        <v>372</v>
      </c>
      <c r="B67" s="32" t="s">
        <v>753</v>
      </c>
      <c r="C67" s="2" t="s">
        <v>15</v>
      </c>
      <c r="D67" s="2" t="s">
        <v>15</v>
      </c>
      <c r="E67" s="2" t="s">
        <v>1084</v>
      </c>
      <c r="F67" s="32" t="s">
        <v>1085</v>
      </c>
      <c r="G67" s="69">
        <v>1847.79</v>
      </c>
      <c r="H67" s="69">
        <v>383.62</v>
      </c>
      <c r="I67" s="69">
        <f>H67*0.35</f>
        <v>134.267</v>
      </c>
      <c r="J67" s="75">
        <v>1</v>
      </c>
      <c r="K67" s="69">
        <f>(G67+I67)*J67*0.97</f>
        <v>1922.59529</v>
      </c>
      <c r="L67" s="79" t="s">
        <v>468</v>
      </c>
      <c r="M67" s="61">
        <v>0</v>
      </c>
      <c r="N67" s="61">
        <v>0</v>
      </c>
      <c r="O67" s="61"/>
      <c r="P67" s="2"/>
      <c r="Q67" s="2"/>
      <c r="R67" s="32"/>
      <c r="S67" s="32"/>
      <c r="T67" s="32"/>
      <c r="U67" s="32"/>
      <c r="V67" s="2"/>
      <c r="W67" s="2"/>
      <c r="X67" s="2"/>
      <c r="Y67" s="2"/>
      <c r="Z67" s="2"/>
    </row>
    <row r="68" spans="1:26" ht="13.8" x14ac:dyDescent="0.3">
      <c r="A68" s="2" t="s">
        <v>377</v>
      </c>
      <c r="B68" s="29" t="s">
        <v>35</v>
      </c>
      <c r="C68" s="10" t="s">
        <v>1036</v>
      </c>
      <c r="D68" s="10" t="s">
        <v>1037</v>
      </c>
      <c r="E68" s="10" t="s">
        <v>1046</v>
      </c>
      <c r="F68" s="86" t="s">
        <v>1047</v>
      </c>
      <c r="G68" s="69">
        <v>-10131.5</v>
      </c>
      <c r="H68" s="69">
        <v>1237.45</v>
      </c>
      <c r="I68" s="69">
        <f t="shared" ref="I68:I69" si="34">H68*0.83</f>
        <v>1027.0835</v>
      </c>
      <c r="J68" s="75">
        <v>0.27564</v>
      </c>
      <c r="K68" s="69">
        <f t="shared" ref="K68:K69" si="35">(G68+I68)*J68</f>
        <v>-2509.54136406</v>
      </c>
      <c r="L68" s="78">
        <f t="shared" ref="L68:L69" si="36">H68*0.05*J68</f>
        <v>17.054535900000001</v>
      </c>
      <c r="M68" s="61">
        <v>0</v>
      </c>
      <c r="N68" s="61">
        <v>0</v>
      </c>
      <c r="O68" s="61"/>
      <c r="P68" s="2"/>
      <c r="Q68" s="2"/>
      <c r="R68" s="32"/>
      <c r="S68" s="32"/>
      <c r="T68" s="32"/>
      <c r="U68" s="32"/>
      <c r="V68" s="2"/>
      <c r="W68" s="2"/>
      <c r="X68" s="2"/>
      <c r="Y68" s="2"/>
      <c r="Z68" s="2"/>
    </row>
    <row r="69" spans="1:26" ht="13.8" x14ac:dyDescent="0.3">
      <c r="A69" s="2" t="s">
        <v>377</v>
      </c>
      <c r="B69" s="29" t="s">
        <v>35</v>
      </c>
      <c r="C69" s="10" t="s">
        <v>1036</v>
      </c>
      <c r="D69" s="10" t="s">
        <v>1037</v>
      </c>
      <c r="E69" s="10" t="s">
        <v>1048</v>
      </c>
      <c r="F69" s="86" t="s">
        <v>1049</v>
      </c>
      <c r="G69" s="69">
        <v>-4530.3100000000004</v>
      </c>
      <c r="H69" s="69">
        <v>4100.45</v>
      </c>
      <c r="I69" s="69">
        <f t="shared" si="34"/>
        <v>3403.3734999999997</v>
      </c>
      <c r="J69" s="75">
        <v>0.27564</v>
      </c>
      <c r="K69" s="69">
        <f t="shared" si="35"/>
        <v>-310.62877686000019</v>
      </c>
      <c r="L69" s="78">
        <f t="shared" si="36"/>
        <v>56.5124019</v>
      </c>
      <c r="M69" s="61">
        <v>0</v>
      </c>
      <c r="N69" s="61">
        <v>0</v>
      </c>
      <c r="O69" s="61"/>
      <c r="P69" s="2"/>
      <c r="Q69" s="2"/>
      <c r="R69" s="32"/>
      <c r="S69" s="32"/>
      <c r="T69" s="32"/>
      <c r="U69" s="32"/>
      <c r="V69" s="2"/>
      <c r="W69" s="2"/>
      <c r="X69" s="2"/>
      <c r="Y69" s="2"/>
      <c r="Z69" s="2"/>
    </row>
    <row r="70" spans="1:26" ht="13.8" x14ac:dyDescent="0.3">
      <c r="A70" s="2" t="s">
        <v>377</v>
      </c>
      <c r="B70" s="32" t="s">
        <v>753</v>
      </c>
      <c r="C70" s="2" t="s">
        <v>15</v>
      </c>
      <c r="D70" s="2" t="s">
        <v>15</v>
      </c>
      <c r="E70" s="2" t="s">
        <v>1086</v>
      </c>
      <c r="F70" s="32" t="s">
        <v>1087</v>
      </c>
      <c r="G70" s="69">
        <v>-780</v>
      </c>
      <c r="H70" s="69">
        <v>153.97999999999999</v>
      </c>
      <c r="I70" s="69">
        <f t="shared" ref="I70:I73" si="37">H70*0.35</f>
        <v>53.892999999999994</v>
      </c>
      <c r="J70" s="75">
        <v>1</v>
      </c>
      <c r="K70" s="69">
        <f t="shared" ref="K70:K73" si="38">(G70+I70)*J70*0.97</f>
        <v>-704.32378999999992</v>
      </c>
      <c r="L70" s="79" t="s">
        <v>468</v>
      </c>
      <c r="M70" s="61">
        <v>0</v>
      </c>
      <c r="N70" s="61">
        <v>0</v>
      </c>
      <c r="O70" s="61"/>
      <c r="P70" s="2"/>
      <c r="Q70" s="2"/>
      <c r="R70" s="32"/>
      <c r="S70" s="32"/>
      <c r="T70" s="32"/>
      <c r="U70" s="32"/>
      <c r="V70" s="2"/>
      <c r="W70" s="2"/>
      <c r="X70" s="2"/>
      <c r="Y70" s="2"/>
      <c r="Z70" s="2"/>
    </row>
    <row r="71" spans="1:26" ht="13.8" x14ac:dyDescent="0.3">
      <c r="A71" s="2" t="s">
        <v>377</v>
      </c>
      <c r="B71" s="32" t="s">
        <v>753</v>
      </c>
      <c r="C71" s="2" t="s">
        <v>15</v>
      </c>
      <c r="D71" s="2" t="s">
        <v>15</v>
      </c>
      <c r="E71" s="2" t="s">
        <v>1088</v>
      </c>
      <c r="F71" s="32" t="s">
        <v>1089</v>
      </c>
      <c r="G71" s="69">
        <v>-438.85</v>
      </c>
      <c r="H71" s="69">
        <v>402.03</v>
      </c>
      <c r="I71" s="69">
        <f t="shared" si="37"/>
        <v>140.71049999999997</v>
      </c>
      <c r="J71" s="75">
        <v>1</v>
      </c>
      <c r="K71" s="69">
        <f t="shared" si="38"/>
        <v>-289.19531500000005</v>
      </c>
      <c r="L71" s="79" t="s">
        <v>468</v>
      </c>
      <c r="M71" s="61">
        <v>0</v>
      </c>
      <c r="N71" s="61">
        <v>0</v>
      </c>
      <c r="O71" s="61"/>
      <c r="P71" s="2"/>
      <c r="Q71" s="2"/>
      <c r="R71" s="32"/>
      <c r="S71" s="32"/>
      <c r="T71" s="32"/>
      <c r="U71" s="32"/>
      <c r="V71" s="2"/>
      <c r="W71" s="2"/>
      <c r="X71" s="2"/>
      <c r="Y71" s="2"/>
      <c r="Z71" s="2"/>
    </row>
    <row r="72" spans="1:26" ht="13.8" x14ac:dyDescent="0.3">
      <c r="A72" s="2" t="s">
        <v>377</v>
      </c>
      <c r="B72" s="32" t="s">
        <v>753</v>
      </c>
      <c r="C72" s="2" t="s">
        <v>15</v>
      </c>
      <c r="D72" s="2" t="s">
        <v>15</v>
      </c>
      <c r="E72" s="2" t="s">
        <v>1090</v>
      </c>
      <c r="F72" s="32" t="s">
        <v>1091</v>
      </c>
      <c r="G72" s="69">
        <v>1802.72</v>
      </c>
      <c r="H72" s="69">
        <v>175.69</v>
      </c>
      <c r="I72" s="69">
        <f t="shared" si="37"/>
        <v>61.491499999999995</v>
      </c>
      <c r="J72" s="75">
        <v>1</v>
      </c>
      <c r="K72" s="69">
        <f t="shared" si="38"/>
        <v>1808.285155</v>
      </c>
      <c r="L72" s="79" t="s">
        <v>468</v>
      </c>
      <c r="M72" s="61">
        <v>0</v>
      </c>
      <c r="N72" s="61">
        <v>0</v>
      </c>
      <c r="O72" s="61"/>
      <c r="P72" s="2"/>
      <c r="Q72" s="2"/>
      <c r="R72" s="32"/>
      <c r="S72" s="32"/>
      <c r="T72" s="32"/>
      <c r="U72" s="32"/>
      <c r="V72" s="2"/>
      <c r="W72" s="2"/>
      <c r="X72" s="2"/>
      <c r="Y72" s="2"/>
      <c r="Z72" s="2"/>
    </row>
    <row r="73" spans="1:26" ht="13.8" x14ac:dyDescent="0.3">
      <c r="A73" s="2" t="s">
        <v>377</v>
      </c>
      <c r="B73" s="32" t="s">
        <v>753</v>
      </c>
      <c r="C73" s="2" t="s">
        <v>15</v>
      </c>
      <c r="D73" s="2" t="s">
        <v>15</v>
      </c>
      <c r="E73" s="2" t="s">
        <v>1084</v>
      </c>
      <c r="F73" s="32" t="s">
        <v>1085</v>
      </c>
      <c r="G73" s="69">
        <v>358.97</v>
      </c>
      <c r="H73" s="69">
        <v>377.49</v>
      </c>
      <c r="I73" s="69">
        <f t="shared" si="37"/>
        <v>132.1215</v>
      </c>
      <c r="J73" s="75">
        <v>1</v>
      </c>
      <c r="K73" s="69">
        <f t="shared" si="38"/>
        <v>476.35875499999997</v>
      </c>
      <c r="L73" s="79" t="s">
        <v>468</v>
      </c>
      <c r="M73" s="61">
        <v>0</v>
      </c>
      <c r="N73" s="61">
        <v>0</v>
      </c>
      <c r="O73" s="61"/>
      <c r="P73" s="2"/>
      <c r="Q73" s="2"/>
      <c r="R73" s="32"/>
      <c r="S73" s="32"/>
      <c r="T73" s="32"/>
      <c r="U73" s="32"/>
      <c r="V73" s="2"/>
      <c r="W73" s="2"/>
      <c r="X73" s="2"/>
      <c r="Y73" s="2"/>
      <c r="Z73" s="2"/>
    </row>
    <row r="74" spans="1:26" ht="13.8" x14ac:dyDescent="0.3">
      <c r="A74" s="32" t="s">
        <v>379</v>
      </c>
      <c r="B74" s="29" t="s">
        <v>35</v>
      </c>
      <c r="C74" s="10" t="s">
        <v>1036</v>
      </c>
      <c r="D74" s="10" t="s">
        <v>1037</v>
      </c>
      <c r="E74" s="10" t="s">
        <v>1082</v>
      </c>
      <c r="F74" s="86" t="s">
        <v>1083</v>
      </c>
      <c r="G74" s="69">
        <v>-3123.54</v>
      </c>
      <c r="H74" s="69">
        <v>419.96</v>
      </c>
      <c r="I74" s="69">
        <f t="shared" ref="I74:I79" si="39">H74*0.83</f>
        <v>348.56679999999994</v>
      </c>
      <c r="J74" s="75">
        <v>0.27393000000000001</v>
      </c>
      <c r="K74" s="69">
        <f t="shared" ref="K74:K87" si="40">(G74+I74)*J74</f>
        <v>-760.14840867600003</v>
      </c>
      <c r="L74" s="78">
        <f t="shared" ref="L74:L79" si="41">H74*0.05*J74</f>
        <v>5.7519821400000009</v>
      </c>
      <c r="M74" s="61">
        <v>0</v>
      </c>
      <c r="N74" s="61">
        <v>0</v>
      </c>
      <c r="O74" s="61"/>
      <c r="P74" s="2"/>
      <c r="Q74" s="2"/>
      <c r="R74" s="32"/>
      <c r="S74" s="32"/>
      <c r="T74" s="32"/>
      <c r="U74" s="32"/>
      <c r="V74" s="2"/>
      <c r="W74" s="2"/>
      <c r="X74" s="2"/>
      <c r="Y74" s="2"/>
      <c r="Z74" s="2"/>
    </row>
    <row r="75" spans="1:26" ht="13.8" x14ac:dyDescent="0.3">
      <c r="A75" s="32" t="s">
        <v>379</v>
      </c>
      <c r="B75" s="29" t="s">
        <v>35</v>
      </c>
      <c r="C75" s="10" t="s">
        <v>1036</v>
      </c>
      <c r="D75" s="10" t="s">
        <v>1037</v>
      </c>
      <c r="E75" s="10" t="s">
        <v>1052</v>
      </c>
      <c r="F75" s="86" t="s">
        <v>1053</v>
      </c>
      <c r="G75" s="69">
        <v>48</v>
      </c>
      <c r="H75" s="69">
        <v>9</v>
      </c>
      <c r="I75" s="69">
        <f t="shared" si="39"/>
        <v>7.47</v>
      </c>
      <c r="J75" s="75">
        <v>0.27393000000000001</v>
      </c>
      <c r="K75" s="69">
        <f t="shared" si="40"/>
        <v>15.1948971</v>
      </c>
      <c r="L75" s="78">
        <f t="shared" si="41"/>
        <v>0.1232685</v>
      </c>
      <c r="M75" s="61">
        <v>0</v>
      </c>
      <c r="N75" s="61">
        <v>0</v>
      </c>
      <c r="O75" s="61"/>
      <c r="P75" s="2"/>
      <c r="Q75" s="2"/>
      <c r="R75" s="32"/>
      <c r="S75" s="32"/>
      <c r="T75" s="32"/>
      <c r="U75" s="32"/>
      <c r="V75" s="2"/>
      <c r="W75" s="2"/>
      <c r="X75" s="2"/>
      <c r="Y75" s="2"/>
      <c r="Z75" s="2"/>
    </row>
    <row r="76" spans="1:26" ht="13.8" x14ac:dyDescent="0.3">
      <c r="A76" s="32" t="s">
        <v>380</v>
      </c>
      <c r="B76" s="29" t="s">
        <v>35</v>
      </c>
      <c r="C76" s="10" t="s">
        <v>1036</v>
      </c>
      <c r="D76" s="10" t="s">
        <v>1037</v>
      </c>
      <c r="E76" s="10" t="s">
        <v>1046</v>
      </c>
      <c r="F76" s="86" t="s">
        <v>1047</v>
      </c>
      <c r="G76" s="69">
        <v>-3952.74</v>
      </c>
      <c r="H76" s="69">
        <v>1075.5899999999999</v>
      </c>
      <c r="I76" s="69">
        <f t="shared" si="39"/>
        <v>892.73969999999986</v>
      </c>
      <c r="J76" s="75">
        <v>0.27349000000000001</v>
      </c>
      <c r="K76" s="69">
        <f t="shared" si="40"/>
        <v>-836.8794820469999</v>
      </c>
      <c r="L76" s="78">
        <f t="shared" si="41"/>
        <v>14.708155455</v>
      </c>
      <c r="M76" s="61">
        <v>0</v>
      </c>
      <c r="N76" s="61">
        <v>0</v>
      </c>
      <c r="O76" s="61"/>
      <c r="P76" s="2"/>
      <c r="Q76" s="2"/>
      <c r="R76" s="32"/>
      <c r="S76" s="32"/>
      <c r="T76" s="32"/>
      <c r="U76" s="32"/>
      <c r="V76" s="2"/>
      <c r="W76" s="2"/>
      <c r="X76" s="2"/>
      <c r="Y76" s="2"/>
      <c r="Z76" s="2"/>
    </row>
    <row r="77" spans="1:26" ht="13.8" x14ac:dyDescent="0.3">
      <c r="A77" s="32" t="s">
        <v>380</v>
      </c>
      <c r="B77" s="29" t="s">
        <v>35</v>
      </c>
      <c r="C77" s="10" t="s">
        <v>1036</v>
      </c>
      <c r="D77" s="10" t="s">
        <v>1037</v>
      </c>
      <c r="E77" s="10" t="s">
        <v>1048</v>
      </c>
      <c r="F77" s="86" t="s">
        <v>1049</v>
      </c>
      <c r="G77" s="69">
        <v>-3231.04</v>
      </c>
      <c r="H77" s="69">
        <v>2497.6999999999998</v>
      </c>
      <c r="I77" s="69">
        <f t="shared" si="39"/>
        <v>2073.0909999999999</v>
      </c>
      <c r="J77" s="75">
        <v>0.27349000000000001</v>
      </c>
      <c r="K77" s="69">
        <f t="shared" si="40"/>
        <v>-316.68747201000002</v>
      </c>
      <c r="L77" s="78">
        <f t="shared" si="41"/>
        <v>34.154798649999996</v>
      </c>
      <c r="M77" s="61">
        <v>0</v>
      </c>
      <c r="N77" s="61">
        <v>0</v>
      </c>
      <c r="O77" s="61"/>
      <c r="P77" s="2"/>
      <c r="Q77" s="2"/>
      <c r="R77" s="32"/>
      <c r="S77" s="32"/>
      <c r="T77" s="32"/>
      <c r="U77" s="32"/>
      <c r="V77" s="2"/>
      <c r="W77" s="2"/>
      <c r="X77" s="2"/>
      <c r="Y77" s="2"/>
      <c r="Z77" s="2"/>
    </row>
    <row r="78" spans="1:26" ht="13.8" x14ac:dyDescent="0.3">
      <c r="A78" s="32" t="s">
        <v>380</v>
      </c>
      <c r="B78" s="29" t="s">
        <v>35</v>
      </c>
      <c r="C78" s="10" t="s">
        <v>1036</v>
      </c>
      <c r="D78" s="10" t="s">
        <v>1037</v>
      </c>
      <c r="E78" s="10" t="s">
        <v>1052</v>
      </c>
      <c r="F78" s="86" t="s">
        <v>1053</v>
      </c>
      <c r="G78" s="69">
        <v>3673.7</v>
      </c>
      <c r="H78" s="69">
        <v>1635.4</v>
      </c>
      <c r="I78" s="69">
        <f t="shared" si="39"/>
        <v>1357.3820000000001</v>
      </c>
      <c r="J78" s="75">
        <v>0.27349000000000001</v>
      </c>
      <c r="K78" s="69">
        <f t="shared" si="40"/>
        <v>1375.9506161800002</v>
      </c>
      <c r="L78" s="78">
        <f t="shared" si="41"/>
        <v>22.363277300000004</v>
      </c>
      <c r="M78" s="61">
        <v>0</v>
      </c>
      <c r="N78" s="61">
        <v>0</v>
      </c>
      <c r="O78" s="61"/>
      <c r="P78" s="2"/>
      <c r="Q78" s="2"/>
      <c r="R78" s="32"/>
      <c r="S78" s="32"/>
      <c r="T78" s="32"/>
      <c r="U78" s="32"/>
      <c r="V78" s="2"/>
      <c r="W78" s="2"/>
      <c r="X78" s="2"/>
      <c r="Y78" s="2"/>
      <c r="Z78" s="2"/>
    </row>
    <row r="79" spans="1:26" ht="13.8" x14ac:dyDescent="0.3">
      <c r="A79" s="32" t="s">
        <v>381</v>
      </c>
      <c r="B79" s="29" t="s">
        <v>35</v>
      </c>
      <c r="C79" s="10" t="s">
        <v>1036</v>
      </c>
      <c r="D79" s="10" t="s">
        <v>1037</v>
      </c>
      <c r="E79" s="10" t="s">
        <v>1052</v>
      </c>
      <c r="F79" s="86" t="s">
        <v>1053</v>
      </c>
      <c r="G79" s="69">
        <v>-1528.9</v>
      </c>
      <c r="H79" s="69">
        <v>166.47</v>
      </c>
      <c r="I79" s="69">
        <f t="shared" si="39"/>
        <v>138.17009999999999</v>
      </c>
      <c r="J79" s="75">
        <v>0.27132000000000001</v>
      </c>
      <c r="K79" s="69">
        <f t="shared" si="40"/>
        <v>-377.33283646800004</v>
      </c>
      <c r="L79" s="78">
        <f t="shared" si="41"/>
        <v>2.2583320200000001</v>
      </c>
      <c r="M79" s="61">
        <v>0</v>
      </c>
      <c r="N79" s="61">
        <v>0</v>
      </c>
      <c r="O79" s="61"/>
      <c r="P79" s="2"/>
      <c r="Q79" s="2"/>
      <c r="R79" s="32"/>
      <c r="S79" s="32"/>
      <c r="T79" s="32"/>
      <c r="U79" s="32"/>
      <c r="V79" s="2"/>
      <c r="W79" s="2"/>
      <c r="X79" s="2"/>
      <c r="Y79" s="2"/>
      <c r="Z79" s="2"/>
    </row>
    <row r="80" spans="1:26" ht="13.8" x14ac:dyDescent="0.3">
      <c r="A80" s="32" t="s">
        <v>382</v>
      </c>
      <c r="B80" s="2" t="s">
        <v>156</v>
      </c>
      <c r="C80" s="10" t="s">
        <v>15</v>
      </c>
      <c r="D80" s="10" t="s">
        <v>15</v>
      </c>
      <c r="E80" s="10" t="s">
        <v>1092</v>
      </c>
      <c r="F80" s="86" t="s">
        <v>1093</v>
      </c>
      <c r="G80" s="69">
        <v>-603</v>
      </c>
      <c r="H80" s="69">
        <v>319</v>
      </c>
      <c r="I80" s="69">
        <f t="shared" ref="I80:I81" si="42">H80*0.825</f>
        <v>263.17500000000001</v>
      </c>
      <c r="J80" s="70">
        <v>0.27182000000000001</v>
      </c>
      <c r="K80" s="69">
        <f t="shared" si="40"/>
        <v>-92.371231499999993</v>
      </c>
      <c r="L80" s="78">
        <f>H80*0.025*J80</f>
        <v>2.1677645000000001</v>
      </c>
      <c r="M80" s="61">
        <v>0</v>
      </c>
      <c r="N80" s="61">
        <v>0</v>
      </c>
      <c r="O80" s="61"/>
      <c r="P80" s="2"/>
      <c r="Q80" s="2"/>
      <c r="R80" s="32"/>
      <c r="S80" s="32"/>
      <c r="T80" s="32"/>
      <c r="U80" s="32"/>
      <c r="V80" s="2"/>
      <c r="W80" s="2"/>
      <c r="X80" s="2"/>
      <c r="Y80" s="2"/>
      <c r="Z80" s="2"/>
    </row>
    <row r="81" spans="1:26" ht="13.8" x14ac:dyDescent="0.3">
      <c r="A81" s="32" t="s">
        <v>382</v>
      </c>
      <c r="B81" s="2" t="s">
        <v>132</v>
      </c>
      <c r="C81" s="10" t="s">
        <v>1036</v>
      </c>
      <c r="D81" s="10" t="s">
        <v>1037</v>
      </c>
      <c r="E81" s="10" t="s">
        <v>1092</v>
      </c>
      <c r="F81" s="86" t="s">
        <v>1094</v>
      </c>
      <c r="G81" s="69">
        <v>348.5</v>
      </c>
      <c r="H81" s="69">
        <v>99.31</v>
      </c>
      <c r="I81" s="69">
        <f t="shared" si="42"/>
        <v>81.930750000000003</v>
      </c>
      <c r="J81" s="70">
        <v>0.27182000000000001</v>
      </c>
      <c r="K81" s="69">
        <f t="shared" si="40"/>
        <v>116.999686465</v>
      </c>
      <c r="L81" s="78">
        <f t="shared" ref="L81:L84" si="43">H81*0.05*J81</f>
        <v>1.3497222100000001</v>
      </c>
      <c r="M81" s="61">
        <v>0</v>
      </c>
      <c r="N81" s="61">
        <v>0</v>
      </c>
      <c r="O81" s="61"/>
      <c r="P81" s="2"/>
      <c r="Q81" s="2"/>
      <c r="R81" s="32"/>
      <c r="S81" s="32"/>
      <c r="T81" s="32"/>
      <c r="U81" s="32"/>
      <c r="V81" s="2"/>
      <c r="W81" s="2"/>
      <c r="X81" s="2"/>
      <c r="Y81" s="2"/>
      <c r="Z81" s="2"/>
    </row>
    <row r="82" spans="1:26" ht="13.8" x14ac:dyDescent="0.3">
      <c r="A82" s="32" t="s">
        <v>382</v>
      </c>
      <c r="B82" s="29" t="s">
        <v>35</v>
      </c>
      <c r="C82" s="10" t="s">
        <v>1073</v>
      </c>
      <c r="D82" s="10" t="s">
        <v>1074</v>
      </c>
      <c r="E82" s="10" t="s">
        <v>1075</v>
      </c>
      <c r="F82" s="46" t="s">
        <v>1076</v>
      </c>
      <c r="G82" s="69">
        <v>417.5</v>
      </c>
      <c r="H82" s="69">
        <v>337.45</v>
      </c>
      <c r="I82" s="69">
        <f t="shared" ref="I82:I84" si="44">H82*0.83</f>
        <v>280.08349999999996</v>
      </c>
      <c r="J82" s="70">
        <v>0.27182000000000001</v>
      </c>
      <c r="K82" s="69">
        <f t="shared" si="40"/>
        <v>189.61714696999999</v>
      </c>
      <c r="L82" s="78">
        <f t="shared" si="43"/>
        <v>4.5862829500000002</v>
      </c>
      <c r="M82" s="61">
        <v>0</v>
      </c>
      <c r="N82" s="61">
        <v>0</v>
      </c>
      <c r="O82" s="61"/>
      <c r="P82" s="2"/>
      <c r="Q82" s="2"/>
      <c r="R82" s="32"/>
      <c r="S82" s="32"/>
      <c r="T82" s="32"/>
      <c r="U82" s="32"/>
      <c r="V82" s="2"/>
      <c r="W82" s="2"/>
      <c r="X82" s="2"/>
      <c r="Y82" s="2"/>
      <c r="Z82" s="2"/>
    </row>
    <row r="83" spans="1:26" ht="13.8" x14ac:dyDescent="0.3">
      <c r="A83" s="32" t="s">
        <v>382</v>
      </c>
      <c r="B83" s="29" t="s">
        <v>35</v>
      </c>
      <c r="C83" s="10" t="s">
        <v>1036</v>
      </c>
      <c r="D83" s="10" t="s">
        <v>1037</v>
      </c>
      <c r="E83" s="10" t="s">
        <v>1048</v>
      </c>
      <c r="F83" s="10" t="s">
        <v>1049</v>
      </c>
      <c r="G83" s="32">
        <v>745.26</v>
      </c>
      <c r="H83" s="32">
        <v>127.37</v>
      </c>
      <c r="I83" s="69">
        <f t="shared" si="44"/>
        <v>105.7171</v>
      </c>
      <c r="J83" s="70">
        <v>0.27182000000000001</v>
      </c>
      <c r="K83" s="69">
        <f t="shared" si="40"/>
        <v>231.31259532199999</v>
      </c>
      <c r="L83" s="78">
        <f t="shared" si="43"/>
        <v>1.7310856700000004</v>
      </c>
      <c r="M83" s="61">
        <v>0</v>
      </c>
      <c r="N83" s="61">
        <v>0</v>
      </c>
      <c r="O83" s="61"/>
      <c r="P83" s="2"/>
      <c r="Q83" s="2"/>
      <c r="R83" s="32"/>
      <c r="S83" s="32"/>
      <c r="T83" s="32"/>
      <c r="U83" s="32"/>
      <c r="V83" s="2"/>
      <c r="W83" s="2"/>
      <c r="X83" s="2"/>
      <c r="Y83" s="2"/>
      <c r="Z83" s="2"/>
    </row>
    <row r="84" spans="1:26" ht="13.8" x14ac:dyDescent="0.3">
      <c r="A84" s="32" t="s">
        <v>382</v>
      </c>
      <c r="B84" s="29" t="s">
        <v>35</v>
      </c>
      <c r="C84" s="10" t="s">
        <v>1036</v>
      </c>
      <c r="D84" s="10" t="s">
        <v>1037</v>
      </c>
      <c r="E84" s="10" t="s">
        <v>1052</v>
      </c>
      <c r="F84" s="86" t="s">
        <v>1053</v>
      </c>
      <c r="G84" s="69">
        <v>-1737.35</v>
      </c>
      <c r="H84" s="69">
        <v>250.14</v>
      </c>
      <c r="I84" s="69">
        <f t="shared" si="44"/>
        <v>207.61619999999999</v>
      </c>
      <c r="J84" s="70">
        <v>0.27182000000000001</v>
      </c>
      <c r="K84" s="69">
        <f t="shared" si="40"/>
        <v>-415.81224151600003</v>
      </c>
      <c r="L84" s="78">
        <f t="shared" si="43"/>
        <v>3.3996527400000001</v>
      </c>
      <c r="M84" s="61">
        <v>0</v>
      </c>
      <c r="N84" s="61">
        <v>0</v>
      </c>
      <c r="O84" s="61"/>
      <c r="P84" s="2"/>
      <c r="Q84" s="2"/>
      <c r="R84" s="32"/>
      <c r="S84" s="32"/>
      <c r="T84" s="32"/>
      <c r="U84" s="32"/>
      <c r="V84" s="2"/>
      <c r="W84" s="2"/>
      <c r="X84" s="2"/>
      <c r="Y84" s="2"/>
      <c r="Z84" s="2"/>
    </row>
    <row r="85" spans="1:26" ht="13.8" x14ac:dyDescent="0.3">
      <c r="A85" s="32" t="s">
        <v>382</v>
      </c>
      <c r="B85" s="32" t="s">
        <v>43</v>
      </c>
      <c r="C85" s="10" t="s">
        <v>15</v>
      </c>
      <c r="D85" s="10" t="s">
        <v>15</v>
      </c>
      <c r="E85" s="10">
        <v>10138386</v>
      </c>
      <c r="F85" s="86" t="s">
        <v>1095</v>
      </c>
      <c r="G85" s="69">
        <v>-2.46</v>
      </c>
      <c r="H85" s="69">
        <v>68.31</v>
      </c>
      <c r="I85" s="69">
        <f t="shared" ref="I85:I88" si="45">H85*0.75</f>
        <v>51.232500000000002</v>
      </c>
      <c r="J85" s="75">
        <v>0.66093000000000002</v>
      </c>
      <c r="K85" s="69">
        <f t="shared" si="40"/>
        <v>32.235208425000003</v>
      </c>
      <c r="L85" s="79" t="s">
        <v>468</v>
      </c>
      <c r="M85" s="61">
        <v>0</v>
      </c>
      <c r="N85" s="61">
        <v>0</v>
      </c>
      <c r="O85" s="61"/>
      <c r="P85" s="2"/>
      <c r="Q85" s="2"/>
      <c r="R85" s="32"/>
      <c r="S85" s="32"/>
      <c r="T85" s="32"/>
      <c r="U85" s="32"/>
      <c r="V85" s="2"/>
      <c r="W85" s="2"/>
      <c r="X85" s="2"/>
      <c r="Y85" s="2"/>
      <c r="Z85" s="2"/>
    </row>
    <row r="86" spans="1:26" ht="13.8" x14ac:dyDescent="0.3">
      <c r="A86" s="32" t="s">
        <v>382</v>
      </c>
      <c r="B86" s="91" t="s">
        <v>10</v>
      </c>
      <c r="C86" s="10" t="s">
        <v>15</v>
      </c>
      <c r="D86" s="10" t="s">
        <v>15</v>
      </c>
      <c r="E86" s="10">
        <v>1130665</v>
      </c>
      <c r="F86" s="10" t="s">
        <v>1096</v>
      </c>
      <c r="G86" s="69">
        <v>-1219.75</v>
      </c>
      <c r="H86" s="69">
        <v>145.80000000000001</v>
      </c>
      <c r="I86" s="69">
        <f t="shared" si="45"/>
        <v>109.35000000000001</v>
      </c>
      <c r="J86" s="73">
        <v>0.19880999999999999</v>
      </c>
      <c r="K86" s="69">
        <f t="shared" si="40"/>
        <v>-220.758624</v>
      </c>
      <c r="L86" s="19" t="s">
        <v>468</v>
      </c>
      <c r="M86" s="61">
        <v>0</v>
      </c>
      <c r="N86" s="61">
        <v>0</v>
      </c>
      <c r="O86" s="61"/>
      <c r="P86" s="2"/>
      <c r="Q86" s="2"/>
      <c r="R86" s="32"/>
      <c r="S86" s="32"/>
      <c r="T86" s="32"/>
      <c r="U86" s="32"/>
      <c r="V86" s="2"/>
      <c r="W86" s="2"/>
      <c r="X86" s="2"/>
      <c r="Y86" s="2"/>
      <c r="Z86" s="2"/>
    </row>
    <row r="87" spans="1:26" ht="13.8" x14ac:dyDescent="0.3">
      <c r="A87" s="32" t="s">
        <v>383</v>
      </c>
      <c r="B87" s="32" t="s">
        <v>43</v>
      </c>
      <c r="C87" s="10" t="s">
        <v>15</v>
      </c>
      <c r="D87" s="10" t="s">
        <v>15</v>
      </c>
      <c r="E87" s="10">
        <v>10138386</v>
      </c>
      <c r="F87" s="86" t="s">
        <v>1095</v>
      </c>
      <c r="G87" s="69">
        <v>9635.58</v>
      </c>
      <c r="H87" s="69">
        <v>1766.53</v>
      </c>
      <c r="I87" s="69">
        <f t="shared" si="45"/>
        <v>1324.8975</v>
      </c>
      <c r="J87" s="75">
        <v>0.64132199999999995</v>
      </c>
      <c r="K87" s="69">
        <f t="shared" si="40"/>
        <v>7029.1953512549999</v>
      </c>
      <c r="L87" s="79" t="s">
        <v>468</v>
      </c>
      <c r="M87" s="61">
        <v>0</v>
      </c>
      <c r="N87" s="61">
        <v>0</v>
      </c>
      <c r="O87" s="61"/>
      <c r="P87" s="2"/>
      <c r="Q87" s="2"/>
      <c r="R87" s="32"/>
      <c r="S87" s="32"/>
      <c r="T87" s="32"/>
      <c r="U87" s="32"/>
      <c r="V87" s="2"/>
      <c r="W87" s="2"/>
      <c r="X87" s="2"/>
      <c r="Y87" s="2"/>
      <c r="Z87" s="2"/>
    </row>
    <row r="88" spans="1:26" ht="13.8" x14ac:dyDescent="0.3">
      <c r="A88" s="32" t="s">
        <v>383</v>
      </c>
      <c r="B88" s="2" t="s">
        <v>148</v>
      </c>
      <c r="C88" s="2" t="s">
        <v>15</v>
      </c>
      <c r="D88" s="2" t="s">
        <v>15</v>
      </c>
      <c r="E88" s="10">
        <v>9259374</v>
      </c>
      <c r="F88" s="32" t="s">
        <v>1061</v>
      </c>
      <c r="G88" s="69">
        <v>826.35</v>
      </c>
      <c r="H88" s="69">
        <v>195</v>
      </c>
      <c r="I88" s="69">
        <f t="shared" si="45"/>
        <v>146.25</v>
      </c>
      <c r="J88" s="70">
        <v>0.19305</v>
      </c>
      <c r="K88" s="69">
        <f>(G88+I88)*J88*0.95</f>
        <v>178.37240850000001</v>
      </c>
      <c r="L88" s="19" t="s">
        <v>468</v>
      </c>
      <c r="M88" s="61">
        <v>0</v>
      </c>
      <c r="N88" s="61">
        <v>0</v>
      </c>
      <c r="O88" s="61"/>
      <c r="P88" s="2"/>
      <c r="Q88" s="2"/>
      <c r="R88" s="32"/>
      <c r="S88" s="32"/>
      <c r="T88" s="32"/>
      <c r="U88" s="32"/>
      <c r="V88" s="2"/>
      <c r="W88" s="2"/>
      <c r="X88" s="2"/>
      <c r="Y88" s="2"/>
      <c r="Z88" s="2"/>
    </row>
    <row r="89" spans="1:26" ht="13.8" x14ac:dyDescent="0.3">
      <c r="A89" s="2" t="s">
        <v>384</v>
      </c>
      <c r="B89" s="29" t="s">
        <v>35</v>
      </c>
      <c r="C89" s="10" t="s">
        <v>1036</v>
      </c>
      <c r="D89" s="10" t="s">
        <v>1037</v>
      </c>
      <c r="E89" s="10" t="s">
        <v>1048</v>
      </c>
      <c r="F89" s="86" t="s">
        <v>1049</v>
      </c>
      <c r="G89" s="69">
        <v>-1936.09</v>
      </c>
      <c r="H89" s="69">
        <v>401.49</v>
      </c>
      <c r="I89" s="69">
        <f t="shared" ref="I89:I90" si="46">H89*0.83</f>
        <v>333.23669999999998</v>
      </c>
      <c r="J89" s="75">
        <v>0.26494000000000001</v>
      </c>
      <c r="K89" s="69">
        <f t="shared" ref="K89:K90" si="47">(G89+I89)*J89*0.87</f>
        <v>-369.45415937274004</v>
      </c>
      <c r="L89" s="78">
        <f t="shared" ref="L89:L90" si="48">H89*0.05*J89*0.87</f>
        <v>4.6271280860999999</v>
      </c>
      <c r="M89" s="61">
        <v>0</v>
      </c>
      <c r="N89" s="61">
        <v>0</v>
      </c>
      <c r="O89" s="61"/>
      <c r="P89" s="2"/>
      <c r="Q89" s="2"/>
      <c r="R89" s="32"/>
      <c r="S89" s="32"/>
      <c r="T89" s="32"/>
      <c r="U89" s="32"/>
      <c r="V89" s="2"/>
      <c r="W89" s="2"/>
      <c r="X89" s="2"/>
      <c r="Y89" s="2"/>
      <c r="Z89" s="2"/>
    </row>
    <row r="90" spans="1:26" ht="13.8" x14ac:dyDescent="0.3">
      <c r="A90" s="2" t="s">
        <v>384</v>
      </c>
      <c r="B90" s="29" t="s">
        <v>35</v>
      </c>
      <c r="C90" s="10" t="s">
        <v>1036</v>
      </c>
      <c r="D90" s="10" t="s">
        <v>1037</v>
      </c>
      <c r="E90" s="10" t="s">
        <v>1052</v>
      </c>
      <c r="F90" s="86" t="s">
        <v>1053</v>
      </c>
      <c r="G90" s="69">
        <v>-5</v>
      </c>
      <c r="H90" s="69">
        <v>0</v>
      </c>
      <c r="I90" s="69">
        <f t="shared" si="46"/>
        <v>0</v>
      </c>
      <c r="J90" s="75">
        <v>0.26494000000000001</v>
      </c>
      <c r="K90" s="69">
        <f t="shared" si="47"/>
        <v>-1.1524889999999999</v>
      </c>
      <c r="L90" s="78">
        <f t="shared" si="48"/>
        <v>0</v>
      </c>
      <c r="M90" s="61">
        <v>0</v>
      </c>
      <c r="N90" s="61">
        <v>0</v>
      </c>
      <c r="O90" s="61"/>
      <c r="P90" s="2"/>
      <c r="Q90" s="2"/>
      <c r="R90" s="32"/>
      <c r="S90" s="32"/>
      <c r="T90" s="32"/>
      <c r="U90" s="32"/>
      <c r="V90" s="2"/>
      <c r="W90" s="2"/>
      <c r="X90" s="2"/>
      <c r="Y90" s="2"/>
      <c r="Z90" s="2"/>
    </row>
    <row r="91" spans="1:26" ht="13.8" x14ac:dyDescent="0.3">
      <c r="A91" s="32" t="s">
        <v>384</v>
      </c>
      <c r="B91" s="2" t="s">
        <v>10</v>
      </c>
      <c r="C91" s="2" t="s">
        <v>15</v>
      </c>
      <c r="D91" s="2" t="s">
        <v>15</v>
      </c>
      <c r="E91" s="10">
        <v>1080937</v>
      </c>
      <c r="F91" s="86" t="s">
        <v>1097</v>
      </c>
      <c r="G91" s="69">
        <v>2592.1999999999998</v>
      </c>
      <c r="H91" s="69">
        <v>835.2</v>
      </c>
      <c r="I91" s="69">
        <f t="shared" ref="I91:I92" si="49">H91*0.75</f>
        <v>626.40000000000009</v>
      </c>
      <c r="J91" s="73">
        <v>0.19342400000000001</v>
      </c>
      <c r="K91" s="69">
        <f t="shared" ref="K91:K92" si="50">(G91+I91)*J91</f>
        <v>622.55448639999997</v>
      </c>
      <c r="L91" s="19" t="s">
        <v>468</v>
      </c>
      <c r="M91" s="61">
        <v>0</v>
      </c>
      <c r="N91" s="61">
        <v>0</v>
      </c>
      <c r="O91" s="61"/>
      <c r="P91" s="2"/>
      <c r="Q91" s="2"/>
      <c r="R91" s="32"/>
      <c r="S91" s="32"/>
      <c r="T91" s="32"/>
      <c r="U91" s="32"/>
      <c r="V91" s="2"/>
      <c r="W91" s="2"/>
      <c r="X91" s="2"/>
      <c r="Y91" s="2"/>
      <c r="Z91" s="2"/>
    </row>
    <row r="92" spans="1:26" ht="13.8" x14ac:dyDescent="0.3">
      <c r="A92" s="32" t="s">
        <v>384</v>
      </c>
      <c r="B92" s="2" t="s">
        <v>10</v>
      </c>
      <c r="C92" s="2" t="s">
        <v>15</v>
      </c>
      <c r="D92" s="2" t="s">
        <v>15</v>
      </c>
      <c r="E92" s="10">
        <v>1080938</v>
      </c>
      <c r="F92" s="10" t="s">
        <v>1081</v>
      </c>
      <c r="G92" s="32">
        <v>-6509</v>
      </c>
      <c r="H92" s="32">
        <v>2837.2</v>
      </c>
      <c r="I92" s="69">
        <f t="shared" si="49"/>
        <v>2127.8999999999996</v>
      </c>
      <c r="J92" s="73">
        <v>0.19342400000000001</v>
      </c>
      <c r="K92" s="69">
        <f t="shared" si="50"/>
        <v>-847.40988640000012</v>
      </c>
      <c r="L92" s="19" t="s">
        <v>468</v>
      </c>
      <c r="M92" s="61">
        <v>0</v>
      </c>
      <c r="N92" s="61">
        <v>0</v>
      </c>
      <c r="O92" s="61"/>
      <c r="P92" s="2"/>
      <c r="Q92" s="2"/>
      <c r="R92" s="32"/>
      <c r="S92" s="32"/>
      <c r="T92" s="32"/>
      <c r="U92" s="32"/>
      <c r="V92" s="2"/>
      <c r="W92" s="2"/>
      <c r="X92" s="2"/>
      <c r="Y92" s="2"/>
      <c r="Z92" s="2"/>
    </row>
    <row r="93" spans="1:26" ht="13.8" x14ac:dyDescent="0.3">
      <c r="A93" s="2"/>
      <c r="B93" s="2"/>
      <c r="C93" s="10"/>
      <c r="D93" s="10"/>
      <c r="E93" s="10"/>
      <c r="F93" s="86"/>
      <c r="G93" s="69"/>
      <c r="H93" s="69"/>
      <c r="I93" s="69"/>
      <c r="J93" s="70"/>
      <c r="K93" s="69"/>
      <c r="L93" s="69"/>
      <c r="M93" s="69"/>
      <c r="N93" s="69"/>
      <c r="O93" s="69"/>
      <c r="P93" s="2"/>
      <c r="Q93" s="2"/>
      <c r="R93" s="32"/>
      <c r="S93" s="32"/>
      <c r="T93" s="32"/>
      <c r="U93" s="32"/>
      <c r="V93" s="2"/>
      <c r="W93" s="2"/>
      <c r="X93" s="2"/>
      <c r="Y93" s="2"/>
      <c r="Z93" s="2"/>
    </row>
    <row r="94" spans="1:26" ht="13.8" x14ac:dyDescent="0.3">
      <c r="A94" s="2"/>
      <c r="B94" s="2"/>
      <c r="C94" s="10"/>
      <c r="D94" s="10"/>
      <c r="E94" s="10"/>
      <c r="F94" s="86"/>
      <c r="G94" s="69"/>
      <c r="H94" s="69"/>
      <c r="I94" s="69"/>
      <c r="J94" s="70"/>
      <c r="K94" s="69"/>
      <c r="L94" s="32"/>
      <c r="M94" s="69"/>
      <c r="N94" s="69"/>
      <c r="O94" s="69"/>
      <c r="P94" s="2"/>
      <c r="Q94" s="2"/>
      <c r="R94" s="32"/>
      <c r="S94" s="32"/>
      <c r="T94" s="32"/>
      <c r="U94" s="32"/>
      <c r="V94" s="2"/>
      <c r="W94" s="2"/>
      <c r="X94" s="2"/>
      <c r="Y94" s="2"/>
      <c r="Z94" s="2"/>
    </row>
    <row r="95" spans="1:26" ht="13.8" x14ac:dyDescent="0.3">
      <c r="A95" s="2"/>
      <c r="B95" s="2"/>
      <c r="C95" s="10"/>
      <c r="D95" s="10"/>
      <c r="E95" s="10"/>
      <c r="F95" s="86"/>
      <c r="G95" s="69"/>
      <c r="H95" s="69"/>
      <c r="I95" s="69"/>
      <c r="J95" s="70"/>
      <c r="K95" s="69"/>
      <c r="L95" s="32"/>
      <c r="M95" s="69"/>
      <c r="N95" s="69"/>
      <c r="O95" s="69"/>
      <c r="P95" s="2"/>
      <c r="Q95" s="2"/>
      <c r="R95" s="32"/>
      <c r="S95" s="32"/>
      <c r="T95" s="32"/>
      <c r="U95" s="32"/>
      <c r="V95" s="2"/>
      <c r="W95" s="2"/>
      <c r="X95" s="2"/>
      <c r="Y95" s="2"/>
      <c r="Z95" s="2"/>
    </row>
    <row r="96" spans="1:26" ht="13.8" x14ac:dyDescent="0.3">
      <c r="A96" s="2"/>
      <c r="B96" s="2"/>
      <c r="C96" s="10"/>
      <c r="D96" s="10"/>
      <c r="E96" s="10"/>
      <c r="F96" s="10"/>
      <c r="G96" s="69"/>
      <c r="H96" s="69"/>
      <c r="I96" s="69"/>
      <c r="J96" s="70"/>
      <c r="K96" s="69"/>
      <c r="L96" s="32"/>
      <c r="M96" s="69"/>
      <c r="N96" s="69"/>
      <c r="O96" s="69"/>
      <c r="P96" s="2"/>
      <c r="Q96" s="2"/>
      <c r="R96" s="32"/>
      <c r="S96" s="32"/>
      <c r="T96" s="32"/>
      <c r="U96" s="3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10"/>
      <c r="F97" s="10"/>
      <c r="G97" s="69"/>
      <c r="H97" s="69"/>
      <c r="I97" s="69"/>
      <c r="J97" s="70"/>
      <c r="K97" s="69"/>
      <c r="L97" s="69"/>
      <c r="M97" s="69"/>
      <c r="N97" s="69"/>
      <c r="O97" s="69"/>
      <c r="P97" s="2"/>
      <c r="Q97" s="2"/>
      <c r="R97" s="32"/>
      <c r="S97" s="32"/>
      <c r="T97" s="32"/>
      <c r="U97" s="3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10"/>
      <c r="F98" s="10"/>
      <c r="G98" s="69"/>
      <c r="H98" s="69"/>
      <c r="I98" s="69"/>
      <c r="J98" s="70"/>
      <c r="K98" s="69"/>
      <c r="L98" s="32"/>
      <c r="M98" s="69"/>
      <c r="N98" s="69"/>
      <c r="O98" s="69"/>
      <c r="P98" s="2"/>
      <c r="Q98" s="2"/>
      <c r="R98" s="32"/>
      <c r="S98" s="32"/>
      <c r="T98" s="32"/>
      <c r="U98" s="32"/>
      <c r="V98" s="2"/>
      <c r="W98" s="2"/>
      <c r="X98" s="2"/>
      <c r="Y98" s="2"/>
      <c r="Z98" s="2"/>
    </row>
    <row r="99" spans="1:26" ht="13.8" x14ac:dyDescent="0.3">
      <c r="A99" s="2"/>
      <c r="B99" s="2"/>
      <c r="C99" s="10"/>
      <c r="D99" s="10"/>
      <c r="E99" s="10"/>
      <c r="F99" s="10"/>
      <c r="G99" s="69"/>
      <c r="H99" s="69"/>
      <c r="I99" s="69"/>
      <c r="J99" s="70"/>
      <c r="K99" s="69"/>
      <c r="L99" s="32"/>
      <c r="M99" s="69"/>
      <c r="N99" s="69"/>
      <c r="O99" s="69"/>
      <c r="P99" s="2"/>
      <c r="Q99" s="2"/>
      <c r="R99" s="32"/>
      <c r="S99" s="32"/>
      <c r="T99" s="32"/>
      <c r="U99" s="32"/>
      <c r="V99" s="2"/>
      <c r="W99" s="2"/>
      <c r="X99" s="2"/>
      <c r="Y99" s="2"/>
      <c r="Z99" s="2"/>
    </row>
    <row r="100" spans="1:26" ht="13.8" x14ac:dyDescent="0.3">
      <c r="A100" s="2"/>
      <c r="B100" s="2"/>
      <c r="C100" s="10"/>
      <c r="D100" s="10"/>
      <c r="E100" s="10"/>
      <c r="F100" s="10"/>
      <c r="G100" s="69"/>
      <c r="H100" s="69"/>
      <c r="I100" s="69"/>
      <c r="J100" s="70"/>
      <c r="K100" s="69"/>
      <c r="L100" s="69"/>
      <c r="M100" s="69"/>
      <c r="N100" s="69"/>
      <c r="O100" s="69"/>
      <c r="P100" s="2"/>
      <c r="Q100" s="2"/>
      <c r="R100" s="32"/>
      <c r="S100" s="32"/>
      <c r="T100" s="32"/>
      <c r="U100" s="3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10"/>
      <c r="F101" s="10"/>
      <c r="G101" s="32"/>
      <c r="H101" s="32"/>
      <c r="I101" s="32"/>
      <c r="J101" s="73"/>
      <c r="K101" s="32"/>
      <c r="L101" s="69"/>
      <c r="M101" s="32"/>
      <c r="N101" s="32"/>
      <c r="O101" s="32"/>
      <c r="P101" s="2"/>
      <c r="Q101" s="2"/>
      <c r="R101" s="32"/>
      <c r="S101" s="32"/>
      <c r="T101" s="32"/>
      <c r="U101" s="32"/>
      <c r="V101" s="2"/>
      <c r="W101" s="2"/>
      <c r="X101" s="2"/>
      <c r="Y101" s="2"/>
      <c r="Z101" s="2"/>
    </row>
    <row r="102" spans="1:26" ht="13.8" x14ac:dyDescent="0.3">
      <c r="A102" s="2"/>
      <c r="B102" s="2"/>
      <c r="C102" s="10"/>
      <c r="D102" s="10"/>
      <c r="E102" s="10"/>
      <c r="F102" s="10"/>
      <c r="G102" s="69"/>
      <c r="H102" s="69"/>
      <c r="I102" s="69"/>
      <c r="J102" s="70"/>
      <c r="K102" s="69"/>
      <c r="L102" s="2"/>
      <c r="M102" s="69"/>
      <c r="N102" s="69"/>
      <c r="O102" s="69"/>
      <c r="P102" s="2"/>
      <c r="Q102" s="2"/>
      <c r="R102" s="32"/>
      <c r="S102" s="32"/>
      <c r="T102" s="32"/>
      <c r="U102" s="3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10"/>
      <c r="F103" s="10"/>
      <c r="G103" s="69"/>
      <c r="H103" s="69"/>
      <c r="I103" s="69"/>
      <c r="J103" s="70"/>
      <c r="K103" s="69"/>
      <c r="L103" s="32"/>
      <c r="M103" s="69"/>
      <c r="N103" s="69"/>
      <c r="O103" s="69"/>
      <c r="P103" s="2"/>
      <c r="Q103" s="2"/>
      <c r="R103" s="32"/>
      <c r="S103" s="32"/>
      <c r="T103" s="32"/>
      <c r="U103" s="32"/>
      <c r="V103" s="2"/>
      <c r="W103" s="2"/>
      <c r="X103" s="2"/>
      <c r="Y103" s="2"/>
      <c r="Z103" s="2"/>
    </row>
    <row r="104" spans="1:26" ht="13.8" x14ac:dyDescent="0.3">
      <c r="A104" s="2"/>
      <c r="B104" s="2"/>
      <c r="C104" s="10"/>
      <c r="D104" s="10"/>
      <c r="E104" s="10"/>
      <c r="F104" s="10"/>
      <c r="G104" s="69"/>
      <c r="H104" s="69"/>
      <c r="I104" s="69"/>
      <c r="J104" s="70"/>
      <c r="K104" s="69"/>
      <c r="L104" s="32"/>
      <c r="M104" s="69"/>
      <c r="N104" s="69"/>
      <c r="O104" s="69"/>
      <c r="P104" s="2"/>
      <c r="Q104" s="2"/>
      <c r="R104" s="32"/>
      <c r="S104" s="32"/>
      <c r="T104" s="32"/>
      <c r="U104" s="32"/>
      <c r="V104" s="2"/>
      <c r="W104" s="2"/>
      <c r="X104" s="2"/>
      <c r="Y104" s="2"/>
      <c r="Z104" s="2"/>
    </row>
    <row r="105" spans="1:26" ht="13.8" x14ac:dyDescent="0.3">
      <c r="A105" s="2"/>
      <c r="B105" s="2"/>
      <c r="C105" s="10"/>
      <c r="D105" s="10"/>
      <c r="E105" s="10"/>
      <c r="F105" s="10"/>
      <c r="G105" s="69"/>
      <c r="H105" s="69"/>
      <c r="I105" s="69"/>
      <c r="J105" s="70"/>
      <c r="K105" s="69"/>
      <c r="L105" s="32"/>
      <c r="M105" s="69"/>
      <c r="N105" s="69"/>
      <c r="O105" s="69"/>
      <c r="P105" s="2"/>
      <c r="Q105" s="2"/>
      <c r="R105" s="32"/>
      <c r="S105" s="32"/>
      <c r="T105" s="32"/>
      <c r="U105" s="3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10"/>
      <c r="F106" s="10"/>
      <c r="G106" s="69"/>
      <c r="H106" s="69"/>
      <c r="I106" s="69"/>
      <c r="J106" s="70"/>
      <c r="K106" s="69"/>
      <c r="L106" s="32"/>
      <c r="M106" s="69"/>
      <c r="N106" s="69"/>
      <c r="O106" s="69"/>
      <c r="P106" s="2"/>
      <c r="Q106" s="2"/>
      <c r="R106" s="32"/>
      <c r="S106" s="32"/>
      <c r="T106" s="32"/>
      <c r="U106" s="32"/>
      <c r="V106" s="2"/>
      <c r="W106" s="2"/>
      <c r="X106" s="2"/>
      <c r="Y106" s="2"/>
      <c r="Z106" s="2"/>
    </row>
    <row r="107" spans="1:26" ht="13.8" x14ac:dyDescent="0.3">
      <c r="A107" s="2"/>
      <c r="B107" s="2"/>
      <c r="C107" s="10"/>
      <c r="D107" s="10"/>
      <c r="E107" s="10"/>
      <c r="F107" s="10"/>
      <c r="G107" s="69"/>
      <c r="H107" s="69"/>
      <c r="I107" s="69"/>
      <c r="J107" s="70"/>
      <c r="K107" s="69"/>
      <c r="L107" s="32"/>
      <c r="M107" s="69"/>
      <c r="N107" s="69"/>
      <c r="O107" s="69"/>
      <c r="P107" s="2"/>
      <c r="Q107" s="2"/>
      <c r="R107" s="32"/>
      <c r="S107" s="32"/>
      <c r="T107" s="32"/>
      <c r="U107" s="32"/>
      <c r="V107" s="2"/>
      <c r="W107" s="2"/>
      <c r="X107" s="2"/>
      <c r="Y107" s="2"/>
      <c r="Z107" s="2"/>
    </row>
    <row r="108" spans="1:26" ht="13.8" x14ac:dyDescent="0.3">
      <c r="A108" s="2"/>
      <c r="B108" s="2"/>
      <c r="C108" s="10"/>
      <c r="D108" s="10"/>
      <c r="E108" s="10"/>
      <c r="F108" s="10"/>
      <c r="G108" s="69"/>
      <c r="H108" s="69"/>
      <c r="I108" s="69"/>
      <c r="J108" s="70"/>
      <c r="K108" s="69"/>
      <c r="L108" s="69"/>
      <c r="M108" s="69"/>
      <c r="N108" s="69"/>
      <c r="O108" s="69"/>
      <c r="P108" s="2"/>
      <c r="Q108" s="2"/>
      <c r="R108" s="32"/>
      <c r="S108" s="32"/>
      <c r="T108" s="32"/>
      <c r="U108" s="32"/>
      <c r="V108" s="2"/>
      <c r="W108" s="2"/>
      <c r="X108" s="2"/>
      <c r="Y108" s="2"/>
      <c r="Z108" s="2"/>
    </row>
    <row r="109" spans="1:26" ht="13.8" x14ac:dyDescent="0.3">
      <c r="A109" s="2"/>
      <c r="B109" s="2"/>
      <c r="C109" s="10"/>
      <c r="D109" s="10"/>
      <c r="E109" s="10"/>
      <c r="F109" s="10"/>
      <c r="G109" s="69"/>
      <c r="H109" s="69"/>
      <c r="I109" s="69"/>
      <c r="J109" s="70"/>
      <c r="K109" s="69"/>
      <c r="L109" s="69"/>
      <c r="M109" s="69"/>
      <c r="N109" s="69"/>
      <c r="O109" s="69"/>
      <c r="P109" s="2"/>
      <c r="Q109" s="2"/>
      <c r="R109" s="32"/>
      <c r="S109" s="32"/>
      <c r="T109" s="32"/>
      <c r="U109" s="32"/>
      <c r="V109" s="2"/>
      <c r="W109" s="2"/>
      <c r="X109" s="2"/>
      <c r="Y109" s="2"/>
      <c r="Z109" s="2"/>
    </row>
    <row r="110" spans="1:26" ht="13.8" x14ac:dyDescent="0.3">
      <c r="A110" s="2"/>
      <c r="B110" s="2"/>
      <c r="C110" s="10"/>
      <c r="D110" s="10"/>
      <c r="E110" s="10"/>
      <c r="F110" s="10"/>
      <c r="G110" s="69"/>
      <c r="H110" s="69"/>
      <c r="I110" s="69"/>
      <c r="J110" s="70"/>
      <c r="K110" s="69"/>
      <c r="L110" s="32"/>
      <c r="M110" s="69"/>
      <c r="N110" s="69"/>
      <c r="O110" s="69"/>
      <c r="P110" s="2"/>
      <c r="Q110" s="2"/>
      <c r="R110" s="32"/>
      <c r="S110" s="32"/>
      <c r="T110" s="32"/>
      <c r="U110" s="32"/>
      <c r="V110" s="2"/>
      <c r="W110" s="2"/>
      <c r="X110" s="2"/>
      <c r="Y110" s="2"/>
      <c r="Z110" s="2"/>
    </row>
    <row r="111" spans="1:26" ht="13.8" x14ac:dyDescent="0.3">
      <c r="A111" s="2"/>
      <c r="B111" s="10"/>
      <c r="C111" s="10"/>
      <c r="D111" s="10"/>
      <c r="E111" s="10"/>
      <c r="F111" s="10"/>
      <c r="G111" s="32"/>
      <c r="H111" s="32"/>
      <c r="I111" s="32"/>
      <c r="J111" s="73"/>
      <c r="K111" s="32"/>
      <c r="L111" s="69"/>
      <c r="M111" s="32"/>
      <c r="N111" s="32"/>
      <c r="O111" s="32"/>
      <c r="P111" s="2"/>
      <c r="Q111" s="2"/>
      <c r="R111" s="32"/>
      <c r="S111" s="32"/>
      <c r="T111" s="32"/>
      <c r="U111" s="32"/>
      <c r="V111" s="2"/>
      <c r="W111" s="2"/>
      <c r="X111" s="2"/>
      <c r="Y111" s="2"/>
      <c r="Z111" s="2"/>
    </row>
    <row r="112" spans="1:26" ht="13.8" x14ac:dyDescent="0.3">
      <c r="A112" s="32"/>
      <c r="B112" s="2"/>
      <c r="C112" s="10"/>
      <c r="D112" s="10"/>
      <c r="E112" s="10"/>
      <c r="F112" s="10"/>
      <c r="G112" s="69"/>
      <c r="H112" s="69"/>
      <c r="I112" s="69"/>
      <c r="J112" s="70"/>
      <c r="K112" s="69"/>
      <c r="L112" s="32"/>
      <c r="M112" s="69"/>
      <c r="N112" s="69"/>
      <c r="O112" s="69"/>
      <c r="P112" s="2"/>
      <c r="Q112" s="2"/>
      <c r="R112" s="32"/>
      <c r="S112" s="32"/>
      <c r="T112" s="32"/>
      <c r="U112" s="32"/>
      <c r="V112" s="2"/>
      <c r="W112" s="2"/>
      <c r="X112" s="2"/>
      <c r="Y112" s="2"/>
      <c r="Z112" s="2"/>
    </row>
    <row r="113" spans="1:26" ht="13.8" x14ac:dyDescent="0.3">
      <c r="A113" s="32"/>
      <c r="B113" s="2"/>
      <c r="C113" s="10"/>
      <c r="D113" s="10"/>
      <c r="E113" s="10"/>
      <c r="F113" s="10"/>
      <c r="G113" s="69"/>
      <c r="H113" s="69"/>
      <c r="I113" s="69"/>
      <c r="J113" s="70"/>
      <c r="K113" s="69"/>
      <c r="L113" s="69"/>
      <c r="M113" s="69"/>
      <c r="N113" s="69"/>
      <c r="O113" s="69"/>
      <c r="P113" s="2"/>
      <c r="Q113" s="2"/>
      <c r="R113" s="32"/>
      <c r="S113" s="32"/>
      <c r="T113" s="32"/>
      <c r="U113" s="32"/>
      <c r="V113" s="2"/>
      <c r="W113" s="2"/>
      <c r="X113" s="2"/>
      <c r="Y113" s="2"/>
      <c r="Z113" s="2"/>
    </row>
    <row r="114" spans="1:26" ht="13.8" x14ac:dyDescent="0.3">
      <c r="A114" s="32"/>
      <c r="B114" s="2"/>
      <c r="C114" s="10"/>
      <c r="D114" s="10"/>
      <c r="E114" s="10"/>
      <c r="F114" s="10"/>
      <c r="G114" s="69"/>
      <c r="H114" s="69"/>
      <c r="I114" s="69"/>
      <c r="J114" s="70"/>
      <c r="K114" s="69"/>
      <c r="L114" s="32"/>
      <c r="M114" s="69"/>
      <c r="N114" s="69"/>
      <c r="O114" s="69"/>
      <c r="P114" s="2"/>
      <c r="Q114" s="2"/>
      <c r="R114" s="32"/>
      <c r="S114" s="32"/>
      <c r="T114" s="32"/>
      <c r="U114" s="32"/>
      <c r="V114" s="2"/>
      <c r="W114" s="2"/>
      <c r="X114" s="2"/>
      <c r="Y114" s="2"/>
      <c r="Z114" s="2"/>
    </row>
    <row r="115" spans="1:26" ht="13.8" x14ac:dyDescent="0.3">
      <c r="A115" s="32"/>
      <c r="B115" s="2"/>
      <c r="C115" s="10"/>
      <c r="D115" s="10"/>
      <c r="E115" s="10"/>
      <c r="F115" s="10"/>
      <c r="G115" s="69"/>
      <c r="H115" s="69"/>
      <c r="I115" s="69"/>
      <c r="J115" s="70"/>
      <c r="K115" s="69"/>
      <c r="L115" s="32"/>
      <c r="M115" s="69"/>
      <c r="N115" s="69"/>
      <c r="O115" s="69"/>
      <c r="P115" s="2"/>
      <c r="Q115" s="2"/>
      <c r="R115" s="32"/>
      <c r="S115" s="32"/>
      <c r="T115" s="32"/>
      <c r="U115" s="32"/>
      <c r="V115" s="2"/>
      <c r="W115" s="2"/>
      <c r="X115" s="2"/>
      <c r="Y115" s="2"/>
      <c r="Z115" s="2"/>
    </row>
    <row r="116" spans="1:26" ht="13.8" x14ac:dyDescent="0.3">
      <c r="A116" s="32"/>
      <c r="B116" s="2"/>
      <c r="C116" s="10"/>
      <c r="D116" s="10"/>
      <c r="E116" s="10"/>
      <c r="F116" s="10"/>
      <c r="G116" s="69"/>
      <c r="H116" s="69"/>
      <c r="I116" s="69"/>
      <c r="J116" s="70"/>
      <c r="K116" s="69"/>
      <c r="L116" s="69"/>
      <c r="M116" s="69"/>
      <c r="N116" s="69"/>
      <c r="O116" s="69"/>
      <c r="P116" s="2"/>
      <c r="Q116" s="2"/>
      <c r="R116" s="32"/>
      <c r="S116" s="32"/>
      <c r="T116" s="32"/>
      <c r="U116" s="32"/>
      <c r="V116" s="2"/>
      <c r="W116" s="2"/>
      <c r="X116" s="2"/>
      <c r="Y116" s="2"/>
      <c r="Z116" s="2"/>
    </row>
    <row r="117" spans="1:26" ht="13.8" x14ac:dyDescent="0.3">
      <c r="A117" s="32"/>
      <c r="B117" s="2"/>
      <c r="C117" s="10"/>
      <c r="D117" s="10"/>
      <c r="E117" s="10"/>
      <c r="F117" s="10"/>
      <c r="G117" s="69"/>
      <c r="H117" s="69"/>
      <c r="I117" s="69"/>
      <c r="J117" s="70"/>
      <c r="K117" s="69"/>
      <c r="L117" s="69"/>
      <c r="M117" s="69"/>
      <c r="N117" s="69"/>
      <c r="O117" s="69"/>
      <c r="P117" s="2"/>
      <c r="Q117" s="2"/>
      <c r="R117" s="32"/>
      <c r="S117" s="32"/>
      <c r="T117" s="32"/>
      <c r="U117" s="32"/>
      <c r="V117" s="2"/>
      <c r="W117" s="2"/>
      <c r="X117" s="2"/>
      <c r="Y117" s="2"/>
      <c r="Z117" s="2"/>
    </row>
    <row r="118" spans="1:26" ht="13.8" x14ac:dyDescent="0.3">
      <c r="A118" s="32"/>
      <c r="B118" s="2"/>
      <c r="C118" s="10"/>
      <c r="D118" s="10"/>
      <c r="E118" s="10"/>
      <c r="F118" s="10"/>
      <c r="G118" s="69"/>
      <c r="H118" s="69"/>
      <c r="I118" s="69"/>
      <c r="J118" s="70"/>
      <c r="K118" s="69"/>
      <c r="L118" s="69"/>
      <c r="M118" s="69"/>
      <c r="N118" s="69"/>
      <c r="O118" s="69"/>
      <c r="P118" s="2"/>
      <c r="Q118" s="2"/>
      <c r="R118" s="32"/>
      <c r="S118" s="32"/>
      <c r="T118" s="32"/>
      <c r="U118" s="32"/>
      <c r="V118" s="2"/>
      <c r="W118" s="2"/>
      <c r="X118" s="2"/>
      <c r="Y118" s="2"/>
      <c r="Z118" s="2"/>
    </row>
    <row r="119" spans="1:26" ht="13.8" x14ac:dyDescent="0.3">
      <c r="A119" s="32"/>
      <c r="B119" s="2"/>
      <c r="C119" s="10"/>
      <c r="D119" s="10"/>
      <c r="E119" s="10"/>
      <c r="F119" s="10"/>
      <c r="G119" s="69"/>
      <c r="H119" s="69"/>
      <c r="I119" s="69"/>
      <c r="J119" s="70"/>
      <c r="K119" s="69"/>
      <c r="L119" s="32"/>
      <c r="M119" s="69"/>
      <c r="N119" s="69"/>
      <c r="O119" s="69"/>
      <c r="P119" s="2"/>
      <c r="Q119" s="2"/>
      <c r="R119" s="32"/>
      <c r="S119" s="32"/>
      <c r="T119" s="32"/>
      <c r="U119" s="32"/>
      <c r="V119" s="2"/>
      <c r="W119" s="2"/>
      <c r="X119" s="2"/>
      <c r="Y119" s="2"/>
      <c r="Z119" s="2"/>
    </row>
    <row r="120" spans="1:26" ht="13.8" x14ac:dyDescent="0.3">
      <c r="A120" s="32"/>
      <c r="B120" s="2"/>
      <c r="C120" s="10"/>
      <c r="D120" s="10"/>
      <c r="E120" s="10"/>
      <c r="F120" s="10"/>
      <c r="G120" s="69"/>
      <c r="H120" s="69"/>
      <c r="I120" s="69"/>
      <c r="J120" s="70"/>
      <c r="K120" s="69"/>
      <c r="L120" s="32"/>
      <c r="M120" s="69"/>
      <c r="N120" s="69"/>
      <c r="O120" s="69"/>
      <c r="P120" s="2"/>
      <c r="Q120" s="2"/>
      <c r="R120" s="32"/>
      <c r="S120" s="32"/>
      <c r="T120" s="32"/>
      <c r="U120" s="32"/>
      <c r="V120" s="2"/>
      <c r="W120" s="2"/>
      <c r="X120" s="2"/>
      <c r="Y120" s="2"/>
      <c r="Z120" s="2"/>
    </row>
    <row r="121" spans="1:26" ht="13.8" x14ac:dyDescent="0.3">
      <c r="A121" s="32"/>
      <c r="B121" s="2"/>
      <c r="C121" s="10"/>
      <c r="D121" s="10"/>
      <c r="E121" s="10"/>
      <c r="F121" s="10"/>
      <c r="G121" s="69"/>
      <c r="H121" s="69"/>
      <c r="I121" s="69"/>
      <c r="J121" s="70"/>
      <c r="K121" s="69"/>
      <c r="L121" s="32"/>
      <c r="M121" s="69"/>
      <c r="N121" s="69"/>
      <c r="O121" s="69"/>
      <c r="P121" s="2"/>
      <c r="Q121" s="2"/>
      <c r="R121" s="32"/>
      <c r="S121" s="32"/>
      <c r="T121" s="32"/>
      <c r="U121" s="32"/>
      <c r="V121" s="2"/>
      <c r="W121" s="2"/>
      <c r="X121" s="2"/>
      <c r="Y121" s="2"/>
      <c r="Z121" s="2"/>
    </row>
    <row r="122" spans="1:26" ht="13.8" x14ac:dyDescent="0.3">
      <c r="A122" s="32"/>
      <c r="B122" s="2"/>
      <c r="C122" s="10"/>
      <c r="D122" s="10"/>
      <c r="E122" s="10"/>
      <c r="F122" s="10"/>
      <c r="G122" s="69"/>
      <c r="H122" s="69"/>
      <c r="I122" s="69"/>
      <c r="J122" s="70"/>
      <c r="K122" s="69"/>
      <c r="L122" s="69"/>
      <c r="M122" s="69"/>
      <c r="N122" s="69"/>
      <c r="O122" s="69"/>
      <c r="P122" s="2"/>
      <c r="Q122" s="2"/>
      <c r="R122" s="32"/>
      <c r="S122" s="32"/>
      <c r="T122" s="32"/>
      <c r="U122" s="32"/>
      <c r="V122" s="2"/>
      <c r="W122" s="2"/>
      <c r="X122" s="2"/>
      <c r="Y122" s="2"/>
      <c r="Z122" s="2"/>
    </row>
    <row r="123" spans="1:26" ht="13.8" x14ac:dyDescent="0.3">
      <c r="A123" s="32"/>
      <c r="B123" s="2"/>
      <c r="C123" s="10"/>
      <c r="D123" s="10"/>
      <c r="E123" s="10"/>
      <c r="F123" s="10"/>
      <c r="G123" s="69"/>
      <c r="H123" s="69"/>
      <c r="I123" s="69"/>
      <c r="J123" s="70"/>
      <c r="K123" s="69"/>
      <c r="L123" s="69"/>
      <c r="M123" s="69"/>
      <c r="N123" s="69"/>
      <c r="O123" s="69"/>
      <c r="P123" s="2"/>
      <c r="Q123" s="2"/>
      <c r="R123" s="32"/>
      <c r="S123" s="32"/>
      <c r="T123" s="32"/>
      <c r="U123" s="32"/>
      <c r="V123" s="2"/>
      <c r="W123" s="2"/>
      <c r="X123" s="2"/>
      <c r="Y123" s="2"/>
      <c r="Z123" s="2"/>
    </row>
    <row r="124" spans="1:26" ht="13.8" x14ac:dyDescent="0.3">
      <c r="A124" s="32"/>
      <c r="B124" s="2"/>
      <c r="C124" s="10"/>
      <c r="D124" s="10"/>
      <c r="E124" s="10"/>
      <c r="F124" s="10"/>
      <c r="G124" s="69"/>
      <c r="H124" s="69"/>
      <c r="I124" s="69"/>
      <c r="J124" s="70"/>
      <c r="K124" s="69"/>
      <c r="L124" s="69"/>
      <c r="M124" s="69"/>
      <c r="N124" s="69"/>
      <c r="O124" s="69"/>
      <c r="P124" s="2"/>
      <c r="Q124" s="2"/>
      <c r="R124" s="32"/>
      <c r="S124" s="32"/>
      <c r="T124" s="32"/>
      <c r="U124" s="32"/>
      <c r="V124" s="2"/>
      <c r="W124" s="2"/>
      <c r="X124" s="2"/>
      <c r="Y124" s="2"/>
      <c r="Z124" s="2"/>
    </row>
    <row r="125" spans="1:26" ht="13.8" x14ac:dyDescent="0.3">
      <c r="A125" s="32"/>
      <c r="B125" s="2"/>
      <c r="C125" s="10"/>
      <c r="D125" s="10"/>
      <c r="E125" s="10"/>
      <c r="F125" s="10"/>
      <c r="G125" s="69"/>
      <c r="H125" s="69"/>
      <c r="I125" s="69"/>
      <c r="J125" s="70"/>
      <c r="K125" s="69"/>
      <c r="L125" s="32"/>
      <c r="M125" s="69"/>
      <c r="N125" s="69"/>
      <c r="O125" s="69"/>
      <c r="P125" s="2"/>
      <c r="Q125" s="2"/>
      <c r="R125" s="32"/>
      <c r="S125" s="32"/>
      <c r="T125" s="32"/>
      <c r="U125" s="32"/>
      <c r="V125" s="2"/>
      <c r="W125" s="2"/>
      <c r="X125" s="2"/>
      <c r="Y125" s="2"/>
      <c r="Z125" s="2"/>
    </row>
    <row r="126" spans="1:26" ht="13.8" x14ac:dyDescent="0.3">
      <c r="A126" s="32"/>
      <c r="B126" s="2"/>
      <c r="C126" s="10"/>
      <c r="D126" s="10"/>
      <c r="E126" s="10"/>
      <c r="F126" s="10"/>
      <c r="G126" s="69"/>
      <c r="H126" s="69"/>
      <c r="I126" s="69"/>
      <c r="J126" s="70"/>
      <c r="K126" s="69"/>
      <c r="L126" s="32"/>
      <c r="M126" s="69"/>
      <c r="N126" s="69"/>
      <c r="O126" s="69"/>
      <c r="P126" s="2"/>
      <c r="Q126" s="2"/>
      <c r="R126" s="32"/>
      <c r="S126" s="32"/>
      <c r="T126" s="32"/>
      <c r="U126" s="32"/>
      <c r="V126" s="2"/>
      <c r="W126" s="2"/>
      <c r="X126" s="2"/>
      <c r="Y126" s="2"/>
      <c r="Z126" s="2"/>
    </row>
    <row r="127" spans="1:26" ht="13.8" x14ac:dyDescent="0.3">
      <c r="A127" s="32"/>
      <c r="B127" s="2"/>
      <c r="C127" s="10"/>
      <c r="D127" s="10"/>
      <c r="E127" s="10"/>
      <c r="F127" s="10"/>
      <c r="G127" s="69"/>
      <c r="H127" s="69"/>
      <c r="I127" s="69"/>
      <c r="J127" s="70"/>
      <c r="K127" s="69"/>
      <c r="L127" s="32"/>
      <c r="M127" s="69"/>
      <c r="N127" s="69"/>
      <c r="O127" s="69"/>
      <c r="P127" s="2"/>
      <c r="Q127" s="2"/>
      <c r="R127" s="32"/>
      <c r="S127" s="32"/>
      <c r="T127" s="32"/>
      <c r="U127" s="32"/>
      <c r="V127" s="2"/>
      <c r="W127" s="2"/>
      <c r="X127" s="2"/>
      <c r="Y127" s="2"/>
      <c r="Z127" s="2"/>
    </row>
    <row r="128" spans="1:26" ht="13.8" x14ac:dyDescent="0.3">
      <c r="A128" s="32"/>
      <c r="B128" s="2"/>
      <c r="C128" s="10"/>
      <c r="D128" s="10"/>
      <c r="E128" s="10"/>
      <c r="F128" s="10"/>
      <c r="G128" s="69"/>
      <c r="H128" s="69"/>
      <c r="I128" s="69"/>
      <c r="J128" s="70"/>
      <c r="K128" s="69"/>
      <c r="L128" s="69"/>
      <c r="M128" s="69"/>
      <c r="N128" s="69"/>
      <c r="O128" s="69"/>
      <c r="P128" s="2"/>
      <c r="Q128" s="2"/>
      <c r="R128" s="32"/>
      <c r="S128" s="32"/>
      <c r="T128" s="32"/>
      <c r="U128" s="32"/>
      <c r="V128" s="2"/>
      <c r="W128" s="2"/>
      <c r="X128" s="2"/>
      <c r="Y128" s="2"/>
      <c r="Z128" s="2"/>
    </row>
    <row r="129" spans="1:26" ht="13.8" x14ac:dyDescent="0.3">
      <c r="A129" s="2"/>
      <c r="B129" s="2"/>
      <c r="C129" s="10"/>
      <c r="D129" s="10"/>
      <c r="E129" s="10"/>
      <c r="F129" s="10"/>
      <c r="G129" s="69"/>
      <c r="H129" s="69"/>
      <c r="I129" s="69"/>
      <c r="J129" s="70"/>
      <c r="K129" s="69"/>
      <c r="L129" s="32"/>
      <c r="M129" s="69"/>
      <c r="N129" s="69"/>
      <c r="O129" s="69"/>
      <c r="P129" s="2"/>
      <c r="Q129" s="2"/>
      <c r="R129" s="32"/>
      <c r="S129" s="32"/>
      <c r="T129" s="32"/>
      <c r="U129" s="32"/>
      <c r="V129" s="2"/>
      <c r="W129" s="2"/>
      <c r="X129" s="2"/>
      <c r="Y129" s="2"/>
      <c r="Z129" s="2"/>
    </row>
    <row r="130" spans="1:26" ht="13.8" x14ac:dyDescent="0.3">
      <c r="A130" s="2"/>
      <c r="B130" s="2"/>
      <c r="C130" s="10"/>
      <c r="D130" s="10"/>
      <c r="E130" s="10"/>
      <c r="F130" s="10"/>
      <c r="G130" s="69"/>
      <c r="H130" s="69"/>
      <c r="I130" s="69"/>
      <c r="J130" s="70"/>
      <c r="K130" s="69"/>
      <c r="L130" s="69"/>
      <c r="M130" s="69"/>
      <c r="N130" s="69"/>
      <c r="O130" s="69"/>
      <c r="P130" s="2"/>
      <c r="Q130" s="2"/>
      <c r="R130" s="32"/>
      <c r="S130" s="32"/>
      <c r="T130" s="32"/>
      <c r="U130" s="32"/>
      <c r="V130" s="2"/>
      <c r="W130" s="2"/>
      <c r="X130" s="2"/>
      <c r="Y130" s="2"/>
      <c r="Z130" s="2"/>
    </row>
    <row r="131" spans="1:26" ht="13.8" x14ac:dyDescent="0.3">
      <c r="A131" s="2"/>
      <c r="B131" s="10"/>
      <c r="C131" s="10"/>
      <c r="D131" s="10"/>
      <c r="E131" s="10"/>
      <c r="F131" s="10"/>
      <c r="G131" s="32"/>
      <c r="H131" s="32"/>
      <c r="I131" s="32"/>
      <c r="J131" s="73"/>
      <c r="K131" s="32"/>
      <c r="L131" s="69"/>
      <c r="M131" s="32"/>
      <c r="N131" s="32"/>
      <c r="O131" s="32"/>
      <c r="P131" s="2"/>
      <c r="Q131" s="2"/>
      <c r="R131" s="32"/>
      <c r="S131" s="32"/>
      <c r="T131" s="32"/>
      <c r="U131" s="32"/>
      <c r="V131" s="2"/>
      <c r="W131" s="2"/>
      <c r="X131" s="2"/>
      <c r="Y131" s="2"/>
      <c r="Z131" s="2"/>
    </row>
    <row r="132" spans="1:26" ht="13.8" x14ac:dyDescent="0.3">
      <c r="A132" s="2"/>
      <c r="B132" s="2"/>
      <c r="C132" s="2"/>
      <c r="D132" s="2"/>
      <c r="E132" s="10"/>
      <c r="F132" s="32"/>
      <c r="G132" s="69"/>
      <c r="H132" s="69"/>
      <c r="I132" s="32"/>
      <c r="J132" s="70"/>
      <c r="K132" s="32"/>
      <c r="L132" s="32"/>
      <c r="M132" s="32"/>
      <c r="N132" s="32"/>
      <c r="O132" s="32"/>
      <c r="P132" s="2"/>
      <c r="Q132" s="2"/>
      <c r="R132" s="32"/>
      <c r="S132" s="32"/>
      <c r="T132" s="32"/>
      <c r="U132" s="32"/>
      <c r="V132" s="2"/>
      <c r="W132" s="2"/>
      <c r="X132" s="2"/>
      <c r="Y132" s="2"/>
      <c r="Z132" s="2"/>
    </row>
    <row r="133" spans="1:26" ht="13.8" x14ac:dyDescent="0.3">
      <c r="A133" s="32"/>
      <c r="B133" s="10"/>
      <c r="C133" s="10"/>
      <c r="D133" s="10"/>
      <c r="E133" s="10"/>
      <c r="F133" s="10"/>
      <c r="G133" s="32"/>
      <c r="H133" s="32"/>
      <c r="I133" s="32"/>
      <c r="J133" s="73"/>
      <c r="K133" s="32"/>
      <c r="L133" s="69"/>
      <c r="M133" s="32"/>
      <c r="N133" s="32"/>
      <c r="O133" s="32"/>
      <c r="P133" s="2"/>
      <c r="Q133" s="2"/>
      <c r="R133" s="32"/>
      <c r="S133" s="32"/>
      <c r="T133" s="32"/>
      <c r="U133" s="32"/>
      <c r="V133" s="2"/>
      <c r="W133" s="2"/>
      <c r="X133" s="2"/>
      <c r="Y133" s="2"/>
      <c r="Z133" s="2"/>
    </row>
    <row r="134" spans="1:26" ht="13.8" x14ac:dyDescent="0.3">
      <c r="A134" s="32"/>
      <c r="B134" s="2"/>
      <c r="C134" s="2"/>
      <c r="D134" s="2"/>
      <c r="E134" s="10"/>
      <c r="F134" s="32"/>
      <c r="G134" s="69"/>
      <c r="H134" s="69"/>
      <c r="I134" s="32"/>
      <c r="J134" s="87"/>
      <c r="K134" s="32"/>
      <c r="L134" s="32"/>
      <c r="M134" s="32"/>
      <c r="N134" s="32"/>
      <c r="O134" s="32"/>
      <c r="P134" s="2"/>
      <c r="Q134" s="2"/>
      <c r="R134" s="32"/>
      <c r="S134" s="32"/>
      <c r="T134" s="32"/>
      <c r="U134" s="32"/>
      <c r="V134" s="2"/>
      <c r="W134" s="2"/>
      <c r="X134" s="2"/>
      <c r="Y134" s="2"/>
      <c r="Z134" s="2"/>
    </row>
    <row r="135" spans="1:26" ht="13.8" x14ac:dyDescent="0.3">
      <c r="A135" s="2"/>
      <c r="B135" s="2"/>
      <c r="C135" s="10"/>
      <c r="D135" s="10"/>
      <c r="E135" s="10"/>
      <c r="F135" s="10"/>
      <c r="G135" s="69"/>
      <c r="H135" s="69"/>
      <c r="I135" s="69"/>
      <c r="J135" s="70"/>
      <c r="K135" s="69"/>
      <c r="L135" s="32"/>
      <c r="M135" s="69"/>
      <c r="N135" s="69"/>
      <c r="O135" s="69"/>
      <c r="P135" s="2"/>
      <c r="Q135" s="2"/>
      <c r="R135" s="32"/>
      <c r="S135" s="32"/>
      <c r="T135" s="32"/>
      <c r="U135" s="32"/>
      <c r="V135" s="2"/>
      <c r="W135" s="2"/>
      <c r="X135" s="2"/>
      <c r="Y135" s="2"/>
      <c r="Z135" s="2"/>
    </row>
    <row r="136" spans="1:26" ht="13.8" x14ac:dyDescent="0.3">
      <c r="A136" s="32"/>
      <c r="B136" s="2"/>
      <c r="C136" s="10"/>
      <c r="D136" s="10"/>
      <c r="E136" s="10"/>
      <c r="F136" s="10"/>
      <c r="G136" s="69"/>
      <c r="H136" s="69"/>
      <c r="I136" s="69"/>
      <c r="J136" s="70"/>
      <c r="K136" s="69"/>
      <c r="L136" s="32"/>
      <c r="M136" s="69"/>
      <c r="N136" s="69"/>
      <c r="O136" s="69"/>
      <c r="P136" s="2"/>
      <c r="Q136" s="2"/>
      <c r="R136" s="32"/>
      <c r="S136" s="32"/>
      <c r="T136" s="32"/>
      <c r="U136" s="32"/>
      <c r="V136" s="2"/>
      <c r="W136" s="2"/>
      <c r="X136" s="2"/>
      <c r="Y136" s="2"/>
      <c r="Z136" s="2"/>
    </row>
    <row r="137" spans="1:26" ht="13.8" x14ac:dyDescent="0.3">
      <c r="A137" s="32"/>
      <c r="B137" s="2"/>
      <c r="C137" s="10"/>
      <c r="D137" s="10"/>
      <c r="E137" s="10"/>
      <c r="F137" s="10"/>
      <c r="G137" s="69"/>
      <c r="H137" s="69"/>
      <c r="I137" s="69"/>
      <c r="J137" s="70"/>
      <c r="K137" s="69"/>
      <c r="L137" s="32"/>
      <c r="M137" s="69"/>
      <c r="N137" s="69"/>
      <c r="O137" s="69"/>
      <c r="P137" s="2"/>
      <c r="Q137" s="2"/>
      <c r="R137" s="32"/>
      <c r="S137" s="32"/>
      <c r="T137" s="32"/>
      <c r="U137" s="32"/>
      <c r="V137" s="2"/>
      <c r="W137" s="2"/>
      <c r="X137" s="2"/>
      <c r="Y137" s="2"/>
      <c r="Z137" s="2"/>
    </row>
    <row r="138" spans="1:26" ht="13.8" x14ac:dyDescent="0.3">
      <c r="A138" s="32"/>
      <c r="B138" s="2"/>
      <c r="C138" s="10"/>
      <c r="D138" s="10"/>
      <c r="E138" s="10"/>
      <c r="F138" s="10"/>
      <c r="G138" s="69"/>
      <c r="H138" s="69"/>
      <c r="I138" s="69"/>
      <c r="J138" s="70"/>
      <c r="K138" s="69"/>
      <c r="L138" s="32"/>
      <c r="M138" s="69"/>
      <c r="N138" s="69"/>
      <c r="O138" s="69"/>
      <c r="P138" s="2"/>
      <c r="Q138" s="2"/>
      <c r="R138" s="32"/>
      <c r="S138" s="32"/>
      <c r="T138" s="32"/>
      <c r="U138" s="32"/>
      <c r="V138" s="2"/>
      <c r="W138" s="2"/>
      <c r="X138" s="2"/>
      <c r="Y138" s="2"/>
      <c r="Z138" s="2"/>
    </row>
    <row r="139" spans="1:26" ht="13.8" x14ac:dyDescent="0.3">
      <c r="A139" s="32"/>
      <c r="B139" s="2"/>
      <c r="C139" s="10"/>
      <c r="D139" s="10"/>
      <c r="E139" s="10"/>
      <c r="F139" s="10"/>
      <c r="G139" s="69"/>
      <c r="H139" s="69"/>
      <c r="I139" s="69"/>
      <c r="J139" s="70"/>
      <c r="K139" s="69"/>
      <c r="L139" s="32"/>
      <c r="M139" s="69"/>
      <c r="N139" s="69"/>
      <c r="O139" s="69"/>
      <c r="P139" s="2"/>
      <c r="Q139" s="2"/>
      <c r="R139" s="32"/>
      <c r="S139" s="32"/>
      <c r="T139" s="32"/>
      <c r="U139" s="32"/>
      <c r="V139" s="2"/>
      <c r="W139" s="2"/>
      <c r="X139" s="2"/>
      <c r="Y139" s="2"/>
      <c r="Z139" s="2"/>
    </row>
    <row r="140" spans="1:26" ht="13.8" x14ac:dyDescent="0.3">
      <c r="A140" s="32"/>
      <c r="B140" s="2"/>
      <c r="C140" s="10"/>
      <c r="D140" s="10"/>
      <c r="E140" s="10"/>
      <c r="F140" s="10"/>
      <c r="G140" s="69"/>
      <c r="H140" s="69"/>
      <c r="I140" s="69"/>
      <c r="J140" s="70"/>
      <c r="K140" s="69"/>
      <c r="L140" s="32"/>
      <c r="M140" s="69"/>
      <c r="N140" s="69"/>
      <c r="O140" s="69"/>
      <c r="P140" s="2"/>
      <c r="Q140" s="2"/>
      <c r="R140" s="32"/>
      <c r="S140" s="32"/>
      <c r="T140" s="32"/>
      <c r="U140" s="32"/>
      <c r="V140" s="2"/>
      <c r="W140" s="2"/>
      <c r="X140" s="2"/>
      <c r="Y140" s="2"/>
      <c r="Z140" s="2"/>
    </row>
    <row r="141" spans="1:26" ht="13.8" x14ac:dyDescent="0.3">
      <c r="A141" s="32"/>
      <c r="B141" s="2"/>
      <c r="C141" s="10"/>
      <c r="D141" s="10"/>
      <c r="E141" s="10"/>
      <c r="F141" s="10"/>
      <c r="G141" s="69"/>
      <c r="H141" s="69"/>
      <c r="I141" s="69"/>
      <c r="J141" s="70"/>
      <c r="K141" s="69"/>
      <c r="L141" s="32"/>
      <c r="M141" s="69"/>
      <c r="N141" s="69"/>
      <c r="O141" s="69"/>
      <c r="P141" s="2"/>
      <c r="Q141" s="2"/>
      <c r="R141" s="32"/>
      <c r="S141" s="32"/>
      <c r="T141" s="32"/>
      <c r="U141" s="32"/>
      <c r="V141" s="2"/>
      <c r="W141" s="2"/>
      <c r="X141" s="2"/>
      <c r="Y141" s="2"/>
      <c r="Z141" s="2"/>
    </row>
    <row r="142" spans="1:26" ht="13.8" x14ac:dyDescent="0.3">
      <c r="A142" s="32"/>
      <c r="B142" s="2"/>
      <c r="C142" s="10"/>
      <c r="D142" s="10"/>
      <c r="E142" s="10"/>
      <c r="F142" s="2"/>
      <c r="G142" s="69"/>
      <c r="H142" s="69"/>
      <c r="I142" s="69"/>
      <c r="J142" s="70"/>
      <c r="K142" s="69"/>
      <c r="L142" s="32"/>
      <c r="M142" s="69"/>
      <c r="N142" s="69"/>
      <c r="O142" s="69"/>
      <c r="P142" s="2"/>
      <c r="Q142" s="2"/>
      <c r="R142" s="32"/>
      <c r="S142" s="32"/>
      <c r="T142" s="32"/>
      <c r="U142" s="32"/>
      <c r="V142" s="2"/>
      <c r="W142" s="2"/>
      <c r="X142" s="2"/>
      <c r="Y142" s="2"/>
      <c r="Z142" s="2"/>
    </row>
    <row r="143" spans="1:26" ht="13.8" x14ac:dyDescent="0.3">
      <c r="A143" s="32"/>
      <c r="B143" s="2"/>
      <c r="C143" s="10"/>
      <c r="D143" s="10"/>
      <c r="E143" s="10"/>
      <c r="F143" s="2"/>
      <c r="G143" s="69"/>
      <c r="H143" s="69"/>
      <c r="I143" s="69"/>
      <c r="J143" s="70"/>
      <c r="K143" s="69"/>
      <c r="L143" s="32"/>
      <c r="M143" s="69"/>
      <c r="N143" s="69"/>
      <c r="O143" s="69"/>
      <c r="P143" s="2"/>
      <c r="Q143" s="2"/>
      <c r="R143" s="32"/>
      <c r="S143" s="32"/>
      <c r="T143" s="32"/>
      <c r="U143" s="3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10"/>
      <c r="F144" s="2"/>
      <c r="G144" s="69"/>
      <c r="H144" s="69"/>
      <c r="I144" s="69"/>
      <c r="J144" s="70"/>
      <c r="K144" s="69"/>
      <c r="L144" s="69"/>
      <c r="M144" s="69"/>
      <c r="N144" s="69"/>
      <c r="O144" s="69"/>
      <c r="P144" s="2"/>
      <c r="Q144" s="2"/>
      <c r="R144" s="32"/>
      <c r="S144" s="32"/>
      <c r="T144" s="32"/>
      <c r="U144" s="32"/>
      <c r="V144" s="2"/>
      <c r="W144" s="2"/>
      <c r="X144" s="2"/>
      <c r="Y144" s="2"/>
      <c r="Z144" s="2"/>
    </row>
    <row r="145" spans="1:26" ht="13.8" x14ac:dyDescent="0.3">
      <c r="A145" s="2"/>
      <c r="B145" s="2"/>
      <c r="C145" s="10"/>
      <c r="D145" s="10"/>
      <c r="E145" s="10"/>
      <c r="F145" s="2"/>
      <c r="G145" s="69"/>
      <c r="H145" s="69"/>
      <c r="I145" s="69"/>
      <c r="J145" s="70"/>
      <c r="K145" s="69"/>
      <c r="L145" s="32"/>
      <c r="M145" s="69"/>
      <c r="N145" s="69"/>
      <c r="O145" s="69"/>
      <c r="P145" s="2"/>
      <c r="Q145" s="2"/>
      <c r="R145" s="32"/>
      <c r="S145" s="32"/>
      <c r="T145" s="32"/>
      <c r="U145" s="3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10"/>
      <c r="F146" s="2"/>
      <c r="G146" s="69"/>
      <c r="H146" s="69"/>
      <c r="I146" s="69"/>
      <c r="J146" s="70"/>
      <c r="K146" s="69"/>
      <c r="L146" s="69"/>
      <c r="M146" s="69"/>
      <c r="N146" s="69"/>
      <c r="O146" s="69"/>
      <c r="P146" s="2"/>
      <c r="Q146" s="2"/>
      <c r="R146" s="32"/>
      <c r="S146" s="32"/>
      <c r="T146" s="32"/>
      <c r="U146" s="32"/>
      <c r="V146" s="2"/>
      <c r="W146" s="2"/>
      <c r="X146" s="2"/>
      <c r="Y146" s="2"/>
      <c r="Z146" s="2"/>
    </row>
    <row r="147" spans="1:26" ht="13.8" x14ac:dyDescent="0.3">
      <c r="A147" s="2"/>
      <c r="B147" s="2"/>
      <c r="C147" s="10"/>
      <c r="D147" s="10"/>
      <c r="E147" s="10"/>
      <c r="F147" s="2"/>
      <c r="G147" s="69"/>
      <c r="H147" s="69"/>
      <c r="I147" s="69"/>
      <c r="J147" s="70"/>
      <c r="K147" s="69"/>
      <c r="L147" s="32"/>
      <c r="M147" s="69"/>
      <c r="N147" s="69"/>
      <c r="O147" s="69"/>
      <c r="P147" s="2"/>
      <c r="Q147" s="2"/>
      <c r="R147" s="32"/>
      <c r="S147" s="32"/>
      <c r="T147" s="32"/>
      <c r="U147" s="3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10"/>
      <c r="F148" s="10"/>
      <c r="G148" s="32"/>
      <c r="H148" s="32"/>
      <c r="I148" s="32"/>
      <c r="J148" s="73"/>
      <c r="K148" s="32"/>
      <c r="L148" s="32"/>
      <c r="M148" s="32"/>
      <c r="N148" s="32"/>
      <c r="O148" s="32"/>
      <c r="P148" s="2"/>
      <c r="Q148" s="2"/>
      <c r="R148" s="32"/>
      <c r="S148" s="32"/>
      <c r="T148" s="32"/>
      <c r="U148" s="32"/>
      <c r="V148" s="2"/>
      <c r="W148" s="2"/>
      <c r="X148" s="2"/>
      <c r="Y148" s="2"/>
      <c r="Z148" s="2"/>
    </row>
    <row r="149" spans="1:26" ht="13.8" x14ac:dyDescent="0.3">
      <c r="A149" s="2"/>
      <c r="B149" s="2"/>
      <c r="C149" s="2"/>
      <c r="D149" s="2"/>
      <c r="E149" s="10"/>
      <c r="F149" s="32"/>
      <c r="G149" s="69"/>
      <c r="H149" s="69"/>
      <c r="I149" s="32"/>
      <c r="J149" s="87"/>
      <c r="K149" s="32"/>
      <c r="L149" s="32"/>
      <c r="M149" s="32"/>
      <c r="N149" s="32"/>
      <c r="O149" s="32"/>
      <c r="P149" s="2"/>
      <c r="Q149" s="2"/>
      <c r="R149" s="32"/>
      <c r="S149" s="32"/>
      <c r="T149" s="32"/>
      <c r="U149" s="32"/>
      <c r="V149" s="2"/>
      <c r="W149" s="2"/>
      <c r="X149" s="2"/>
      <c r="Y149" s="2"/>
      <c r="Z149" s="2"/>
    </row>
    <row r="150" spans="1:26" ht="13.8" x14ac:dyDescent="0.3">
      <c r="A150" s="2"/>
      <c r="B150" s="2"/>
      <c r="C150" s="10"/>
      <c r="D150" s="10"/>
      <c r="E150" s="10"/>
      <c r="F150" s="10"/>
      <c r="G150" s="69"/>
      <c r="H150" s="69"/>
      <c r="I150" s="69"/>
      <c r="J150" s="70"/>
      <c r="K150" s="69"/>
      <c r="L150" s="32"/>
      <c r="M150" s="69"/>
      <c r="N150" s="69"/>
      <c r="O150" s="69"/>
      <c r="P150" s="2"/>
      <c r="Q150" s="2"/>
      <c r="R150" s="32"/>
      <c r="S150" s="32"/>
      <c r="T150" s="32"/>
      <c r="U150" s="32"/>
      <c r="V150" s="2"/>
      <c r="W150" s="2"/>
      <c r="X150" s="2"/>
      <c r="Y150" s="2"/>
      <c r="Z150" s="2"/>
    </row>
    <row r="151" spans="1:26" ht="13.8" x14ac:dyDescent="0.3">
      <c r="A151" s="2"/>
      <c r="B151" s="2"/>
      <c r="C151" s="10"/>
      <c r="D151" s="10"/>
      <c r="E151" s="10"/>
      <c r="F151" s="10"/>
      <c r="G151" s="69"/>
      <c r="H151" s="69"/>
      <c r="I151" s="69"/>
      <c r="J151" s="70"/>
      <c r="K151" s="69"/>
      <c r="L151" s="32"/>
      <c r="M151" s="69"/>
      <c r="N151" s="69"/>
      <c r="O151" s="69"/>
      <c r="P151" s="2"/>
      <c r="Q151" s="2"/>
      <c r="R151" s="32"/>
      <c r="S151" s="32"/>
      <c r="T151" s="32"/>
      <c r="U151" s="32"/>
      <c r="V151" s="2"/>
      <c r="W151" s="2"/>
      <c r="X151" s="2"/>
      <c r="Y151" s="2"/>
      <c r="Z151" s="2"/>
    </row>
    <row r="152" spans="1:26" ht="13.8" x14ac:dyDescent="0.3">
      <c r="A152" s="32"/>
      <c r="B152" s="2"/>
      <c r="C152" s="10"/>
      <c r="D152" s="10"/>
      <c r="E152" s="10"/>
      <c r="F152" s="10"/>
      <c r="G152" s="69"/>
      <c r="H152" s="69"/>
      <c r="I152" s="69"/>
      <c r="J152" s="70"/>
      <c r="K152" s="69"/>
      <c r="L152" s="32"/>
      <c r="M152" s="69"/>
      <c r="N152" s="69"/>
      <c r="O152" s="69"/>
      <c r="P152" s="2"/>
      <c r="Q152" s="2"/>
      <c r="R152" s="32"/>
      <c r="S152" s="32"/>
      <c r="T152" s="32"/>
      <c r="U152" s="32"/>
      <c r="V152" s="2"/>
      <c r="W152" s="2"/>
      <c r="X152" s="2"/>
      <c r="Y152" s="2"/>
      <c r="Z152" s="2"/>
    </row>
    <row r="153" spans="1:26" ht="13.8" x14ac:dyDescent="0.3">
      <c r="A153" s="32"/>
      <c r="B153" s="2"/>
      <c r="C153" s="10"/>
      <c r="D153" s="10"/>
      <c r="E153" s="10"/>
      <c r="F153" s="10"/>
      <c r="G153" s="69"/>
      <c r="H153" s="69"/>
      <c r="I153" s="69"/>
      <c r="J153" s="70"/>
      <c r="K153" s="69"/>
      <c r="L153" s="32"/>
      <c r="M153" s="69"/>
      <c r="N153" s="69"/>
      <c r="O153" s="69"/>
      <c r="P153" s="2"/>
      <c r="Q153" s="2"/>
      <c r="R153" s="32"/>
      <c r="S153" s="32"/>
      <c r="T153" s="32"/>
      <c r="U153" s="32"/>
      <c r="V153" s="2"/>
      <c r="W153" s="2"/>
      <c r="X153" s="2"/>
      <c r="Y153" s="2"/>
      <c r="Z153" s="2"/>
    </row>
    <row r="154" spans="1:26" ht="13.8" x14ac:dyDescent="0.3">
      <c r="A154" s="32"/>
      <c r="B154" s="2"/>
      <c r="C154" s="10"/>
      <c r="D154" s="10"/>
      <c r="E154" s="10"/>
      <c r="F154" s="10"/>
      <c r="G154" s="69"/>
      <c r="H154" s="69"/>
      <c r="I154" s="69"/>
      <c r="J154" s="70"/>
      <c r="K154" s="69"/>
      <c r="L154" s="69"/>
      <c r="M154" s="69"/>
      <c r="N154" s="69"/>
      <c r="O154" s="69"/>
      <c r="P154" s="2"/>
      <c r="Q154" s="2"/>
      <c r="R154" s="32"/>
      <c r="S154" s="32"/>
      <c r="T154" s="32"/>
      <c r="U154" s="32"/>
      <c r="V154" s="2"/>
      <c r="W154" s="2"/>
      <c r="X154" s="2"/>
      <c r="Y154" s="2"/>
      <c r="Z154" s="2"/>
    </row>
    <row r="155" spans="1:26" ht="13.8" x14ac:dyDescent="0.3">
      <c r="A155" s="32"/>
      <c r="B155" s="2"/>
      <c r="C155" s="10"/>
      <c r="D155" s="10"/>
      <c r="E155" s="10"/>
      <c r="F155" s="10"/>
      <c r="G155" s="69"/>
      <c r="H155" s="69"/>
      <c r="I155" s="69"/>
      <c r="J155" s="70"/>
      <c r="K155" s="69"/>
      <c r="L155" s="32"/>
      <c r="M155" s="69"/>
      <c r="N155" s="69"/>
      <c r="O155" s="69"/>
      <c r="P155" s="2"/>
      <c r="Q155" s="2"/>
      <c r="R155" s="32"/>
      <c r="S155" s="32"/>
      <c r="T155" s="32"/>
      <c r="U155" s="32"/>
      <c r="V155" s="2"/>
      <c r="W155" s="2"/>
      <c r="X155" s="2"/>
      <c r="Y155" s="2"/>
      <c r="Z155" s="2"/>
    </row>
    <row r="156" spans="1:26" ht="13.8" x14ac:dyDescent="0.3">
      <c r="A156" s="32"/>
      <c r="B156" s="2"/>
      <c r="C156" s="10"/>
      <c r="D156" s="10"/>
      <c r="E156" s="10"/>
      <c r="F156" s="10"/>
      <c r="G156" s="69"/>
      <c r="H156" s="69"/>
      <c r="I156" s="69"/>
      <c r="J156" s="70"/>
      <c r="K156" s="69"/>
      <c r="L156" s="32"/>
      <c r="M156" s="69"/>
      <c r="N156" s="69"/>
      <c r="O156" s="69"/>
      <c r="P156" s="2"/>
      <c r="Q156" s="2"/>
      <c r="R156" s="32"/>
      <c r="S156" s="32"/>
      <c r="T156" s="32"/>
      <c r="U156" s="32"/>
      <c r="V156" s="2"/>
      <c r="W156" s="2"/>
      <c r="X156" s="2"/>
      <c r="Y156" s="2"/>
      <c r="Z156" s="2"/>
    </row>
    <row r="157" spans="1:26" ht="13.8" x14ac:dyDescent="0.3">
      <c r="A157" s="32"/>
      <c r="B157" s="2"/>
      <c r="C157" s="10"/>
      <c r="D157" s="10"/>
      <c r="E157" s="10"/>
      <c r="F157" s="10"/>
      <c r="G157" s="69"/>
      <c r="H157" s="69"/>
      <c r="I157" s="69"/>
      <c r="J157" s="70"/>
      <c r="K157" s="69"/>
      <c r="L157" s="32"/>
      <c r="M157" s="69"/>
      <c r="N157" s="69"/>
      <c r="O157" s="69"/>
      <c r="P157" s="2"/>
      <c r="Q157" s="2"/>
      <c r="R157" s="32"/>
      <c r="S157" s="32"/>
      <c r="T157" s="32"/>
      <c r="U157" s="32"/>
      <c r="V157" s="2"/>
      <c r="W157" s="2"/>
      <c r="X157" s="2"/>
      <c r="Y157" s="2"/>
      <c r="Z157" s="2"/>
    </row>
    <row r="158" spans="1:26" ht="13.8" x14ac:dyDescent="0.3">
      <c r="A158" s="32"/>
      <c r="B158" s="2"/>
      <c r="C158" s="10"/>
      <c r="D158" s="10"/>
      <c r="E158" s="10"/>
      <c r="F158" s="10"/>
      <c r="G158" s="69"/>
      <c r="H158" s="69"/>
      <c r="I158" s="69"/>
      <c r="J158" s="70"/>
      <c r="K158" s="69"/>
      <c r="L158" s="32"/>
      <c r="M158" s="69"/>
      <c r="N158" s="69"/>
      <c r="O158" s="69"/>
      <c r="P158" s="2"/>
      <c r="Q158" s="2"/>
      <c r="R158" s="32"/>
      <c r="S158" s="32"/>
      <c r="T158" s="32"/>
      <c r="U158" s="32"/>
      <c r="V158" s="2"/>
      <c r="W158" s="2"/>
      <c r="X158" s="2"/>
      <c r="Y158" s="2"/>
      <c r="Z158" s="2"/>
    </row>
    <row r="159" spans="1:26" ht="13.8" x14ac:dyDescent="0.3">
      <c r="A159" s="32"/>
      <c r="B159" s="2"/>
      <c r="C159" s="10"/>
      <c r="D159" s="10"/>
      <c r="E159" s="10"/>
      <c r="F159" s="10"/>
      <c r="G159" s="69"/>
      <c r="H159" s="69"/>
      <c r="I159" s="69"/>
      <c r="J159" s="70"/>
      <c r="K159" s="69"/>
      <c r="L159" s="32"/>
      <c r="M159" s="69"/>
      <c r="N159" s="69"/>
      <c r="O159" s="69"/>
      <c r="P159" s="2"/>
      <c r="Q159" s="2"/>
      <c r="R159" s="32"/>
      <c r="S159" s="32"/>
      <c r="T159" s="32"/>
      <c r="U159" s="32"/>
      <c r="V159" s="2"/>
      <c r="W159" s="2"/>
      <c r="X159" s="2"/>
      <c r="Y159" s="2"/>
      <c r="Z159" s="2"/>
    </row>
    <row r="160" spans="1:26" ht="13.8" x14ac:dyDescent="0.3">
      <c r="A160" s="32"/>
      <c r="B160" s="2"/>
      <c r="C160" s="10"/>
      <c r="D160" s="10"/>
      <c r="E160" s="10"/>
      <c r="F160" s="10"/>
      <c r="G160" s="69"/>
      <c r="H160" s="69"/>
      <c r="I160" s="69"/>
      <c r="J160" s="70"/>
      <c r="K160" s="69"/>
      <c r="L160" s="32"/>
      <c r="M160" s="69"/>
      <c r="N160" s="69"/>
      <c r="O160" s="69"/>
      <c r="P160" s="2"/>
      <c r="Q160" s="2"/>
      <c r="R160" s="32"/>
      <c r="S160" s="32"/>
      <c r="T160" s="32"/>
      <c r="U160" s="32"/>
      <c r="V160" s="2"/>
      <c r="W160" s="2"/>
      <c r="X160" s="2"/>
      <c r="Y160" s="2"/>
      <c r="Z160" s="2"/>
    </row>
    <row r="161" spans="1:26" ht="13.8" x14ac:dyDescent="0.3">
      <c r="A161" s="32"/>
      <c r="B161" s="2"/>
      <c r="C161" s="10"/>
      <c r="D161" s="10"/>
      <c r="E161" s="10"/>
      <c r="F161" s="10"/>
      <c r="G161" s="69"/>
      <c r="H161" s="69"/>
      <c r="I161" s="69"/>
      <c r="J161" s="70"/>
      <c r="K161" s="69"/>
      <c r="L161" s="32"/>
      <c r="M161" s="69"/>
      <c r="N161" s="69"/>
      <c r="O161" s="69"/>
      <c r="P161" s="2"/>
      <c r="Q161" s="2"/>
      <c r="R161" s="32"/>
      <c r="S161" s="32"/>
      <c r="T161" s="32"/>
      <c r="U161" s="32"/>
      <c r="V161" s="2"/>
      <c r="W161" s="2"/>
      <c r="X161" s="2"/>
      <c r="Y161" s="2"/>
      <c r="Z161" s="2"/>
    </row>
    <row r="162" spans="1:26" ht="13.8" x14ac:dyDescent="0.3">
      <c r="A162" s="32"/>
      <c r="B162" s="2"/>
      <c r="C162" s="10"/>
      <c r="D162" s="10"/>
      <c r="E162" s="10"/>
      <c r="F162" s="10"/>
      <c r="G162" s="69"/>
      <c r="H162" s="69"/>
      <c r="I162" s="69"/>
      <c r="J162" s="70"/>
      <c r="K162" s="69"/>
      <c r="L162" s="69"/>
      <c r="M162" s="69"/>
      <c r="N162" s="69"/>
      <c r="O162" s="69"/>
      <c r="P162" s="2"/>
      <c r="Q162" s="2"/>
      <c r="R162" s="32"/>
      <c r="S162" s="32"/>
      <c r="T162" s="32"/>
      <c r="U162" s="32"/>
      <c r="V162" s="2"/>
      <c r="W162" s="2"/>
      <c r="X162" s="2"/>
      <c r="Y162" s="2"/>
      <c r="Z162" s="2"/>
    </row>
    <row r="163" spans="1:26" ht="13.8" x14ac:dyDescent="0.3">
      <c r="A163" s="32"/>
      <c r="B163" s="2"/>
      <c r="C163" s="10"/>
      <c r="D163" s="10"/>
      <c r="E163" s="10"/>
      <c r="F163" s="10"/>
      <c r="G163" s="69"/>
      <c r="H163" s="69"/>
      <c r="I163" s="69"/>
      <c r="J163" s="70"/>
      <c r="K163" s="69"/>
      <c r="L163" s="32"/>
      <c r="M163" s="69"/>
      <c r="N163" s="69"/>
      <c r="O163" s="69"/>
      <c r="P163" s="2"/>
      <c r="Q163" s="2"/>
      <c r="R163" s="32"/>
      <c r="S163" s="32"/>
      <c r="T163" s="32"/>
      <c r="U163" s="32"/>
      <c r="V163" s="2"/>
      <c r="W163" s="2"/>
      <c r="X163" s="2"/>
      <c r="Y163" s="2"/>
      <c r="Z163" s="2"/>
    </row>
    <row r="164" spans="1:26" ht="13.8" x14ac:dyDescent="0.3">
      <c r="A164" s="32"/>
      <c r="B164" s="2"/>
      <c r="C164" s="10"/>
      <c r="D164" s="10"/>
      <c r="E164" s="10"/>
      <c r="F164" s="10"/>
      <c r="G164" s="69"/>
      <c r="H164" s="69"/>
      <c r="I164" s="69"/>
      <c r="J164" s="70"/>
      <c r="K164" s="69"/>
      <c r="L164" s="32"/>
      <c r="M164" s="69"/>
      <c r="N164" s="69"/>
      <c r="O164" s="69"/>
      <c r="P164" s="2"/>
      <c r="Q164" s="2"/>
      <c r="R164" s="32"/>
      <c r="S164" s="32"/>
      <c r="T164" s="32"/>
      <c r="U164" s="32"/>
      <c r="V164" s="2"/>
      <c r="W164" s="2"/>
      <c r="X164" s="2"/>
      <c r="Y164" s="2"/>
      <c r="Z164" s="2"/>
    </row>
    <row r="165" spans="1:26" ht="13.8" x14ac:dyDescent="0.3">
      <c r="A165" s="32"/>
      <c r="B165" s="2"/>
      <c r="C165" s="10"/>
      <c r="D165" s="10"/>
      <c r="E165" s="10"/>
      <c r="F165" s="10"/>
      <c r="G165" s="69"/>
      <c r="H165" s="69"/>
      <c r="I165" s="69"/>
      <c r="J165" s="70"/>
      <c r="K165" s="69"/>
      <c r="L165" s="32"/>
      <c r="M165" s="69"/>
      <c r="N165" s="69"/>
      <c r="O165" s="69"/>
      <c r="P165" s="2"/>
      <c r="Q165" s="2"/>
      <c r="R165" s="32"/>
      <c r="S165" s="32"/>
      <c r="T165" s="32"/>
      <c r="U165" s="32"/>
      <c r="V165" s="2"/>
      <c r="W165" s="2"/>
      <c r="X165" s="2"/>
      <c r="Y165" s="2"/>
      <c r="Z165" s="2"/>
    </row>
    <row r="166" spans="1:26" ht="13.8" x14ac:dyDescent="0.3">
      <c r="A166" s="32"/>
      <c r="B166" s="2"/>
      <c r="C166" s="10"/>
      <c r="D166" s="10"/>
      <c r="E166" s="10"/>
      <c r="F166" s="10"/>
      <c r="G166" s="69"/>
      <c r="H166" s="69"/>
      <c r="I166" s="69"/>
      <c r="J166" s="70"/>
      <c r="K166" s="69"/>
      <c r="L166" s="32"/>
      <c r="M166" s="69"/>
      <c r="N166" s="69"/>
      <c r="O166" s="69"/>
      <c r="P166" s="2"/>
      <c r="Q166" s="2"/>
      <c r="R166" s="32"/>
      <c r="S166" s="32"/>
      <c r="T166" s="32"/>
      <c r="U166" s="32"/>
      <c r="V166" s="2"/>
      <c r="W166" s="2"/>
      <c r="X166" s="2"/>
      <c r="Y166" s="2"/>
      <c r="Z166" s="2"/>
    </row>
    <row r="167" spans="1:26" ht="13.8" x14ac:dyDescent="0.3">
      <c r="A167" s="32"/>
      <c r="B167" s="2"/>
      <c r="C167" s="10"/>
      <c r="D167" s="10"/>
      <c r="E167" s="10"/>
      <c r="F167" s="10"/>
      <c r="G167" s="69"/>
      <c r="H167" s="69"/>
      <c r="I167" s="69"/>
      <c r="J167" s="70"/>
      <c r="K167" s="69"/>
      <c r="L167" s="32"/>
      <c r="M167" s="69"/>
      <c r="N167" s="69"/>
      <c r="O167" s="69"/>
      <c r="P167" s="2"/>
      <c r="Q167" s="2"/>
      <c r="R167" s="32"/>
      <c r="S167" s="32"/>
      <c r="T167" s="32"/>
      <c r="U167" s="32"/>
      <c r="V167" s="2"/>
      <c r="W167" s="2"/>
      <c r="X167" s="2"/>
      <c r="Y167" s="2"/>
      <c r="Z167" s="2"/>
    </row>
    <row r="168" spans="1:26" ht="13.8" x14ac:dyDescent="0.3">
      <c r="A168" s="32"/>
      <c r="B168" s="2"/>
      <c r="C168" s="10"/>
      <c r="D168" s="10"/>
      <c r="E168" s="10"/>
      <c r="F168" s="10"/>
      <c r="G168" s="69"/>
      <c r="H168" s="69"/>
      <c r="I168" s="69"/>
      <c r="J168" s="70"/>
      <c r="K168" s="69"/>
      <c r="L168" s="32"/>
      <c r="M168" s="69"/>
      <c r="N168" s="69"/>
      <c r="O168" s="69"/>
      <c r="P168" s="2"/>
      <c r="Q168" s="2"/>
      <c r="R168" s="32"/>
      <c r="S168" s="32"/>
      <c r="T168" s="32"/>
      <c r="U168" s="32"/>
      <c r="V168" s="2"/>
      <c r="W168" s="2"/>
      <c r="X168" s="2"/>
      <c r="Y168" s="2"/>
      <c r="Z168" s="2"/>
    </row>
    <row r="169" spans="1:26" ht="13.8" x14ac:dyDescent="0.3">
      <c r="A169" s="32"/>
      <c r="B169" s="2"/>
      <c r="C169" s="10"/>
      <c r="D169" s="10"/>
      <c r="E169" s="10"/>
      <c r="F169" s="10"/>
      <c r="G169" s="69"/>
      <c r="H169" s="69"/>
      <c r="I169" s="69"/>
      <c r="J169" s="70"/>
      <c r="K169" s="69"/>
      <c r="L169" s="32"/>
      <c r="M169" s="69"/>
      <c r="N169" s="69"/>
      <c r="O169" s="69"/>
      <c r="P169" s="2"/>
      <c r="Q169" s="2"/>
      <c r="R169" s="32"/>
      <c r="S169" s="32"/>
      <c r="T169" s="32"/>
      <c r="U169" s="32"/>
      <c r="V169" s="2"/>
      <c r="W169" s="2"/>
      <c r="X169" s="2"/>
      <c r="Y169" s="2"/>
      <c r="Z169" s="2"/>
    </row>
    <row r="170" spans="1:26" ht="13.8" x14ac:dyDescent="0.3">
      <c r="A170" s="32"/>
      <c r="B170" s="2"/>
      <c r="C170" s="10"/>
      <c r="D170" s="10"/>
      <c r="E170" s="10"/>
      <c r="F170" s="10"/>
      <c r="G170" s="69"/>
      <c r="H170" s="69"/>
      <c r="I170" s="69"/>
      <c r="J170" s="70"/>
      <c r="K170" s="69"/>
      <c r="L170" s="32"/>
      <c r="M170" s="69"/>
      <c r="N170" s="69"/>
      <c r="O170" s="69"/>
      <c r="P170" s="2"/>
      <c r="Q170" s="2"/>
      <c r="R170" s="32"/>
      <c r="S170" s="32"/>
      <c r="T170" s="32"/>
      <c r="U170" s="32"/>
      <c r="V170" s="2"/>
      <c r="W170" s="2"/>
      <c r="X170" s="2"/>
      <c r="Y170" s="2"/>
      <c r="Z170" s="2"/>
    </row>
    <row r="171" spans="1:26" ht="13.8" x14ac:dyDescent="0.3">
      <c r="A171" s="32"/>
      <c r="B171" s="2"/>
      <c r="C171" s="10"/>
      <c r="D171" s="10"/>
      <c r="E171" s="10"/>
      <c r="F171" s="10"/>
      <c r="G171" s="69"/>
      <c r="H171" s="69"/>
      <c r="I171" s="69"/>
      <c r="J171" s="70"/>
      <c r="K171" s="69"/>
      <c r="L171" s="32"/>
      <c r="M171" s="69"/>
      <c r="N171" s="69"/>
      <c r="O171" s="69"/>
      <c r="P171" s="2"/>
      <c r="Q171" s="2"/>
      <c r="R171" s="32"/>
      <c r="S171" s="32"/>
      <c r="T171" s="32"/>
      <c r="U171" s="32"/>
      <c r="V171" s="2"/>
      <c r="W171" s="2"/>
      <c r="X171" s="2"/>
      <c r="Y171" s="2"/>
      <c r="Z171" s="2"/>
    </row>
    <row r="172" spans="1:26" ht="13.8" x14ac:dyDescent="0.3">
      <c r="A172" s="32"/>
      <c r="B172" s="2"/>
      <c r="C172" s="10"/>
      <c r="D172" s="10"/>
      <c r="E172" s="10"/>
      <c r="F172" s="10"/>
      <c r="G172" s="69"/>
      <c r="H172" s="69"/>
      <c r="I172" s="69"/>
      <c r="J172" s="70"/>
      <c r="K172" s="69"/>
      <c r="L172" s="32"/>
      <c r="M172" s="69"/>
      <c r="N172" s="69"/>
      <c r="O172" s="69"/>
      <c r="P172" s="2"/>
      <c r="Q172" s="2"/>
      <c r="R172" s="32"/>
      <c r="S172" s="32"/>
      <c r="T172" s="32"/>
      <c r="U172" s="32"/>
      <c r="V172" s="2"/>
      <c r="W172" s="2"/>
      <c r="X172" s="2"/>
      <c r="Y172" s="2"/>
      <c r="Z172" s="2"/>
    </row>
    <row r="173" spans="1:26" ht="13.8" x14ac:dyDescent="0.3">
      <c r="A173" s="32"/>
      <c r="B173" s="2"/>
      <c r="C173" s="10"/>
      <c r="D173" s="10"/>
      <c r="E173" s="10"/>
      <c r="F173" s="10"/>
      <c r="G173" s="69"/>
      <c r="H173" s="69"/>
      <c r="I173" s="69"/>
      <c r="J173" s="70"/>
      <c r="K173" s="69"/>
      <c r="L173" s="32"/>
      <c r="M173" s="69"/>
      <c r="N173" s="69"/>
      <c r="O173" s="69"/>
      <c r="P173" s="2"/>
      <c r="Q173" s="2"/>
      <c r="R173" s="32"/>
      <c r="S173" s="32"/>
      <c r="T173" s="32"/>
      <c r="U173" s="32"/>
      <c r="V173" s="2"/>
      <c r="W173" s="2"/>
      <c r="X173" s="2"/>
      <c r="Y173" s="2"/>
      <c r="Z173" s="2"/>
    </row>
    <row r="174" spans="1:26" ht="13.8" x14ac:dyDescent="0.3">
      <c r="A174" s="32"/>
      <c r="B174" s="2"/>
      <c r="C174" s="10"/>
      <c r="D174" s="10"/>
      <c r="E174" s="10"/>
      <c r="F174" s="10"/>
      <c r="G174" s="69"/>
      <c r="H174" s="69"/>
      <c r="I174" s="69"/>
      <c r="J174" s="70"/>
      <c r="K174" s="69"/>
      <c r="L174" s="32"/>
      <c r="M174" s="69"/>
      <c r="N174" s="69"/>
      <c r="O174" s="69"/>
      <c r="P174" s="2"/>
      <c r="Q174" s="2"/>
      <c r="R174" s="32"/>
      <c r="S174" s="32"/>
      <c r="T174" s="32"/>
      <c r="U174" s="32"/>
      <c r="V174" s="2"/>
      <c r="W174" s="2"/>
      <c r="X174" s="2"/>
      <c r="Y174" s="2"/>
      <c r="Z174" s="2"/>
    </row>
    <row r="175" spans="1:26" ht="13.8" x14ac:dyDescent="0.3">
      <c r="A175" s="32"/>
      <c r="B175" s="2"/>
      <c r="C175" s="10"/>
      <c r="D175" s="10"/>
      <c r="E175" s="10"/>
      <c r="F175" s="10"/>
      <c r="G175" s="69"/>
      <c r="H175" s="69"/>
      <c r="I175" s="69"/>
      <c r="J175" s="70"/>
      <c r="K175" s="69"/>
      <c r="L175" s="32"/>
      <c r="M175" s="69"/>
      <c r="N175" s="69"/>
      <c r="O175" s="69"/>
      <c r="P175" s="2"/>
      <c r="Q175" s="2"/>
      <c r="R175" s="32"/>
      <c r="S175" s="32"/>
      <c r="T175" s="32"/>
      <c r="U175" s="32"/>
      <c r="V175" s="2"/>
      <c r="W175" s="2"/>
      <c r="X175" s="2"/>
      <c r="Y175" s="2"/>
      <c r="Z175" s="2"/>
    </row>
    <row r="176" spans="1:26" ht="13.8" x14ac:dyDescent="0.3">
      <c r="A176" s="2"/>
      <c r="B176" s="2"/>
      <c r="C176" s="10"/>
      <c r="D176" s="10"/>
      <c r="E176" s="10"/>
      <c r="F176" s="10"/>
      <c r="G176" s="69"/>
      <c r="H176" s="69"/>
      <c r="I176" s="69"/>
      <c r="J176" s="70"/>
      <c r="K176" s="69"/>
      <c r="L176" s="32"/>
      <c r="M176" s="69"/>
      <c r="N176" s="69"/>
      <c r="O176" s="69"/>
      <c r="P176" s="2"/>
      <c r="Q176" s="2"/>
      <c r="R176" s="32"/>
      <c r="S176" s="32"/>
      <c r="T176" s="32"/>
      <c r="U176" s="32"/>
      <c r="V176" s="2"/>
      <c r="W176" s="2"/>
      <c r="X176" s="2"/>
      <c r="Y176" s="2"/>
      <c r="Z176" s="2"/>
    </row>
    <row r="177" spans="1:26" ht="13.8" x14ac:dyDescent="0.3">
      <c r="A177" s="2"/>
      <c r="B177" s="2"/>
      <c r="C177" s="10"/>
      <c r="D177" s="10"/>
      <c r="E177" s="10"/>
      <c r="F177" s="10"/>
      <c r="G177" s="69"/>
      <c r="H177" s="69"/>
      <c r="I177" s="69"/>
      <c r="J177" s="70"/>
      <c r="K177" s="69"/>
      <c r="L177" s="32"/>
      <c r="M177" s="69"/>
      <c r="N177" s="69"/>
      <c r="O177" s="69"/>
      <c r="P177" s="2"/>
      <c r="Q177" s="2"/>
      <c r="R177" s="32"/>
      <c r="S177" s="32"/>
      <c r="T177" s="32"/>
      <c r="U177" s="32"/>
      <c r="V177" s="2"/>
      <c r="W177" s="2"/>
      <c r="X177" s="2"/>
      <c r="Y177" s="2"/>
      <c r="Z177" s="2"/>
    </row>
    <row r="178" spans="1:26" ht="13.8" x14ac:dyDescent="0.3">
      <c r="A178" s="2"/>
      <c r="B178" s="2"/>
      <c r="C178" s="10"/>
      <c r="D178" s="10"/>
      <c r="E178" s="10"/>
      <c r="F178" s="10"/>
      <c r="G178" s="69"/>
      <c r="H178" s="69"/>
      <c r="I178" s="69"/>
      <c r="J178" s="70"/>
      <c r="K178" s="69"/>
      <c r="L178" s="32"/>
      <c r="M178" s="69"/>
      <c r="N178" s="69"/>
      <c r="O178" s="69"/>
      <c r="P178" s="2"/>
      <c r="Q178" s="2"/>
      <c r="R178" s="32"/>
      <c r="S178" s="32"/>
      <c r="T178" s="32"/>
      <c r="U178" s="32"/>
      <c r="V178" s="2"/>
      <c r="W178" s="2"/>
      <c r="X178" s="2"/>
      <c r="Y178" s="2"/>
      <c r="Z178" s="2"/>
    </row>
    <row r="179" spans="1:26" ht="13.8" x14ac:dyDescent="0.3">
      <c r="A179" s="2"/>
      <c r="B179" s="2"/>
      <c r="C179" s="10"/>
      <c r="D179" s="10"/>
      <c r="E179" s="10"/>
      <c r="F179" s="10"/>
      <c r="G179" s="69"/>
      <c r="H179" s="69"/>
      <c r="I179" s="69"/>
      <c r="J179" s="70"/>
      <c r="K179" s="69"/>
      <c r="L179" s="32"/>
      <c r="M179" s="69"/>
      <c r="N179" s="69"/>
      <c r="O179" s="69"/>
      <c r="P179" s="2"/>
      <c r="Q179" s="2"/>
      <c r="R179" s="32"/>
      <c r="S179" s="32"/>
      <c r="T179" s="32"/>
      <c r="U179" s="32"/>
      <c r="V179" s="2"/>
      <c r="W179" s="2"/>
      <c r="X179" s="2"/>
      <c r="Y179" s="2"/>
      <c r="Z179" s="2"/>
    </row>
    <row r="180" spans="1:26" ht="13.8" x14ac:dyDescent="0.3">
      <c r="A180" s="2"/>
      <c r="B180" s="2"/>
      <c r="C180" s="10"/>
      <c r="D180" s="10"/>
      <c r="E180" s="10"/>
      <c r="F180" s="10"/>
      <c r="G180" s="69"/>
      <c r="H180" s="69"/>
      <c r="I180" s="69"/>
      <c r="J180" s="70"/>
      <c r="K180" s="69"/>
      <c r="L180" s="32"/>
      <c r="M180" s="69"/>
      <c r="N180" s="69"/>
      <c r="O180" s="69"/>
      <c r="P180" s="2"/>
      <c r="Q180" s="2"/>
      <c r="R180" s="32"/>
      <c r="S180" s="32"/>
      <c r="T180" s="32"/>
      <c r="U180" s="32"/>
      <c r="V180" s="2"/>
      <c r="W180" s="2"/>
      <c r="X180" s="2"/>
      <c r="Y180" s="2"/>
      <c r="Z180" s="2"/>
    </row>
    <row r="181" spans="1:26" ht="13.8" x14ac:dyDescent="0.3">
      <c r="A181" s="2"/>
      <c r="B181" s="2"/>
      <c r="C181" s="10"/>
      <c r="D181" s="10"/>
      <c r="E181" s="10"/>
      <c r="F181" s="10"/>
      <c r="G181" s="69"/>
      <c r="H181" s="69"/>
      <c r="I181" s="69"/>
      <c r="J181" s="70"/>
      <c r="K181" s="69"/>
      <c r="L181" s="32"/>
      <c r="M181" s="69"/>
      <c r="N181" s="69"/>
      <c r="O181" s="69"/>
      <c r="P181" s="2"/>
      <c r="Q181" s="2"/>
      <c r="R181" s="32"/>
      <c r="S181" s="32"/>
      <c r="T181" s="32"/>
      <c r="U181" s="32"/>
      <c r="V181" s="2"/>
      <c r="W181" s="2"/>
      <c r="X181" s="2"/>
      <c r="Y181" s="2"/>
      <c r="Z181" s="2"/>
    </row>
    <row r="182" spans="1:26" ht="13.8" x14ac:dyDescent="0.3">
      <c r="A182" s="2"/>
      <c r="B182" s="2"/>
      <c r="C182" s="10"/>
      <c r="D182" s="10"/>
      <c r="E182" s="10"/>
      <c r="F182" s="10"/>
      <c r="G182" s="69"/>
      <c r="H182" s="69"/>
      <c r="I182" s="69"/>
      <c r="J182" s="70"/>
      <c r="K182" s="69"/>
      <c r="L182" s="69"/>
      <c r="M182" s="69"/>
      <c r="N182" s="69"/>
      <c r="O182" s="69"/>
      <c r="P182" s="2"/>
      <c r="Q182" s="2"/>
      <c r="R182" s="32"/>
      <c r="S182" s="32"/>
      <c r="T182" s="32"/>
      <c r="U182" s="32"/>
      <c r="V182" s="2"/>
      <c r="W182" s="2"/>
      <c r="X182" s="2"/>
      <c r="Y182" s="2"/>
      <c r="Z182" s="2"/>
    </row>
    <row r="183" spans="1:26" ht="13.8" x14ac:dyDescent="0.3">
      <c r="A183" s="2"/>
      <c r="B183" s="2"/>
      <c r="C183" s="10"/>
      <c r="D183" s="10"/>
      <c r="E183" s="10"/>
      <c r="F183" s="10"/>
      <c r="G183" s="69"/>
      <c r="H183" s="69"/>
      <c r="I183" s="69"/>
      <c r="J183" s="70"/>
      <c r="K183" s="69"/>
      <c r="L183" s="69"/>
      <c r="M183" s="69"/>
      <c r="N183" s="69"/>
      <c r="O183" s="69"/>
      <c r="P183" s="2"/>
      <c r="Q183" s="2"/>
      <c r="R183" s="32"/>
      <c r="S183" s="32"/>
      <c r="T183" s="32"/>
      <c r="U183" s="32"/>
      <c r="V183" s="2"/>
      <c r="W183" s="2"/>
      <c r="X183" s="2"/>
      <c r="Y183" s="2"/>
      <c r="Z183" s="2"/>
    </row>
    <row r="184" spans="1:26" ht="13.8" x14ac:dyDescent="0.3">
      <c r="A184" s="2"/>
      <c r="B184" s="2"/>
      <c r="C184" s="10"/>
      <c r="D184" s="10"/>
      <c r="E184" s="10"/>
      <c r="F184" s="10"/>
      <c r="G184" s="69"/>
      <c r="H184" s="69"/>
      <c r="I184" s="69"/>
      <c r="J184" s="70"/>
      <c r="K184" s="69"/>
      <c r="L184" s="69"/>
      <c r="M184" s="69"/>
      <c r="N184" s="69"/>
      <c r="O184" s="69"/>
      <c r="P184" s="2"/>
      <c r="Q184" s="2"/>
      <c r="R184" s="32"/>
      <c r="S184" s="32"/>
      <c r="T184" s="32"/>
      <c r="U184" s="32"/>
      <c r="V184" s="2"/>
      <c r="W184" s="2"/>
      <c r="X184" s="2"/>
      <c r="Y184" s="2"/>
      <c r="Z184" s="2"/>
    </row>
    <row r="185" spans="1:26" ht="13.8" x14ac:dyDescent="0.3">
      <c r="A185" s="2"/>
      <c r="B185" s="2"/>
      <c r="C185" s="10"/>
      <c r="D185" s="10"/>
      <c r="E185" s="10"/>
      <c r="F185" s="10"/>
      <c r="G185" s="69"/>
      <c r="H185" s="69"/>
      <c r="I185" s="69"/>
      <c r="J185" s="70"/>
      <c r="K185" s="69"/>
      <c r="L185" s="69"/>
      <c r="M185" s="69"/>
      <c r="N185" s="69"/>
      <c r="O185" s="69"/>
      <c r="P185" s="2"/>
      <c r="Q185" s="2"/>
      <c r="R185" s="32"/>
      <c r="S185" s="32"/>
      <c r="T185" s="32"/>
      <c r="U185" s="32"/>
      <c r="V185" s="2"/>
      <c r="W185" s="2"/>
      <c r="X185" s="2"/>
      <c r="Y185" s="2"/>
      <c r="Z185" s="2"/>
    </row>
    <row r="186" spans="1:26" ht="13.8" x14ac:dyDescent="0.3">
      <c r="A186" s="2"/>
      <c r="B186" s="2"/>
      <c r="C186" s="10"/>
      <c r="D186" s="10"/>
      <c r="E186" s="10"/>
      <c r="F186" s="10"/>
      <c r="G186" s="69"/>
      <c r="H186" s="69"/>
      <c r="I186" s="69"/>
      <c r="J186" s="70"/>
      <c r="K186" s="69"/>
      <c r="L186" s="32"/>
      <c r="M186" s="69"/>
      <c r="N186" s="69"/>
      <c r="O186" s="69"/>
      <c r="P186" s="2"/>
      <c r="Q186" s="2"/>
      <c r="R186" s="32"/>
      <c r="S186" s="32"/>
      <c r="T186" s="32"/>
      <c r="U186" s="32"/>
      <c r="V186" s="2"/>
      <c r="W186" s="2"/>
      <c r="X186" s="2"/>
      <c r="Y186" s="2"/>
      <c r="Z186" s="2"/>
    </row>
    <row r="187" spans="1:26" ht="13.8" x14ac:dyDescent="0.3">
      <c r="A187" s="2"/>
      <c r="B187" s="2"/>
      <c r="C187" s="10"/>
      <c r="D187" s="10"/>
      <c r="E187" s="10"/>
      <c r="F187" s="10"/>
      <c r="G187" s="69"/>
      <c r="H187" s="69"/>
      <c r="I187" s="69"/>
      <c r="J187" s="70"/>
      <c r="K187" s="69"/>
      <c r="L187" s="32"/>
      <c r="M187" s="69"/>
      <c r="N187" s="69"/>
      <c r="O187" s="69"/>
      <c r="P187" s="2"/>
      <c r="Q187" s="2"/>
      <c r="R187" s="32"/>
      <c r="S187" s="32"/>
      <c r="T187" s="32"/>
      <c r="U187" s="32"/>
      <c r="V187" s="2"/>
      <c r="W187" s="2"/>
      <c r="X187" s="2"/>
      <c r="Y187" s="2"/>
      <c r="Z187" s="2"/>
    </row>
    <row r="188" spans="1:26" ht="13.8" x14ac:dyDescent="0.3">
      <c r="A188" s="2"/>
      <c r="B188" s="2"/>
      <c r="C188" s="10"/>
      <c r="D188" s="10"/>
      <c r="E188" s="10"/>
      <c r="F188" s="10"/>
      <c r="G188" s="69"/>
      <c r="H188" s="69"/>
      <c r="I188" s="69"/>
      <c r="J188" s="70"/>
      <c r="K188" s="69"/>
      <c r="L188" s="32"/>
      <c r="M188" s="69"/>
      <c r="N188" s="69"/>
      <c r="O188" s="69"/>
      <c r="P188" s="2"/>
      <c r="Q188" s="2"/>
      <c r="R188" s="32"/>
      <c r="S188" s="32"/>
      <c r="T188" s="32"/>
      <c r="U188" s="32"/>
      <c r="V188" s="2"/>
      <c r="W188" s="2"/>
      <c r="X188" s="2"/>
      <c r="Y188" s="2"/>
      <c r="Z188" s="2"/>
    </row>
    <row r="189" spans="1:26" ht="13.8" x14ac:dyDescent="0.3">
      <c r="A189" s="2"/>
      <c r="B189" s="2"/>
      <c r="C189" s="10"/>
      <c r="D189" s="10"/>
      <c r="E189" s="10"/>
      <c r="F189" s="10"/>
      <c r="G189" s="69"/>
      <c r="H189" s="69"/>
      <c r="I189" s="69"/>
      <c r="J189" s="70"/>
      <c r="K189" s="69"/>
      <c r="L189" s="32"/>
      <c r="M189" s="69"/>
      <c r="N189" s="69"/>
      <c r="O189" s="69"/>
      <c r="P189" s="2"/>
      <c r="Q189" s="2"/>
      <c r="R189" s="32"/>
      <c r="S189" s="32"/>
      <c r="T189" s="32"/>
      <c r="U189" s="32"/>
      <c r="V189" s="2"/>
      <c r="W189" s="2"/>
      <c r="X189" s="2"/>
      <c r="Y189" s="2"/>
      <c r="Z189" s="2"/>
    </row>
    <row r="190" spans="1:26" ht="13.8" x14ac:dyDescent="0.3">
      <c r="A190" s="2"/>
      <c r="B190" s="2"/>
      <c r="C190" s="10"/>
      <c r="D190" s="10"/>
      <c r="E190" s="10"/>
      <c r="F190" s="10"/>
      <c r="G190" s="69"/>
      <c r="H190" s="69"/>
      <c r="I190" s="69"/>
      <c r="J190" s="70"/>
      <c r="K190" s="69"/>
      <c r="L190" s="32"/>
      <c r="M190" s="69"/>
      <c r="N190" s="69"/>
      <c r="O190" s="69"/>
      <c r="P190" s="2"/>
      <c r="Q190" s="2"/>
      <c r="R190" s="32"/>
      <c r="S190" s="32"/>
      <c r="T190" s="32"/>
      <c r="U190" s="32"/>
      <c r="V190" s="2"/>
      <c r="W190" s="2"/>
      <c r="X190" s="2"/>
      <c r="Y190" s="2"/>
      <c r="Z190" s="2"/>
    </row>
    <row r="191" spans="1:26" ht="13.8" x14ac:dyDescent="0.3">
      <c r="A191" s="2"/>
      <c r="B191" s="2"/>
      <c r="C191" s="10"/>
      <c r="D191" s="10"/>
      <c r="E191" s="10"/>
      <c r="F191" s="10"/>
      <c r="G191" s="69"/>
      <c r="H191" s="69"/>
      <c r="I191" s="69"/>
      <c r="J191" s="70"/>
      <c r="K191" s="69"/>
      <c r="L191" s="32"/>
      <c r="M191" s="69"/>
      <c r="N191" s="69"/>
      <c r="O191" s="69"/>
      <c r="P191" s="2"/>
      <c r="Q191" s="2"/>
      <c r="R191" s="32"/>
      <c r="S191" s="32"/>
      <c r="T191" s="32"/>
      <c r="U191" s="32"/>
      <c r="V191" s="2"/>
      <c r="W191" s="2"/>
      <c r="X191" s="2"/>
      <c r="Y191" s="2"/>
      <c r="Z191" s="2"/>
    </row>
    <row r="192" spans="1:26" ht="13.8" x14ac:dyDescent="0.3">
      <c r="A192" s="2"/>
      <c r="B192" s="2"/>
      <c r="C192" s="10"/>
      <c r="D192" s="10"/>
      <c r="E192" s="10"/>
      <c r="F192" s="10"/>
      <c r="G192" s="69"/>
      <c r="H192" s="69"/>
      <c r="I192" s="69"/>
      <c r="J192" s="70"/>
      <c r="K192" s="69"/>
      <c r="L192" s="69"/>
      <c r="M192" s="69"/>
      <c r="N192" s="69"/>
      <c r="O192" s="69"/>
      <c r="P192" s="2"/>
      <c r="Q192" s="2"/>
      <c r="R192" s="32"/>
      <c r="S192" s="32"/>
      <c r="T192" s="32"/>
      <c r="U192" s="32"/>
      <c r="V192" s="2"/>
      <c r="W192" s="2"/>
      <c r="X192" s="2"/>
      <c r="Y192" s="2"/>
      <c r="Z192" s="2"/>
    </row>
    <row r="193" spans="1:26" ht="13.8" x14ac:dyDescent="0.3">
      <c r="A193" s="2"/>
      <c r="B193" s="2"/>
      <c r="C193" s="10"/>
      <c r="D193" s="10"/>
      <c r="E193" s="10"/>
      <c r="F193" s="10"/>
      <c r="G193" s="69"/>
      <c r="H193" s="69"/>
      <c r="I193" s="69"/>
      <c r="J193" s="70"/>
      <c r="K193" s="69"/>
      <c r="L193" s="69"/>
      <c r="M193" s="69"/>
      <c r="N193" s="69"/>
      <c r="O193" s="69"/>
      <c r="P193" s="2"/>
      <c r="Q193" s="2"/>
      <c r="R193" s="32"/>
      <c r="S193" s="32"/>
      <c r="T193" s="32"/>
      <c r="U193" s="32"/>
      <c r="V193" s="2"/>
      <c r="W193" s="2"/>
      <c r="X193" s="2"/>
      <c r="Y193" s="2"/>
      <c r="Z193" s="2"/>
    </row>
    <row r="194" spans="1:26" ht="13.8" x14ac:dyDescent="0.3">
      <c r="A194" s="2"/>
      <c r="B194" s="2"/>
      <c r="C194" s="10"/>
      <c r="D194" s="10"/>
      <c r="E194" s="10"/>
      <c r="F194" s="10"/>
      <c r="G194" s="69"/>
      <c r="H194" s="69"/>
      <c r="I194" s="69"/>
      <c r="J194" s="70"/>
      <c r="K194" s="69"/>
      <c r="L194" s="32"/>
      <c r="M194" s="69"/>
      <c r="N194" s="69"/>
      <c r="O194" s="69"/>
      <c r="P194" s="2"/>
      <c r="Q194" s="2"/>
      <c r="R194" s="32"/>
      <c r="S194" s="32"/>
      <c r="T194" s="32"/>
      <c r="U194" s="32"/>
      <c r="V194" s="2"/>
      <c r="W194" s="2"/>
      <c r="X194" s="2"/>
      <c r="Y194" s="2"/>
      <c r="Z194" s="2"/>
    </row>
    <row r="195" spans="1:26" ht="13.8" x14ac:dyDescent="0.3">
      <c r="A195" s="2"/>
      <c r="B195" s="2"/>
      <c r="C195" s="10"/>
      <c r="D195" s="10"/>
      <c r="E195" s="10"/>
      <c r="F195" s="10"/>
      <c r="G195" s="69"/>
      <c r="H195" s="69"/>
      <c r="I195" s="69"/>
      <c r="J195" s="70"/>
      <c r="K195" s="69"/>
      <c r="L195" s="32"/>
      <c r="M195" s="69"/>
      <c r="N195" s="69"/>
      <c r="O195" s="69"/>
      <c r="P195" s="2"/>
      <c r="Q195" s="2"/>
      <c r="R195" s="32"/>
      <c r="S195" s="32"/>
      <c r="T195" s="32"/>
      <c r="U195" s="32"/>
      <c r="V195" s="2"/>
      <c r="W195" s="2"/>
      <c r="X195" s="2"/>
      <c r="Y195" s="2"/>
      <c r="Z195" s="2"/>
    </row>
    <row r="196" spans="1:26" ht="13.8" x14ac:dyDescent="0.3">
      <c r="A196" s="2"/>
      <c r="B196" s="2"/>
      <c r="C196" s="10"/>
      <c r="D196" s="10"/>
      <c r="E196" s="10"/>
      <c r="F196" s="10"/>
      <c r="G196" s="69"/>
      <c r="H196" s="69"/>
      <c r="I196" s="69"/>
      <c r="J196" s="70"/>
      <c r="K196" s="69"/>
      <c r="L196" s="32"/>
      <c r="M196" s="69"/>
      <c r="N196" s="69"/>
      <c r="O196" s="69"/>
      <c r="P196" s="2"/>
      <c r="Q196" s="2"/>
      <c r="R196" s="32"/>
      <c r="S196" s="32"/>
      <c r="T196" s="32"/>
      <c r="U196" s="32"/>
      <c r="V196" s="2"/>
      <c r="W196" s="2"/>
      <c r="X196" s="2"/>
      <c r="Y196" s="2"/>
      <c r="Z196" s="2"/>
    </row>
    <row r="197" spans="1:26" ht="13.8" x14ac:dyDescent="0.3">
      <c r="A197" s="2"/>
      <c r="B197" s="2"/>
      <c r="C197" s="10"/>
      <c r="D197" s="10"/>
      <c r="E197" s="10"/>
      <c r="F197" s="10"/>
      <c r="G197" s="69"/>
      <c r="H197" s="69"/>
      <c r="I197" s="69"/>
      <c r="J197" s="70"/>
      <c r="K197" s="69"/>
      <c r="L197" s="32"/>
      <c r="M197" s="69"/>
      <c r="N197" s="69"/>
      <c r="O197" s="69"/>
      <c r="P197" s="2"/>
      <c r="Q197" s="2"/>
      <c r="R197" s="32"/>
      <c r="S197" s="32"/>
      <c r="T197" s="32"/>
      <c r="U197" s="32"/>
      <c r="V197" s="2"/>
      <c r="W197" s="2"/>
      <c r="X197" s="2"/>
      <c r="Y197" s="2"/>
      <c r="Z197" s="2"/>
    </row>
    <row r="198" spans="1:26" ht="13.8" x14ac:dyDescent="0.3">
      <c r="A198" s="2"/>
      <c r="B198" s="2"/>
      <c r="C198" s="10"/>
      <c r="D198" s="10"/>
      <c r="E198" s="10"/>
      <c r="F198" s="10"/>
      <c r="G198" s="69"/>
      <c r="H198" s="69"/>
      <c r="I198" s="69"/>
      <c r="J198" s="70"/>
      <c r="K198" s="69"/>
      <c r="L198" s="32"/>
      <c r="M198" s="69"/>
      <c r="N198" s="69"/>
      <c r="O198" s="69"/>
      <c r="P198" s="2"/>
      <c r="Q198" s="2"/>
      <c r="R198" s="32"/>
      <c r="S198" s="32"/>
      <c r="T198" s="32"/>
      <c r="U198" s="32"/>
      <c r="V198" s="2"/>
      <c r="W198" s="2"/>
      <c r="X198" s="2"/>
      <c r="Y198" s="2"/>
      <c r="Z198" s="2"/>
    </row>
    <row r="199" spans="1:26" ht="13.8" x14ac:dyDescent="0.3">
      <c r="A199" s="2"/>
      <c r="B199" s="2"/>
      <c r="C199" s="10"/>
      <c r="D199" s="10"/>
      <c r="E199" s="10"/>
      <c r="F199" s="10"/>
      <c r="G199" s="69"/>
      <c r="H199" s="69"/>
      <c r="I199" s="69"/>
      <c r="J199" s="70"/>
      <c r="K199" s="69"/>
      <c r="L199" s="32"/>
      <c r="M199" s="69"/>
      <c r="N199" s="69"/>
      <c r="O199" s="69"/>
      <c r="P199" s="2"/>
      <c r="Q199" s="2"/>
      <c r="R199" s="32"/>
      <c r="S199" s="32"/>
      <c r="T199" s="32"/>
      <c r="U199" s="32"/>
      <c r="V199" s="2"/>
      <c r="W199" s="2"/>
      <c r="X199" s="2"/>
      <c r="Y199" s="2"/>
      <c r="Z199" s="2"/>
    </row>
    <row r="200" spans="1:26" ht="13.8" x14ac:dyDescent="0.3">
      <c r="A200" s="2"/>
      <c r="B200" s="2"/>
      <c r="C200" s="10"/>
      <c r="D200" s="10"/>
      <c r="E200" s="10"/>
      <c r="F200" s="10"/>
      <c r="G200" s="69"/>
      <c r="H200" s="69"/>
      <c r="I200" s="69"/>
      <c r="J200" s="70"/>
      <c r="K200" s="69"/>
      <c r="L200" s="69"/>
      <c r="M200" s="69"/>
      <c r="N200" s="69"/>
      <c r="O200" s="69"/>
      <c r="P200" s="2"/>
      <c r="Q200" s="2"/>
      <c r="R200" s="32"/>
      <c r="S200" s="32"/>
      <c r="T200" s="32"/>
      <c r="U200" s="32"/>
      <c r="V200" s="2"/>
      <c r="W200" s="2"/>
      <c r="X200" s="2"/>
      <c r="Y200" s="2"/>
      <c r="Z200" s="2"/>
    </row>
    <row r="201" spans="1:26" ht="13.8" x14ac:dyDescent="0.3">
      <c r="A201" s="2"/>
      <c r="B201" s="2"/>
      <c r="C201" s="10"/>
      <c r="D201" s="10"/>
      <c r="E201" s="10"/>
      <c r="F201" s="10"/>
      <c r="G201" s="69"/>
      <c r="H201" s="69"/>
      <c r="I201" s="69"/>
      <c r="J201" s="70"/>
      <c r="K201" s="69"/>
      <c r="L201" s="32"/>
      <c r="M201" s="69"/>
      <c r="N201" s="69"/>
      <c r="O201" s="69"/>
      <c r="P201" s="2"/>
      <c r="Q201" s="2"/>
      <c r="R201" s="32"/>
      <c r="S201" s="32"/>
      <c r="T201" s="32"/>
      <c r="U201" s="32"/>
      <c r="V201" s="2"/>
      <c r="W201" s="2"/>
      <c r="X201" s="2"/>
      <c r="Y201" s="2"/>
      <c r="Z201" s="2"/>
    </row>
    <row r="202" spans="1:26" ht="13.8" x14ac:dyDescent="0.3">
      <c r="A202" s="2"/>
      <c r="B202" s="2"/>
      <c r="C202" s="10"/>
      <c r="D202" s="10"/>
      <c r="E202" s="10"/>
      <c r="F202" s="10"/>
      <c r="G202" s="69"/>
      <c r="H202" s="69"/>
      <c r="I202" s="69"/>
      <c r="J202" s="70"/>
      <c r="K202" s="69"/>
      <c r="L202" s="32">
        <f>SUM(L2:L200)</f>
        <v>1318.5080879610996</v>
      </c>
      <c r="M202" s="69"/>
      <c r="N202" s="69"/>
      <c r="O202" s="69"/>
      <c r="P202" s="2"/>
      <c r="Q202" s="2"/>
      <c r="R202" s="32"/>
      <c r="S202" s="32"/>
      <c r="T202" s="32"/>
      <c r="U202" s="32"/>
      <c r="V202" s="2"/>
      <c r="W202" s="2"/>
      <c r="X202" s="2"/>
      <c r="Y202" s="2"/>
      <c r="Z202" s="2"/>
    </row>
    <row r="203" spans="1:26" ht="13.8" x14ac:dyDescent="0.3">
      <c r="A203" s="2"/>
      <c r="B203" s="2"/>
      <c r="C203" s="10"/>
      <c r="D203" s="10"/>
      <c r="E203" s="10"/>
      <c r="F203" s="10"/>
      <c r="G203" s="69"/>
      <c r="H203" s="69"/>
      <c r="I203" s="69"/>
      <c r="J203" s="70"/>
      <c r="K203" s="69"/>
      <c r="L203" s="32"/>
      <c r="M203" s="69"/>
      <c r="N203" s="69"/>
      <c r="O203" s="69"/>
      <c r="P203" s="2"/>
      <c r="Q203" s="2"/>
      <c r="R203" s="32"/>
      <c r="S203" s="32"/>
      <c r="T203" s="32"/>
      <c r="U203" s="32"/>
      <c r="V203" s="2"/>
      <c r="W203" s="2"/>
      <c r="X203" s="2"/>
      <c r="Y203" s="2"/>
      <c r="Z203" s="2"/>
    </row>
    <row r="204" spans="1:26" ht="13.8" x14ac:dyDescent="0.3">
      <c r="A204" s="2"/>
      <c r="B204" s="2"/>
      <c r="C204" s="10"/>
      <c r="D204" s="10"/>
      <c r="E204" s="10"/>
      <c r="F204" s="10"/>
      <c r="G204" s="69"/>
      <c r="H204" s="69"/>
      <c r="I204" s="69"/>
      <c r="J204" s="70"/>
      <c r="K204" s="69"/>
      <c r="L204" s="32"/>
      <c r="M204" s="69"/>
      <c r="N204" s="69"/>
      <c r="O204" s="69"/>
      <c r="P204" s="2"/>
      <c r="Q204" s="2"/>
      <c r="R204" s="32"/>
      <c r="S204" s="32"/>
      <c r="T204" s="32"/>
      <c r="U204" s="32"/>
      <c r="V204" s="2"/>
      <c r="W204" s="2"/>
      <c r="X204" s="2"/>
      <c r="Y204" s="2"/>
      <c r="Z204" s="2"/>
    </row>
    <row r="205" spans="1:26" ht="13.8" x14ac:dyDescent="0.3">
      <c r="A205" s="2"/>
      <c r="B205" s="2"/>
      <c r="C205" s="10"/>
      <c r="D205" s="10"/>
      <c r="E205" s="10"/>
      <c r="F205" s="10"/>
      <c r="G205" s="69"/>
      <c r="H205" s="69"/>
      <c r="I205" s="69"/>
      <c r="J205" s="70"/>
      <c r="K205" s="69"/>
      <c r="L205" s="76"/>
      <c r="M205" s="69"/>
      <c r="N205" s="69"/>
      <c r="O205" s="69"/>
      <c r="P205" s="2"/>
      <c r="Q205" s="2"/>
      <c r="R205" s="32"/>
      <c r="S205" s="32"/>
      <c r="T205" s="32"/>
      <c r="U205" s="32"/>
      <c r="V205" s="2"/>
      <c r="W205" s="2"/>
      <c r="X205" s="2"/>
      <c r="Y205" s="2"/>
      <c r="Z205" s="2"/>
    </row>
    <row r="206" spans="1:26" ht="13.8" x14ac:dyDescent="0.3">
      <c r="A206" s="2"/>
      <c r="B206" s="2"/>
      <c r="C206" s="10"/>
      <c r="D206" s="10"/>
      <c r="E206" s="10"/>
      <c r="F206" s="10"/>
      <c r="G206" s="69"/>
      <c r="H206" s="69"/>
      <c r="I206" s="69"/>
      <c r="J206" s="70"/>
      <c r="K206" s="69"/>
      <c r="L206" s="76"/>
      <c r="M206" s="69"/>
      <c r="N206" s="69"/>
      <c r="O206" s="69"/>
      <c r="P206" s="2"/>
      <c r="Q206" s="2"/>
      <c r="R206" s="32"/>
      <c r="S206" s="32"/>
      <c r="T206" s="32"/>
      <c r="U206" s="32"/>
      <c r="V206" s="2"/>
      <c r="W206" s="2"/>
      <c r="X206" s="2"/>
      <c r="Y206" s="2"/>
      <c r="Z206" s="2"/>
    </row>
    <row r="207" spans="1:26" ht="13.8" x14ac:dyDescent="0.3">
      <c r="A207" s="2"/>
      <c r="B207" s="2"/>
      <c r="C207" s="10"/>
      <c r="D207" s="10"/>
      <c r="E207" s="10"/>
      <c r="F207" s="10"/>
      <c r="G207" s="69"/>
      <c r="H207" s="69"/>
      <c r="I207" s="69"/>
      <c r="J207" s="70"/>
      <c r="K207" s="69"/>
      <c r="L207" s="76"/>
      <c r="M207" s="69"/>
      <c r="N207" s="69"/>
      <c r="O207" s="69"/>
      <c r="P207" s="2"/>
      <c r="Q207" s="2"/>
      <c r="R207" s="32"/>
      <c r="S207" s="32"/>
      <c r="T207" s="32"/>
      <c r="U207" s="32"/>
      <c r="V207" s="2"/>
      <c r="W207" s="2"/>
      <c r="X207" s="2"/>
      <c r="Y207" s="2"/>
      <c r="Z207" s="2"/>
    </row>
    <row r="208" spans="1:26" ht="13.8" x14ac:dyDescent="0.3">
      <c r="A208" s="2"/>
      <c r="B208" s="2"/>
      <c r="C208" s="10"/>
      <c r="D208" s="10"/>
      <c r="E208" s="10"/>
      <c r="F208" s="10"/>
      <c r="G208" s="69"/>
      <c r="H208" s="69"/>
      <c r="I208" s="69"/>
      <c r="J208" s="70"/>
      <c r="K208" s="69"/>
      <c r="L208" s="32"/>
      <c r="M208" s="69"/>
      <c r="N208" s="69"/>
      <c r="O208" s="69"/>
      <c r="P208" s="2"/>
      <c r="Q208" s="2"/>
      <c r="R208" s="32"/>
      <c r="S208" s="32"/>
      <c r="T208" s="32"/>
      <c r="U208" s="32"/>
      <c r="V208" s="2"/>
      <c r="W208" s="2"/>
      <c r="X208" s="2"/>
      <c r="Y208" s="2"/>
      <c r="Z208" s="2"/>
    </row>
    <row r="209" spans="1:26" ht="13.8" x14ac:dyDescent="0.3">
      <c r="A209" s="2"/>
      <c r="B209" s="2"/>
      <c r="C209" s="10"/>
      <c r="D209" s="10"/>
      <c r="E209" s="10"/>
      <c r="F209" s="10"/>
      <c r="G209" s="69"/>
      <c r="H209" s="69"/>
      <c r="I209" s="69"/>
      <c r="J209" s="70"/>
      <c r="K209" s="69"/>
      <c r="L209" s="32"/>
      <c r="M209" s="69"/>
      <c r="N209" s="69"/>
      <c r="O209" s="69"/>
      <c r="P209" s="2"/>
      <c r="Q209" s="2"/>
      <c r="R209" s="32"/>
      <c r="S209" s="32"/>
      <c r="T209" s="32"/>
      <c r="U209" s="32"/>
      <c r="V209" s="2"/>
      <c r="W209" s="2"/>
      <c r="X209" s="2"/>
      <c r="Y209" s="2"/>
      <c r="Z209" s="2"/>
    </row>
    <row r="210" spans="1:26" ht="13.8" x14ac:dyDescent="0.3">
      <c r="A210" s="2"/>
      <c r="B210" s="2"/>
      <c r="C210" s="10"/>
      <c r="D210" s="10"/>
      <c r="E210" s="10"/>
      <c r="F210" s="10"/>
      <c r="G210" s="69"/>
      <c r="H210" s="69"/>
      <c r="I210" s="69"/>
      <c r="J210" s="70"/>
      <c r="K210" s="69"/>
      <c r="L210" s="32"/>
      <c r="M210" s="69"/>
      <c r="N210" s="69"/>
      <c r="O210" s="69"/>
      <c r="P210" s="2"/>
      <c r="Q210" s="2"/>
      <c r="R210" s="32"/>
      <c r="S210" s="32"/>
      <c r="T210" s="32"/>
      <c r="U210" s="32"/>
      <c r="V210" s="2"/>
      <c r="W210" s="2"/>
      <c r="X210" s="2"/>
      <c r="Y210" s="2"/>
      <c r="Z210" s="2"/>
    </row>
    <row r="211" spans="1:26" ht="13.8" x14ac:dyDescent="0.3">
      <c r="A211" s="2"/>
      <c r="B211" s="2"/>
      <c r="C211" s="10"/>
      <c r="D211" s="10"/>
      <c r="E211" s="10"/>
      <c r="F211" s="10"/>
      <c r="G211" s="69"/>
      <c r="H211" s="69"/>
      <c r="I211" s="69"/>
      <c r="J211" s="70"/>
      <c r="K211" s="69"/>
      <c r="L211" s="32"/>
      <c r="M211" s="69"/>
      <c r="N211" s="69"/>
      <c r="O211" s="69"/>
      <c r="P211" s="2"/>
      <c r="Q211" s="2"/>
      <c r="R211" s="32"/>
      <c r="S211" s="32"/>
      <c r="T211" s="32"/>
      <c r="U211" s="32"/>
      <c r="V211" s="2"/>
      <c r="W211" s="2"/>
      <c r="X211" s="2"/>
      <c r="Y211" s="2"/>
      <c r="Z211" s="2"/>
    </row>
    <row r="212" spans="1:26" ht="13.8" x14ac:dyDescent="0.3">
      <c r="A212" s="2"/>
      <c r="B212" s="2"/>
      <c r="C212" s="10"/>
      <c r="D212" s="10"/>
      <c r="E212" s="10"/>
      <c r="F212" s="10"/>
      <c r="G212" s="69"/>
      <c r="H212" s="69"/>
      <c r="I212" s="69"/>
      <c r="J212" s="70"/>
      <c r="K212" s="69"/>
      <c r="L212" s="32"/>
      <c r="M212" s="69"/>
      <c r="N212" s="69"/>
      <c r="O212" s="69"/>
      <c r="P212" s="2"/>
      <c r="Q212" s="2"/>
      <c r="R212" s="32"/>
      <c r="S212" s="32"/>
      <c r="T212" s="32"/>
      <c r="U212" s="32"/>
      <c r="V212" s="2"/>
      <c r="W212" s="2"/>
      <c r="X212" s="2"/>
      <c r="Y212" s="2"/>
      <c r="Z212" s="2"/>
    </row>
    <row r="213" spans="1:26" ht="13.8" x14ac:dyDescent="0.3">
      <c r="A213" s="2"/>
      <c r="B213" s="2"/>
      <c r="C213" s="10"/>
      <c r="D213" s="10"/>
      <c r="E213" s="10"/>
      <c r="F213" s="10"/>
      <c r="G213" s="69"/>
      <c r="H213" s="69"/>
      <c r="I213" s="69"/>
      <c r="J213" s="70"/>
      <c r="K213" s="69"/>
      <c r="L213" s="76"/>
      <c r="M213" s="69"/>
      <c r="N213" s="69"/>
      <c r="O213" s="69"/>
      <c r="P213" s="2"/>
      <c r="Q213" s="2"/>
      <c r="R213" s="32"/>
      <c r="S213" s="32"/>
      <c r="T213" s="32"/>
      <c r="U213" s="32"/>
      <c r="V213" s="2"/>
      <c r="W213" s="2"/>
      <c r="X213" s="2"/>
      <c r="Y213" s="2"/>
      <c r="Z213" s="2"/>
    </row>
    <row r="214" spans="1:26" ht="13.8" x14ac:dyDescent="0.3">
      <c r="A214" s="2"/>
      <c r="B214" s="2"/>
      <c r="C214" s="10"/>
      <c r="D214" s="10"/>
      <c r="E214" s="10"/>
      <c r="F214" s="10"/>
      <c r="G214" s="69"/>
      <c r="H214" s="69"/>
      <c r="I214" s="69"/>
      <c r="J214" s="70"/>
      <c r="K214" s="69"/>
      <c r="L214" s="32"/>
      <c r="M214" s="69"/>
      <c r="N214" s="69"/>
      <c r="O214" s="69"/>
      <c r="P214" s="2"/>
      <c r="Q214" s="2"/>
      <c r="R214" s="32"/>
      <c r="S214" s="32"/>
      <c r="T214" s="32"/>
      <c r="U214" s="32"/>
      <c r="V214" s="2"/>
      <c r="W214" s="2"/>
      <c r="X214" s="2"/>
      <c r="Y214" s="2"/>
      <c r="Z214" s="2"/>
    </row>
    <row r="215" spans="1:26" ht="13.8" x14ac:dyDescent="0.3">
      <c r="A215" s="2"/>
      <c r="B215" s="2"/>
      <c r="C215" s="10"/>
      <c r="D215" s="10"/>
      <c r="E215" s="10"/>
      <c r="F215" s="10"/>
      <c r="G215" s="69"/>
      <c r="H215" s="69"/>
      <c r="I215" s="69"/>
      <c r="J215" s="70"/>
      <c r="K215" s="69"/>
      <c r="L215" s="32"/>
      <c r="M215" s="69"/>
      <c r="N215" s="69"/>
      <c r="O215" s="69"/>
      <c r="P215" s="2"/>
      <c r="Q215" s="2"/>
      <c r="R215" s="32"/>
      <c r="S215" s="32"/>
      <c r="T215" s="32"/>
      <c r="U215" s="32"/>
      <c r="V215" s="2"/>
      <c r="W215" s="2"/>
      <c r="X215" s="2"/>
      <c r="Y215" s="2"/>
      <c r="Z215" s="2"/>
    </row>
    <row r="216" spans="1:26" ht="13.8" x14ac:dyDescent="0.3">
      <c r="A216" s="2"/>
      <c r="B216" s="2"/>
      <c r="C216" s="10"/>
      <c r="D216" s="10"/>
      <c r="E216" s="10"/>
      <c r="F216" s="10"/>
      <c r="G216" s="69"/>
      <c r="H216" s="69"/>
      <c r="I216" s="69"/>
      <c r="J216" s="70"/>
      <c r="K216" s="69"/>
      <c r="L216" s="32"/>
      <c r="M216" s="69"/>
      <c r="N216" s="69"/>
      <c r="O216" s="69"/>
      <c r="P216" s="2"/>
      <c r="Q216" s="2"/>
      <c r="R216" s="32"/>
      <c r="S216" s="32"/>
      <c r="T216" s="32"/>
      <c r="U216" s="32"/>
      <c r="V216" s="2"/>
      <c r="W216" s="2"/>
      <c r="X216" s="2"/>
      <c r="Y216" s="2"/>
      <c r="Z216" s="2"/>
    </row>
    <row r="217" spans="1:26" ht="13.8" x14ac:dyDescent="0.3">
      <c r="A217" s="2"/>
      <c r="B217" s="2"/>
      <c r="C217" s="10"/>
      <c r="D217" s="10"/>
      <c r="E217" s="10"/>
      <c r="F217" s="10"/>
      <c r="G217" s="69"/>
      <c r="H217" s="69"/>
      <c r="I217" s="69"/>
      <c r="J217" s="70"/>
      <c r="K217" s="69"/>
      <c r="L217" s="76"/>
      <c r="M217" s="69"/>
      <c r="N217" s="69"/>
      <c r="O217" s="69"/>
      <c r="P217" s="2"/>
      <c r="Q217" s="2"/>
      <c r="R217" s="32"/>
      <c r="S217" s="32"/>
      <c r="T217" s="32"/>
      <c r="U217" s="32"/>
      <c r="V217" s="2"/>
      <c r="W217" s="2"/>
      <c r="X217" s="2"/>
      <c r="Y217" s="2"/>
      <c r="Z217" s="2"/>
    </row>
    <row r="218" spans="1:26" ht="13.8" x14ac:dyDescent="0.3">
      <c r="A218" s="2"/>
      <c r="B218" s="2"/>
      <c r="C218" s="10"/>
      <c r="D218" s="10"/>
      <c r="E218" s="10"/>
      <c r="F218" s="10"/>
      <c r="G218" s="69"/>
      <c r="H218" s="69"/>
      <c r="I218" s="69"/>
      <c r="J218" s="70"/>
      <c r="K218" s="69"/>
      <c r="L218" s="76"/>
      <c r="M218" s="69"/>
      <c r="N218" s="69"/>
      <c r="O218" s="69"/>
      <c r="P218" s="2"/>
      <c r="Q218" s="2"/>
      <c r="R218" s="32"/>
      <c r="S218" s="32"/>
      <c r="T218" s="32"/>
      <c r="U218" s="32"/>
      <c r="V218" s="2"/>
      <c r="W218" s="2"/>
      <c r="X218" s="2"/>
      <c r="Y218" s="2"/>
      <c r="Z218" s="2"/>
    </row>
    <row r="219" spans="1:26" ht="13.8" x14ac:dyDescent="0.3">
      <c r="A219" s="2"/>
      <c r="B219" s="2"/>
      <c r="C219" s="10"/>
      <c r="D219" s="10"/>
      <c r="E219" s="10"/>
      <c r="F219" s="10"/>
      <c r="G219" s="69"/>
      <c r="H219" s="69"/>
      <c r="I219" s="69"/>
      <c r="J219" s="70"/>
      <c r="K219" s="69"/>
      <c r="L219" s="76"/>
      <c r="M219" s="69"/>
      <c r="N219" s="69"/>
      <c r="O219" s="69"/>
      <c r="P219" s="2"/>
      <c r="Q219" s="2"/>
      <c r="R219" s="32"/>
      <c r="S219" s="32"/>
      <c r="T219" s="32"/>
      <c r="U219" s="32"/>
      <c r="V219" s="2"/>
      <c r="W219" s="2"/>
      <c r="X219" s="2"/>
      <c r="Y219" s="2"/>
      <c r="Z219" s="2"/>
    </row>
    <row r="220" spans="1:26" ht="13.8" x14ac:dyDescent="0.3">
      <c r="A220" s="2"/>
      <c r="B220" s="2"/>
      <c r="C220" s="10"/>
      <c r="D220" s="10"/>
      <c r="E220" s="10"/>
      <c r="F220" s="10"/>
      <c r="G220" s="69"/>
      <c r="H220" s="69"/>
      <c r="I220" s="69"/>
      <c r="J220" s="70"/>
      <c r="K220" s="69"/>
      <c r="L220" s="69"/>
      <c r="M220" s="69"/>
      <c r="N220" s="69"/>
      <c r="O220" s="69"/>
      <c r="P220" s="2"/>
      <c r="Q220" s="2"/>
      <c r="R220" s="32"/>
      <c r="S220" s="32"/>
      <c r="T220" s="32"/>
      <c r="U220" s="32"/>
      <c r="V220" s="2"/>
      <c r="W220" s="2"/>
      <c r="X220" s="2"/>
      <c r="Y220" s="2"/>
      <c r="Z220" s="2"/>
    </row>
    <row r="221" spans="1:26" ht="13.8" x14ac:dyDescent="0.3">
      <c r="A221" s="2"/>
      <c r="B221" s="2"/>
      <c r="C221" s="10"/>
      <c r="D221" s="10"/>
      <c r="E221" s="10"/>
      <c r="F221" s="10"/>
      <c r="G221" s="69"/>
      <c r="H221" s="69"/>
      <c r="I221" s="69"/>
      <c r="J221" s="70"/>
      <c r="K221" s="69"/>
      <c r="L221" s="69"/>
      <c r="M221" s="69"/>
      <c r="N221" s="69"/>
      <c r="O221" s="69"/>
      <c r="P221" s="2"/>
      <c r="Q221" s="2"/>
      <c r="R221" s="32"/>
      <c r="S221" s="32"/>
      <c r="T221" s="32"/>
      <c r="U221" s="32"/>
      <c r="V221" s="2"/>
      <c r="W221" s="2"/>
      <c r="X221" s="2"/>
      <c r="Y221" s="2"/>
      <c r="Z221" s="2"/>
    </row>
    <row r="222" spans="1:26" ht="13.8" x14ac:dyDescent="0.3">
      <c r="A222" s="2"/>
      <c r="B222" s="2"/>
      <c r="C222" s="10"/>
      <c r="D222" s="10"/>
      <c r="E222" s="10"/>
      <c r="F222" s="10"/>
      <c r="G222" s="69"/>
      <c r="H222" s="69"/>
      <c r="I222" s="69"/>
      <c r="J222" s="70"/>
      <c r="K222" s="69"/>
      <c r="L222" s="32"/>
      <c r="M222" s="69"/>
      <c r="N222" s="69"/>
      <c r="O222" s="69"/>
      <c r="P222" s="2"/>
      <c r="Q222" s="2"/>
      <c r="R222" s="32"/>
      <c r="S222" s="32"/>
      <c r="T222" s="32"/>
      <c r="U222" s="32"/>
      <c r="V222" s="2"/>
      <c r="W222" s="2"/>
      <c r="X222" s="2"/>
      <c r="Y222" s="2"/>
      <c r="Z222" s="2"/>
    </row>
    <row r="223" spans="1:26" ht="13.8" x14ac:dyDescent="0.3">
      <c r="A223" s="2"/>
      <c r="B223" s="2"/>
      <c r="C223" s="10"/>
      <c r="D223" s="10"/>
      <c r="E223" s="10"/>
      <c r="F223" s="10"/>
      <c r="G223" s="69"/>
      <c r="H223" s="69"/>
      <c r="I223" s="69"/>
      <c r="J223" s="70"/>
      <c r="K223" s="69"/>
      <c r="L223" s="32"/>
      <c r="M223" s="69"/>
      <c r="N223" s="69"/>
      <c r="O223" s="69"/>
      <c r="P223" s="2"/>
      <c r="Q223" s="2"/>
      <c r="R223" s="32"/>
      <c r="S223" s="32"/>
      <c r="T223" s="32"/>
      <c r="U223" s="32"/>
      <c r="V223" s="2"/>
      <c r="W223" s="2"/>
      <c r="X223" s="2"/>
      <c r="Y223" s="2"/>
      <c r="Z223" s="2"/>
    </row>
    <row r="224" spans="1:26" ht="13.8" x14ac:dyDescent="0.3">
      <c r="A224" s="2"/>
      <c r="B224" s="2"/>
      <c r="C224" s="10"/>
      <c r="D224" s="10"/>
      <c r="E224" s="10"/>
      <c r="F224" s="10"/>
      <c r="G224" s="69"/>
      <c r="H224" s="69"/>
      <c r="I224" s="69"/>
      <c r="J224" s="70"/>
      <c r="K224" s="69"/>
      <c r="L224" s="32"/>
      <c r="M224" s="69"/>
      <c r="N224" s="69"/>
      <c r="O224" s="69"/>
      <c r="P224" s="2"/>
      <c r="Q224" s="2"/>
      <c r="R224" s="32"/>
      <c r="S224" s="32"/>
      <c r="T224" s="32"/>
      <c r="U224" s="32"/>
      <c r="V224" s="2"/>
      <c r="W224" s="2"/>
      <c r="X224" s="2"/>
      <c r="Y224" s="2"/>
      <c r="Z224" s="2"/>
    </row>
    <row r="225" spans="1:26" ht="13.8" x14ac:dyDescent="0.3">
      <c r="A225" s="2"/>
      <c r="B225" s="2"/>
      <c r="C225" s="10"/>
      <c r="D225" s="10"/>
      <c r="E225" s="10"/>
      <c r="F225" s="10"/>
      <c r="G225" s="69"/>
      <c r="H225" s="69"/>
      <c r="I225" s="69"/>
      <c r="J225" s="70"/>
      <c r="K225" s="69"/>
      <c r="L225" s="32"/>
      <c r="M225" s="69"/>
      <c r="N225" s="69"/>
      <c r="O225" s="69"/>
      <c r="P225" s="2"/>
      <c r="Q225" s="2"/>
      <c r="R225" s="32"/>
      <c r="S225" s="32"/>
      <c r="T225" s="32"/>
      <c r="U225" s="32"/>
      <c r="V225" s="2"/>
      <c r="W225" s="2"/>
      <c r="X225" s="2"/>
      <c r="Y225" s="2"/>
      <c r="Z225" s="2"/>
    </row>
    <row r="226" spans="1:26" ht="13.8" x14ac:dyDescent="0.3">
      <c r="A226" s="2"/>
      <c r="B226" s="2"/>
      <c r="C226" s="10"/>
      <c r="D226" s="10"/>
      <c r="E226" s="10"/>
      <c r="F226" s="10"/>
      <c r="G226" s="69"/>
      <c r="H226" s="69"/>
      <c r="I226" s="69"/>
      <c r="J226" s="70"/>
      <c r="K226" s="69"/>
      <c r="L226" s="32"/>
      <c r="M226" s="69"/>
      <c r="N226" s="69"/>
      <c r="O226" s="69"/>
      <c r="P226" s="2"/>
      <c r="Q226" s="2"/>
      <c r="R226" s="32"/>
      <c r="S226" s="32"/>
      <c r="T226" s="32"/>
      <c r="U226" s="32"/>
      <c r="V226" s="2"/>
      <c r="W226" s="2"/>
      <c r="X226" s="2"/>
      <c r="Y226" s="2"/>
      <c r="Z226" s="2"/>
    </row>
    <row r="227" spans="1:26" ht="13.8" x14ac:dyDescent="0.3">
      <c r="A227" s="2"/>
      <c r="B227" s="2"/>
      <c r="C227" s="10"/>
      <c r="D227" s="10"/>
      <c r="E227" s="10"/>
      <c r="F227" s="10"/>
      <c r="G227" s="69"/>
      <c r="H227" s="69"/>
      <c r="I227" s="69"/>
      <c r="J227" s="70"/>
      <c r="K227" s="69"/>
      <c r="L227" s="76"/>
      <c r="M227" s="69"/>
      <c r="N227" s="69"/>
      <c r="O227" s="69"/>
      <c r="P227" s="2"/>
      <c r="Q227" s="2"/>
      <c r="R227" s="32"/>
      <c r="S227" s="32"/>
      <c r="T227" s="32"/>
      <c r="U227" s="32"/>
      <c r="V227" s="2"/>
      <c r="W227" s="2"/>
      <c r="X227" s="2"/>
      <c r="Y227" s="2"/>
      <c r="Z227" s="2"/>
    </row>
    <row r="228" spans="1:26" ht="13.8" x14ac:dyDescent="0.3">
      <c r="A228" s="2"/>
      <c r="B228" s="2"/>
      <c r="C228" s="10"/>
      <c r="D228" s="10"/>
      <c r="E228" s="10"/>
      <c r="F228" s="10"/>
      <c r="G228" s="69"/>
      <c r="H228" s="69"/>
      <c r="I228" s="69"/>
      <c r="J228" s="70"/>
      <c r="K228" s="69"/>
      <c r="L228" s="32"/>
      <c r="M228" s="69"/>
      <c r="N228" s="69"/>
      <c r="O228" s="69"/>
      <c r="P228" s="2"/>
      <c r="Q228" s="2"/>
      <c r="R228" s="32"/>
      <c r="S228" s="32"/>
      <c r="T228" s="32"/>
      <c r="U228" s="32"/>
      <c r="V228" s="2"/>
      <c r="W228" s="2"/>
      <c r="X228" s="2"/>
      <c r="Y228" s="2"/>
      <c r="Z228" s="2"/>
    </row>
    <row r="229" spans="1:26" ht="13.8" x14ac:dyDescent="0.3">
      <c r="A229" s="2"/>
      <c r="B229" s="2"/>
      <c r="C229" s="10"/>
      <c r="D229" s="10"/>
      <c r="E229" s="10"/>
      <c r="F229" s="10"/>
      <c r="G229" s="69"/>
      <c r="H229" s="69"/>
      <c r="I229" s="69"/>
      <c r="J229" s="70"/>
      <c r="K229" s="69"/>
      <c r="L229" s="32"/>
      <c r="M229" s="69"/>
      <c r="N229" s="69"/>
      <c r="O229" s="69"/>
      <c r="P229" s="2"/>
      <c r="Q229" s="2"/>
      <c r="R229" s="32"/>
      <c r="S229" s="32"/>
      <c r="T229" s="32"/>
      <c r="U229" s="32"/>
      <c r="V229" s="2"/>
      <c r="W229" s="2"/>
      <c r="X229" s="2"/>
      <c r="Y229" s="2"/>
      <c r="Z229" s="2"/>
    </row>
    <row r="230" spans="1:26" ht="13.8" x14ac:dyDescent="0.3">
      <c r="A230" s="2"/>
      <c r="B230" s="2"/>
      <c r="C230" s="10"/>
      <c r="D230" s="10"/>
      <c r="E230" s="10"/>
      <c r="F230" s="10"/>
      <c r="G230" s="69"/>
      <c r="H230" s="69"/>
      <c r="I230" s="69"/>
      <c r="J230" s="70"/>
      <c r="K230" s="69"/>
      <c r="L230" s="69"/>
      <c r="M230" s="69"/>
      <c r="N230" s="69"/>
      <c r="O230" s="69"/>
      <c r="P230" s="2"/>
      <c r="Q230" s="2"/>
      <c r="R230" s="32"/>
      <c r="S230" s="32"/>
      <c r="T230" s="32"/>
      <c r="U230" s="32"/>
      <c r="V230" s="2"/>
      <c r="W230" s="2"/>
      <c r="X230" s="2"/>
      <c r="Y230" s="2"/>
      <c r="Z230" s="2"/>
    </row>
    <row r="231" spans="1:26" ht="13.8" x14ac:dyDescent="0.3">
      <c r="A231" s="2"/>
      <c r="B231" s="2"/>
      <c r="C231" s="10"/>
      <c r="D231" s="10"/>
      <c r="E231" s="10"/>
      <c r="F231" s="10"/>
      <c r="G231" s="69"/>
      <c r="H231" s="69"/>
      <c r="I231" s="69"/>
      <c r="J231" s="70"/>
      <c r="K231" s="69"/>
      <c r="L231" s="69"/>
      <c r="M231" s="69"/>
      <c r="N231" s="69"/>
      <c r="O231" s="69"/>
      <c r="P231" s="2"/>
      <c r="Q231" s="2"/>
      <c r="R231" s="32"/>
      <c r="S231" s="32"/>
      <c r="T231" s="32"/>
      <c r="U231" s="32"/>
      <c r="V231" s="2"/>
      <c r="W231" s="2"/>
      <c r="X231" s="2"/>
      <c r="Y231" s="2"/>
      <c r="Z231" s="2"/>
    </row>
    <row r="232" spans="1:26" ht="13.8" x14ac:dyDescent="0.3">
      <c r="A232" s="2"/>
      <c r="B232" s="2"/>
      <c r="C232" s="10"/>
      <c r="D232" s="10"/>
      <c r="E232" s="10"/>
      <c r="F232" s="10"/>
      <c r="G232" s="69"/>
      <c r="H232" s="69"/>
      <c r="I232" s="69"/>
      <c r="J232" s="70"/>
      <c r="K232" s="69"/>
      <c r="L232" s="69"/>
      <c r="M232" s="69"/>
      <c r="N232" s="69"/>
      <c r="O232" s="69"/>
      <c r="P232" s="2"/>
      <c r="Q232" s="2"/>
      <c r="R232" s="32"/>
      <c r="S232" s="32"/>
      <c r="T232" s="32"/>
      <c r="U232" s="32"/>
      <c r="V232" s="2"/>
      <c r="W232" s="2"/>
      <c r="X232" s="2"/>
      <c r="Y232" s="2"/>
      <c r="Z232" s="2"/>
    </row>
    <row r="233" spans="1:26" ht="13.8" x14ac:dyDescent="0.3">
      <c r="A233" s="2"/>
      <c r="B233" s="2"/>
      <c r="C233" s="10"/>
      <c r="D233" s="10"/>
      <c r="E233" s="10"/>
      <c r="F233" s="10"/>
      <c r="G233" s="69"/>
      <c r="H233" s="69"/>
      <c r="I233" s="69"/>
      <c r="J233" s="70"/>
      <c r="K233" s="69"/>
      <c r="L233" s="76"/>
      <c r="M233" s="69"/>
      <c r="N233" s="69"/>
      <c r="O233" s="69"/>
      <c r="P233" s="2"/>
      <c r="Q233" s="2"/>
      <c r="R233" s="32"/>
      <c r="S233" s="32"/>
      <c r="T233" s="32"/>
      <c r="U233" s="3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10"/>
      <c r="F234" s="10"/>
      <c r="G234" s="69"/>
      <c r="H234" s="69"/>
      <c r="I234" s="69"/>
      <c r="J234" s="70"/>
      <c r="K234" s="69"/>
      <c r="L234" s="69"/>
      <c r="M234" s="69"/>
      <c r="N234" s="69"/>
      <c r="O234" s="69"/>
      <c r="P234" s="2"/>
      <c r="Q234" s="2"/>
      <c r="R234" s="32"/>
      <c r="S234" s="32"/>
      <c r="T234" s="32"/>
      <c r="U234" s="32"/>
      <c r="V234" s="2"/>
      <c r="W234" s="2"/>
      <c r="X234" s="2"/>
      <c r="Y234" s="2"/>
      <c r="Z234" s="2"/>
    </row>
    <row r="235" spans="1:26" ht="13.8" x14ac:dyDescent="0.3">
      <c r="A235" s="2"/>
      <c r="B235" s="2"/>
      <c r="C235" s="10"/>
      <c r="D235" s="10"/>
      <c r="E235" s="10"/>
      <c r="F235" s="10"/>
      <c r="G235" s="69"/>
      <c r="H235" s="69"/>
      <c r="I235" s="69"/>
      <c r="J235" s="70"/>
      <c r="K235" s="69"/>
      <c r="L235" s="32"/>
      <c r="M235" s="69"/>
      <c r="N235" s="69"/>
      <c r="O235" s="69"/>
      <c r="P235" s="2"/>
      <c r="Q235" s="2"/>
      <c r="R235" s="32"/>
      <c r="S235" s="32"/>
      <c r="T235" s="32"/>
      <c r="U235" s="32"/>
      <c r="V235" s="2"/>
      <c r="W235" s="2"/>
      <c r="X235" s="2"/>
      <c r="Y235" s="2"/>
      <c r="Z235" s="2"/>
    </row>
    <row r="236" spans="1:26" ht="13.8" x14ac:dyDescent="0.3">
      <c r="A236" s="2"/>
      <c r="B236" s="2"/>
      <c r="C236" s="10"/>
      <c r="D236" s="10"/>
      <c r="E236" s="10"/>
      <c r="F236" s="10"/>
      <c r="G236" s="69"/>
      <c r="H236" s="69"/>
      <c r="I236" s="69"/>
      <c r="J236" s="70"/>
      <c r="K236" s="69"/>
      <c r="L236" s="69"/>
      <c r="M236" s="69"/>
      <c r="N236" s="69"/>
      <c r="O236" s="69"/>
      <c r="P236" s="2"/>
      <c r="Q236" s="2"/>
      <c r="R236" s="32"/>
      <c r="S236" s="32"/>
      <c r="T236" s="32"/>
      <c r="U236" s="32"/>
      <c r="V236" s="2"/>
      <c r="W236" s="2"/>
      <c r="X236" s="2"/>
      <c r="Y236" s="2"/>
      <c r="Z236" s="2"/>
    </row>
    <row r="237" spans="1:26" ht="13.8" x14ac:dyDescent="0.3">
      <c r="A237" s="2"/>
      <c r="B237" s="2"/>
      <c r="C237" s="10"/>
      <c r="D237" s="10"/>
      <c r="E237" s="10"/>
      <c r="F237" s="10"/>
      <c r="G237" s="69"/>
      <c r="H237" s="69"/>
      <c r="I237" s="69"/>
      <c r="J237" s="70"/>
      <c r="K237" s="69"/>
      <c r="L237" s="69"/>
      <c r="M237" s="69"/>
      <c r="N237" s="69"/>
      <c r="O237" s="69"/>
      <c r="P237" s="2"/>
      <c r="Q237" s="2"/>
      <c r="R237" s="32"/>
      <c r="S237" s="32"/>
      <c r="T237" s="32"/>
      <c r="U237" s="32"/>
      <c r="V237" s="2"/>
      <c r="W237" s="2"/>
      <c r="X237" s="2"/>
      <c r="Y237" s="2"/>
      <c r="Z237" s="2"/>
    </row>
    <row r="238" spans="1:26" ht="13.8" x14ac:dyDescent="0.3">
      <c r="A238" s="2"/>
      <c r="B238" s="2"/>
      <c r="C238" s="10"/>
      <c r="D238" s="10"/>
      <c r="E238" s="10"/>
      <c r="F238" s="10"/>
      <c r="G238" s="69"/>
      <c r="H238" s="69"/>
      <c r="I238" s="69"/>
      <c r="J238" s="70"/>
      <c r="K238" s="69"/>
      <c r="L238" s="76"/>
      <c r="M238" s="69"/>
      <c r="N238" s="69"/>
      <c r="O238" s="69"/>
      <c r="P238" s="2"/>
      <c r="Q238" s="2"/>
      <c r="R238" s="32"/>
      <c r="S238" s="32"/>
      <c r="T238" s="32"/>
      <c r="U238" s="3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10"/>
      <c r="F239" s="10"/>
      <c r="G239" s="69"/>
      <c r="H239" s="69"/>
      <c r="I239" s="69"/>
      <c r="J239" s="70"/>
      <c r="K239" s="69"/>
      <c r="L239" s="69"/>
      <c r="M239" s="69"/>
      <c r="N239" s="69"/>
      <c r="O239" s="69"/>
      <c r="P239" s="2"/>
      <c r="Q239" s="2"/>
      <c r="R239" s="32"/>
      <c r="S239" s="32"/>
      <c r="T239" s="32"/>
      <c r="U239" s="32"/>
      <c r="V239" s="2"/>
      <c r="W239" s="2"/>
      <c r="X239" s="2"/>
      <c r="Y239" s="2"/>
      <c r="Z239" s="2"/>
    </row>
    <row r="240" spans="1:26" ht="13.8" x14ac:dyDescent="0.3">
      <c r="A240" s="2"/>
      <c r="B240" s="2"/>
      <c r="C240" s="10"/>
      <c r="D240" s="10"/>
      <c r="E240" s="10"/>
      <c r="F240" s="10"/>
      <c r="G240" s="69"/>
      <c r="H240" s="69"/>
      <c r="I240" s="69"/>
      <c r="J240" s="70"/>
      <c r="K240" s="69"/>
      <c r="L240" s="32"/>
      <c r="M240" s="69"/>
      <c r="N240" s="69"/>
      <c r="O240" s="69"/>
      <c r="P240" s="2"/>
      <c r="Q240" s="2"/>
      <c r="R240" s="32"/>
      <c r="S240" s="32"/>
      <c r="T240" s="32"/>
      <c r="U240" s="32"/>
      <c r="V240" s="2"/>
      <c r="W240" s="2"/>
      <c r="X240" s="2"/>
      <c r="Y240" s="2"/>
      <c r="Z240" s="2"/>
    </row>
    <row r="241" spans="1:26" ht="13.8" x14ac:dyDescent="0.3">
      <c r="A241" s="2"/>
      <c r="B241" s="2"/>
      <c r="C241" s="10"/>
      <c r="D241" s="10"/>
      <c r="E241" s="10"/>
      <c r="F241" s="10"/>
      <c r="G241" s="69"/>
      <c r="H241" s="69"/>
      <c r="I241" s="69"/>
      <c r="J241" s="70"/>
      <c r="K241" s="69"/>
      <c r="L241" s="32"/>
      <c r="M241" s="69"/>
      <c r="N241" s="69"/>
      <c r="O241" s="69"/>
      <c r="P241" s="2"/>
      <c r="Q241" s="2"/>
      <c r="R241" s="32"/>
      <c r="S241" s="32"/>
      <c r="T241" s="32"/>
      <c r="U241" s="32"/>
      <c r="V241" s="2"/>
      <c r="W241" s="2"/>
      <c r="X241" s="2"/>
      <c r="Y241" s="2"/>
      <c r="Z241" s="2"/>
    </row>
    <row r="242" spans="1:26" ht="13.8" x14ac:dyDescent="0.3">
      <c r="A242" s="2"/>
      <c r="B242" s="2"/>
      <c r="C242" s="10"/>
      <c r="D242" s="10"/>
      <c r="E242" s="10"/>
      <c r="F242" s="10"/>
      <c r="G242" s="69"/>
      <c r="H242" s="69"/>
      <c r="I242" s="69"/>
      <c r="J242" s="70"/>
      <c r="K242" s="69"/>
      <c r="L242" s="32"/>
      <c r="M242" s="69"/>
      <c r="N242" s="69"/>
      <c r="O242" s="69"/>
      <c r="P242" s="2"/>
      <c r="Q242" s="2"/>
      <c r="R242" s="32"/>
      <c r="S242" s="32"/>
      <c r="T242" s="32"/>
      <c r="U242" s="32"/>
      <c r="V242" s="2"/>
      <c r="W242" s="2"/>
      <c r="X242" s="2"/>
      <c r="Y242" s="2"/>
      <c r="Z242" s="2"/>
    </row>
    <row r="243" spans="1:26" ht="13.8" x14ac:dyDescent="0.3">
      <c r="A243" s="2"/>
      <c r="B243" s="2"/>
      <c r="C243" s="10"/>
      <c r="D243" s="10"/>
      <c r="E243" s="10"/>
      <c r="F243" s="10"/>
      <c r="G243" s="69"/>
      <c r="H243" s="69"/>
      <c r="I243" s="69"/>
      <c r="J243" s="70"/>
      <c r="K243" s="69"/>
      <c r="L243" s="69"/>
      <c r="M243" s="69"/>
      <c r="N243" s="69"/>
      <c r="O243" s="69"/>
      <c r="P243" s="2"/>
      <c r="Q243" s="2"/>
      <c r="R243" s="32"/>
      <c r="S243" s="32"/>
      <c r="T243" s="32"/>
      <c r="U243" s="32"/>
      <c r="V243" s="2"/>
      <c r="W243" s="2"/>
      <c r="X243" s="2"/>
      <c r="Y243" s="2"/>
      <c r="Z243" s="2"/>
    </row>
    <row r="244" spans="1:26" ht="13.8" x14ac:dyDescent="0.3">
      <c r="A244" s="2"/>
      <c r="B244" s="2"/>
      <c r="C244" s="10"/>
      <c r="D244" s="10"/>
      <c r="E244" s="10"/>
      <c r="F244" s="10"/>
      <c r="G244" s="69"/>
      <c r="H244" s="69"/>
      <c r="I244" s="69"/>
      <c r="J244" s="70"/>
      <c r="K244" s="69"/>
      <c r="L244" s="69"/>
      <c r="M244" s="69"/>
      <c r="N244" s="69"/>
      <c r="O244" s="69"/>
      <c r="P244" s="2"/>
      <c r="Q244" s="2"/>
      <c r="R244" s="32"/>
      <c r="S244" s="32"/>
      <c r="T244" s="32"/>
      <c r="U244" s="32"/>
      <c r="V244" s="2"/>
      <c r="W244" s="2"/>
      <c r="X244" s="2"/>
      <c r="Y244" s="2"/>
      <c r="Z244" s="2"/>
    </row>
    <row r="245" spans="1:26" ht="13.8" x14ac:dyDescent="0.3">
      <c r="A245" s="2"/>
      <c r="B245" s="2"/>
      <c r="C245" s="10"/>
      <c r="D245" s="10"/>
      <c r="E245" s="10"/>
      <c r="F245" s="10"/>
      <c r="G245" s="69"/>
      <c r="H245" s="69"/>
      <c r="I245" s="69"/>
      <c r="J245" s="70"/>
      <c r="K245" s="69"/>
      <c r="L245" s="69"/>
      <c r="M245" s="69"/>
      <c r="N245" s="69"/>
      <c r="O245" s="69"/>
      <c r="P245" s="2"/>
      <c r="Q245" s="2"/>
      <c r="R245" s="32"/>
      <c r="S245" s="32"/>
      <c r="T245" s="32"/>
      <c r="U245" s="32"/>
      <c r="V245" s="2"/>
      <c r="W245" s="2"/>
      <c r="X245" s="2"/>
      <c r="Y245" s="2"/>
      <c r="Z245" s="2"/>
    </row>
    <row r="246" spans="1:26" ht="13.8" x14ac:dyDescent="0.3">
      <c r="A246" s="2"/>
      <c r="B246" s="2"/>
      <c r="C246" s="10"/>
      <c r="D246" s="10"/>
      <c r="E246" s="10"/>
      <c r="F246" s="10"/>
      <c r="G246" s="69"/>
      <c r="H246" s="69"/>
      <c r="I246" s="69"/>
      <c r="J246" s="70"/>
      <c r="K246" s="69"/>
      <c r="L246" s="76"/>
      <c r="M246" s="69"/>
      <c r="N246" s="69"/>
      <c r="O246" s="69"/>
      <c r="P246" s="2"/>
      <c r="Q246" s="2"/>
      <c r="R246" s="32"/>
      <c r="S246" s="32"/>
      <c r="T246" s="32"/>
      <c r="U246" s="3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10"/>
      <c r="F247" s="10"/>
      <c r="G247" s="69"/>
      <c r="H247" s="69"/>
      <c r="I247" s="69"/>
      <c r="J247" s="70"/>
      <c r="K247" s="69"/>
      <c r="L247" s="69"/>
      <c r="M247" s="69"/>
      <c r="N247" s="69"/>
      <c r="O247" s="69"/>
      <c r="P247" s="2"/>
      <c r="Q247" s="2"/>
      <c r="R247" s="32"/>
      <c r="S247" s="32"/>
      <c r="T247" s="32"/>
      <c r="U247" s="32"/>
      <c r="V247" s="2"/>
      <c r="W247" s="2"/>
      <c r="X247" s="2"/>
      <c r="Y247" s="2"/>
      <c r="Z247" s="2"/>
    </row>
    <row r="248" spans="1:26" ht="13.8" x14ac:dyDescent="0.3">
      <c r="A248" s="2"/>
      <c r="B248" s="2"/>
      <c r="C248" s="10"/>
      <c r="D248" s="10"/>
      <c r="E248" s="10"/>
      <c r="F248" s="10"/>
      <c r="G248" s="69"/>
      <c r="H248" s="69"/>
      <c r="I248" s="69"/>
      <c r="J248" s="70"/>
      <c r="K248" s="69"/>
      <c r="L248" s="32"/>
      <c r="M248" s="69"/>
      <c r="N248" s="69"/>
      <c r="O248" s="69"/>
      <c r="P248" s="2"/>
      <c r="Q248" s="2"/>
      <c r="R248" s="32"/>
      <c r="S248" s="32"/>
      <c r="T248" s="32"/>
      <c r="U248" s="32"/>
      <c r="V248" s="2"/>
      <c r="W248" s="2"/>
      <c r="X248" s="2"/>
      <c r="Y248" s="2"/>
      <c r="Z248" s="2"/>
    </row>
    <row r="249" spans="1:26" ht="13.8" x14ac:dyDescent="0.3">
      <c r="A249" s="2"/>
      <c r="B249" s="2"/>
      <c r="C249" s="10"/>
      <c r="D249" s="10"/>
      <c r="E249" s="10"/>
      <c r="F249" s="10"/>
      <c r="G249" s="69"/>
      <c r="H249" s="69"/>
      <c r="I249" s="69"/>
      <c r="J249" s="70"/>
      <c r="K249" s="69"/>
      <c r="L249" s="32"/>
      <c r="M249" s="69"/>
      <c r="N249" s="69"/>
      <c r="O249" s="69"/>
      <c r="P249" s="2"/>
      <c r="Q249" s="2"/>
      <c r="R249" s="32"/>
      <c r="S249" s="32"/>
      <c r="T249" s="32"/>
      <c r="U249" s="32"/>
      <c r="V249" s="2"/>
      <c r="W249" s="2"/>
      <c r="X249" s="2"/>
      <c r="Y249" s="2"/>
      <c r="Z249" s="2"/>
    </row>
    <row r="250" spans="1:26" ht="13.8" x14ac:dyDescent="0.3">
      <c r="A250" s="2"/>
      <c r="B250" s="2"/>
      <c r="C250" s="10"/>
      <c r="D250" s="10"/>
      <c r="E250" s="10"/>
      <c r="F250" s="10"/>
      <c r="G250" s="69"/>
      <c r="H250" s="69"/>
      <c r="I250" s="69"/>
      <c r="J250" s="70"/>
      <c r="K250" s="69"/>
      <c r="L250" s="32"/>
      <c r="M250" s="69"/>
      <c r="N250" s="69"/>
      <c r="O250" s="69"/>
      <c r="P250" s="2"/>
      <c r="Q250" s="2"/>
      <c r="R250" s="32"/>
      <c r="S250" s="32"/>
      <c r="T250" s="32"/>
      <c r="U250" s="32"/>
      <c r="V250" s="2"/>
      <c r="W250" s="2"/>
      <c r="X250" s="2"/>
      <c r="Y250" s="2"/>
      <c r="Z250" s="2"/>
    </row>
    <row r="251" spans="1:26" ht="13.8" x14ac:dyDescent="0.3">
      <c r="A251" s="2"/>
      <c r="B251" s="2"/>
      <c r="C251" s="10"/>
      <c r="D251" s="10"/>
      <c r="E251" s="10"/>
      <c r="F251" s="10"/>
      <c r="G251" s="69"/>
      <c r="H251" s="69"/>
      <c r="I251" s="69"/>
      <c r="J251" s="70"/>
      <c r="K251" s="69"/>
      <c r="L251" s="32"/>
      <c r="M251" s="69"/>
      <c r="N251" s="69"/>
      <c r="O251" s="69"/>
      <c r="P251" s="2"/>
      <c r="Q251" s="2"/>
      <c r="R251" s="32"/>
      <c r="S251" s="32"/>
      <c r="T251" s="32"/>
      <c r="U251" s="3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10"/>
      <c r="F252" s="10"/>
      <c r="G252" s="69"/>
      <c r="H252" s="69"/>
      <c r="I252" s="69"/>
      <c r="J252" s="70"/>
      <c r="K252" s="69"/>
      <c r="L252" s="69"/>
      <c r="M252" s="69"/>
      <c r="N252" s="69"/>
      <c r="O252" s="69"/>
      <c r="P252" s="2"/>
      <c r="Q252" s="2"/>
      <c r="R252" s="32"/>
      <c r="S252" s="32"/>
      <c r="T252" s="32"/>
      <c r="U252" s="32"/>
      <c r="V252" s="2"/>
      <c r="W252" s="2"/>
      <c r="X252" s="2"/>
      <c r="Y252" s="2"/>
      <c r="Z252" s="2"/>
    </row>
    <row r="253" spans="1:26" ht="13.8" x14ac:dyDescent="0.3">
      <c r="A253" s="2"/>
      <c r="B253" s="2"/>
      <c r="C253" s="10"/>
      <c r="D253" s="10"/>
      <c r="E253" s="10"/>
      <c r="F253" s="10"/>
      <c r="G253" s="69"/>
      <c r="H253" s="69"/>
      <c r="I253" s="69"/>
      <c r="J253" s="70"/>
      <c r="K253" s="69"/>
      <c r="L253" s="69"/>
      <c r="M253" s="69"/>
      <c r="N253" s="69"/>
      <c r="O253" s="69"/>
      <c r="P253" s="2"/>
      <c r="Q253" s="2"/>
      <c r="R253" s="32"/>
      <c r="S253" s="32"/>
      <c r="T253" s="32"/>
      <c r="U253" s="32"/>
      <c r="V253" s="2"/>
      <c r="W253" s="2"/>
      <c r="X253" s="2"/>
      <c r="Y253" s="2"/>
      <c r="Z253" s="2"/>
    </row>
    <row r="254" spans="1:26" ht="13.8" x14ac:dyDescent="0.3">
      <c r="A254" s="2"/>
      <c r="B254" s="2"/>
      <c r="C254" s="10"/>
      <c r="D254" s="10"/>
      <c r="E254" s="10"/>
      <c r="F254" s="10"/>
      <c r="G254" s="69"/>
      <c r="H254" s="69"/>
      <c r="I254" s="69"/>
      <c r="J254" s="70"/>
      <c r="K254" s="69"/>
      <c r="L254" s="69"/>
      <c r="M254" s="69"/>
      <c r="N254" s="69"/>
      <c r="O254" s="69"/>
      <c r="P254" s="2"/>
      <c r="Q254" s="2"/>
      <c r="R254" s="32"/>
      <c r="S254" s="32"/>
      <c r="T254" s="32"/>
      <c r="U254" s="32"/>
      <c r="V254" s="2"/>
      <c r="W254" s="2"/>
      <c r="X254" s="2"/>
      <c r="Y254" s="2"/>
      <c r="Z254" s="2"/>
    </row>
    <row r="255" spans="1:26" ht="13.8" x14ac:dyDescent="0.3">
      <c r="A255" s="2"/>
      <c r="B255" s="2"/>
      <c r="C255" s="10"/>
      <c r="D255" s="10"/>
      <c r="E255" s="10"/>
      <c r="F255" s="10"/>
      <c r="G255" s="69"/>
      <c r="H255" s="69"/>
      <c r="I255" s="69"/>
      <c r="J255" s="70"/>
      <c r="K255" s="69"/>
      <c r="L255" s="69"/>
      <c r="M255" s="69"/>
      <c r="N255" s="69"/>
      <c r="O255" s="69"/>
      <c r="P255" s="2"/>
      <c r="Q255" s="2"/>
      <c r="R255" s="32"/>
      <c r="S255" s="32"/>
      <c r="T255" s="32"/>
      <c r="U255" s="32"/>
      <c r="V255" s="2"/>
      <c r="W255" s="2"/>
      <c r="X255" s="2"/>
      <c r="Y255" s="2"/>
      <c r="Z255" s="2"/>
    </row>
    <row r="256" spans="1:26" ht="13.8" x14ac:dyDescent="0.3">
      <c r="A256" s="2"/>
      <c r="B256" s="2"/>
      <c r="C256" s="10"/>
      <c r="D256" s="10"/>
      <c r="E256" s="10"/>
      <c r="F256" s="10"/>
      <c r="G256" s="69"/>
      <c r="H256" s="69"/>
      <c r="I256" s="69"/>
      <c r="J256" s="70"/>
      <c r="K256" s="69"/>
      <c r="L256" s="69"/>
      <c r="M256" s="69"/>
      <c r="N256" s="69"/>
      <c r="O256" s="69"/>
      <c r="P256" s="2"/>
      <c r="Q256" s="2"/>
      <c r="R256" s="32"/>
      <c r="S256" s="32"/>
      <c r="T256" s="32"/>
      <c r="U256" s="32"/>
      <c r="V256" s="2"/>
      <c r="W256" s="2"/>
      <c r="X256" s="2"/>
      <c r="Y256" s="2"/>
      <c r="Z256" s="2"/>
    </row>
    <row r="257" spans="1:26" ht="13.8" x14ac:dyDescent="0.3">
      <c r="A257" s="2"/>
      <c r="B257" s="2"/>
      <c r="C257" s="10"/>
      <c r="D257" s="10"/>
      <c r="E257" s="10"/>
      <c r="F257" s="10"/>
      <c r="G257" s="69"/>
      <c r="H257" s="69"/>
      <c r="I257" s="69"/>
      <c r="J257" s="70"/>
      <c r="K257" s="69"/>
      <c r="L257" s="69"/>
      <c r="M257" s="69"/>
      <c r="N257" s="69"/>
      <c r="O257" s="69"/>
      <c r="P257" s="2"/>
      <c r="Q257" s="2"/>
      <c r="R257" s="32"/>
      <c r="S257" s="32"/>
      <c r="T257" s="32"/>
      <c r="U257" s="32"/>
      <c r="V257" s="2"/>
      <c r="W257" s="2"/>
      <c r="X257" s="2"/>
      <c r="Y257" s="2"/>
      <c r="Z257" s="2"/>
    </row>
    <row r="258" spans="1:26" ht="13.8" x14ac:dyDescent="0.3">
      <c r="A258" s="2"/>
      <c r="B258" s="2"/>
      <c r="C258" s="10"/>
      <c r="D258" s="10"/>
      <c r="E258" s="10"/>
      <c r="F258" s="10"/>
      <c r="G258" s="69"/>
      <c r="H258" s="69"/>
      <c r="I258" s="69"/>
      <c r="J258" s="70"/>
      <c r="K258" s="69"/>
      <c r="L258" s="69"/>
      <c r="M258" s="69"/>
      <c r="N258" s="69"/>
      <c r="O258" s="69"/>
      <c r="P258" s="2"/>
      <c r="Q258" s="2"/>
      <c r="R258" s="32"/>
      <c r="S258" s="32"/>
      <c r="T258" s="32"/>
      <c r="U258" s="32"/>
      <c r="V258" s="2"/>
      <c r="W258" s="2"/>
      <c r="X258" s="2"/>
      <c r="Y258" s="2"/>
      <c r="Z258" s="2"/>
    </row>
    <row r="259" spans="1:26" ht="13.8" x14ac:dyDescent="0.3">
      <c r="A259" s="2"/>
      <c r="B259" s="2"/>
      <c r="C259" s="10"/>
      <c r="D259" s="10"/>
      <c r="E259" s="10"/>
      <c r="F259" s="10"/>
      <c r="G259" s="69"/>
      <c r="H259" s="69"/>
      <c r="I259" s="69"/>
      <c r="J259" s="70"/>
      <c r="K259" s="69"/>
      <c r="L259" s="32"/>
      <c r="M259" s="69"/>
      <c r="N259" s="69"/>
      <c r="O259" s="69"/>
      <c r="P259" s="2"/>
      <c r="Q259" s="2"/>
      <c r="R259" s="32"/>
      <c r="S259" s="32"/>
      <c r="T259" s="32"/>
      <c r="U259" s="32"/>
      <c r="V259" s="2"/>
      <c r="W259" s="2"/>
      <c r="X259" s="2"/>
      <c r="Y259" s="2"/>
      <c r="Z259" s="2"/>
    </row>
    <row r="260" spans="1:26" ht="13.8" x14ac:dyDescent="0.3">
      <c r="A260" s="2"/>
      <c r="B260" s="2"/>
      <c r="C260" s="10"/>
      <c r="D260" s="10"/>
      <c r="E260" s="10"/>
      <c r="F260" s="10"/>
      <c r="G260" s="69"/>
      <c r="H260" s="69"/>
      <c r="I260" s="69"/>
      <c r="J260" s="70"/>
      <c r="K260" s="69"/>
      <c r="L260" s="32"/>
      <c r="M260" s="69"/>
      <c r="N260" s="69"/>
      <c r="O260" s="69"/>
      <c r="P260" s="2"/>
      <c r="Q260" s="2"/>
      <c r="R260" s="32"/>
      <c r="S260" s="32"/>
      <c r="T260" s="32"/>
      <c r="U260" s="32"/>
      <c r="V260" s="2"/>
      <c r="W260" s="2"/>
      <c r="X260" s="2"/>
      <c r="Y260" s="2"/>
      <c r="Z260" s="2"/>
    </row>
    <row r="261" spans="1:26" ht="13.8" x14ac:dyDescent="0.3">
      <c r="A261" s="2"/>
      <c r="B261" s="2"/>
      <c r="C261" s="10"/>
      <c r="D261" s="10"/>
      <c r="E261" s="10"/>
      <c r="F261" s="10"/>
      <c r="G261" s="69"/>
      <c r="H261" s="69"/>
      <c r="I261" s="69"/>
      <c r="J261" s="70"/>
      <c r="K261" s="69"/>
      <c r="L261" s="32"/>
      <c r="M261" s="69"/>
      <c r="N261" s="69"/>
      <c r="O261" s="69"/>
      <c r="P261" s="2"/>
      <c r="Q261" s="2"/>
      <c r="R261" s="32"/>
      <c r="S261" s="32"/>
      <c r="T261" s="32"/>
      <c r="U261" s="32"/>
      <c r="V261" s="2"/>
      <c r="W261" s="2"/>
      <c r="X261" s="2"/>
      <c r="Y261" s="2"/>
      <c r="Z261" s="2"/>
    </row>
    <row r="262" spans="1:26" ht="13.8" x14ac:dyDescent="0.3">
      <c r="A262" s="2"/>
      <c r="B262" s="2"/>
      <c r="C262" s="10"/>
      <c r="D262" s="10"/>
      <c r="E262" s="10"/>
      <c r="F262" s="10"/>
      <c r="G262" s="69"/>
      <c r="H262" s="69"/>
      <c r="I262" s="69"/>
      <c r="J262" s="70"/>
      <c r="K262" s="69"/>
      <c r="L262" s="32"/>
      <c r="M262" s="69"/>
      <c r="N262" s="69"/>
      <c r="O262" s="69"/>
      <c r="P262" s="2"/>
      <c r="Q262" s="2"/>
      <c r="R262" s="32"/>
      <c r="S262" s="32"/>
      <c r="T262" s="32"/>
      <c r="U262" s="32"/>
      <c r="V262" s="2"/>
      <c r="W262" s="2"/>
      <c r="X262" s="2"/>
      <c r="Y262" s="2"/>
      <c r="Z262" s="2"/>
    </row>
    <row r="263" spans="1:26" ht="13.8" x14ac:dyDescent="0.3">
      <c r="A263" s="2"/>
      <c r="B263" s="2"/>
      <c r="C263" s="10"/>
      <c r="D263" s="10"/>
      <c r="E263" s="10"/>
      <c r="F263" s="10"/>
      <c r="G263" s="69"/>
      <c r="H263" s="69"/>
      <c r="I263" s="69"/>
      <c r="J263" s="70"/>
      <c r="K263" s="69"/>
      <c r="L263" s="32"/>
      <c r="M263" s="69"/>
      <c r="N263" s="69"/>
      <c r="O263" s="69"/>
      <c r="P263" s="2"/>
      <c r="Q263" s="2"/>
      <c r="R263" s="32"/>
      <c r="S263" s="32"/>
      <c r="T263" s="32"/>
      <c r="U263" s="32"/>
      <c r="V263" s="2"/>
      <c r="W263" s="2"/>
      <c r="X263" s="2"/>
      <c r="Y263" s="2"/>
      <c r="Z263" s="2"/>
    </row>
    <row r="264" spans="1:26" ht="13.8" x14ac:dyDescent="0.3">
      <c r="A264" s="2"/>
      <c r="B264" s="2"/>
      <c r="C264" s="10"/>
      <c r="D264" s="10"/>
      <c r="E264" s="10"/>
      <c r="F264" s="10"/>
      <c r="G264" s="69"/>
      <c r="H264" s="69"/>
      <c r="I264" s="69"/>
      <c r="J264" s="70"/>
      <c r="K264" s="69"/>
      <c r="L264" s="32"/>
      <c r="M264" s="69"/>
      <c r="N264" s="69"/>
      <c r="O264" s="69"/>
      <c r="P264" s="2"/>
      <c r="Q264" s="2"/>
      <c r="R264" s="32"/>
      <c r="S264" s="32"/>
      <c r="T264" s="32"/>
      <c r="U264" s="32"/>
      <c r="V264" s="2"/>
      <c r="W264" s="2"/>
      <c r="X264" s="2"/>
      <c r="Y264" s="2"/>
      <c r="Z264" s="2"/>
    </row>
    <row r="265" spans="1:26" ht="13.8" x14ac:dyDescent="0.3">
      <c r="A265" s="2"/>
      <c r="B265" s="2"/>
      <c r="C265" s="10"/>
      <c r="D265" s="10"/>
      <c r="E265" s="10"/>
      <c r="F265" s="10"/>
      <c r="G265" s="69"/>
      <c r="H265" s="69"/>
      <c r="I265" s="69"/>
      <c r="J265" s="70"/>
      <c r="K265" s="69"/>
      <c r="L265" s="32"/>
      <c r="M265" s="69"/>
      <c r="N265" s="69"/>
      <c r="O265" s="69"/>
      <c r="P265" s="2"/>
      <c r="Q265" s="2"/>
      <c r="R265" s="32"/>
      <c r="S265" s="32"/>
      <c r="T265" s="32"/>
      <c r="U265" s="32"/>
      <c r="V265" s="2"/>
      <c r="W265" s="2"/>
      <c r="X265" s="2"/>
      <c r="Y265" s="2"/>
      <c r="Z265" s="2"/>
    </row>
    <row r="266" spans="1:26" ht="13.8" x14ac:dyDescent="0.3">
      <c r="A266" s="2"/>
      <c r="B266" s="2"/>
      <c r="C266" s="10"/>
      <c r="D266" s="10"/>
      <c r="E266" s="10"/>
      <c r="F266" s="10"/>
      <c r="G266" s="69"/>
      <c r="H266" s="69"/>
      <c r="I266" s="69"/>
      <c r="J266" s="70"/>
      <c r="K266" s="69"/>
      <c r="L266" s="32"/>
      <c r="M266" s="69"/>
      <c r="N266" s="69"/>
      <c r="O266" s="69"/>
      <c r="P266" s="2"/>
      <c r="Q266" s="2"/>
      <c r="R266" s="32"/>
      <c r="S266" s="32"/>
      <c r="T266" s="32"/>
      <c r="U266" s="32"/>
      <c r="V266" s="2"/>
      <c r="W266" s="2"/>
      <c r="X266" s="2"/>
      <c r="Y266" s="2"/>
      <c r="Z266" s="2"/>
    </row>
    <row r="267" spans="1:26" ht="13.8" x14ac:dyDescent="0.3">
      <c r="A267" s="2"/>
      <c r="B267" s="2"/>
      <c r="C267" s="10"/>
      <c r="D267" s="10"/>
      <c r="E267" s="10"/>
      <c r="F267" s="10"/>
      <c r="G267" s="69"/>
      <c r="H267" s="69"/>
      <c r="I267" s="69"/>
      <c r="J267" s="70"/>
      <c r="K267" s="69"/>
      <c r="L267" s="32"/>
      <c r="M267" s="69"/>
      <c r="N267" s="69"/>
      <c r="O267" s="69"/>
      <c r="P267" s="2"/>
      <c r="Q267" s="2"/>
      <c r="R267" s="32"/>
      <c r="S267" s="32"/>
      <c r="T267" s="32"/>
      <c r="U267" s="32"/>
      <c r="V267" s="2"/>
      <c r="W267" s="2"/>
      <c r="X267" s="2"/>
      <c r="Y267" s="2"/>
      <c r="Z267" s="2"/>
    </row>
    <row r="268" spans="1:26" ht="13.8" x14ac:dyDescent="0.3">
      <c r="A268" s="2"/>
      <c r="B268" s="2"/>
      <c r="C268" s="10"/>
      <c r="D268" s="10"/>
      <c r="E268" s="10"/>
      <c r="F268" s="10"/>
      <c r="G268" s="69"/>
      <c r="H268" s="69"/>
      <c r="I268" s="69"/>
      <c r="J268" s="70"/>
      <c r="K268" s="69"/>
      <c r="L268" s="32"/>
      <c r="M268" s="69"/>
      <c r="N268" s="69"/>
      <c r="O268" s="69"/>
      <c r="P268" s="2"/>
      <c r="Q268" s="2"/>
      <c r="R268" s="32"/>
      <c r="S268" s="32"/>
      <c r="T268" s="32"/>
      <c r="U268" s="32"/>
      <c r="V268" s="2"/>
      <c r="W268" s="2"/>
      <c r="X268" s="2"/>
      <c r="Y268" s="2"/>
      <c r="Z268" s="2"/>
    </row>
    <row r="269" spans="1:26" ht="13.8" x14ac:dyDescent="0.3">
      <c r="A269" s="2"/>
      <c r="B269" s="2"/>
      <c r="C269" s="10"/>
      <c r="D269" s="10"/>
      <c r="E269" s="10"/>
      <c r="F269" s="10"/>
      <c r="G269" s="69"/>
      <c r="H269" s="69"/>
      <c r="I269" s="69"/>
      <c r="J269" s="70"/>
      <c r="K269" s="69"/>
      <c r="L269" s="32"/>
      <c r="M269" s="69"/>
      <c r="N269" s="69"/>
      <c r="O269" s="69"/>
      <c r="P269" s="2"/>
      <c r="Q269" s="2"/>
      <c r="R269" s="32"/>
      <c r="S269" s="32"/>
      <c r="T269" s="32"/>
      <c r="U269" s="32"/>
      <c r="V269" s="2"/>
      <c r="W269" s="2"/>
      <c r="X269" s="2"/>
      <c r="Y269" s="2"/>
      <c r="Z269" s="2"/>
    </row>
    <row r="270" spans="1:26" ht="13.8" x14ac:dyDescent="0.3">
      <c r="A270" s="2"/>
      <c r="B270" s="2"/>
      <c r="C270" s="10"/>
      <c r="D270" s="10"/>
      <c r="E270" s="10"/>
      <c r="F270" s="10"/>
      <c r="G270" s="69"/>
      <c r="H270" s="69"/>
      <c r="I270" s="69"/>
      <c r="J270" s="70"/>
      <c r="K270" s="69"/>
      <c r="L270" s="32"/>
      <c r="M270" s="69"/>
      <c r="N270" s="69"/>
      <c r="O270" s="69"/>
      <c r="P270" s="2"/>
      <c r="Q270" s="2"/>
      <c r="R270" s="32"/>
      <c r="S270" s="32"/>
      <c r="T270" s="32"/>
      <c r="U270" s="32"/>
      <c r="V270" s="2"/>
      <c r="W270" s="2"/>
      <c r="X270" s="2"/>
      <c r="Y270" s="2"/>
      <c r="Z270" s="2"/>
    </row>
    <row r="271" spans="1:26" ht="13.8" x14ac:dyDescent="0.3">
      <c r="A271" s="2"/>
      <c r="B271" s="2"/>
      <c r="C271" s="10"/>
      <c r="D271" s="10"/>
      <c r="E271" s="10"/>
      <c r="F271" s="10"/>
      <c r="G271" s="69"/>
      <c r="H271" s="69"/>
      <c r="I271" s="69"/>
      <c r="J271" s="70"/>
      <c r="K271" s="69"/>
      <c r="L271" s="32"/>
      <c r="M271" s="69"/>
      <c r="N271" s="69"/>
      <c r="O271" s="69"/>
      <c r="P271" s="2"/>
      <c r="Q271" s="2"/>
      <c r="R271" s="32"/>
      <c r="S271" s="32"/>
      <c r="T271" s="32"/>
      <c r="U271" s="32"/>
      <c r="V271" s="2"/>
      <c r="W271" s="2"/>
      <c r="X271" s="2"/>
      <c r="Y271" s="2"/>
      <c r="Z271" s="2"/>
    </row>
    <row r="272" spans="1:26" ht="13.8" x14ac:dyDescent="0.3">
      <c r="A272" s="2"/>
      <c r="B272" s="2"/>
      <c r="C272" s="10"/>
      <c r="D272" s="10"/>
      <c r="E272" s="10"/>
      <c r="F272" s="10"/>
      <c r="G272" s="69"/>
      <c r="H272" s="69"/>
      <c r="I272" s="69"/>
      <c r="J272" s="70"/>
      <c r="K272" s="69"/>
      <c r="L272" s="32"/>
      <c r="M272" s="69"/>
      <c r="N272" s="69"/>
      <c r="O272" s="69"/>
      <c r="P272" s="2"/>
      <c r="Q272" s="2"/>
      <c r="R272" s="32"/>
      <c r="S272" s="32"/>
      <c r="T272" s="32"/>
      <c r="U272" s="32"/>
      <c r="V272" s="2"/>
      <c r="W272" s="2"/>
      <c r="X272" s="2"/>
      <c r="Y272" s="2"/>
      <c r="Z272" s="2"/>
    </row>
    <row r="273" spans="1:26" ht="13.8" x14ac:dyDescent="0.3">
      <c r="A273" s="2"/>
      <c r="B273" s="2"/>
      <c r="C273" s="10"/>
      <c r="D273" s="10"/>
      <c r="E273" s="10"/>
      <c r="F273" s="10"/>
      <c r="G273" s="69"/>
      <c r="H273" s="69"/>
      <c r="I273" s="69"/>
      <c r="J273" s="70"/>
      <c r="K273" s="69"/>
      <c r="L273" s="32"/>
      <c r="M273" s="69"/>
      <c r="N273" s="69"/>
      <c r="O273" s="69"/>
      <c r="P273" s="2"/>
      <c r="Q273" s="2"/>
      <c r="R273" s="32"/>
      <c r="S273" s="32"/>
      <c r="T273" s="32"/>
      <c r="U273" s="32"/>
      <c r="V273" s="2"/>
      <c r="W273" s="2"/>
      <c r="X273" s="2"/>
      <c r="Y273" s="2"/>
      <c r="Z273" s="2"/>
    </row>
    <row r="274" spans="1:26" ht="13.8" x14ac:dyDescent="0.3">
      <c r="A274" s="2"/>
      <c r="B274" s="2"/>
      <c r="C274" s="10"/>
      <c r="D274" s="10"/>
      <c r="E274" s="10"/>
      <c r="F274" s="10"/>
      <c r="G274" s="69"/>
      <c r="H274" s="69"/>
      <c r="I274" s="69"/>
      <c r="J274" s="70"/>
      <c r="K274" s="69"/>
      <c r="L274" s="32"/>
      <c r="M274" s="69"/>
      <c r="N274" s="69"/>
      <c r="O274" s="69"/>
      <c r="P274" s="2"/>
      <c r="Q274" s="2"/>
      <c r="R274" s="32"/>
      <c r="S274" s="32"/>
      <c r="T274" s="32"/>
      <c r="U274" s="32"/>
      <c r="V274" s="2"/>
      <c r="W274" s="2"/>
      <c r="X274" s="2"/>
      <c r="Y274" s="2"/>
      <c r="Z274" s="2"/>
    </row>
    <row r="275" spans="1:26" ht="13.8" x14ac:dyDescent="0.3">
      <c r="A275" s="2"/>
      <c r="B275" s="2"/>
      <c r="C275" s="10"/>
      <c r="D275" s="10"/>
      <c r="E275" s="10"/>
      <c r="F275" s="10"/>
      <c r="G275" s="69"/>
      <c r="H275" s="69"/>
      <c r="I275" s="69"/>
      <c r="J275" s="70"/>
      <c r="K275" s="69"/>
      <c r="L275" s="32"/>
      <c r="M275" s="69"/>
      <c r="N275" s="69"/>
      <c r="O275" s="69"/>
      <c r="P275" s="2"/>
      <c r="Q275" s="2"/>
      <c r="R275" s="32"/>
      <c r="S275" s="32"/>
      <c r="T275" s="32"/>
      <c r="U275" s="32"/>
      <c r="V275" s="2"/>
      <c r="W275" s="2"/>
      <c r="X275" s="2"/>
      <c r="Y275" s="2"/>
      <c r="Z275" s="2"/>
    </row>
    <row r="276" spans="1:26" ht="13.8" x14ac:dyDescent="0.3">
      <c r="A276" s="2"/>
      <c r="B276" s="2"/>
      <c r="C276" s="10"/>
      <c r="D276" s="10"/>
      <c r="E276" s="10"/>
      <c r="F276" s="10"/>
      <c r="G276" s="69"/>
      <c r="H276" s="69"/>
      <c r="I276" s="69"/>
      <c r="J276" s="70"/>
      <c r="K276" s="69"/>
      <c r="L276" s="32"/>
      <c r="M276" s="69"/>
      <c r="N276" s="69"/>
      <c r="O276" s="69"/>
      <c r="P276" s="2"/>
      <c r="Q276" s="2"/>
      <c r="R276" s="32"/>
      <c r="S276" s="32"/>
      <c r="T276" s="32"/>
      <c r="U276" s="32"/>
      <c r="V276" s="2"/>
      <c r="W276" s="2"/>
      <c r="X276" s="2"/>
      <c r="Y276" s="2"/>
      <c r="Z276" s="2"/>
    </row>
    <row r="277" spans="1:26" ht="13.8" x14ac:dyDescent="0.3">
      <c r="A277" s="2"/>
      <c r="B277" s="2"/>
      <c r="C277" s="10"/>
      <c r="D277" s="10"/>
      <c r="E277" s="10"/>
      <c r="F277" s="10"/>
      <c r="G277" s="69"/>
      <c r="H277" s="69"/>
      <c r="I277" s="69"/>
      <c r="J277" s="70"/>
      <c r="K277" s="69"/>
      <c r="L277" s="32"/>
      <c r="M277" s="69"/>
      <c r="N277" s="69"/>
      <c r="O277" s="69"/>
      <c r="P277" s="2"/>
      <c r="Q277" s="2"/>
      <c r="R277" s="32"/>
      <c r="S277" s="32"/>
      <c r="T277" s="32"/>
      <c r="U277" s="32"/>
      <c r="V277" s="2"/>
      <c r="W277" s="2"/>
      <c r="X277" s="2"/>
      <c r="Y277" s="2"/>
      <c r="Z277" s="2"/>
    </row>
    <row r="278" spans="1:26" ht="13.8" x14ac:dyDescent="0.3">
      <c r="A278" s="2"/>
      <c r="B278" s="2"/>
      <c r="C278" s="10"/>
      <c r="D278" s="10"/>
      <c r="E278" s="10"/>
      <c r="F278" s="10"/>
      <c r="G278" s="69"/>
      <c r="H278" s="69"/>
      <c r="I278" s="69"/>
      <c r="J278" s="70"/>
      <c r="K278" s="69"/>
      <c r="L278" s="32"/>
      <c r="M278" s="69"/>
      <c r="N278" s="69"/>
      <c r="O278" s="69"/>
      <c r="P278" s="2"/>
      <c r="Q278" s="2"/>
      <c r="R278" s="32"/>
      <c r="S278" s="32"/>
      <c r="T278" s="32"/>
      <c r="U278" s="32"/>
      <c r="V278" s="2"/>
      <c r="W278" s="2"/>
      <c r="X278" s="2"/>
      <c r="Y278" s="2"/>
      <c r="Z278" s="2"/>
    </row>
    <row r="279" spans="1:26" ht="13.8" x14ac:dyDescent="0.3">
      <c r="A279" s="2"/>
      <c r="B279" s="2"/>
      <c r="C279" s="10"/>
      <c r="D279" s="10"/>
      <c r="E279" s="10"/>
      <c r="F279" s="10"/>
      <c r="G279" s="69"/>
      <c r="H279" s="69"/>
      <c r="I279" s="69"/>
      <c r="J279" s="70"/>
      <c r="K279" s="69"/>
      <c r="L279" s="32"/>
      <c r="M279" s="69"/>
      <c r="N279" s="69"/>
      <c r="O279" s="69"/>
      <c r="P279" s="2"/>
      <c r="Q279" s="2"/>
      <c r="R279" s="32"/>
      <c r="S279" s="32"/>
      <c r="T279" s="32"/>
      <c r="U279" s="32"/>
      <c r="V279" s="2"/>
      <c r="W279" s="2"/>
      <c r="X279" s="2"/>
      <c r="Y279" s="2"/>
      <c r="Z279" s="2"/>
    </row>
    <row r="280" spans="1:26" ht="13.8" x14ac:dyDescent="0.3">
      <c r="A280" s="2"/>
      <c r="B280" s="2"/>
      <c r="C280" s="10"/>
      <c r="D280" s="10"/>
      <c r="E280" s="10"/>
      <c r="F280" s="10"/>
      <c r="G280" s="69"/>
      <c r="H280" s="69"/>
      <c r="I280" s="69"/>
      <c r="J280" s="70"/>
      <c r="K280" s="69"/>
      <c r="L280" s="32"/>
      <c r="M280" s="69"/>
      <c r="N280" s="69"/>
      <c r="O280" s="69"/>
      <c r="P280" s="2"/>
      <c r="Q280" s="2"/>
      <c r="R280" s="32"/>
      <c r="S280" s="32"/>
      <c r="T280" s="32"/>
      <c r="U280" s="32"/>
      <c r="V280" s="2"/>
      <c r="W280" s="2"/>
      <c r="X280" s="2"/>
      <c r="Y280" s="2"/>
      <c r="Z280" s="2"/>
    </row>
    <row r="281" spans="1:26" ht="13.8" x14ac:dyDescent="0.3">
      <c r="A281" s="2"/>
      <c r="B281" s="2"/>
      <c r="C281" s="10"/>
      <c r="D281" s="10"/>
      <c r="E281" s="10"/>
      <c r="F281" s="10"/>
      <c r="G281" s="69"/>
      <c r="H281" s="69"/>
      <c r="I281" s="69"/>
      <c r="J281" s="70"/>
      <c r="K281" s="69"/>
      <c r="L281" s="32"/>
      <c r="M281" s="69"/>
      <c r="N281" s="69"/>
      <c r="O281" s="69"/>
      <c r="P281" s="2"/>
      <c r="Q281" s="2"/>
      <c r="R281" s="32"/>
      <c r="S281" s="32"/>
      <c r="T281" s="32"/>
      <c r="U281" s="32"/>
      <c r="V281" s="2"/>
      <c r="W281" s="2"/>
      <c r="X281" s="2"/>
      <c r="Y281" s="2"/>
      <c r="Z281" s="2"/>
    </row>
    <row r="282" spans="1:26" ht="13.8" x14ac:dyDescent="0.3">
      <c r="A282" s="2"/>
      <c r="B282" s="2"/>
      <c r="C282" s="10"/>
      <c r="D282" s="10"/>
      <c r="E282" s="10"/>
      <c r="F282" s="10"/>
      <c r="G282" s="69"/>
      <c r="H282" s="69"/>
      <c r="I282" s="69"/>
      <c r="J282" s="70"/>
      <c r="K282" s="69"/>
      <c r="L282" s="32"/>
      <c r="M282" s="69"/>
      <c r="N282" s="69"/>
      <c r="O282" s="69"/>
      <c r="P282" s="2"/>
      <c r="Q282" s="2"/>
      <c r="R282" s="32"/>
      <c r="S282" s="32"/>
      <c r="T282" s="32"/>
      <c r="U282" s="32"/>
      <c r="V282" s="2"/>
      <c r="W282" s="2"/>
      <c r="X282" s="2"/>
      <c r="Y282" s="2"/>
      <c r="Z282" s="2"/>
    </row>
    <row r="283" spans="1:26" ht="13.8" x14ac:dyDescent="0.3">
      <c r="A283" s="2"/>
      <c r="B283" s="2"/>
      <c r="C283" s="10"/>
      <c r="D283" s="10"/>
      <c r="E283" s="10"/>
      <c r="F283" s="10"/>
      <c r="G283" s="69"/>
      <c r="H283" s="69"/>
      <c r="I283" s="69"/>
      <c r="J283" s="70"/>
      <c r="K283" s="69"/>
      <c r="L283" s="32"/>
      <c r="M283" s="69"/>
      <c r="N283" s="69"/>
      <c r="O283" s="69"/>
      <c r="P283" s="2"/>
      <c r="Q283" s="2"/>
      <c r="R283" s="32"/>
      <c r="S283" s="32"/>
      <c r="T283" s="32"/>
      <c r="U283" s="32"/>
      <c r="V283" s="2"/>
      <c r="W283" s="2"/>
      <c r="X283" s="2"/>
      <c r="Y283" s="2"/>
      <c r="Z283" s="2"/>
    </row>
    <row r="284" spans="1:26" ht="13.8" x14ac:dyDescent="0.3">
      <c r="A284" s="2"/>
      <c r="B284" s="2"/>
      <c r="C284" s="10"/>
      <c r="D284" s="10"/>
      <c r="E284" s="10"/>
      <c r="F284" s="10"/>
      <c r="G284" s="69"/>
      <c r="H284" s="69"/>
      <c r="I284" s="69"/>
      <c r="J284" s="70"/>
      <c r="K284" s="69"/>
      <c r="L284" s="32"/>
      <c r="M284" s="69"/>
      <c r="N284" s="69"/>
      <c r="O284" s="69"/>
      <c r="P284" s="2"/>
      <c r="Q284" s="2"/>
      <c r="R284" s="32"/>
      <c r="S284" s="32"/>
      <c r="T284" s="32"/>
      <c r="U284" s="32"/>
      <c r="V284" s="2"/>
      <c r="W284" s="2"/>
      <c r="X284" s="2"/>
      <c r="Y284" s="2"/>
      <c r="Z284" s="2"/>
    </row>
    <row r="285" spans="1:26" ht="13.8" x14ac:dyDescent="0.3">
      <c r="A285" s="2"/>
      <c r="B285" s="2"/>
      <c r="C285" s="10"/>
      <c r="D285" s="10"/>
      <c r="E285" s="10"/>
      <c r="F285" s="10"/>
      <c r="G285" s="69"/>
      <c r="H285" s="69"/>
      <c r="I285" s="69"/>
      <c r="J285" s="70"/>
      <c r="K285" s="69"/>
      <c r="L285" s="32"/>
      <c r="M285" s="69"/>
      <c r="N285" s="69"/>
      <c r="O285" s="69"/>
      <c r="P285" s="2"/>
      <c r="Q285" s="2"/>
      <c r="R285" s="32"/>
      <c r="S285" s="32"/>
      <c r="T285" s="32"/>
      <c r="U285" s="32"/>
      <c r="V285" s="2"/>
      <c r="W285" s="2"/>
      <c r="X285" s="2"/>
      <c r="Y285" s="2"/>
      <c r="Z285" s="2"/>
    </row>
    <row r="286" spans="1:26" ht="13.8" x14ac:dyDescent="0.3">
      <c r="A286" s="2"/>
      <c r="B286" s="2"/>
      <c r="C286" s="10"/>
      <c r="D286" s="10"/>
      <c r="E286" s="10"/>
      <c r="F286" s="10"/>
      <c r="G286" s="69"/>
      <c r="H286" s="69"/>
      <c r="I286" s="69"/>
      <c r="J286" s="70"/>
      <c r="K286" s="69"/>
      <c r="L286" s="32"/>
      <c r="M286" s="69"/>
      <c r="N286" s="69"/>
      <c r="O286" s="69"/>
      <c r="P286" s="2"/>
      <c r="Q286" s="2"/>
      <c r="R286" s="32"/>
      <c r="S286" s="32"/>
      <c r="T286" s="32"/>
      <c r="U286" s="32"/>
      <c r="V286" s="2"/>
      <c r="W286" s="2"/>
      <c r="X286" s="2"/>
      <c r="Y286" s="2"/>
      <c r="Z286" s="2"/>
    </row>
    <row r="287" spans="1:26" ht="13.8" x14ac:dyDescent="0.3">
      <c r="A287" s="2"/>
      <c r="B287" s="2"/>
      <c r="C287" s="10"/>
      <c r="D287" s="10"/>
      <c r="E287" s="10"/>
      <c r="F287" s="10"/>
      <c r="G287" s="69"/>
      <c r="H287" s="69"/>
      <c r="I287" s="69"/>
      <c r="J287" s="70"/>
      <c r="K287" s="69"/>
      <c r="L287" s="32"/>
      <c r="M287" s="69"/>
      <c r="N287" s="69"/>
      <c r="O287" s="69"/>
      <c r="P287" s="2"/>
      <c r="Q287" s="2"/>
      <c r="R287" s="32"/>
      <c r="S287" s="32"/>
      <c r="T287" s="32"/>
      <c r="U287" s="32"/>
      <c r="V287" s="2"/>
      <c r="W287" s="2"/>
      <c r="X287" s="2"/>
      <c r="Y287" s="2"/>
      <c r="Z287" s="2"/>
    </row>
    <row r="288" spans="1:26" ht="13.8" x14ac:dyDescent="0.3">
      <c r="A288" s="2"/>
      <c r="B288" s="2"/>
      <c r="C288" s="10"/>
      <c r="D288" s="10"/>
      <c r="E288" s="10"/>
      <c r="F288" s="10"/>
      <c r="G288" s="69"/>
      <c r="H288" s="69"/>
      <c r="I288" s="69"/>
      <c r="J288" s="70"/>
      <c r="K288" s="69"/>
      <c r="L288" s="32"/>
      <c r="M288" s="69"/>
      <c r="N288" s="69"/>
      <c r="O288" s="69"/>
      <c r="P288" s="2"/>
      <c r="Q288" s="2"/>
      <c r="R288" s="32"/>
      <c r="S288" s="32"/>
      <c r="T288" s="32"/>
      <c r="U288" s="32"/>
      <c r="V288" s="2"/>
      <c r="W288" s="2"/>
      <c r="X288" s="2"/>
      <c r="Y288" s="2"/>
      <c r="Z288" s="2"/>
    </row>
    <row r="289" spans="1:26" ht="13.8" x14ac:dyDescent="0.3">
      <c r="A289" s="2"/>
      <c r="B289" s="2"/>
      <c r="C289" s="10"/>
      <c r="D289" s="10"/>
      <c r="E289" s="10"/>
      <c r="F289" s="10"/>
      <c r="G289" s="69"/>
      <c r="H289" s="69"/>
      <c r="I289" s="69"/>
      <c r="J289" s="70"/>
      <c r="K289" s="69"/>
      <c r="L289" s="32"/>
      <c r="M289" s="69"/>
      <c r="N289" s="69"/>
      <c r="O289" s="69"/>
      <c r="P289" s="2"/>
      <c r="Q289" s="2"/>
      <c r="R289" s="32"/>
      <c r="S289" s="32"/>
      <c r="T289" s="32"/>
      <c r="U289" s="32"/>
      <c r="V289" s="2"/>
      <c r="W289" s="2"/>
      <c r="X289" s="2"/>
      <c r="Y289" s="2"/>
      <c r="Z289" s="2"/>
    </row>
    <row r="290" spans="1:26" ht="13.8" x14ac:dyDescent="0.3">
      <c r="A290" s="2"/>
      <c r="B290" s="2"/>
      <c r="C290" s="10"/>
      <c r="D290" s="10"/>
      <c r="E290" s="10"/>
      <c r="F290" s="10"/>
      <c r="G290" s="69"/>
      <c r="H290" s="69"/>
      <c r="I290" s="69"/>
      <c r="J290" s="70"/>
      <c r="K290" s="69"/>
      <c r="L290" s="32"/>
      <c r="M290" s="69"/>
      <c r="N290" s="69"/>
      <c r="O290" s="69"/>
      <c r="P290" s="2"/>
      <c r="Q290" s="2"/>
      <c r="R290" s="32"/>
      <c r="S290" s="32"/>
      <c r="T290" s="32"/>
      <c r="U290" s="32"/>
      <c r="V290" s="2"/>
      <c r="W290" s="2"/>
      <c r="X290" s="2"/>
      <c r="Y290" s="2"/>
      <c r="Z290" s="2"/>
    </row>
    <row r="291" spans="1:26" ht="13.8" x14ac:dyDescent="0.3">
      <c r="A291" s="2"/>
      <c r="B291" s="2"/>
      <c r="C291" s="10"/>
      <c r="D291" s="10"/>
      <c r="E291" s="10"/>
      <c r="F291" s="10"/>
      <c r="G291" s="69"/>
      <c r="H291" s="69"/>
      <c r="I291" s="69"/>
      <c r="J291" s="70"/>
      <c r="K291" s="69"/>
      <c r="L291" s="32"/>
      <c r="M291" s="69"/>
      <c r="N291" s="69"/>
      <c r="O291" s="69"/>
      <c r="P291" s="2"/>
      <c r="Q291" s="2"/>
      <c r="R291" s="32"/>
      <c r="S291" s="32"/>
      <c r="T291" s="32"/>
      <c r="U291" s="32"/>
      <c r="V291" s="2"/>
      <c r="W291" s="2"/>
      <c r="X291" s="2"/>
      <c r="Y291" s="2"/>
      <c r="Z291" s="2"/>
    </row>
    <row r="292" spans="1:26" ht="13.8" x14ac:dyDescent="0.3">
      <c r="A292" s="2"/>
      <c r="B292" s="2"/>
      <c r="C292" s="10"/>
      <c r="D292" s="10"/>
      <c r="E292" s="10"/>
      <c r="F292" s="10"/>
      <c r="G292" s="69"/>
      <c r="H292" s="69"/>
      <c r="I292" s="69"/>
      <c r="J292" s="70"/>
      <c r="K292" s="69"/>
      <c r="L292" s="32"/>
      <c r="M292" s="69"/>
      <c r="N292" s="69"/>
      <c r="O292" s="69"/>
      <c r="P292" s="2"/>
      <c r="Q292" s="2"/>
      <c r="R292" s="32"/>
      <c r="S292" s="32"/>
      <c r="T292" s="32"/>
      <c r="U292" s="32"/>
      <c r="V292" s="2"/>
      <c r="W292" s="2"/>
      <c r="X292" s="2"/>
      <c r="Y292" s="2"/>
      <c r="Z292" s="2"/>
    </row>
    <row r="293" spans="1:26" ht="13.8" x14ac:dyDescent="0.3">
      <c r="A293" s="2"/>
      <c r="B293" s="2"/>
      <c r="C293" s="10"/>
      <c r="D293" s="10"/>
      <c r="E293" s="10"/>
      <c r="F293" s="10"/>
      <c r="G293" s="69"/>
      <c r="H293" s="69"/>
      <c r="I293" s="69"/>
      <c r="J293" s="70"/>
      <c r="K293" s="69"/>
      <c r="L293" s="32"/>
      <c r="M293" s="69"/>
      <c r="N293" s="69"/>
      <c r="O293" s="69"/>
      <c r="P293" s="2"/>
      <c r="Q293" s="2"/>
      <c r="R293" s="32"/>
      <c r="S293" s="32"/>
      <c r="T293" s="32"/>
      <c r="U293" s="32"/>
      <c r="V293" s="2"/>
      <c r="W293" s="2"/>
      <c r="X293" s="2"/>
      <c r="Y293" s="2"/>
      <c r="Z293" s="2"/>
    </row>
    <row r="294" spans="1:26" ht="13.8" x14ac:dyDescent="0.3">
      <c r="A294" s="2"/>
      <c r="B294" s="2"/>
      <c r="C294" s="10"/>
      <c r="D294" s="10"/>
      <c r="E294" s="10"/>
      <c r="F294" s="10"/>
      <c r="G294" s="69"/>
      <c r="H294" s="69"/>
      <c r="I294" s="69"/>
      <c r="J294" s="70"/>
      <c r="K294" s="69"/>
      <c r="L294" s="32"/>
      <c r="M294" s="69"/>
      <c r="N294" s="69"/>
      <c r="O294" s="69"/>
      <c r="P294" s="2"/>
      <c r="Q294" s="2"/>
      <c r="R294" s="32"/>
      <c r="S294" s="32"/>
      <c r="T294" s="32"/>
      <c r="U294" s="32"/>
      <c r="V294" s="2"/>
      <c r="W294" s="2"/>
      <c r="X294" s="2"/>
      <c r="Y294" s="2"/>
      <c r="Z294" s="2"/>
    </row>
    <row r="295" spans="1:26" ht="13.8" x14ac:dyDescent="0.3">
      <c r="A295" s="2"/>
      <c r="B295" s="2"/>
      <c r="C295" s="10"/>
      <c r="D295" s="10"/>
      <c r="E295" s="10"/>
      <c r="F295" s="10"/>
      <c r="G295" s="69"/>
      <c r="H295" s="69"/>
      <c r="I295" s="69"/>
      <c r="J295" s="70"/>
      <c r="K295" s="69"/>
      <c r="L295" s="32"/>
      <c r="M295" s="69"/>
      <c r="N295" s="69"/>
      <c r="O295" s="69"/>
      <c r="P295" s="2"/>
      <c r="Q295" s="2"/>
      <c r="R295" s="32"/>
      <c r="S295" s="32"/>
      <c r="T295" s="32"/>
      <c r="U295" s="32"/>
      <c r="V295" s="2"/>
      <c r="W295" s="2"/>
      <c r="X295" s="2"/>
      <c r="Y295" s="2"/>
      <c r="Z295" s="2"/>
    </row>
    <row r="296" spans="1:26" ht="13.8" x14ac:dyDescent="0.3">
      <c r="A296" s="2"/>
      <c r="B296" s="2"/>
      <c r="C296" s="10"/>
      <c r="D296" s="10"/>
      <c r="E296" s="10"/>
      <c r="F296" s="10"/>
      <c r="G296" s="69"/>
      <c r="H296" s="69"/>
      <c r="I296" s="69"/>
      <c r="J296" s="70"/>
      <c r="K296" s="69"/>
      <c r="L296" s="32"/>
      <c r="M296" s="69"/>
      <c r="N296" s="69"/>
      <c r="O296" s="69"/>
      <c r="P296" s="2"/>
      <c r="Q296" s="2"/>
      <c r="R296" s="32"/>
      <c r="S296" s="32"/>
      <c r="T296" s="32"/>
      <c r="U296" s="32"/>
      <c r="V296" s="2"/>
      <c r="W296" s="2"/>
      <c r="X296" s="2"/>
      <c r="Y296" s="2"/>
      <c r="Z296" s="2"/>
    </row>
    <row r="297" spans="1:26" ht="13.8" x14ac:dyDescent="0.3">
      <c r="A297" s="2"/>
      <c r="B297" s="2"/>
      <c r="C297" s="10"/>
      <c r="D297" s="10"/>
      <c r="E297" s="10"/>
      <c r="F297" s="10"/>
      <c r="G297" s="69"/>
      <c r="H297" s="69"/>
      <c r="I297" s="69"/>
      <c r="J297" s="70"/>
      <c r="K297" s="69"/>
      <c r="L297" s="32"/>
      <c r="M297" s="69"/>
      <c r="N297" s="69"/>
      <c r="O297" s="69"/>
      <c r="P297" s="2"/>
      <c r="Q297" s="2"/>
      <c r="R297" s="32"/>
      <c r="S297" s="32"/>
      <c r="T297" s="32"/>
      <c r="U297" s="32"/>
      <c r="V297" s="2"/>
      <c r="W297" s="2"/>
      <c r="X297" s="2"/>
      <c r="Y297" s="2"/>
      <c r="Z297" s="2"/>
    </row>
    <row r="298" spans="1:26" ht="13.8" x14ac:dyDescent="0.3">
      <c r="A298" s="2"/>
      <c r="B298" s="2"/>
      <c r="C298" s="10"/>
      <c r="D298" s="10"/>
      <c r="E298" s="10"/>
      <c r="F298" s="10"/>
      <c r="G298" s="69"/>
      <c r="H298" s="69"/>
      <c r="I298" s="69"/>
      <c r="J298" s="70"/>
      <c r="K298" s="69"/>
      <c r="L298" s="32"/>
      <c r="M298" s="69"/>
      <c r="N298" s="69"/>
      <c r="O298" s="69"/>
      <c r="P298" s="2"/>
      <c r="Q298" s="2"/>
      <c r="R298" s="32"/>
      <c r="S298" s="32"/>
      <c r="T298" s="32"/>
      <c r="U298" s="32"/>
      <c r="V298" s="2"/>
      <c r="W298" s="2"/>
      <c r="X298" s="2"/>
      <c r="Y298" s="2"/>
      <c r="Z298" s="2"/>
    </row>
    <row r="299" spans="1:26" ht="13.8" x14ac:dyDescent="0.3">
      <c r="A299" s="2"/>
      <c r="B299" s="2"/>
      <c r="C299" s="10"/>
      <c r="D299" s="10"/>
      <c r="E299" s="10"/>
      <c r="F299" s="10"/>
      <c r="G299" s="69"/>
      <c r="H299" s="69"/>
      <c r="I299" s="69"/>
      <c r="J299" s="70"/>
      <c r="K299" s="69"/>
      <c r="L299" s="32"/>
      <c r="M299" s="69"/>
      <c r="N299" s="69"/>
      <c r="O299" s="69"/>
      <c r="P299" s="2"/>
      <c r="Q299" s="2"/>
      <c r="R299" s="32"/>
      <c r="S299" s="32"/>
      <c r="T299" s="32"/>
      <c r="U299" s="32"/>
      <c r="V299" s="2"/>
      <c r="W299" s="2"/>
      <c r="X299" s="2"/>
      <c r="Y299" s="2"/>
      <c r="Z299" s="2"/>
    </row>
    <row r="300" spans="1:26" ht="13.8" x14ac:dyDescent="0.3">
      <c r="A300" s="2"/>
      <c r="B300" s="2"/>
      <c r="C300" s="10"/>
      <c r="D300" s="10"/>
      <c r="E300" s="10"/>
      <c r="F300" s="10"/>
      <c r="G300" s="69"/>
      <c r="H300" s="69"/>
      <c r="I300" s="69"/>
      <c r="J300" s="70"/>
      <c r="K300" s="69"/>
      <c r="L300" s="32"/>
      <c r="M300" s="69"/>
      <c r="N300" s="69"/>
      <c r="O300" s="69"/>
      <c r="P300" s="2"/>
      <c r="Q300" s="2"/>
      <c r="R300" s="32"/>
      <c r="S300" s="32"/>
      <c r="T300" s="32"/>
      <c r="U300" s="32"/>
      <c r="V300" s="2"/>
      <c r="W300" s="2"/>
      <c r="X300" s="2"/>
      <c r="Y300" s="2"/>
      <c r="Z300" s="2"/>
    </row>
    <row r="301" spans="1:26" ht="13.8" x14ac:dyDescent="0.3">
      <c r="A301" s="2"/>
      <c r="B301" s="2"/>
      <c r="C301" s="10"/>
      <c r="D301" s="10"/>
      <c r="E301" s="10"/>
      <c r="F301" s="10"/>
      <c r="G301" s="69"/>
      <c r="H301" s="69"/>
      <c r="I301" s="69"/>
      <c r="J301" s="70"/>
      <c r="K301" s="69"/>
      <c r="L301" s="32"/>
      <c r="M301" s="69"/>
      <c r="N301" s="69"/>
      <c r="O301" s="69"/>
      <c r="P301" s="2"/>
      <c r="Q301" s="2"/>
      <c r="R301" s="32"/>
      <c r="S301" s="32"/>
      <c r="T301" s="32"/>
      <c r="U301" s="32"/>
      <c r="V301" s="2"/>
      <c r="W301" s="2"/>
      <c r="X301" s="2"/>
      <c r="Y301" s="2"/>
      <c r="Z301" s="2"/>
    </row>
    <row r="302" spans="1:26" ht="13.8" x14ac:dyDescent="0.3">
      <c r="A302" s="2"/>
      <c r="B302" s="2"/>
      <c r="C302" s="10"/>
      <c r="D302" s="10"/>
      <c r="E302" s="10"/>
      <c r="F302" s="10"/>
      <c r="G302" s="69"/>
      <c r="H302" s="69"/>
      <c r="I302" s="69"/>
      <c r="J302" s="70"/>
      <c r="K302" s="69"/>
      <c r="L302" s="32"/>
      <c r="M302" s="69"/>
      <c r="N302" s="69"/>
      <c r="O302" s="69"/>
      <c r="P302" s="2"/>
      <c r="Q302" s="2"/>
      <c r="R302" s="32"/>
      <c r="S302" s="32"/>
      <c r="T302" s="32"/>
      <c r="U302" s="32"/>
      <c r="V302" s="2"/>
      <c r="W302" s="2"/>
      <c r="X302" s="2"/>
      <c r="Y302" s="2"/>
      <c r="Z302" s="2"/>
    </row>
    <row r="303" spans="1:26" ht="13.8" x14ac:dyDescent="0.3">
      <c r="A303" s="2"/>
      <c r="B303" s="2"/>
      <c r="C303" s="10"/>
      <c r="D303" s="10"/>
      <c r="E303" s="10"/>
      <c r="F303" s="10"/>
      <c r="G303" s="69"/>
      <c r="H303" s="69"/>
      <c r="I303" s="69"/>
      <c r="J303" s="70"/>
      <c r="K303" s="69"/>
      <c r="L303" s="32"/>
      <c r="M303" s="69"/>
      <c r="N303" s="69"/>
      <c r="O303" s="69"/>
      <c r="P303" s="2"/>
      <c r="Q303" s="2"/>
      <c r="R303" s="32"/>
      <c r="S303" s="32"/>
      <c r="T303" s="32"/>
      <c r="U303" s="32"/>
      <c r="V303" s="2"/>
      <c r="W303" s="2"/>
      <c r="X303" s="2"/>
      <c r="Y303" s="2"/>
      <c r="Z303" s="2"/>
    </row>
    <row r="304" spans="1:26" ht="13.8" x14ac:dyDescent="0.3">
      <c r="A304" s="2"/>
      <c r="B304" s="2"/>
      <c r="C304" s="10"/>
      <c r="D304" s="10"/>
      <c r="E304" s="10"/>
      <c r="F304" s="10"/>
      <c r="G304" s="69"/>
      <c r="H304" s="69"/>
      <c r="I304" s="69"/>
      <c r="J304" s="70"/>
      <c r="K304" s="69"/>
      <c r="L304" s="32"/>
      <c r="M304" s="69"/>
      <c r="N304" s="69"/>
      <c r="O304" s="69"/>
      <c r="P304" s="2"/>
      <c r="Q304" s="2"/>
      <c r="R304" s="32"/>
      <c r="S304" s="32"/>
      <c r="T304" s="32"/>
      <c r="U304" s="32"/>
      <c r="V304" s="2"/>
      <c r="W304" s="2"/>
      <c r="X304" s="2"/>
      <c r="Y304" s="2"/>
      <c r="Z304" s="2"/>
    </row>
    <row r="305" spans="1:26" ht="13.8" x14ac:dyDescent="0.3">
      <c r="A305" s="2"/>
      <c r="B305" s="2"/>
      <c r="C305" s="10"/>
      <c r="D305" s="10"/>
      <c r="E305" s="10"/>
      <c r="F305" s="10"/>
      <c r="G305" s="69"/>
      <c r="H305" s="69"/>
      <c r="I305" s="69"/>
      <c r="J305" s="70"/>
      <c r="K305" s="69"/>
      <c r="L305" s="32"/>
      <c r="M305" s="69"/>
      <c r="N305" s="69"/>
      <c r="O305" s="69"/>
      <c r="P305" s="2"/>
      <c r="Q305" s="2"/>
      <c r="R305" s="32"/>
      <c r="S305" s="32"/>
      <c r="T305" s="32"/>
      <c r="U305" s="32"/>
      <c r="V305" s="2"/>
      <c r="W305" s="2"/>
      <c r="X305" s="2"/>
      <c r="Y305" s="2"/>
      <c r="Z305" s="2"/>
    </row>
    <row r="306" spans="1:26" ht="13.8" x14ac:dyDescent="0.3">
      <c r="A306" s="2"/>
      <c r="B306" s="2"/>
      <c r="C306" s="10"/>
      <c r="D306" s="10"/>
      <c r="E306" s="10"/>
      <c r="F306" s="10"/>
      <c r="G306" s="69"/>
      <c r="H306" s="69"/>
      <c r="I306" s="69"/>
      <c r="J306" s="70"/>
      <c r="K306" s="69"/>
      <c r="L306" s="32"/>
      <c r="M306" s="69"/>
      <c r="N306" s="69"/>
      <c r="O306" s="69"/>
      <c r="P306" s="2"/>
      <c r="Q306" s="2"/>
      <c r="R306" s="32"/>
      <c r="S306" s="32"/>
      <c r="T306" s="32"/>
      <c r="U306" s="32"/>
      <c r="V306" s="2"/>
      <c r="W306" s="2"/>
      <c r="X306" s="2"/>
      <c r="Y306" s="2"/>
      <c r="Z306" s="2"/>
    </row>
    <row r="307" spans="1:26" ht="13.8" x14ac:dyDescent="0.3">
      <c r="A307" s="2"/>
      <c r="B307" s="2"/>
      <c r="C307" s="10"/>
      <c r="D307" s="10"/>
      <c r="E307" s="10"/>
      <c r="F307" s="10"/>
      <c r="G307" s="69"/>
      <c r="H307" s="69"/>
      <c r="I307" s="69"/>
      <c r="J307" s="70"/>
      <c r="K307" s="69"/>
      <c r="L307" s="32"/>
      <c r="M307" s="69"/>
      <c r="N307" s="69"/>
      <c r="O307" s="69"/>
      <c r="P307" s="2"/>
      <c r="Q307" s="2"/>
      <c r="R307" s="32"/>
      <c r="S307" s="32"/>
      <c r="T307" s="32"/>
      <c r="U307" s="32"/>
      <c r="V307" s="2"/>
      <c r="W307" s="2"/>
      <c r="X307" s="2"/>
      <c r="Y307" s="2"/>
      <c r="Z307" s="2"/>
    </row>
    <row r="308" spans="1:26" ht="13.8" x14ac:dyDescent="0.3">
      <c r="A308" s="2"/>
      <c r="B308" s="2"/>
      <c r="C308" s="10"/>
      <c r="D308" s="10"/>
      <c r="E308" s="10"/>
      <c r="F308" s="10"/>
      <c r="G308" s="69"/>
      <c r="H308" s="69"/>
      <c r="I308" s="69"/>
      <c r="J308" s="70"/>
      <c r="K308" s="69"/>
      <c r="L308" s="32"/>
      <c r="M308" s="69"/>
      <c r="N308" s="69"/>
      <c r="O308" s="69"/>
      <c r="P308" s="2"/>
      <c r="Q308" s="2"/>
      <c r="R308" s="32"/>
      <c r="S308" s="32"/>
      <c r="T308" s="32"/>
      <c r="U308" s="32"/>
      <c r="V308" s="2"/>
      <c r="W308" s="2"/>
      <c r="X308" s="2"/>
      <c r="Y308" s="2"/>
      <c r="Z308" s="2"/>
    </row>
    <row r="309" spans="1:26" ht="13.8" x14ac:dyDescent="0.3">
      <c r="A309" s="2"/>
      <c r="B309" s="2"/>
      <c r="C309" s="10"/>
      <c r="D309" s="10"/>
      <c r="E309" s="10"/>
      <c r="F309" s="10"/>
      <c r="G309" s="69"/>
      <c r="H309" s="69"/>
      <c r="I309" s="69"/>
      <c r="J309" s="70"/>
      <c r="K309" s="69"/>
      <c r="L309" s="32"/>
      <c r="M309" s="69"/>
      <c r="N309" s="69"/>
      <c r="O309" s="69"/>
      <c r="P309" s="2"/>
      <c r="Q309" s="2"/>
      <c r="R309" s="32"/>
      <c r="S309" s="32"/>
      <c r="T309" s="32"/>
      <c r="U309" s="32"/>
      <c r="V309" s="2"/>
      <c r="W309" s="2"/>
      <c r="X309" s="2"/>
      <c r="Y309" s="2"/>
      <c r="Z309" s="2"/>
    </row>
    <row r="310" spans="1:26" ht="13.8" x14ac:dyDescent="0.3">
      <c r="A310" s="2"/>
      <c r="B310" s="2"/>
      <c r="C310" s="10"/>
      <c r="D310" s="10"/>
      <c r="E310" s="10"/>
      <c r="F310" s="10"/>
      <c r="G310" s="69"/>
      <c r="H310" s="69"/>
      <c r="I310" s="69"/>
      <c r="J310" s="70"/>
      <c r="K310" s="69"/>
      <c r="L310" s="32"/>
      <c r="M310" s="69"/>
      <c r="N310" s="69"/>
      <c r="O310" s="69"/>
      <c r="P310" s="2"/>
      <c r="Q310" s="2"/>
      <c r="R310" s="32"/>
      <c r="S310" s="32"/>
      <c r="T310" s="32"/>
      <c r="U310" s="32"/>
      <c r="V310" s="2"/>
      <c r="W310" s="2"/>
      <c r="X310" s="2"/>
      <c r="Y310" s="2"/>
      <c r="Z310" s="2"/>
    </row>
    <row r="311" spans="1:26" ht="13.8" x14ac:dyDescent="0.3">
      <c r="A311" s="2"/>
      <c r="B311" s="2"/>
      <c r="C311" s="10"/>
      <c r="D311" s="10"/>
      <c r="E311" s="10"/>
      <c r="F311" s="10"/>
      <c r="G311" s="69"/>
      <c r="H311" s="69"/>
      <c r="I311" s="69"/>
      <c r="J311" s="70"/>
      <c r="K311" s="69"/>
      <c r="L311" s="32"/>
      <c r="M311" s="69"/>
      <c r="N311" s="69"/>
      <c r="O311" s="69"/>
      <c r="P311" s="2"/>
      <c r="Q311" s="2"/>
      <c r="R311" s="32"/>
      <c r="S311" s="32"/>
      <c r="T311" s="32"/>
      <c r="U311" s="32"/>
      <c r="V311" s="2"/>
      <c r="W311" s="2"/>
      <c r="X311" s="2"/>
      <c r="Y311" s="2"/>
      <c r="Z311" s="2"/>
    </row>
    <row r="312" spans="1:26" ht="13.8" x14ac:dyDescent="0.3">
      <c r="A312" s="2"/>
      <c r="B312" s="2"/>
      <c r="C312" s="10"/>
      <c r="D312" s="10"/>
      <c r="E312" s="10"/>
      <c r="F312" s="10"/>
      <c r="G312" s="69"/>
      <c r="H312" s="69"/>
      <c r="I312" s="69"/>
      <c r="J312" s="70"/>
      <c r="K312" s="69"/>
      <c r="L312" s="32"/>
      <c r="M312" s="69"/>
      <c r="N312" s="69"/>
      <c r="O312" s="69"/>
      <c r="P312" s="2"/>
      <c r="Q312" s="2"/>
      <c r="R312" s="32"/>
      <c r="S312" s="32"/>
      <c r="T312" s="32"/>
      <c r="U312" s="32"/>
      <c r="V312" s="2"/>
      <c r="W312" s="2"/>
      <c r="X312" s="2"/>
      <c r="Y312" s="2"/>
      <c r="Z312" s="2"/>
    </row>
    <row r="313" spans="1:26" ht="13.8" x14ac:dyDescent="0.3">
      <c r="A313" s="2"/>
      <c r="B313" s="2"/>
      <c r="C313" s="10"/>
      <c r="D313" s="10"/>
      <c r="E313" s="10"/>
      <c r="F313" s="10"/>
      <c r="G313" s="69"/>
      <c r="H313" s="69"/>
      <c r="I313" s="69"/>
      <c r="J313" s="70"/>
      <c r="K313" s="69"/>
      <c r="L313" s="32"/>
      <c r="M313" s="69"/>
      <c r="N313" s="69"/>
      <c r="O313" s="69"/>
      <c r="P313" s="2"/>
      <c r="Q313" s="2"/>
      <c r="R313" s="32"/>
      <c r="S313" s="32"/>
      <c r="T313" s="32"/>
      <c r="U313" s="32"/>
      <c r="V313" s="2"/>
      <c r="W313" s="2"/>
      <c r="X313" s="2"/>
      <c r="Y313" s="2"/>
      <c r="Z313" s="2"/>
    </row>
    <row r="314" spans="1:26" ht="13.8" x14ac:dyDescent="0.3">
      <c r="A314" s="2"/>
      <c r="B314" s="2"/>
      <c r="C314" s="10"/>
      <c r="D314" s="10"/>
      <c r="E314" s="10"/>
      <c r="F314" s="10"/>
      <c r="G314" s="69"/>
      <c r="H314" s="69"/>
      <c r="I314" s="69"/>
      <c r="J314" s="70"/>
      <c r="K314" s="69"/>
      <c r="L314" s="32"/>
      <c r="M314" s="69"/>
      <c r="N314" s="69"/>
      <c r="O314" s="69"/>
      <c r="P314" s="2"/>
      <c r="Q314" s="2"/>
      <c r="R314" s="32"/>
      <c r="S314" s="32"/>
      <c r="T314" s="32"/>
      <c r="U314" s="32"/>
      <c r="V314" s="2"/>
      <c r="W314" s="2"/>
      <c r="X314" s="2"/>
      <c r="Y314" s="2"/>
      <c r="Z314" s="2"/>
    </row>
    <row r="315" spans="1:26" ht="13.8" x14ac:dyDescent="0.3">
      <c r="A315" s="2"/>
      <c r="B315" s="2"/>
      <c r="C315" s="10"/>
      <c r="D315" s="10"/>
      <c r="E315" s="10"/>
      <c r="F315" s="10"/>
      <c r="G315" s="69"/>
      <c r="H315" s="69"/>
      <c r="I315" s="69"/>
      <c r="J315" s="70"/>
      <c r="K315" s="69"/>
      <c r="L315" s="32"/>
      <c r="M315" s="69"/>
      <c r="N315" s="69"/>
      <c r="O315" s="69"/>
      <c r="P315" s="2"/>
      <c r="Q315" s="2"/>
      <c r="R315" s="32"/>
      <c r="S315" s="32"/>
      <c r="T315" s="32"/>
      <c r="U315" s="32"/>
      <c r="V315" s="2"/>
      <c r="W315" s="2"/>
      <c r="X315" s="2"/>
      <c r="Y315" s="2"/>
      <c r="Z315" s="2"/>
    </row>
    <row r="316" spans="1:26" ht="13.8" x14ac:dyDescent="0.3">
      <c r="A316" s="2"/>
      <c r="B316" s="2"/>
      <c r="C316" s="10"/>
      <c r="D316" s="10"/>
      <c r="E316" s="10"/>
      <c r="F316" s="10"/>
      <c r="G316" s="69"/>
      <c r="H316" s="69"/>
      <c r="I316" s="69"/>
      <c r="J316" s="70"/>
      <c r="K316" s="69"/>
      <c r="L316" s="32"/>
      <c r="M316" s="69"/>
      <c r="N316" s="69"/>
      <c r="O316" s="69"/>
      <c r="P316" s="2"/>
      <c r="Q316" s="2"/>
      <c r="R316" s="32"/>
      <c r="S316" s="32"/>
      <c r="T316" s="32"/>
      <c r="U316" s="32"/>
      <c r="V316" s="2"/>
      <c r="W316" s="2"/>
      <c r="X316" s="2"/>
      <c r="Y316" s="2"/>
      <c r="Z316" s="2"/>
    </row>
    <row r="317" spans="1:26" ht="13.8" x14ac:dyDescent="0.3">
      <c r="A317" s="2"/>
      <c r="B317" s="2"/>
      <c r="C317" s="10"/>
      <c r="D317" s="10"/>
      <c r="E317" s="10"/>
      <c r="F317" s="10"/>
      <c r="G317" s="69"/>
      <c r="H317" s="69"/>
      <c r="I317" s="69"/>
      <c r="J317" s="70"/>
      <c r="K317" s="69"/>
      <c r="L317" s="32"/>
      <c r="M317" s="69"/>
      <c r="N317" s="69"/>
      <c r="O317" s="69"/>
      <c r="P317" s="2"/>
      <c r="Q317" s="2"/>
      <c r="R317" s="32"/>
      <c r="S317" s="32"/>
      <c r="T317" s="32"/>
      <c r="U317" s="32"/>
      <c r="V317" s="2"/>
      <c r="W317" s="2"/>
      <c r="X317" s="2"/>
      <c r="Y317" s="2"/>
      <c r="Z317" s="2"/>
    </row>
    <row r="318" spans="1:26" ht="13.8" x14ac:dyDescent="0.3">
      <c r="A318" s="2"/>
      <c r="B318" s="2"/>
      <c r="C318" s="10"/>
      <c r="D318" s="10"/>
      <c r="E318" s="10"/>
      <c r="F318" s="10"/>
      <c r="G318" s="69"/>
      <c r="H318" s="69"/>
      <c r="I318" s="69"/>
      <c r="J318" s="70"/>
      <c r="K318" s="69"/>
      <c r="L318" s="32"/>
      <c r="M318" s="69"/>
      <c r="N318" s="69"/>
      <c r="O318" s="69"/>
      <c r="P318" s="2"/>
      <c r="Q318" s="2"/>
      <c r="R318" s="32"/>
      <c r="S318" s="32"/>
      <c r="T318" s="32"/>
      <c r="U318" s="32"/>
      <c r="V318" s="2"/>
      <c r="W318" s="2"/>
      <c r="X318" s="2"/>
      <c r="Y318" s="2"/>
      <c r="Z318" s="2"/>
    </row>
    <row r="319" spans="1:26" ht="13.8" x14ac:dyDescent="0.3">
      <c r="A319" s="2"/>
      <c r="B319" s="2"/>
      <c r="C319" s="10"/>
      <c r="D319" s="10"/>
      <c r="E319" s="10"/>
      <c r="F319" s="10"/>
      <c r="G319" s="69"/>
      <c r="H319" s="69"/>
      <c r="I319" s="69"/>
      <c r="J319" s="70"/>
      <c r="K319" s="69"/>
      <c r="L319" s="32"/>
      <c r="M319" s="69"/>
      <c r="N319" s="69"/>
      <c r="O319" s="69"/>
      <c r="P319" s="2"/>
      <c r="Q319" s="2"/>
      <c r="R319" s="32"/>
      <c r="S319" s="32"/>
      <c r="T319" s="32"/>
      <c r="U319" s="32"/>
      <c r="V319" s="2"/>
      <c r="W319" s="2"/>
      <c r="X319" s="2"/>
      <c r="Y319" s="2"/>
      <c r="Z319" s="2"/>
    </row>
    <row r="320" spans="1:26" ht="13.8" x14ac:dyDescent="0.3">
      <c r="A320" s="2"/>
      <c r="B320" s="2"/>
      <c r="C320" s="10"/>
      <c r="D320" s="10"/>
      <c r="E320" s="10"/>
      <c r="F320" s="10"/>
      <c r="G320" s="69"/>
      <c r="H320" s="69"/>
      <c r="I320" s="69"/>
      <c r="J320" s="70"/>
      <c r="K320" s="69"/>
      <c r="L320" s="32"/>
      <c r="M320" s="69"/>
      <c r="N320" s="69"/>
      <c r="O320" s="69"/>
      <c r="P320" s="2"/>
      <c r="Q320" s="2"/>
      <c r="R320" s="32"/>
      <c r="S320" s="32"/>
      <c r="T320" s="32"/>
      <c r="U320" s="32"/>
      <c r="V320" s="2"/>
      <c r="W320" s="2"/>
      <c r="X320" s="2"/>
      <c r="Y320" s="2"/>
      <c r="Z320" s="2"/>
    </row>
    <row r="321" spans="1:26" ht="13.8" x14ac:dyDescent="0.3">
      <c r="A321" s="2"/>
      <c r="B321" s="2"/>
      <c r="C321" s="10"/>
      <c r="D321" s="10"/>
      <c r="E321" s="10"/>
      <c r="F321" s="10"/>
      <c r="G321" s="69"/>
      <c r="H321" s="69"/>
      <c r="I321" s="69"/>
      <c r="J321" s="70"/>
      <c r="K321" s="69"/>
      <c r="L321" s="32"/>
      <c r="M321" s="69"/>
      <c r="N321" s="69"/>
      <c r="O321" s="69"/>
      <c r="P321" s="2"/>
      <c r="Q321" s="2"/>
      <c r="R321" s="32"/>
      <c r="S321" s="32"/>
      <c r="T321" s="32"/>
      <c r="U321" s="32"/>
      <c r="V321" s="2"/>
      <c r="W321" s="2"/>
      <c r="X321" s="2"/>
      <c r="Y321" s="2"/>
      <c r="Z321" s="2"/>
    </row>
    <row r="322" spans="1:26" ht="13.8" x14ac:dyDescent="0.3">
      <c r="A322" s="2"/>
      <c r="B322" s="2"/>
      <c r="C322" s="10"/>
      <c r="D322" s="10"/>
      <c r="E322" s="10"/>
      <c r="F322" s="10"/>
      <c r="G322" s="69"/>
      <c r="H322" s="69"/>
      <c r="I322" s="69"/>
      <c r="J322" s="70"/>
      <c r="K322" s="69"/>
      <c r="L322" s="32"/>
      <c r="M322" s="69"/>
      <c r="N322" s="69"/>
      <c r="O322" s="69"/>
      <c r="P322" s="2"/>
      <c r="Q322" s="2"/>
      <c r="R322" s="32"/>
      <c r="S322" s="32"/>
      <c r="T322" s="32"/>
      <c r="U322" s="32"/>
      <c r="V322" s="2"/>
      <c r="W322" s="2"/>
      <c r="X322" s="2"/>
      <c r="Y322" s="2"/>
      <c r="Z322" s="2"/>
    </row>
    <row r="323" spans="1:26" ht="13.8" x14ac:dyDescent="0.3">
      <c r="A323" s="2"/>
      <c r="B323" s="2"/>
      <c r="C323" s="10"/>
      <c r="D323" s="10"/>
      <c r="E323" s="10"/>
      <c r="F323" s="10"/>
      <c r="G323" s="69"/>
      <c r="H323" s="69"/>
      <c r="I323" s="69"/>
      <c r="J323" s="70"/>
      <c r="K323" s="69"/>
      <c r="L323" s="32"/>
      <c r="M323" s="69"/>
      <c r="N323" s="69"/>
      <c r="O323" s="69"/>
      <c r="P323" s="2"/>
      <c r="Q323" s="2"/>
      <c r="R323" s="32"/>
      <c r="S323" s="32"/>
      <c r="T323" s="32"/>
      <c r="U323" s="32"/>
      <c r="V323" s="2"/>
      <c r="W323" s="2"/>
      <c r="X323" s="2"/>
      <c r="Y323" s="2"/>
      <c r="Z323" s="2"/>
    </row>
    <row r="324" spans="1:26" ht="13.8" x14ac:dyDescent="0.3">
      <c r="A324" s="2"/>
      <c r="B324" s="2"/>
      <c r="C324" s="10"/>
      <c r="D324" s="10"/>
      <c r="E324" s="10"/>
      <c r="F324" s="10"/>
      <c r="G324" s="69"/>
      <c r="H324" s="69"/>
      <c r="I324" s="69"/>
      <c r="J324" s="70"/>
      <c r="K324" s="69"/>
      <c r="L324" s="32"/>
      <c r="M324" s="69"/>
      <c r="N324" s="69"/>
      <c r="O324" s="69"/>
      <c r="P324" s="2"/>
      <c r="Q324" s="2"/>
      <c r="R324" s="32"/>
      <c r="S324" s="32"/>
      <c r="T324" s="32"/>
      <c r="U324" s="32"/>
      <c r="V324" s="2"/>
      <c r="W324" s="2"/>
      <c r="X324" s="2"/>
      <c r="Y324" s="2"/>
      <c r="Z324" s="2"/>
    </row>
    <row r="325" spans="1:26" ht="13.8" x14ac:dyDescent="0.3">
      <c r="A325" s="2"/>
      <c r="B325" s="2"/>
      <c r="C325" s="10"/>
      <c r="D325" s="10"/>
      <c r="E325" s="10"/>
      <c r="F325" s="10"/>
      <c r="G325" s="69"/>
      <c r="H325" s="69"/>
      <c r="I325" s="69"/>
      <c r="J325" s="70"/>
      <c r="K325" s="69"/>
      <c r="L325" s="32"/>
      <c r="M325" s="69"/>
      <c r="N325" s="69"/>
      <c r="O325" s="69"/>
      <c r="P325" s="2"/>
      <c r="Q325" s="2"/>
      <c r="R325" s="32"/>
      <c r="S325" s="32"/>
      <c r="T325" s="32"/>
      <c r="U325" s="32"/>
      <c r="V325" s="2"/>
      <c r="W325" s="2"/>
      <c r="X325" s="2"/>
      <c r="Y325" s="2"/>
      <c r="Z325" s="2"/>
    </row>
    <row r="326" spans="1:26" ht="13.8" x14ac:dyDescent="0.3">
      <c r="A326" s="2"/>
      <c r="B326" s="2"/>
      <c r="C326" s="10"/>
      <c r="D326" s="10"/>
      <c r="E326" s="10"/>
      <c r="F326" s="10"/>
      <c r="G326" s="69"/>
      <c r="H326" s="69"/>
      <c r="I326" s="69"/>
      <c r="J326" s="70"/>
      <c r="K326" s="69"/>
      <c r="L326" s="32"/>
      <c r="M326" s="69"/>
      <c r="N326" s="69"/>
      <c r="O326" s="69"/>
      <c r="P326" s="2"/>
      <c r="Q326" s="2"/>
      <c r="R326" s="32"/>
      <c r="S326" s="32"/>
      <c r="T326" s="32"/>
      <c r="U326" s="32"/>
      <c r="V326" s="2"/>
      <c r="W326" s="2"/>
      <c r="X326" s="2"/>
      <c r="Y326" s="2"/>
      <c r="Z326" s="2"/>
    </row>
    <row r="327" spans="1:26" ht="13.8" x14ac:dyDescent="0.3">
      <c r="A327" s="2"/>
      <c r="B327" s="2"/>
      <c r="C327" s="10"/>
      <c r="D327" s="10"/>
      <c r="E327" s="10"/>
      <c r="F327" s="10"/>
      <c r="G327" s="69"/>
      <c r="H327" s="69"/>
      <c r="I327" s="69"/>
      <c r="J327" s="70"/>
      <c r="K327" s="69"/>
      <c r="L327" s="32"/>
      <c r="M327" s="69"/>
      <c r="N327" s="69"/>
      <c r="O327" s="69"/>
      <c r="P327" s="2"/>
      <c r="Q327" s="2"/>
      <c r="R327" s="32"/>
      <c r="S327" s="32"/>
      <c r="T327" s="32"/>
      <c r="U327" s="32"/>
      <c r="V327" s="2"/>
      <c r="W327" s="2"/>
      <c r="X327" s="2"/>
      <c r="Y327" s="2"/>
      <c r="Z327" s="2"/>
    </row>
    <row r="328" spans="1:26" ht="13.8" x14ac:dyDescent="0.3">
      <c r="A328" s="2"/>
      <c r="B328" s="2"/>
      <c r="C328" s="10"/>
      <c r="D328" s="10"/>
      <c r="E328" s="10"/>
      <c r="F328" s="10"/>
      <c r="G328" s="69"/>
      <c r="H328" s="69"/>
      <c r="I328" s="69"/>
      <c r="J328" s="70"/>
      <c r="K328" s="69"/>
      <c r="L328" s="32"/>
      <c r="M328" s="69"/>
      <c r="N328" s="69"/>
      <c r="O328" s="69"/>
      <c r="P328" s="2"/>
      <c r="Q328" s="2"/>
      <c r="R328" s="32"/>
      <c r="S328" s="32"/>
      <c r="T328" s="32"/>
      <c r="U328" s="32"/>
      <c r="V328" s="2"/>
      <c r="W328" s="2"/>
      <c r="X328" s="2"/>
      <c r="Y328" s="2"/>
      <c r="Z328" s="2"/>
    </row>
    <row r="329" spans="1:26" ht="13.8" x14ac:dyDescent="0.3">
      <c r="A329" s="2"/>
      <c r="B329" s="2"/>
      <c r="C329" s="10"/>
      <c r="D329" s="10"/>
      <c r="E329" s="10"/>
      <c r="F329" s="10"/>
      <c r="G329" s="69"/>
      <c r="H329" s="69"/>
      <c r="I329" s="69"/>
      <c r="J329" s="70"/>
      <c r="K329" s="69"/>
      <c r="L329" s="32"/>
      <c r="M329" s="69"/>
      <c r="N329" s="69"/>
      <c r="O329" s="69"/>
      <c r="P329" s="2"/>
      <c r="Q329" s="2"/>
      <c r="R329" s="32"/>
      <c r="S329" s="32"/>
      <c r="T329" s="32"/>
      <c r="U329" s="32"/>
      <c r="V329" s="2"/>
      <c r="W329" s="2"/>
      <c r="X329" s="2"/>
      <c r="Y329" s="2"/>
      <c r="Z329" s="2"/>
    </row>
    <row r="330" spans="1:26" ht="13.8" x14ac:dyDescent="0.3">
      <c r="A330" s="2"/>
      <c r="B330" s="2"/>
      <c r="C330" s="10"/>
      <c r="D330" s="10"/>
      <c r="E330" s="10"/>
      <c r="F330" s="10"/>
      <c r="G330" s="69"/>
      <c r="H330" s="69"/>
      <c r="I330" s="69"/>
      <c r="J330" s="70"/>
      <c r="K330" s="69"/>
      <c r="L330" s="32"/>
      <c r="M330" s="69"/>
      <c r="N330" s="69"/>
      <c r="O330" s="69"/>
      <c r="P330" s="2"/>
      <c r="Q330" s="2"/>
      <c r="R330" s="32"/>
      <c r="S330" s="32"/>
      <c r="T330" s="32"/>
      <c r="U330" s="32"/>
      <c r="V330" s="2"/>
      <c r="W330" s="2"/>
      <c r="X330" s="2"/>
      <c r="Y330" s="2"/>
      <c r="Z330" s="2"/>
    </row>
    <row r="331" spans="1:26" ht="13.8" x14ac:dyDescent="0.3">
      <c r="A331" s="2"/>
      <c r="B331" s="2"/>
      <c r="C331" s="10"/>
      <c r="D331" s="10"/>
      <c r="E331" s="10"/>
      <c r="F331" s="10"/>
      <c r="G331" s="69"/>
      <c r="H331" s="69"/>
      <c r="I331" s="69"/>
      <c r="J331" s="70"/>
      <c r="K331" s="69"/>
      <c r="L331" s="32"/>
      <c r="M331" s="69"/>
      <c r="N331" s="69"/>
      <c r="O331" s="69"/>
      <c r="P331" s="2"/>
      <c r="Q331" s="2"/>
      <c r="R331" s="32"/>
      <c r="S331" s="32"/>
      <c r="T331" s="32"/>
      <c r="U331" s="32"/>
      <c r="V331" s="2"/>
      <c r="W331" s="2"/>
      <c r="X331" s="2"/>
      <c r="Y331" s="2"/>
      <c r="Z331" s="2"/>
    </row>
    <row r="332" spans="1:26" ht="13.8" x14ac:dyDescent="0.3">
      <c r="A332" s="2"/>
      <c r="B332" s="2"/>
      <c r="C332" s="10"/>
      <c r="D332" s="10"/>
      <c r="E332" s="10"/>
      <c r="F332" s="10"/>
      <c r="G332" s="69"/>
      <c r="H332" s="69"/>
      <c r="I332" s="69"/>
      <c r="J332" s="70"/>
      <c r="K332" s="69"/>
      <c r="L332" s="32"/>
      <c r="M332" s="69"/>
      <c r="N332" s="69"/>
      <c r="O332" s="69"/>
      <c r="P332" s="2"/>
      <c r="Q332" s="2"/>
      <c r="R332" s="32"/>
      <c r="S332" s="32"/>
      <c r="T332" s="32"/>
      <c r="U332" s="32"/>
      <c r="V332" s="2"/>
      <c r="W332" s="2"/>
      <c r="X332" s="2"/>
      <c r="Y332" s="2"/>
      <c r="Z332" s="2"/>
    </row>
    <row r="333" spans="1:26" ht="13.8" x14ac:dyDescent="0.3">
      <c r="A333" s="2"/>
      <c r="B333" s="2"/>
      <c r="C333" s="10"/>
      <c r="D333" s="10"/>
      <c r="E333" s="10"/>
      <c r="F333" s="10"/>
      <c r="G333" s="69"/>
      <c r="H333" s="69"/>
      <c r="I333" s="69"/>
      <c r="J333" s="70"/>
      <c r="K333" s="69"/>
      <c r="L333" s="32"/>
      <c r="M333" s="69"/>
      <c r="N333" s="69"/>
      <c r="O333" s="69"/>
      <c r="P333" s="2"/>
      <c r="Q333" s="2"/>
      <c r="R333" s="32"/>
      <c r="S333" s="32"/>
      <c r="T333" s="32"/>
      <c r="U333" s="32"/>
      <c r="V333" s="2"/>
      <c r="W333" s="2"/>
      <c r="X333" s="2"/>
      <c r="Y333" s="2"/>
      <c r="Z333" s="2"/>
    </row>
    <row r="334" spans="1:26" ht="13.8" x14ac:dyDescent="0.3">
      <c r="A334" s="2"/>
      <c r="B334" s="2"/>
      <c r="C334" s="10"/>
      <c r="D334" s="10"/>
      <c r="E334" s="10"/>
      <c r="F334" s="10"/>
      <c r="G334" s="69"/>
      <c r="H334" s="69"/>
      <c r="I334" s="69"/>
      <c r="J334" s="70"/>
      <c r="K334" s="69"/>
      <c r="L334" s="32"/>
      <c r="M334" s="69"/>
      <c r="N334" s="69"/>
      <c r="O334" s="69"/>
      <c r="P334" s="2"/>
      <c r="Q334" s="2"/>
      <c r="R334" s="32"/>
      <c r="S334" s="32"/>
      <c r="T334" s="32"/>
      <c r="U334" s="32"/>
      <c r="V334" s="2"/>
      <c r="W334" s="2"/>
      <c r="X334" s="2"/>
      <c r="Y334" s="2"/>
      <c r="Z334" s="2"/>
    </row>
    <row r="335" spans="1:26" ht="13.8" x14ac:dyDescent="0.3">
      <c r="A335" s="2"/>
      <c r="B335" s="2"/>
      <c r="C335" s="10"/>
      <c r="D335" s="10"/>
      <c r="E335" s="10"/>
      <c r="F335" s="10"/>
      <c r="G335" s="69"/>
      <c r="H335" s="69"/>
      <c r="I335" s="69"/>
      <c r="J335" s="70"/>
      <c r="K335" s="69"/>
      <c r="L335" s="32"/>
      <c r="M335" s="69"/>
      <c r="N335" s="69"/>
      <c r="O335" s="69"/>
      <c r="P335" s="2"/>
      <c r="Q335" s="2"/>
      <c r="R335" s="32"/>
      <c r="S335" s="32"/>
      <c r="T335" s="32"/>
      <c r="U335" s="32"/>
      <c r="V335" s="2"/>
      <c r="W335" s="2"/>
      <c r="X335" s="2"/>
      <c r="Y335" s="2"/>
      <c r="Z335" s="2"/>
    </row>
    <row r="336" spans="1:26" ht="13.8" x14ac:dyDescent="0.3">
      <c r="A336" s="2"/>
      <c r="B336" s="2"/>
      <c r="C336" s="10"/>
      <c r="D336" s="10"/>
      <c r="E336" s="10"/>
      <c r="F336" s="10"/>
      <c r="G336" s="69"/>
      <c r="H336" s="69"/>
      <c r="I336" s="69"/>
      <c r="J336" s="70"/>
      <c r="K336" s="69"/>
      <c r="L336" s="32"/>
      <c r="M336" s="69"/>
      <c r="N336" s="69"/>
      <c r="O336" s="69"/>
      <c r="P336" s="2"/>
      <c r="Q336" s="2"/>
      <c r="R336" s="32"/>
      <c r="S336" s="32"/>
      <c r="T336" s="32"/>
      <c r="U336" s="32"/>
      <c r="V336" s="2"/>
      <c r="W336" s="2"/>
      <c r="X336" s="2"/>
      <c r="Y336" s="2"/>
      <c r="Z336" s="2"/>
    </row>
    <row r="337" spans="1:26" ht="13.8" x14ac:dyDescent="0.3">
      <c r="A337" s="2"/>
      <c r="B337" s="2"/>
      <c r="C337" s="10"/>
      <c r="D337" s="10"/>
      <c r="E337" s="10"/>
      <c r="F337" s="10"/>
      <c r="G337" s="69"/>
      <c r="H337" s="69"/>
      <c r="I337" s="69"/>
      <c r="J337" s="70"/>
      <c r="K337" s="69"/>
      <c r="L337" s="32"/>
      <c r="M337" s="69"/>
      <c r="N337" s="69"/>
      <c r="O337" s="69"/>
      <c r="P337" s="2"/>
      <c r="Q337" s="2"/>
      <c r="R337" s="32"/>
      <c r="S337" s="32"/>
      <c r="T337" s="32"/>
      <c r="U337" s="32"/>
      <c r="V337" s="2"/>
      <c r="W337" s="2"/>
      <c r="X337" s="2"/>
      <c r="Y337" s="2"/>
      <c r="Z337" s="2"/>
    </row>
    <row r="338" spans="1:26" ht="13.8" x14ac:dyDescent="0.3">
      <c r="A338" s="2"/>
      <c r="B338" s="2"/>
      <c r="C338" s="10"/>
      <c r="D338" s="10"/>
      <c r="E338" s="10"/>
      <c r="F338" s="10"/>
      <c r="G338" s="69"/>
      <c r="H338" s="69"/>
      <c r="I338" s="69"/>
      <c r="J338" s="70"/>
      <c r="K338" s="69"/>
      <c r="L338" s="32"/>
      <c r="M338" s="69"/>
      <c r="N338" s="69"/>
      <c r="O338" s="69"/>
      <c r="P338" s="2"/>
      <c r="Q338" s="2"/>
      <c r="R338" s="32"/>
      <c r="S338" s="32"/>
      <c r="T338" s="32"/>
      <c r="U338" s="32"/>
      <c r="V338" s="2"/>
      <c r="W338" s="2"/>
      <c r="X338" s="2"/>
      <c r="Y338" s="2"/>
      <c r="Z338" s="2"/>
    </row>
    <row r="339" spans="1:26" ht="13.8" x14ac:dyDescent="0.3">
      <c r="A339" s="2"/>
      <c r="B339" s="2"/>
      <c r="C339" s="10"/>
      <c r="D339" s="10"/>
      <c r="E339" s="10"/>
      <c r="F339" s="10"/>
      <c r="G339" s="69"/>
      <c r="H339" s="69"/>
      <c r="I339" s="69"/>
      <c r="J339" s="70"/>
      <c r="K339" s="69"/>
      <c r="L339" s="32"/>
      <c r="M339" s="69"/>
      <c r="N339" s="69"/>
      <c r="O339" s="69"/>
      <c r="P339" s="2"/>
      <c r="Q339" s="2"/>
      <c r="R339" s="32"/>
      <c r="S339" s="32"/>
      <c r="T339" s="32"/>
      <c r="U339" s="32"/>
      <c r="V339" s="2"/>
      <c r="W339" s="2"/>
      <c r="X339" s="2"/>
      <c r="Y339" s="2"/>
      <c r="Z339" s="2"/>
    </row>
    <row r="340" spans="1:26" ht="13.8" x14ac:dyDescent="0.3">
      <c r="A340" s="2"/>
      <c r="B340" s="2"/>
      <c r="C340" s="10"/>
      <c r="D340" s="10"/>
      <c r="E340" s="10"/>
      <c r="F340" s="10"/>
      <c r="G340" s="69"/>
      <c r="H340" s="69"/>
      <c r="I340" s="69"/>
      <c r="J340" s="70"/>
      <c r="K340" s="69"/>
      <c r="L340" s="32"/>
      <c r="M340" s="69"/>
      <c r="N340" s="69"/>
      <c r="O340" s="69"/>
      <c r="P340" s="2"/>
      <c r="Q340" s="2"/>
      <c r="R340" s="32"/>
      <c r="S340" s="32"/>
      <c r="T340" s="32"/>
      <c r="U340" s="32"/>
      <c r="V340" s="2"/>
      <c r="W340" s="2"/>
      <c r="X340" s="2"/>
      <c r="Y340" s="2"/>
      <c r="Z340" s="2"/>
    </row>
    <row r="341" spans="1:26" ht="13.8" x14ac:dyDescent="0.3">
      <c r="A341" s="2"/>
      <c r="B341" s="2"/>
      <c r="C341" s="10"/>
      <c r="D341" s="10"/>
      <c r="E341" s="10"/>
      <c r="F341" s="10"/>
      <c r="G341" s="69"/>
      <c r="H341" s="69"/>
      <c r="I341" s="69"/>
      <c r="J341" s="70"/>
      <c r="K341" s="69"/>
      <c r="L341" s="32"/>
      <c r="M341" s="69"/>
      <c r="N341" s="69"/>
      <c r="O341" s="69"/>
      <c r="P341" s="2"/>
      <c r="Q341" s="2"/>
      <c r="R341" s="32"/>
      <c r="S341" s="32"/>
      <c r="T341" s="32"/>
      <c r="U341" s="32"/>
      <c r="V341" s="2"/>
      <c r="W341" s="2"/>
      <c r="X341" s="2"/>
      <c r="Y341" s="2"/>
      <c r="Z341" s="2"/>
    </row>
    <row r="342" spans="1:26" ht="13.8" x14ac:dyDescent="0.3">
      <c r="A342" s="2"/>
      <c r="B342" s="2"/>
      <c r="C342" s="10"/>
      <c r="D342" s="10"/>
      <c r="E342" s="10"/>
      <c r="F342" s="10"/>
      <c r="G342" s="69"/>
      <c r="H342" s="69"/>
      <c r="I342" s="69"/>
      <c r="J342" s="70"/>
      <c r="K342" s="69"/>
      <c r="L342" s="32"/>
      <c r="M342" s="69"/>
      <c r="N342" s="69"/>
      <c r="O342" s="69"/>
      <c r="P342" s="2"/>
      <c r="Q342" s="2"/>
      <c r="R342" s="32"/>
      <c r="S342" s="32"/>
      <c r="T342" s="32"/>
      <c r="U342" s="32"/>
      <c r="V342" s="2"/>
      <c r="W342" s="2"/>
      <c r="X342" s="2"/>
      <c r="Y342" s="2"/>
      <c r="Z342" s="2"/>
    </row>
    <row r="343" spans="1:26" ht="13.8" x14ac:dyDescent="0.3">
      <c r="A343" s="2"/>
      <c r="B343" s="2"/>
      <c r="C343" s="10"/>
      <c r="D343" s="10"/>
      <c r="E343" s="10"/>
      <c r="F343" s="10"/>
      <c r="G343" s="69"/>
      <c r="H343" s="69"/>
      <c r="I343" s="69"/>
      <c r="J343" s="70"/>
      <c r="K343" s="69"/>
      <c r="L343" s="32"/>
      <c r="M343" s="69"/>
      <c r="N343" s="69"/>
      <c r="O343" s="69"/>
      <c r="P343" s="2"/>
      <c r="Q343" s="2"/>
      <c r="R343" s="32"/>
      <c r="S343" s="32"/>
      <c r="T343" s="32"/>
      <c r="U343" s="32"/>
      <c r="V343" s="2"/>
      <c r="W343" s="2"/>
      <c r="X343" s="2"/>
      <c r="Y343" s="2"/>
      <c r="Z343" s="2"/>
    </row>
    <row r="344" spans="1:26" ht="13.8" x14ac:dyDescent="0.3">
      <c r="A344" s="2"/>
      <c r="B344" s="2"/>
      <c r="C344" s="10"/>
      <c r="D344" s="10"/>
      <c r="E344" s="10"/>
      <c r="F344" s="10"/>
      <c r="G344" s="69"/>
      <c r="H344" s="69"/>
      <c r="I344" s="69"/>
      <c r="J344" s="70"/>
      <c r="K344" s="69"/>
      <c r="L344" s="32"/>
      <c r="M344" s="69"/>
      <c r="N344" s="69"/>
      <c r="O344" s="69"/>
      <c r="P344" s="2"/>
      <c r="Q344" s="2"/>
      <c r="R344" s="32"/>
      <c r="S344" s="32"/>
      <c r="T344" s="32"/>
      <c r="U344" s="32"/>
      <c r="V344" s="2"/>
      <c r="W344" s="2"/>
      <c r="X344" s="2"/>
      <c r="Y344" s="2"/>
      <c r="Z344" s="2"/>
    </row>
    <row r="345" spans="1:26" ht="13.8" x14ac:dyDescent="0.3">
      <c r="A345" s="2"/>
      <c r="B345" s="2"/>
      <c r="C345" s="10"/>
      <c r="D345" s="10"/>
      <c r="E345" s="10"/>
      <c r="F345" s="10"/>
      <c r="G345" s="69"/>
      <c r="H345" s="69"/>
      <c r="I345" s="69"/>
      <c r="J345" s="70"/>
      <c r="K345" s="69"/>
      <c r="L345" s="32"/>
      <c r="M345" s="69"/>
      <c r="N345" s="69"/>
      <c r="O345" s="69"/>
      <c r="P345" s="2"/>
      <c r="Q345" s="2"/>
      <c r="R345" s="32"/>
      <c r="S345" s="32"/>
      <c r="T345" s="32"/>
      <c r="U345" s="32"/>
      <c r="V345" s="2"/>
      <c r="W345" s="2"/>
      <c r="X345" s="2"/>
      <c r="Y345" s="2"/>
      <c r="Z345" s="2"/>
    </row>
    <row r="346" spans="1:26" ht="13.8" x14ac:dyDescent="0.3">
      <c r="A346" s="2"/>
      <c r="B346" s="2"/>
      <c r="C346" s="10"/>
      <c r="D346" s="10"/>
      <c r="E346" s="10"/>
      <c r="F346" s="10"/>
      <c r="G346" s="69"/>
      <c r="H346" s="69"/>
      <c r="I346" s="69"/>
      <c r="J346" s="70"/>
      <c r="K346" s="69"/>
      <c r="L346" s="32"/>
      <c r="M346" s="69"/>
      <c r="N346" s="69"/>
      <c r="O346" s="69"/>
      <c r="P346" s="2"/>
      <c r="Q346" s="2"/>
      <c r="R346" s="32"/>
      <c r="S346" s="32"/>
      <c r="T346" s="32"/>
      <c r="U346" s="32"/>
      <c r="V346" s="2"/>
      <c r="W346" s="2"/>
      <c r="X346" s="2"/>
      <c r="Y346" s="2"/>
      <c r="Z346" s="2"/>
    </row>
    <row r="347" spans="1:26" ht="13.8" x14ac:dyDescent="0.3">
      <c r="A347" s="2"/>
      <c r="B347" s="2"/>
      <c r="C347" s="10"/>
      <c r="D347" s="10"/>
      <c r="E347" s="10"/>
      <c r="F347" s="10"/>
      <c r="G347" s="69"/>
      <c r="H347" s="69"/>
      <c r="I347" s="69"/>
      <c r="J347" s="70"/>
      <c r="K347" s="69"/>
      <c r="L347" s="32"/>
      <c r="M347" s="69"/>
      <c r="N347" s="69"/>
      <c r="O347" s="69"/>
      <c r="P347" s="2"/>
      <c r="Q347" s="2"/>
      <c r="R347" s="32"/>
      <c r="S347" s="32"/>
      <c r="T347" s="32"/>
      <c r="U347" s="32"/>
      <c r="V347" s="2"/>
      <c r="W347" s="2"/>
      <c r="X347" s="2"/>
      <c r="Y347" s="2"/>
      <c r="Z347" s="2"/>
    </row>
    <row r="348" spans="1:26" ht="13.8" x14ac:dyDescent="0.3">
      <c r="A348" s="2"/>
      <c r="B348" s="2"/>
      <c r="C348" s="10"/>
      <c r="D348" s="10"/>
      <c r="E348" s="10"/>
      <c r="F348" s="10"/>
      <c r="G348" s="69"/>
      <c r="H348" s="69"/>
      <c r="I348" s="69"/>
      <c r="J348" s="70"/>
      <c r="K348" s="69"/>
      <c r="L348" s="32"/>
      <c r="M348" s="69"/>
      <c r="N348" s="69"/>
      <c r="O348" s="69"/>
      <c r="P348" s="2"/>
      <c r="Q348" s="2"/>
      <c r="R348" s="32"/>
      <c r="S348" s="32"/>
      <c r="T348" s="32"/>
      <c r="U348" s="32"/>
      <c r="V348" s="2"/>
      <c r="W348" s="2"/>
      <c r="X348" s="2"/>
      <c r="Y348" s="2"/>
      <c r="Z348" s="2"/>
    </row>
    <row r="349" spans="1:26" ht="13.8" x14ac:dyDescent="0.3">
      <c r="A349" s="2"/>
      <c r="B349" s="2"/>
      <c r="C349" s="10"/>
      <c r="D349" s="10"/>
      <c r="E349" s="10"/>
      <c r="F349" s="10"/>
      <c r="G349" s="69"/>
      <c r="H349" s="69"/>
      <c r="I349" s="69"/>
      <c r="J349" s="70"/>
      <c r="K349" s="69"/>
      <c r="L349" s="32"/>
      <c r="M349" s="69"/>
      <c r="N349" s="69"/>
      <c r="O349" s="69"/>
      <c r="P349" s="2"/>
      <c r="Q349" s="2"/>
      <c r="R349" s="32"/>
      <c r="S349" s="32"/>
      <c r="T349" s="32"/>
      <c r="U349" s="32"/>
      <c r="V349" s="2"/>
      <c r="W349" s="2"/>
      <c r="X349" s="2"/>
      <c r="Y349" s="2"/>
      <c r="Z349" s="2"/>
    </row>
    <row r="350" spans="1:26" ht="13.8" x14ac:dyDescent="0.3">
      <c r="A350" s="2"/>
      <c r="B350" s="2"/>
      <c r="C350" s="10"/>
      <c r="D350" s="10"/>
      <c r="E350" s="10"/>
      <c r="F350" s="10"/>
      <c r="G350" s="69"/>
      <c r="H350" s="69"/>
      <c r="I350" s="69"/>
      <c r="J350" s="70"/>
      <c r="K350" s="69"/>
      <c r="L350" s="32"/>
      <c r="M350" s="69"/>
      <c r="N350" s="69"/>
      <c r="O350" s="69"/>
      <c r="P350" s="2"/>
      <c r="Q350" s="2"/>
      <c r="R350" s="32"/>
      <c r="S350" s="32"/>
      <c r="T350" s="32"/>
      <c r="U350" s="32"/>
      <c r="V350" s="2"/>
      <c r="W350" s="2"/>
      <c r="X350" s="2"/>
      <c r="Y350" s="2"/>
      <c r="Z350" s="2"/>
    </row>
    <row r="351" spans="1:26" ht="13.8" x14ac:dyDescent="0.3">
      <c r="A351" s="2"/>
      <c r="B351" s="2"/>
      <c r="C351" s="10"/>
      <c r="D351" s="10"/>
      <c r="E351" s="10"/>
      <c r="F351" s="10"/>
      <c r="G351" s="69"/>
      <c r="H351" s="69"/>
      <c r="I351" s="69"/>
      <c r="J351" s="70"/>
      <c r="K351" s="69"/>
      <c r="L351" s="32"/>
      <c r="M351" s="69"/>
      <c r="N351" s="69"/>
      <c r="O351" s="69"/>
      <c r="P351" s="2"/>
      <c r="Q351" s="2"/>
      <c r="R351" s="32"/>
      <c r="S351" s="32"/>
      <c r="T351" s="32"/>
      <c r="U351" s="32"/>
      <c r="V351" s="2"/>
      <c r="W351" s="2"/>
      <c r="X351" s="2"/>
      <c r="Y351" s="2"/>
      <c r="Z351" s="2"/>
    </row>
    <row r="352" spans="1:26" ht="13.8" x14ac:dyDescent="0.3">
      <c r="A352" s="2"/>
      <c r="B352" s="2"/>
      <c r="C352" s="10"/>
      <c r="D352" s="10"/>
      <c r="E352" s="10"/>
      <c r="F352" s="10"/>
      <c r="G352" s="69"/>
      <c r="H352" s="69"/>
      <c r="I352" s="69"/>
      <c r="J352" s="70"/>
      <c r="K352" s="69"/>
      <c r="L352" s="32"/>
      <c r="M352" s="69"/>
      <c r="N352" s="69"/>
      <c r="O352" s="69"/>
      <c r="P352" s="2"/>
      <c r="Q352" s="2"/>
      <c r="R352" s="32"/>
      <c r="S352" s="32"/>
      <c r="T352" s="32"/>
      <c r="U352" s="32"/>
      <c r="V352" s="2"/>
      <c r="W352" s="2"/>
      <c r="X352" s="2"/>
      <c r="Y352" s="2"/>
      <c r="Z352" s="2"/>
    </row>
    <row r="353" spans="1:26" ht="13.8" x14ac:dyDescent="0.3">
      <c r="A353" s="2"/>
      <c r="B353" s="2"/>
      <c r="C353" s="10"/>
      <c r="D353" s="10"/>
      <c r="E353" s="10"/>
      <c r="F353" s="10"/>
      <c r="G353" s="69"/>
      <c r="H353" s="69"/>
      <c r="I353" s="69"/>
      <c r="J353" s="70"/>
      <c r="K353" s="69"/>
      <c r="L353" s="32"/>
      <c r="M353" s="69"/>
      <c r="N353" s="69"/>
      <c r="O353" s="69"/>
      <c r="P353" s="2"/>
      <c r="Q353" s="2"/>
      <c r="R353" s="32"/>
      <c r="S353" s="32"/>
      <c r="T353" s="32"/>
      <c r="U353" s="32"/>
      <c r="V353" s="2"/>
      <c r="W353" s="2"/>
      <c r="X353" s="2"/>
      <c r="Y353" s="2"/>
      <c r="Z353" s="2"/>
    </row>
    <row r="354" spans="1:26" ht="13.8" x14ac:dyDescent="0.3">
      <c r="A354" s="2"/>
      <c r="B354" s="2"/>
      <c r="C354" s="10"/>
      <c r="D354" s="10"/>
      <c r="E354" s="10"/>
      <c r="F354" s="10"/>
      <c r="G354" s="69"/>
      <c r="H354" s="69"/>
      <c r="I354" s="69"/>
      <c r="J354" s="70"/>
      <c r="K354" s="69"/>
      <c r="L354" s="32"/>
      <c r="M354" s="69"/>
      <c r="N354" s="69"/>
      <c r="O354" s="69"/>
      <c r="P354" s="2"/>
      <c r="Q354" s="2"/>
      <c r="R354" s="32"/>
      <c r="S354" s="32"/>
      <c r="T354" s="32"/>
      <c r="U354" s="32"/>
      <c r="V354" s="2"/>
      <c r="W354" s="2"/>
      <c r="X354" s="2"/>
      <c r="Y354" s="2"/>
      <c r="Z354" s="2"/>
    </row>
    <row r="355" spans="1:26" ht="13.8" x14ac:dyDescent="0.3">
      <c r="A355" s="2"/>
      <c r="B355" s="2"/>
      <c r="C355" s="10"/>
      <c r="D355" s="10"/>
      <c r="E355" s="10"/>
      <c r="F355" s="10"/>
      <c r="G355" s="69"/>
      <c r="H355" s="69"/>
      <c r="I355" s="69"/>
      <c r="J355" s="70"/>
      <c r="K355" s="69"/>
      <c r="L355" s="32"/>
      <c r="M355" s="69"/>
      <c r="N355" s="69"/>
      <c r="O355" s="69"/>
      <c r="P355" s="2"/>
      <c r="Q355" s="2"/>
      <c r="R355" s="32"/>
      <c r="S355" s="32"/>
      <c r="T355" s="32"/>
      <c r="U355" s="32"/>
      <c r="V355" s="2"/>
      <c r="W355" s="2"/>
      <c r="X355" s="2"/>
      <c r="Y355" s="2"/>
      <c r="Z355" s="2"/>
    </row>
    <row r="356" spans="1:26" ht="13.8" x14ac:dyDescent="0.3">
      <c r="A356" s="2"/>
      <c r="B356" s="2"/>
      <c r="C356" s="10"/>
      <c r="D356" s="10"/>
      <c r="E356" s="10"/>
      <c r="F356" s="10"/>
      <c r="G356" s="69"/>
      <c r="H356" s="69"/>
      <c r="I356" s="69"/>
      <c r="J356" s="70"/>
      <c r="K356" s="69"/>
      <c r="L356" s="32"/>
      <c r="M356" s="69"/>
      <c r="N356" s="69"/>
      <c r="O356" s="69"/>
      <c r="P356" s="2"/>
      <c r="Q356" s="2"/>
      <c r="R356" s="32"/>
      <c r="S356" s="32"/>
      <c r="T356" s="32"/>
      <c r="U356" s="32"/>
      <c r="V356" s="2"/>
      <c r="W356" s="2"/>
      <c r="X356" s="2"/>
      <c r="Y356" s="2"/>
      <c r="Z356" s="2"/>
    </row>
    <row r="357" spans="1:26" ht="13.8" x14ac:dyDescent="0.3">
      <c r="A357" s="2"/>
      <c r="B357" s="2"/>
      <c r="C357" s="10"/>
      <c r="D357" s="10"/>
      <c r="E357" s="10"/>
      <c r="F357" s="10"/>
      <c r="G357" s="69"/>
      <c r="H357" s="69"/>
      <c r="I357" s="69"/>
      <c r="J357" s="70"/>
      <c r="K357" s="69"/>
      <c r="L357" s="32"/>
      <c r="M357" s="69"/>
      <c r="N357" s="69"/>
      <c r="O357" s="69"/>
      <c r="P357" s="2"/>
      <c r="Q357" s="2"/>
      <c r="R357" s="32"/>
      <c r="S357" s="32"/>
      <c r="T357" s="32"/>
      <c r="U357" s="32"/>
      <c r="V357" s="2"/>
      <c r="W357" s="2"/>
      <c r="X357" s="2"/>
      <c r="Y357" s="2"/>
      <c r="Z357" s="2"/>
    </row>
    <row r="358" spans="1:26" ht="13.8" x14ac:dyDescent="0.3">
      <c r="A358" s="2"/>
      <c r="B358" s="2"/>
      <c r="C358" s="10"/>
      <c r="D358" s="10"/>
      <c r="E358" s="10"/>
      <c r="F358" s="10"/>
      <c r="G358" s="69"/>
      <c r="H358" s="69"/>
      <c r="I358" s="69"/>
      <c r="J358" s="70"/>
      <c r="K358" s="69"/>
      <c r="L358" s="32"/>
      <c r="M358" s="69"/>
      <c r="N358" s="69"/>
      <c r="O358" s="69"/>
      <c r="P358" s="2"/>
      <c r="Q358" s="2"/>
      <c r="R358" s="32"/>
      <c r="S358" s="32"/>
      <c r="T358" s="32"/>
      <c r="U358" s="32"/>
      <c r="V358" s="2"/>
      <c r="W358" s="2"/>
      <c r="X358" s="2"/>
      <c r="Y358" s="2"/>
      <c r="Z358" s="2"/>
    </row>
    <row r="359" spans="1:26" ht="13.8" x14ac:dyDescent="0.3">
      <c r="A359" s="2"/>
      <c r="B359" s="2"/>
      <c r="C359" s="10"/>
      <c r="D359" s="10"/>
      <c r="E359" s="10"/>
      <c r="F359" s="10"/>
      <c r="G359" s="69"/>
      <c r="H359" s="69"/>
      <c r="I359" s="69"/>
      <c r="J359" s="70"/>
      <c r="K359" s="69"/>
      <c r="L359" s="32"/>
      <c r="M359" s="69"/>
      <c r="N359" s="69"/>
      <c r="O359" s="69"/>
      <c r="P359" s="2"/>
      <c r="Q359" s="2"/>
      <c r="R359" s="32"/>
      <c r="S359" s="32"/>
      <c r="T359" s="32"/>
      <c r="U359" s="32"/>
      <c r="V359" s="2"/>
      <c r="W359" s="2"/>
      <c r="X359" s="2"/>
      <c r="Y359" s="2"/>
      <c r="Z359" s="2"/>
    </row>
    <row r="360" spans="1:26" ht="13.8" x14ac:dyDescent="0.3">
      <c r="A360" s="2"/>
      <c r="B360" s="2"/>
      <c r="C360" s="10"/>
      <c r="D360" s="10"/>
      <c r="E360" s="10"/>
      <c r="F360" s="10"/>
      <c r="G360" s="69"/>
      <c r="H360" s="69"/>
      <c r="I360" s="69"/>
      <c r="J360" s="70"/>
      <c r="K360" s="69"/>
      <c r="L360" s="32"/>
      <c r="M360" s="69"/>
      <c r="N360" s="69"/>
      <c r="O360" s="69"/>
      <c r="P360" s="2"/>
      <c r="Q360" s="2"/>
      <c r="R360" s="32"/>
      <c r="S360" s="32"/>
      <c r="T360" s="32"/>
      <c r="U360" s="32"/>
      <c r="V360" s="2"/>
      <c r="W360" s="2"/>
      <c r="X360" s="2"/>
      <c r="Y360" s="2"/>
      <c r="Z360" s="2"/>
    </row>
    <row r="361" spans="1:26" ht="13.8" x14ac:dyDescent="0.3">
      <c r="A361" s="2"/>
      <c r="B361" s="2"/>
      <c r="C361" s="10"/>
      <c r="D361" s="10"/>
      <c r="E361" s="10"/>
      <c r="F361" s="10"/>
      <c r="G361" s="69"/>
      <c r="H361" s="69"/>
      <c r="I361" s="69"/>
      <c r="J361" s="70"/>
      <c r="K361" s="69"/>
      <c r="L361" s="32"/>
      <c r="M361" s="69"/>
      <c r="N361" s="69"/>
      <c r="O361" s="69"/>
      <c r="P361" s="2"/>
      <c r="Q361" s="2"/>
      <c r="R361" s="32"/>
      <c r="S361" s="32"/>
      <c r="T361" s="32"/>
      <c r="U361" s="32"/>
      <c r="V361" s="2"/>
      <c r="W361" s="2"/>
      <c r="X361" s="2"/>
      <c r="Y361" s="2"/>
      <c r="Z361" s="2"/>
    </row>
    <row r="362" spans="1:26" ht="13.8" x14ac:dyDescent="0.3">
      <c r="A362" s="2"/>
      <c r="B362" s="2"/>
      <c r="C362" s="10"/>
      <c r="D362" s="10"/>
      <c r="E362" s="10"/>
      <c r="F362" s="10"/>
      <c r="G362" s="69"/>
      <c r="H362" s="69"/>
      <c r="I362" s="69"/>
      <c r="J362" s="70"/>
      <c r="K362" s="69"/>
      <c r="L362" s="32"/>
      <c r="M362" s="69"/>
      <c r="N362" s="69"/>
      <c r="O362" s="69"/>
      <c r="P362" s="2"/>
      <c r="Q362" s="2"/>
      <c r="R362" s="32"/>
      <c r="S362" s="32"/>
      <c r="T362" s="32"/>
      <c r="U362" s="32"/>
      <c r="V362" s="2"/>
      <c r="W362" s="2"/>
      <c r="X362" s="2"/>
      <c r="Y362" s="2"/>
      <c r="Z362" s="2"/>
    </row>
    <row r="363" spans="1:26" ht="13.8" x14ac:dyDescent="0.3">
      <c r="A363" s="2"/>
      <c r="B363" s="2"/>
      <c r="C363" s="10"/>
      <c r="D363" s="10"/>
      <c r="E363" s="10"/>
      <c r="F363" s="10"/>
      <c r="G363" s="69"/>
      <c r="H363" s="69"/>
      <c r="I363" s="69"/>
      <c r="J363" s="70"/>
      <c r="K363" s="69"/>
      <c r="L363" s="32"/>
      <c r="M363" s="69"/>
      <c r="N363" s="69"/>
      <c r="O363" s="69"/>
      <c r="P363" s="2"/>
      <c r="Q363" s="2"/>
      <c r="R363" s="32"/>
      <c r="S363" s="32"/>
      <c r="T363" s="32"/>
      <c r="U363" s="32"/>
      <c r="V363" s="2"/>
      <c r="W363" s="2"/>
      <c r="X363" s="2"/>
      <c r="Y363" s="2"/>
      <c r="Z363" s="2"/>
    </row>
    <row r="364" spans="1:26" ht="13.8" x14ac:dyDescent="0.3">
      <c r="A364" s="2"/>
      <c r="B364" s="2"/>
      <c r="C364" s="10"/>
      <c r="D364" s="10"/>
      <c r="E364" s="10"/>
      <c r="F364" s="10"/>
      <c r="G364" s="69"/>
      <c r="H364" s="69"/>
      <c r="I364" s="69"/>
      <c r="J364" s="70"/>
      <c r="K364" s="69"/>
      <c r="L364" s="32"/>
      <c r="M364" s="69"/>
      <c r="N364" s="69"/>
      <c r="O364" s="69"/>
      <c r="P364" s="2"/>
      <c r="Q364" s="2"/>
      <c r="R364" s="32"/>
      <c r="S364" s="32"/>
      <c r="T364" s="32"/>
      <c r="U364" s="32"/>
      <c r="V364" s="2"/>
      <c r="W364" s="2"/>
      <c r="X364" s="2"/>
      <c r="Y364" s="2"/>
      <c r="Z364" s="2"/>
    </row>
    <row r="365" spans="1:26" ht="13.8" x14ac:dyDescent="0.3">
      <c r="A365" s="2"/>
      <c r="B365" s="2"/>
      <c r="C365" s="10"/>
      <c r="D365" s="10"/>
      <c r="E365" s="10"/>
      <c r="F365" s="10"/>
      <c r="G365" s="69"/>
      <c r="H365" s="69"/>
      <c r="I365" s="69"/>
      <c r="J365" s="70"/>
      <c r="K365" s="69"/>
      <c r="L365" s="32"/>
      <c r="M365" s="69"/>
      <c r="N365" s="69"/>
      <c r="O365" s="69"/>
      <c r="P365" s="2"/>
      <c r="Q365" s="2"/>
      <c r="R365" s="32"/>
      <c r="S365" s="32"/>
      <c r="T365" s="32"/>
      <c r="U365" s="32"/>
      <c r="V365" s="2"/>
      <c r="W365" s="2"/>
      <c r="X365" s="2"/>
      <c r="Y365" s="2"/>
      <c r="Z365" s="2"/>
    </row>
    <row r="366" spans="1:26" ht="13.8" x14ac:dyDescent="0.3">
      <c r="A366" s="2"/>
      <c r="B366" s="2"/>
      <c r="C366" s="10"/>
      <c r="D366" s="10"/>
      <c r="E366" s="10"/>
      <c r="F366" s="10"/>
      <c r="G366" s="69"/>
      <c r="H366" s="69"/>
      <c r="I366" s="69"/>
      <c r="J366" s="70"/>
      <c r="K366" s="69"/>
      <c r="L366" s="32"/>
      <c r="M366" s="69"/>
      <c r="N366" s="69"/>
      <c r="O366" s="69"/>
      <c r="P366" s="2"/>
      <c r="Q366" s="2"/>
      <c r="R366" s="32"/>
      <c r="S366" s="32"/>
      <c r="T366" s="32"/>
      <c r="U366" s="32"/>
      <c r="V366" s="2"/>
      <c r="W366" s="2"/>
      <c r="X366" s="2"/>
      <c r="Y366" s="2"/>
      <c r="Z366" s="2"/>
    </row>
    <row r="367" spans="1:26" ht="13.8" x14ac:dyDescent="0.3">
      <c r="A367" s="2"/>
      <c r="B367" s="2"/>
      <c r="C367" s="10"/>
      <c r="D367" s="10"/>
      <c r="E367" s="10"/>
      <c r="F367" s="10"/>
      <c r="G367" s="69"/>
      <c r="H367" s="69"/>
      <c r="I367" s="69"/>
      <c r="J367" s="70"/>
      <c r="K367" s="69"/>
      <c r="L367" s="32"/>
      <c r="M367" s="69"/>
      <c r="N367" s="69"/>
      <c r="O367" s="69"/>
      <c r="P367" s="2"/>
      <c r="Q367" s="2"/>
      <c r="R367" s="32"/>
      <c r="S367" s="32"/>
      <c r="T367" s="32"/>
      <c r="U367" s="32"/>
      <c r="V367" s="2"/>
      <c r="W367" s="2"/>
      <c r="X367" s="2"/>
      <c r="Y367" s="2"/>
      <c r="Z367" s="2"/>
    </row>
    <row r="368" spans="1:26" ht="13.8" x14ac:dyDescent="0.3">
      <c r="A368" s="2"/>
      <c r="B368" s="2"/>
      <c r="C368" s="10"/>
      <c r="D368" s="10"/>
      <c r="E368" s="10"/>
      <c r="F368" s="10"/>
      <c r="G368" s="69"/>
      <c r="H368" s="69"/>
      <c r="I368" s="69"/>
      <c r="J368" s="70"/>
      <c r="K368" s="69"/>
      <c r="L368" s="32"/>
      <c r="M368" s="69"/>
      <c r="N368" s="69"/>
      <c r="O368" s="69"/>
      <c r="P368" s="2"/>
      <c r="Q368" s="2"/>
      <c r="R368" s="32"/>
      <c r="S368" s="32"/>
      <c r="T368" s="32"/>
      <c r="U368" s="32"/>
      <c r="V368" s="2"/>
      <c r="W368" s="2"/>
      <c r="X368" s="2"/>
      <c r="Y368" s="2"/>
      <c r="Z368" s="2"/>
    </row>
    <row r="369" spans="1:26" ht="13.8" x14ac:dyDescent="0.3">
      <c r="A369" s="2"/>
      <c r="B369" s="2"/>
      <c r="C369" s="10"/>
      <c r="D369" s="10"/>
      <c r="E369" s="10"/>
      <c r="F369" s="10"/>
      <c r="G369" s="69"/>
      <c r="H369" s="69"/>
      <c r="I369" s="69"/>
      <c r="J369" s="70"/>
      <c r="K369" s="69"/>
      <c r="L369" s="32"/>
      <c r="M369" s="69"/>
      <c r="N369" s="69"/>
      <c r="O369" s="69"/>
      <c r="P369" s="2"/>
      <c r="Q369" s="2"/>
      <c r="R369" s="32"/>
      <c r="S369" s="32"/>
      <c r="T369" s="32"/>
      <c r="U369" s="32"/>
      <c r="V369" s="2"/>
      <c r="W369" s="2"/>
      <c r="X369" s="2"/>
      <c r="Y369" s="2"/>
      <c r="Z369" s="2"/>
    </row>
    <row r="370" spans="1:26" ht="13.8" x14ac:dyDescent="0.3">
      <c r="A370" s="2"/>
      <c r="B370" s="2"/>
      <c r="C370" s="10"/>
      <c r="D370" s="10"/>
      <c r="E370" s="10"/>
      <c r="F370" s="10"/>
      <c r="G370" s="69"/>
      <c r="H370" s="69"/>
      <c r="I370" s="69"/>
      <c r="J370" s="70"/>
      <c r="K370" s="69"/>
      <c r="L370" s="32"/>
      <c r="M370" s="69"/>
      <c r="N370" s="69"/>
      <c r="O370" s="69"/>
      <c r="P370" s="2"/>
      <c r="Q370" s="2"/>
      <c r="R370" s="32"/>
      <c r="S370" s="32"/>
      <c r="T370" s="32"/>
      <c r="U370" s="32"/>
      <c r="V370" s="2"/>
      <c r="W370" s="2"/>
      <c r="X370" s="2"/>
      <c r="Y370" s="2"/>
      <c r="Z370" s="2"/>
    </row>
    <row r="371" spans="1:26" ht="13.8" x14ac:dyDescent="0.3">
      <c r="A371" s="2"/>
      <c r="B371" s="2"/>
      <c r="C371" s="10"/>
      <c r="D371" s="10"/>
      <c r="E371" s="10"/>
      <c r="F371" s="10"/>
      <c r="G371" s="69"/>
      <c r="H371" s="69"/>
      <c r="I371" s="69"/>
      <c r="J371" s="70"/>
      <c r="K371" s="69"/>
      <c r="L371" s="32"/>
      <c r="M371" s="69"/>
      <c r="N371" s="69"/>
      <c r="O371" s="69"/>
      <c r="P371" s="2"/>
      <c r="Q371" s="2"/>
      <c r="R371" s="32"/>
      <c r="S371" s="32"/>
      <c r="T371" s="32"/>
      <c r="U371" s="32"/>
      <c r="V371" s="2"/>
      <c r="W371" s="2"/>
      <c r="X371" s="2"/>
      <c r="Y371" s="2"/>
      <c r="Z371" s="2"/>
    </row>
    <row r="372" spans="1:26" ht="13.8" x14ac:dyDescent="0.3">
      <c r="A372" s="2"/>
      <c r="B372" s="2"/>
      <c r="C372" s="10"/>
      <c r="D372" s="10"/>
      <c r="E372" s="10"/>
      <c r="F372" s="10"/>
      <c r="G372" s="69"/>
      <c r="H372" s="69"/>
      <c r="I372" s="69"/>
      <c r="J372" s="70"/>
      <c r="K372" s="69"/>
      <c r="L372" s="32"/>
      <c r="M372" s="69"/>
      <c r="N372" s="69"/>
      <c r="O372" s="69"/>
      <c r="P372" s="2"/>
      <c r="Q372" s="2"/>
      <c r="R372" s="32"/>
      <c r="S372" s="32"/>
      <c r="T372" s="32"/>
      <c r="U372" s="32"/>
      <c r="V372" s="2"/>
      <c r="W372" s="2"/>
      <c r="X372" s="2"/>
      <c r="Y372" s="2"/>
      <c r="Z372" s="2"/>
    </row>
    <row r="373" spans="1:26" ht="13.8" x14ac:dyDescent="0.3">
      <c r="A373" s="2"/>
      <c r="B373" s="2"/>
      <c r="C373" s="10"/>
      <c r="D373" s="10"/>
      <c r="E373" s="10"/>
      <c r="F373" s="10"/>
      <c r="G373" s="69"/>
      <c r="H373" s="69"/>
      <c r="I373" s="69"/>
      <c r="J373" s="70"/>
      <c r="K373" s="69"/>
      <c r="L373" s="32"/>
      <c r="M373" s="69"/>
      <c r="N373" s="69"/>
      <c r="O373" s="69"/>
      <c r="P373" s="2"/>
      <c r="Q373" s="2"/>
      <c r="R373" s="32"/>
      <c r="S373" s="32"/>
      <c r="T373" s="32"/>
      <c r="U373" s="32"/>
      <c r="V373" s="2"/>
      <c r="W373" s="2"/>
      <c r="X373" s="2"/>
      <c r="Y373" s="2"/>
      <c r="Z373" s="2"/>
    </row>
    <row r="374" spans="1:26" ht="13.8" x14ac:dyDescent="0.3">
      <c r="A374" s="2"/>
      <c r="B374" s="2"/>
      <c r="C374" s="10"/>
      <c r="D374" s="10"/>
      <c r="E374" s="10"/>
      <c r="F374" s="10"/>
      <c r="G374" s="69"/>
      <c r="H374" s="69"/>
      <c r="I374" s="69"/>
      <c r="J374" s="70"/>
      <c r="K374" s="69"/>
      <c r="L374" s="32"/>
      <c r="M374" s="69"/>
      <c r="N374" s="69"/>
      <c r="O374" s="69"/>
      <c r="P374" s="2"/>
      <c r="Q374" s="2"/>
      <c r="R374" s="32"/>
      <c r="S374" s="32"/>
      <c r="T374" s="32"/>
      <c r="U374" s="32"/>
      <c r="V374" s="2"/>
      <c r="W374" s="2"/>
      <c r="X374" s="2"/>
      <c r="Y374" s="2"/>
      <c r="Z374" s="2"/>
    </row>
    <row r="375" spans="1:26" ht="13.8" x14ac:dyDescent="0.3">
      <c r="A375" s="2"/>
      <c r="B375" s="2"/>
      <c r="C375" s="10"/>
      <c r="D375" s="10"/>
      <c r="E375" s="10"/>
      <c r="F375" s="10"/>
      <c r="G375" s="69"/>
      <c r="H375" s="69"/>
      <c r="I375" s="69"/>
      <c r="J375" s="70"/>
      <c r="K375" s="69"/>
      <c r="L375" s="32"/>
      <c r="M375" s="69"/>
      <c r="N375" s="69"/>
      <c r="O375" s="69"/>
      <c r="P375" s="2"/>
      <c r="Q375" s="2"/>
      <c r="R375" s="32"/>
      <c r="S375" s="32"/>
      <c r="T375" s="32"/>
      <c r="U375" s="32"/>
      <c r="V375" s="2"/>
      <c r="W375" s="2"/>
      <c r="X375" s="2"/>
      <c r="Y375" s="2"/>
      <c r="Z375" s="2"/>
    </row>
    <row r="376" spans="1:26" ht="13.8" x14ac:dyDescent="0.3">
      <c r="A376" s="2"/>
      <c r="B376" s="2"/>
      <c r="C376" s="10"/>
      <c r="D376" s="10"/>
      <c r="E376" s="10"/>
      <c r="F376" s="10"/>
      <c r="G376" s="69"/>
      <c r="H376" s="69"/>
      <c r="I376" s="69"/>
      <c r="J376" s="70"/>
      <c r="K376" s="69"/>
      <c r="L376" s="32"/>
      <c r="M376" s="69"/>
      <c r="N376" s="69"/>
      <c r="O376" s="69"/>
      <c r="P376" s="2"/>
      <c r="Q376" s="2"/>
      <c r="R376" s="32"/>
      <c r="S376" s="32"/>
      <c r="T376" s="32"/>
      <c r="U376" s="32"/>
      <c r="V376" s="2"/>
      <c r="W376" s="2"/>
      <c r="X376" s="2"/>
      <c r="Y376" s="2"/>
      <c r="Z376" s="2"/>
    </row>
    <row r="377" spans="1:26" ht="13.8" x14ac:dyDescent="0.3">
      <c r="A377" s="2"/>
      <c r="B377" s="2"/>
      <c r="C377" s="10"/>
      <c r="D377" s="10"/>
      <c r="E377" s="10"/>
      <c r="F377" s="10"/>
      <c r="G377" s="69"/>
      <c r="H377" s="69"/>
      <c r="I377" s="69"/>
      <c r="J377" s="70"/>
      <c r="K377" s="69"/>
      <c r="L377" s="32"/>
      <c r="M377" s="69"/>
      <c r="N377" s="69"/>
      <c r="O377" s="69"/>
      <c r="P377" s="2"/>
      <c r="Q377" s="2"/>
      <c r="R377" s="32"/>
      <c r="S377" s="32"/>
      <c r="T377" s="32"/>
      <c r="U377" s="32"/>
      <c r="V377" s="2"/>
      <c r="W377" s="2"/>
      <c r="X377" s="2"/>
      <c r="Y377" s="2"/>
      <c r="Z377" s="2"/>
    </row>
    <row r="378" spans="1:26" ht="13.8" x14ac:dyDescent="0.3">
      <c r="A378" s="2"/>
      <c r="B378" s="2"/>
      <c r="C378" s="10"/>
      <c r="D378" s="10"/>
      <c r="E378" s="10"/>
      <c r="F378" s="10"/>
      <c r="G378" s="69"/>
      <c r="H378" s="69"/>
      <c r="I378" s="69"/>
      <c r="J378" s="70"/>
      <c r="K378" s="69"/>
      <c r="L378" s="32"/>
      <c r="M378" s="69"/>
      <c r="N378" s="69"/>
      <c r="O378" s="69"/>
      <c r="P378" s="2"/>
      <c r="Q378" s="2"/>
      <c r="R378" s="32"/>
      <c r="S378" s="32"/>
      <c r="T378" s="32"/>
      <c r="U378" s="32"/>
      <c r="V378" s="2"/>
      <c r="W378" s="2"/>
      <c r="X378" s="2"/>
      <c r="Y378" s="2"/>
      <c r="Z378" s="2"/>
    </row>
    <row r="379" spans="1:26" ht="13.8" x14ac:dyDescent="0.3">
      <c r="A379" s="2"/>
      <c r="B379" s="2"/>
      <c r="C379" s="10"/>
      <c r="D379" s="10"/>
      <c r="E379" s="10"/>
      <c r="F379" s="10"/>
      <c r="G379" s="69"/>
      <c r="H379" s="69"/>
      <c r="I379" s="69"/>
      <c r="J379" s="70"/>
      <c r="K379" s="69"/>
      <c r="L379" s="32"/>
      <c r="M379" s="69"/>
      <c r="N379" s="69"/>
      <c r="O379" s="69"/>
      <c r="P379" s="2"/>
      <c r="Q379" s="2"/>
      <c r="R379" s="32"/>
      <c r="S379" s="32"/>
      <c r="T379" s="32"/>
      <c r="U379" s="32"/>
      <c r="V379" s="2"/>
      <c r="W379" s="2"/>
      <c r="X379" s="2"/>
      <c r="Y379" s="2"/>
      <c r="Z379" s="2"/>
    </row>
    <row r="380" spans="1:26" ht="13.8" x14ac:dyDescent="0.3">
      <c r="A380" s="2"/>
      <c r="B380" s="2"/>
      <c r="C380" s="10"/>
      <c r="D380" s="10"/>
      <c r="E380" s="10"/>
      <c r="F380" s="10"/>
      <c r="G380" s="69"/>
      <c r="H380" s="69"/>
      <c r="I380" s="69"/>
      <c r="J380" s="70"/>
      <c r="K380" s="69"/>
      <c r="L380" s="32"/>
      <c r="M380" s="69"/>
      <c r="N380" s="69"/>
      <c r="O380" s="69"/>
      <c r="P380" s="2"/>
      <c r="Q380" s="2"/>
      <c r="R380" s="32"/>
      <c r="S380" s="32"/>
      <c r="T380" s="32"/>
      <c r="U380" s="32"/>
      <c r="V380" s="2"/>
      <c r="W380" s="2"/>
      <c r="X380" s="2"/>
      <c r="Y380" s="2"/>
      <c r="Z380" s="2"/>
    </row>
    <row r="381" spans="1:26" ht="13.8" x14ac:dyDescent="0.3">
      <c r="A381" s="2"/>
      <c r="B381" s="2"/>
      <c r="C381" s="10"/>
      <c r="D381" s="10"/>
      <c r="E381" s="10"/>
      <c r="F381" s="10"/>
      <c r="G381" s="69"/>
      <c r="H381" s="69"/>
      <c r="I381" s="69"/>
      <c r="J381" s="70"/>
      <c r="K381" s="69"/>
      <c r="L381" s="32"/>
      <c r="M381" s="69"/>
      <c r="N381" s="69"/>
      <c r="O381" s="69"/>
      <c r="P381" s="2"/>
      <c r="Q381" s="2"/>
      <c r="R381" s="32"/>
      <c r="S381" s="32"/>
      <c r="T381" s="32"/>
      <c r="U381" s="32"/>
      <c r="V381" s="2"/>
      <c r="W381" s="2"/>
      <c r="X381" s="2"/>
      <c r="Y381" s="2"/>
      <c r="Z381" s="2"/>
    </row>
    <row r="382" spans="1:26" ht="13.8" x14ac:dyDescent="0.3">
      <c r="A382" s="2"/>
      <c r="B382" s="2"/>
      <c r="C382" s="10"/>
      <c r="D382" s="10"/>
      <c r="E382" s="10"/>
      <c r="F382" s="10"/>
      <c r="G382" s="69"/>
      <c r="H382" s="69"/>
      <c r="I382" s="69"/>
      <c r="J382" s="70"/>
      <c r="K382" s="69"/>
      <c r="L382" s="32"/>
      <c r="M382" s="69"/>
      <c r="N382" s="69"/>
      <c r="O382" s="69"/>
      <c r="P382" s="2"/>
      <c r="Q382" s="2"/>
      <c r="R382" s="32"/>
      <c r="S382" s="32"/>
      <c r="T382" s="32"/>
      <c r="U382" s="32"/>
      <c r="V382" s="2"/>
      <c r="W382" s="2"/>
      <c r="X382" s="2"/>
      <c r="Y382" s="2"/>
      <c r="Z382" s="2"/>
    </row>
    <row r="383" spans="1:26" ht="13.8" x14ac:dyDescent="0.3">
      <c r="A383" s="2"/>
      <c r="B383" s="2"/>
      <c r="C383" s="10"/>
      <c r="D383" s="10"/>
      <c r="E383" s="10"/>
      <c r="F383" s="10"/>
      <c r="G383" s="69"/>
      <c r="H383" s="69"/>
      <c r="I383" s="69"/>
      <c r="J383" s="70"/>
      <c r="K383" s="69"/>
      <c r="L383" s="32"/>
      <c r="M383" s="69"/>
      <c r="N383" s="69"/>
      <c r="O383" s="69"/>
      <c r="P383" s="2"/>
      <c r="Q383" s="2"/>
      <c r="R383" s="32"/>
      <c r="S383" s="32"/>
      <c r="T383" s="32"/>
      <c r="U383" s="32"/>
      <c r="V383" s="2"/>
      <c r="W383" s="2"/>
      <c r="X383" s="2"/>
      <c r="Y383" s="2"/>
      <c r="Z383" s="2"/>
    </row>
    <row r="384" spans="1:26" ht="13.8" x14ac:dyDescent="0.3">
      <c r="A384" s="2"/>
      <c r="B384" s="2"/>
      <c r="C384" s="10"/>
      <c r="D384" s="10"/>
      <c r="E384" s="10"/>
      <c r="F384" s="10"/>
      <c r="G384" s="69"/>
      <c r="H384" s="69"/>
      <c r="I384" s="69"/>
      <c r="J384" s="70"/>
      <c r="K384" s="69"/>
      <c r="L384" s="32"/>
      <c r="M384" s="69"/>
      <c r="N384" s="69"/>
      <c r="O384" s="69"/>
      <c r="P384" s="2"/>
      <c r="Q384" s="2"/>
      <c r="R384" s="32"/>
      <c r="S384" s="32"/>
      <c r="T384" s="32"/>
      <c r="U384" s="32"/>
      <c r="V384" s="2"/>
      <c r="W384" s="2"/>
      <c r="X384" s="2"/>
      <c r="Y384" s="2"/>
      <c r="Z384" s="2"/>
    </row>
    <row r="385" spans="1:26" ht="13.8" x14ac:dyDescent="0.3">
      <c r="A385" s="2"/>
      <c r="B385" s="2"/>
      <c r="C385" s="10"/>
      <c r="D385" s="10"/>
      <c r="E385" s="10"/>
      <c r="F385" s="10"/>
      <c r="G385" s="69"/>
      <c r="H385" s="69"/>
      <c r="I385" s="69"/>
      <c r="J385" s="70"/>
      <c r="K385" s="69"/>
      <c r="L385" s="32"/>
      <c r="M385" s="69"/>
      <c r="N385" s="69"/>
      <c r="O385" s="69"/>
      <c r="P385" s="2"/>
      <c r="Q385" s="2"/>
      <c r="R385" s="32"/>
      <c r="S385" s="32"/>
      <c r="T385" s="32"/>
      <c r="U385" s="32"/>
      <c r="V385" s="2"/>
      <c r="W385" s="2"/>
      <c r="X385" s="2"/>
      <c r="Y385" s="2"/>
      <c r="Z385" s="2"/>
    </row>
    <row r="386" spans="1:26" ht="13.8" x14ac:dyDescent="0.3">
      <c r="A386" s="2"/>
      <c r="B386" s="2"/>
      <c r="C386" s="10"/>
      <c r="D386" s="10"/>
      <c r="E386" s="10"/>
      <c r="F386" s="10"/>
      <c r="G386" s="69"/>
      <c r="H386" s="69"/>
      <c r="I386" s="69"/>
      <c r="J386" s="70"/>
      <c r="K386" s="69"/>
      <c r="L386" s="32"/>
      <c r="M386" s="69"/>
      <c r="N386" s="69"/>
      <c r="O386" s="69"/>
      <c r="P386" s="2"/>
      <c r="Q386" s="2"/>
      <c r="R386" s="32"/>
      <c r="S386" s="32"/>
      <c r="T386" s="32"/>
      <c r="U386" s="32"/>
      <c r="V386" s="2"/>
      <c r="W386" s="2"/>
      <c r="X386" s="2"/>
      <c r="Y386" s="2"/>
      <c r="Z386" s="2"/>
    </row>
    <row r="387" spans="1:26" ht="13.8" x14ac:dyDescent="0.3">
      <c r="A387" s="2"/>
      <c r="B387" s="2"/>
      <c r="C387" s="10"/>
      <c r="D387" s="10"/>
      <c r="E387" s="10"/>
      <c r="F387" s="10"/>
      <c r="G387" s="69"/>
      <c r="H387" s="69"/>
      <c r="I387" s="69"/>
      <c r="J387" s="70"/>
      <c r="K387" s="69"/>
      <c r="L387" s="32"/>
      <c r="M387" s="69"/>
      <c r="N387" s="69"/>
      <c r="O387" s="69"/>
      <c r="P387" s="2"/>
      <c r="Q387" s="2"/>
      <c r="R387" s="32"/>
      <c r="S387" s="32"/>
      <c r="T387" s="32"/>
      <c r="U387" s="32"/>
      <c r="V387" s="2"/>
      <c r="W387" s="2"/>
      <c r="X387" s="2"/>
      <c r="Y387" s="2"/>
      <c r="Z387" s="2"/>
    </row>
    <row r="388" spans="1:26" ht="13.8" x14ac:dyDescent="0.3">
      <c r="A388" s="2"/>
      <c r="B388" s="2"/>
      <c r="C388" s="10"/>
      <c r="D388" s="10"/>
      <c r="E388" s="10"/>
      <c r="F388" s="10"/>
      <c r="G388" s="69"/>
      <c r="H388" s="69"/>
      <c r="I388" s="69"/>
      <c r="J388" s="70"/>
      <c r="K388" s="69"/>
      <c r="L388" s="32"/>
      <c r="M388" s="69"/>
      <c r="N388" s="69"/>
      <c r="O388" s="69"/>
      <c r="P388" s="2"/>
      <c r="Q388" s="2"/>
      <c r="R388" s="32"/>
      <c r="S388" s="32"/>
      <c r="T388" s="32"/>
      <c r="U388" s="32"/>
      <c r="V388" s="2"/>
      <c r="W388" s="2"/>
      <c r="X388" s="2"/>
      <c r="Y388" s="2"/>
      <c r="Z388" s="2"/>
    </row>
    <row r="389" spans="1:26" ht="13.8" x14ac:dyDescent="0.3">
      <c r="A389" s="2"/>
      <c r="B389" s="2"/>
      <c r="C389" s="10"/>
      <c r="D389" s="10"/>
      <c r="E389" s="10"/>
      <c r="F389" s="10"/>
      <c r="G389" s="69"/>
      <c r="H389" s="69"/>
      <c r="I389" s="69"/>
      <c r="J389" s="70"/>
      <c r="K389" s="69"/>
      <c r="L389" s="32"/>
      <c r="M389" s="69"/>
      <c r="N389" s="69"/>
      <c r="O389" s="69"/>
      <c r="P389" s="2"/>
      <c r="Q389" s="2"/>
      <c r="R389" s="32"/>
      <c r="S389" s="32"/>
      <c r="T389" s="32"/>
      <c r="U389" s="32"/>
      <c r="V389" s="2"/>
      <c r="W389" s="2"/>
      <c r="X389" s="2"/>
      <c r="Y389" s="2"/>
      <c r="Z389" s="2"/>
    </row>
    <row r="390" spans="1:26" ht="13.8" x14ac:dyDescent="0.3">
      <c r="A390" s="2"/>
      <c r="B390" s="2"/>
      <c r="C390" s="10"/>
      <c r="D390" s="10"/>
      <c r="E390" s="10"/>
      <c r="F390" s="10"/>
      <c r="G390" s="69"/>
      <c r="H390" s="69"/>
      <c r="I390" s="69"/>
      <c r="J390" s="70"/>
      <c r="K390" s="69"/>
      <c r="L390" s="32"/>
      <c r="M390" s="69"/>
      <c r="N390" s="69"/>
      <c r="O390" s="69"/>
      <c r="P390" s="2"/>
      <c r="Q390" s="2"/>
      <c r="R390" s="32"/>
      <c r="S390" s="32"/>
      <c r="T390" s="32"/>
      <c r="U390" s="32"/>
      <c r="V390" s="2"/>
      <c r="W390" s="2"/>
      <c r="X390" s="2"/>
      <c r="Y390" s="2"/>
      <c r="Z390" s="2"/>
    </row>
    <row r="391" spans="1:26" ht="13.8" x14ac:dyDescent="0.3">
      <c r="A391" s="2"/>
      <c r="B391" s="2"/>
      <c r="C391" s="10"/>
      <c r="D391" s="10"/>
      <c r="E391" s="10"/>
      <c r="F391" s="10"/>
      <c r="G391" s="69"/>
      <c r="H391" s="69"/>
      <c r="I391" s="69"/>
      <c r="J391" s="70"/>
      <c r="K391" s="69"/>
      <c r="L391" s="32"/>
      <c r="M391" s="69"/>
      <c r="N391" s="69"/>
      <c r="O391" s="69"/>
      <c r="P391" s="2"/>
      <c r="Q391" s="2"/>
      <c r="R391" s="32"/>
      <c r="S391" s="32"/>
      <c r="T391" s="32"/>
      <c r="U391" s="32"/>
      <c r="V391" s="2"/>
      <c r="W391" s="2"/>
      <c r="X391" s="2"/>
      <c r="Y391" s="2"/>
      <c r="Z391" s="2"/>
    </row>
    <row r="392" spans="1:26" ht="13.8" x14ac:dyDescent="0.3">
      <c r="A392" s="2"/>
      <c r="B392" s="2"/>
      <c r="C392" s="10"/>
      <c r="D392" s="10"/>
      <c r="E392" s="10"/>
      <c r="F392" s="10"/>
      <c r="G392" s="69"/>
      <c r="H392" s="69"/>
      <c r="I392" s="69"/>
      <c r="J392" s="70"/>
      <c r="K392" s="69"/>
      <c r="L392" s="32"/>
      <c r="M392" s="69"/>
      <c r="N392" s="69"/>
      <c r="O392" s="69"/>
      <c r="P392" s="2"/>
      <c r="Q392" s="2"/>
      <c r="R392" s="32"/>
      <c r="S392" s="32"/>
      <c r="T392" s="32"/>
      <c r="U392" s="32"/>
      <c r="V392" s="2"/>
      <c r="W392" s="2"/>
      <c r="X392" s="2"/>
      <c r="Y392" s="2"/>
      <c r="Z392" s="2"/>
    </row>
    <row r="393" spans="1:26" ht="13.8" x14ac:dyDescent="0.3">
      <c r="A393" s="2"/>
      <c r="B393" s="2"/>
      <c r="C393" s="10"/>
      <c r="D393" s="10"/>
      <c r="E393" s="10"/>
      <c r="F393" s="10"/>
      <c r="G393" s="69"/>
      <c r="H393" s="69"/>
      <c r="I393" s="69"/>
      <c r="J393" s="70"/>
      <c r="K393" s="69"/>
      <c r="L393" s="32"/>
      <c r="M393" s="69"/>
      <c r="N393" s="69"/>
      <c r="O393" s="69"/>
      <c r="P393" s="2"/>
      <c r="Q393" s="2"/>
      <c r="R393" s="32"/>
      <c r="S393" s="32"/>
      <c r="T393" s="32"/>
      <c r="U393" s="32"/>
      <c r="V393" s="2"/>
      <c r="W393" s="2"/>
      <c r="X393" s="2"/>
      <c r="Y393" s="2"/>
      <c r="Z393" s="2"/>
    </row>
    <row r="394" spans="1:26" ht="13.8" x14ac:dyDescent="0.3">
      <c r="A394" s="2"/>
      <c r="B394" s="2"/>
      <c r="C394" s="10"/>
      <c r="D394" s="10"/>
      <c r="E394" s="10"/>
      <c r="F394" s="10"/>
      <c r="G394" s="69"/>
      <c r="H394" s="69"/>
      <c r="I394" s="69"/>
      <c r="J394" s="70"/>
      <c r="K394" s="69"/>
      <c r="L394" s="32"/>
      <c r="M394" s="69"/>
      <c r="N394" s="69"/>
      <c r="O394" s="69"/>
      <c r="P394" s="2"/>
      <c r="Q394" s="2"/>
      <c r="R394" s="32"/>
      <c r="S394" s="32"/>
      <c r="T394" s="32"/>
      <c r="U394" s="32"/>
      <c r="V394" s="2"/>
      <c r="W394" s="2"/>
      <c r="X394" s="2"/>
      <c r="Y394" s="2"/>
      <c r="Z394" s="2"/>
    </row>
    <row r="395" spans="1:26" ht="13.8" x14ac:dyDescent="0.3">
      <c r="A395" s="2"/>
      <c r="B395" s="2"/>
      <c r="C395" s="10"/>
      <c r="D395" s="10"/>
      <c r="E395" s="10"/>
      <c r="F395" s="10"/>
      <c r="G395" s="69"/>
      <c r="H395" s="69"/>
      <c r="I395" s="69"/>
      <c r="J395" s="70"/>
      <c r="K395" s="69"/>
      <c r="L395" s="32"/>
      <c r="M395" s="69"/>
      <c r="N395" s="69"/>
      <c r="O395" s="69"/>
      <c r="P395" s="2"/>
      <c r="Q395" s="2"/>
      <c r="R395" s="32"/>
      <c r="S395" s="32"/>
      <c r="T395" s="32"/>
      <c r="U395" s="32"/>
      <c r="V395" s="2"/>
      <c r="W395" s="2"/>
      <c r="X395" s="2"/>
      <c r="Y395" s="2"/>
      <c r="Z395" s="2"/>
    </row>
    <row r="396" spans="1:26" ht="13.8" x14ac:dyDescent="0.3">
      <c r="A396" s="2"/>
      <c r="B396" s="2"/>
      <c r="C396" s="10"/>
      <c r="D396" s="10"/>
      <c r="E396" s="10"/>
      <c r="F396" s="10"/>
      <c r="G396" s="69"/>
      <c r="H396" s="69"/>
      <c r="I396" s="69"/>
      <c r="J396" s="70"/>
      <c r="K396" s="69"/>
      <c r="L396" s="32"/>
      <c r="M396" s="69"/>
      <c r="N396" s="69"/>
      <c r="O396" s="69"/>
      <c r="P396" s="2"/>
      <c r="Q396" s="2"/>
      <c r="R396" s="32"/>
      <c r="S396" s="32"/>
      <c r="T396" s="32"/>
      <c r="U396" s="32"/>
      <c r="V396" s="2"/>
      <c r="W396" s="2"/>
      <c r="X396" s="2"/>
      <c r="Y396" s="2"/>
      <c r="Z396" s="2"/>
    </row>
    <row r="397" spans="1:26" ht="13.8" x14ac:dyDescent="0.3">
      <c r="A397" s="2"/>
      <c r="B397" s="2"/>
      <c r="C397" s="10"/>
      <c r="D397" s="10"/>
      <c r="E397" s="10"/>
      <c r="F397" s="10"/>
      <c r="G397" s="69"/>
      <c r="H397" s="69"/>
      <c r="I397" s="69"/>
      <c r="J397" s="70"/>
      <c r="K397" s="69"/>
      <c r="L397" s="32"/>
      <c r="M397" s="69"/>
      <c r="N397" s="69"/>
      <c r="O397" s="69"/>
      <c r="P397" s="2"/>
      <c r="Q397" s="2"/>
      <c r="R397" s="32"/>
      <c r="S397" s="32"/>
      <c r="T397" s="32"/>
      <c r="U397" s="32"/>
      <c r="V397" s="2"/>
      <c r="W397" s="2"/>
      <c r="X397" s="2"/>
      <c r="Y397" s="2"/>
      <c r="Z397" s="2"/>
    </row>
    <row r="398" spans="1:26" ht="13.8" x14ac:dyDescent="0.3">
      <c r="A398" s="2"/>
      <c r="B398" s="2"/>
      <c r="C398" s="10"/>
      <c r="D398" s="10"/>
      <c r="E398" s="10"/>
      <c r="F398" s="10"/>
      <c r="G398" s="69"/>
      <c r="H398" s="69"/>
      <c r="I398" s="69"/>
      <c r="J398" s="70"/>
      <c r="K398" s="69"/>
      <c r="L398" s="32"/>
      <c r="M398" s="69"/>
      <c r="N398" s="69"/>
      <c r="O398" s="69"/>
      <c r="P398" s="2"/>
      <c r="Q398" s="2"/>
      <c r="R398" s="32"/>
      <c r="S398" s="32"/>
      <c r="T398" s="32"/>
      <c r="U398" s="32"/>
      <c r="V398" s="2"/>
      <c r="W398" s="2"/>
      <c r="X398" s="2"/>
      <c r="Y398" s="2"/>
      <c r="Z398" s="2"/>
    </row>
    <row r="399" spans="1:26" ht="13.8" x14ac:dyDescent="0.3">
      <c r="A399" s="2"/>
      <c r="B399" s="2"/>
      <c r="C399" s="10"/>
      <c r="D399" s="10"/>
      <c r="E399" s="10"/>
      <c r="F399" s="10"/>
      <c r="G399" s="69"/>
      <c r="H399" s="69"/>
      <c r="I399" s="69"/>
      <c r="J399" s="70"/>
      <c r="K399" s="69"/>
      <c r="L399" s="32"/>
      <c r="M399" s="69"/>
      <c r="N399" s="69"/>
      <c r="O399" s="69"/>
      <c r="P399" s="2"/>
      <c r="Q399" s="2"/>
      <c r="R399" s="32"/>
      <c r="S399" s="32"/>
      <c r="T399" s="32"/>
      <c r="U399" s="32"/>
      <c r="V399" s="2"/>
      <c r="W399" s="2"/>
      <c r="X399" s="2"/>
      <c r="Y399" s="2"/>
      <c r="Z399" s="2"/>
    </row>
    <row r="400" spans="1:26" ht="13.8" x14ac:dyDescent="0.3">
      <c r="A400" s="2"/>
      <c r="B400" s="2"/>
      <c r="C400" s="10"/>
      <c r="D400" s="10"/>
      <c r="E400" s="10"/>
      <c r="F400" s="10"/>
      <c r="G400" s="69"/>
      <c r="H400" s="69"/>
      <c r="I400" s="69"/>
      <c r="J400" s="70"/>
      <c r="K400" s="69"/>
      <c r="L400" s="32"/>
      <c r="M400" s="69"/>
      <c r="N400" s="69"/>
      <c r="O400" s="69"/>
      <c r="P400" s="2"/>
      <c r="Q400" s="2"/>
      <c r="R400" s="32"/>
      <c r="S400" s="32"/>
      <c r="T400" s="32"/>
      <c r="U400" s="32"/>
      <c r="V400" s="2"/>
      <c r="W400" s="2"/>
      <c r="X400" s="2"/>
      <c r="Y400" s="2"/>
      <c r="Z400" s="2"/>
    </row>
    <row r="401" spans="1:26" ht="13.8" x14ac:dyDescent="0.3">
      <c r="A401" s="2"/>
      <c r="B401" s="2"/>
      <c r="C401" s="10"/>
      <c r="D401" s="10"/>
      <c r="E401" s="10"/>
      <c r="F401" s="10"/>
      <c r="G401" s="69"/>
      <c r="H401" s="69"/>
      <c r="I401" s="69"/>
      <c r="J401" s="70"/>
      <c r="K401" s="69"/>
      <c r="L401" s="32"/>
      <c r="M401" s="69"/>
      <c r="N401" s="69"/>
      <c r="O401" s="69"/>
      <c r="P401" s="2"/>
      <c r="Q401" s="2"/>
      <c r="R401" s="32"/>
      <c r="S401" s="32"/>
      <c r="T401" s="32"/>
      <c r="U401" s="32"/>
      <c r="V401" s="2"/>
      <c r="W401" s="2"/>
      <c r="X401" s="2"/>
      <c r="Y401" s="2"/>
      <c r="Z401" s="2"/>
    </row>
    <row r="402" spans="1:26" ht="13.8" x14ac:dyDescent="0.3">
      <c r="A402" s="2"/>
      <c r="B402" s="2"/>
      <c r="C402" s="10"/>
      <c r="D402" s="10"/>
      <c r="E402" s="10"/>
      <c r="F402" s="10"/>
      <c r="G402" s="69"/>
      <c r="H402" s="69"/>
      <c r="I402" s="69"/>
      <c r="J402" s="70"/>
      <c r="K402" s="69"/>
      <c r="L402" s="32"/>
      <c r="M402" s="69"/>
      <c r="N402" s="69"/>
      <c r="O402" s="69"/>
      <c r="P402" s="2"/>
      <c r="Q402" s="2"/>
      <c r="R402" s="32"/>
      <c r="S402" s="32"/>
      <c r="T402" s="32"/>
      <c r="U402" s="32"/>
      <c r="V402" s="2"/>
      <c r="W402" s="2"/>
      <c r="X402" s="2"/>
      <c r="Y402" s="2"/>
      <c r="Z402" s="2"/>
    </row>
    <row r="403" spans="1:26" ht="13.8" x14ac:dyDescent="0.3">
      <c r="A403" s="2"/>
      <c r="B403" s="2"/>
      <c r="C403" s="10"/>
      <c r="D403" s="10"/>
      <c r="E403" s="10"/>
      <c r="F403" s="10"/>
      <c r="G403" s="69"/>
      <c r="H403" s="69"/>
      <c r="I403" s="69"/>
      <c r="J403" s="70"/>
      <c r="K403" s="69"/>
      <c r="L403" s="32"/>
      <c r="M403" s="69"/>
      <c r="N403" s="69"/>
      <c r="O403" s="69"/>
      <c r="P403" s="2"/>
      <c r="Q403" s="2"/>
      <c r="R403" s="32"/>
      <c r="S403" s="32"/>
      <c r="T403" s="32"/>
      <c r="U403" s="32"/>
      <c r="V403" s="2"/>
      <c r="W403" s="2"/>
      <c r="X403" s="2"/>
      <c r="Y403" s="2"/>
      <c r="Z403" s="2"/>
    </row>
    <row r="404" spans="1:26" ht="13.8" x14ac:dyDescent="0.3">
      <c r="A404" s="2"/>
      <c r="B404" s="2"/>
      <c r="C404" s="10"/>
      <c r="D404" s="10"/>
      <c r="E404" s="10"/>
      <c r="F404" s="10"/>
      <c r="G404" s="69"/>
      <c r="H404" s="69"/>
      <c r="I404" s="69"/>
      <c r="J404" s="70"/>
      <c r="K404" s="69"/>
      <c r="L404" s="32"/>
      <c r="M404" s="69"/>
      <c r="N404" s="69"/>
      <c r="O404" s="69"/>
      <c r="P404" s="2"/>
      <c r="Q404" s="2"/>
      <c r="R404" s="32"/>
      <c r="S404" s="32"/>
      <c r="T404" s="32"/>
      <c r="U404" s="32"/>
      <c r="V404" s="2"/>
      <c r="W404" s="2"/>
      <c r="X404" s="2"/>
      <c r="Y404" s="2"/>
      <c r="Z404" s="2"/>
    </row>
    <row r="405" spans="1:26" ht="13.8" x14ac:dyDescent="0.3">
      <c r="A405" s="2"/>
      <c r="B405" s="2"/>
      <c r="C405" s="10"/>
      <c r="D405" s="10"/>
      <c r="E405" s="10"/>
      <c r="F405" s="10"/>
      <c r="G405" s="69"/>
      <c r="H405" s="69"/>
      <c r="I405" s="69"/>
      <c r="J405" s="70"/>
      <c r="K405" s="69"/>
      <c r="L405" s="32"/>
      <c r="M405" s="69"/>
      <c r="N405" s="69"/>
      <c r="O405" s="69"/>
      <c r="P405" s="2"/>
      <c r="Q405" s="2"/>
      <c r="R405" s="32"/>
      <c r="S405" s="32"/>
      <c r="T405" s="32"/>
      <c r="U405" s="32"/>
      <c r="V405" s="2"/>
      <c r="W405" s="2"/>
      <c r="X405" s="2"/>
      <c r="Y405" s="2"/>
      <c r="Z405" s="2"/>
    </row>
    <row r="406" spans="1:26" ht="13.8" x14ac:dyDescent="0.3">
      <c r="A406" s="2"/>
      <c r="B406" s="2"/>
      <c r="C406" s="10"/>
      <c r="D406" s="10"/>
      <c r="E406" s="10"/>
      <c r="F406" s="10"/>
      <c r="G406" s="69"/>
      <c r="H406" s="69"/>
      <c r="I406" s="69"/>
      <c r="J406" s="70"/>
      <c r="K406" s="69"/>
      <c r="L406" s="32"/>
      <c r="M406" s="69"/>
      <c r="N406" s="69"/>
      <c r="O406" s="69"/>
      <c r="P406" s="2"/>
      <c r="Q406" s="2"/>
      <c r="R406" s="32"/>
      <c r="S406" s="32"/>
      <c r="T406" s="32"/>
      <c r="U406" s="32"/>
      <c r="V406" s="2"/>
      <c r="W406" s="2"/>
      <c r="X406" s="2"/>
      <c r="Y406" s="2"/>
      <c r="Z406" s="2"/>
    </row>
    <row r="407" spans="1:26" ht="13.8" x14ac:dyDescent="0.3">
      <c r="A407" s="2"/>
      <c r="B407" s="2"/>
      <c r="C407" s="10"/>
      <c r="D407" s="10"/>
      <c r="E407" s="10"/>
      <c r="F407" s="10"/>
      <c r="G407" s="69"/>
      <c r="H407" s="69"/>
      <c r="I407" s="69"/>
      <c r="J407" s="70"/>
      <c r="K407" s="69"/>
      <c r="L407" s="32"/>
      <c r="M407" s="69"/>
      <c r="N407" s="69"/>
      <c r="O407" s="69"/>
      <c r="P407" s="2"/>
      <c r="Q407" s="2"/>
      <c r="R407" s="32"/>
      <c r="S407" s="32"/>
      <c r="T407" s="32"/>
      <c r="U407" s="32"/>
      <c r="V407" s="2"/>
      <c r="W407" s="2"/>
      <c r="X407" s="2"/>
      <c r="Y407" s="2"/>
      <c r="Z407" s="2"/>
    </row>
    <row r="408" spans="1:26" ht="13.8" x14ac:dyDescent="0.3">
      <c r="A408" s="2"/>
      <c r="B408" s="2"/>
      <c r="C408" s="10"/>
      <c r="D408" s="10"/>
      <c r="E408" s="10"/>
      <c r="F408" s="10"/>
      <c r="G408" s="69"/>
      <c r="H408" s="69"/>
      <c r="I408" s="69"/>
      <c r="J408" s="70"/>
      <c r="K408" s="69"/>
      <c r="L408" s="32"/>
      <c r="M408" s="69"/>
      <c r="N408" s="69"/>
      <c r="O408" s="69"/>
      <c r="P408" s="2"/>
      <c r="Q408" s="2"/>
      <c r="R408" s="32"/>
      <c r="S408" s="32"/>
      <c r="T408" s="32"/>
      <c r="U408" s="32"/>
      <c r="V408" s="2"/>
      <c r="W408" s="2"/>
      <c r="X408" s="2"/>
      <c r="Y408" s="2"/>
      <c r="Z408" s="2"/>
    </row>
    <row r="409" spans="1:26" ht="13.8" x14ac:dyDescent="0.3">
      <c r="A409" s="2"/>
      <c r="B409" s="2"/>
      <c r="C409" s="10"/>
      <c r="D409" s="10"/>
      <c r="E409" s="10"/>
      <c r="F409" s="10"/>
      <c r="G409" s="69"/>
      <c r="H409" s="69"/>
      <c r="I409" s="69"/>
      <c r="J409" s="70"/>
      <c r="K409" s="69"/>
      <c r="L409" s="32"/>
      <c r="M409" s="69"/>
      <c r="N409" s="69"/>
      <c r="O409" s="69"/>
      <c r="P409" s="2"/>
      <c r="Q409" s="2"/>
      <c r="R409" s="32"/>
      <c r="S409" s="32"/>
      <c r="T409" s="32"/>
      <c r="U409" s="32"/>
      <c r="V409" s="2"/>
      <c r="W409" s="2"/>
      <c r="X409" s="2"/>
      <c r="Y409" s="2"/>
      <c r="Z409" s="2"/>
    </row>
    <row r="410" spans="1:26" ht="13.8" x14ac:dyDescent="0.3">
      <c r="A410" s="2"/>
      <c r="B410" s="2"/>
      <c r="C410" s="10"/>
      <c r="D410" s="10"/>
      <c r="E410" s="10"/>
      <c r="F410" s="10"/>
      <c r="G410" s="69"/>
      <c r="H410" s="69"/>
      <c r="I410" s="69"/>
      <c r="J410" s="70"/>
      <c r="K410" s="69"/>
      <c r="L410" s="32"/>
      <c r="M410" s="69"/>
      <c r="N410" s="69"/>
      <c r="O410" s="69"/>
      <c r="P410" s="2"/>
      <c r="Q410" s="2"/>
      <c r="R410" s="32"/>
      <c r="S410" s="32"/>
      <c r="T410" s="32"/>
      <c r="U410" s="32"/>
      <c r="V410" s="2"/>
      <c r="W410" s="2"/>
      <c r="X410" s="2"/>
      <c r="Y410" s="2"/>
      <c r="Z410" s="2"/>
    </row>
    <row r="411" spans="1:26" ht="13.8" x14ac:dyDescent="0.3">
      <c r="A411" s="2"/>
      <c r="B411" s="2"/>
      <c r="C411" s="10"/>
      <c r="D411" s="10"/>
      <c r="E411" s="10"/>
      <c r="F411" s="10"/>
      <c r="G411" s="69"/>
      <c r="H411" s="69"/>
      <c r="I411" s="69"/>
      <c r="J411" s="70"/>
      <c r="K411" s="69"/>
      <c r="L411" s="32"/>
      <c r="M411" s="69"/>
      <c r="N411" s="69"/>
      <c r="O411" s="69"/>
      <c r="P411" s="2"/>
      <c r="Q411" s="2"/>
      <c r="R411" s="32"/>
      <c r="S411" s="32"/>
      <c r="T411" s="32"/>
      <c r="U411" s="32"/>
      <c r="V411" s="2"/>
      <c r="W411" s="2"/>
      <c r="X411" s="2"/>
      <c r="Y411" s="2"/>
      <c r="Z411" s="2"/>
    </row>
    <row r="412" spans="1:26" ht="13.8" x14ac:dyDescent="0.3">
      <c r="A412" s="2"/>
      <c r="B412" s="2"/>
      <c r="C412" s="10"/>
      <c r="D412" s="10"/>
      <c r="E412" s="10"/>
      <c r="F412" s="10"/>
      <c r="G412" s="69"/>
      <c r="H412" s="69"/>
      <c r="I412" s="69"/>
      <c r="J412" s="70"/>
      <c r="K412" s="69"/>
      <c r="L412" s="32"/>
      <c r="M412" s="69"/>
      <c r="N412" s="69"/>
      <c r="O412" s="69"/>
      <c r="P412" s="2"/>
      <c r="Q412" s="2"/>
      <c r="R412" s="32"/>
      <c r="S412" s="32"/>
      <c r="T412" s="32"/>
      <c r="U412" s="32"/>
      <c r="V412" s="2"/>
      <c r="W412" s="2"/>
      <c r="X412" s="2"/>
      <c r="Y412" s="2"/>
      <c r="Z412" s="2"/>
    </row>
    <row r="413" spans="1:26" ht="13.8" x14ac:dyDescent="0.3">
      <c r="A413" s="2"/>
      <c r="B413" s="2"/>
      <c r="C413" s="10"/>
      <c r="D413" s="10"/>
      <c r="E413" s="10"/>
      <c r="F413" s="10"/>
      <c r="G413" s="69"/>
      <c r="H413" s="69"/>
      <c r="I413" s="69"/>
      <c r="J413" s="70"/>
      <c r="K413" s="69"/>
      <c r="L413" s="32"/>
      <c r="M413" s="69"/>
      <c r="N413" s="69"/>
      <c r="O413" s="69"/>
      <c r="P413" s="2"/>
      <c r="Q413" s="2"/>
      <c r="R413" s="32"/>
      <c r="S413" s="32"/>
      <c r="T413" s="32"/>
      <c r="U413" s="32"/>
      <c r="V413" s="2"/>
      <c r="W413" s="2"/>
      <c r="X413" s="2"/>
      <c r="Y413" s="2"/>
      <c r="Z413" s="2"/>
    </row>
    <row r="414" spans="1:26" ht="13.8" x14ac:dyDescent="0.3">
      <c r="A414" s="2"/>
      <c r="B414" s="2"/>
      <c r="C414" s="10"/>
      <c r="D414" s="10"/>
      <c r="E414" s="10"/>
      <c r="F414" s="10"/>
      <c r="G414" s="69"/>
      <c r="H414" s="69"/>
      <c r="I414" s="69"/>
      <c r="J414" s="70"/>
      <c r="K414" s="69"/>
      <c r="L414" s="32"/>
      <c r="M414" s="69"/>
      <c r="N414" s="69"/>
      <c r="O414" s="69"/>
      <c r="P414" s="2"/>
      <c r="Q414" s="2"/>
      <c r="R414" s="32"/>
      <c r="S414" s="32"/>
      <c r="T414" s="32"/>
      <c r="U414" s="32"/>
      <c r="V414" s="2"/>
      <c r="W414" s="2"/>
      <c r="X414" s="2"/>
      <c r="Y414" s="2"/>
      <c r="Z414" s="2"/>
    </row>
    <row r="415" spans="1:26" ht="13.8" x14ac:dyDescent="0.3">
      <c r="A415" s="2"/>
      <c r="B415" s="2"/>
      <c r="C415" s="10"/>
      <c r="D415" s="10"/>
      <c r="E415" s="10"/>
      <c r="F415" s="10"/>
      <c r="G415" s="69"/>
      <c r="H415" s="69"/>
      <c r="I415" s="69"/>
      <c r="J415" s="70"/>
      <c r="K415" s="69"/>
      <c r="L415" s="32"/>
      <c r="M415" s="69"/>
      <c r="N415" s="69"/>
      <c r="O415" s="69"/>
      <c r="P415" s="2"/>
      <c r="Q415" s="2"/>
      <c r="R415" s="32"/>
      <c r="S415" s="32"/>
      <c r="T415" s="32"/>
      <c r="U415" s="32"/>
      <c r="V415" s="2"/>
      <c r="W415" s="2"/>
      <c r="X415" s="2"/>
      <c r="Y415" s="2"/>
      <c r="Z415" s="2"/>
    </row>
    <row r="416" spans="1:26" ht="13.8" x14ac:dyDescent="0.3">
      <c r="A416" s="2"/>
      <c r="B416" s="2"/>
      <c r="C416" s="10"/>
      <c r="D416" s="10"/>
      <c r="E416" s="10"/>
      <c r="F416" s="10"/>
      <c r="G416" s="69"/>
      <c r="H416" s="69"/>
      <c r="I416" s="69"/>
      <c r="J416" s="70"/>
      <c r="K416" s="69"/>
      <c r="L416" s="32"/>
      <c r="M416" s="69"/>
      <c r="N416" s="69"/>
      <c r="O416" s="69"/>
      <c r="P416" s="2"/>
      <c r="Q416" s="2"/>
      <c r="R416" s="32"/>
      <c r="S416" s="32"/>
      <c r="T416" s="32"/>
      <c r="U416" s="32"/>
      <c r="V416" s="2"/>
      <c r="W416" s="2"/>
      <c r="X416" s="2"/>
      <c r="Y416" s="2"/>
      <c r="Z416" s="2"/>
    </row>
    <row r="417" spans="1:26" ht="13.8" x14ac:dyDescent="0.3">
      <c r="A417" s="2"/>
      <c r="B417" s="2"/>
      <c r="C417" s="10"/>
      <c r="D417" s="10"/>
      <c r="E417" s="10"/>
      <c r="F417" s="10"/>
      <c r="G417" s="69"/>
      <c r="H417" s="69"/>
      <c r="I417" s="69"/>
      <c r="J417" s="70"/>
      <c r="K417" s="69"/>
      <c r="L417" s="32"/>
      <c r="M417" s="69"/>
      <c r="N417" s="69"/>
      <c r="O417" s="69"/>
      <c r="P417" s="2"/>
      <c r="Q417" s="2"/>
      <c r="R417" s="32"/>
      <c r="S417" s="32"/>
      <c r="T417" s="32"/>
      <c r="U417" s="32"/>
      <c r="V417" s="2"/>
      <c r="W417" s="2"/>
      <c r="X417" s="2"/>
      <c r="Y417" s="2"/>
      <c r="Z417" s="2"/>
    </row>
    <row r="418" spans="1:26" ht="13.8" x14ac:dyDescent="0.3">
      <c r="A418" s="2"/>
      <c r="B418" s="2"/>
      <c r="C418" s="10"/>
      <c r="D418" s="10"/>
      <c r="E418" s="10"/>
      <c r="F418" s="10"/>
      <c r="G418" s="69"/>
      <c r="H418" s="69"/>
      <c r="I418" s="69"/>
      <c r="J418" s="70"/>
      <c r="K418" s="69"/>
      <c r="L418" s="32"/>
      <c r="M418" s="69"/>
      <c r="N418" s="69"/>
      <c r="O418" s="69"/>
      <c r="P418" s="2"/>
      <c r="Q418" s="2"/>
      <c r="R418" s="32"/>
      <c r="S418" s="32"/>
      <c r="T418" s="32"/>
      <c r="U418" s="32"/>
      <c r="V418" s="2"/>
      <c r="W418" s="2"/>
      <c r="X418" s="2"/>
      <c r="Y418" s="2"/>
      <c r="Z418" s="2"/>
    </row>
    <row r="419" spans="1:26" ht="13.8" x14ac:dyDescent="0.3">
      <c r="A419" s="2"/>
      <c r="B419" s="2"/>
      <c r="C419" s="10"/>
      <c r="D419" s="10"/>
      <c r="E419" s="10"/>
      <c r="F419" s="10"/>
      <c r="G419" s="69"/>
      <c r="H419" s="69"/>
      <c r="I419" s="69"/>
      <c r="J419" s="70"/>
      <c r="K419" s="69"/>
      <c r="L419" s="32"/>
      <c r="M419" s="69"/>
      <c r="N419" s="69"/>
      <c r="O419" s="69"/>
      <c r="P419" s="2"/>
      <c r="Q419" s="2"/>
      <c r="R419" s="32"/>
      <c r="S419" s="32"/>
      <c r="T419" s="32"/>
      <c r="U419" s="32"/>
      <c r="V419" s="2"/>
      <c r="W419" s="2"/>
      <c r="X419" s="2"/>
      <c r="Y419" s="2"/>
      <c r="Z419" s="2"/>
    </row>
    <row r="420" spans="1:26" ht="13.8" x14ac:dyDescent="0.3">
      <c r="A420" s="2"/>
      <c r="B420" s="2"/>
      <c r="C420" s="10"/>
      <c r="D420" s="10"/>
      <c r="E420" s="10"/>
      <c r="F420" s="10"/>
      <c r="G420" s="69"/>
      <c r="H420" s="69"/>
      <c r="I420" s="69"/>
      <c r="J420" s="70"/>
      <c r="K420" s="69"/>
      <c r="L420" s="32"/>
      <c r="M420" s="69"/>
      <c r="N420" s="69"/>
      <c r="O420" s="69"/>
      <c r="P420" s="2"/>
      <c r="Q420" s="2"/>
      <c r="R420" s="32"/>
      <c r="S420" s="32"/>
      <c r="T420" s="32"/>
      <c r="U420" s="32"/>
      <c r="V420" s="2"/>
      <c r="W420" s="2"/>
      <c r="X420" s="2"/>
      <c r="Y420" s="2"/>
      <c r="Z420" s="2"/>
    </row>
    <row r="421" spans="1:26" ht="13.8" x14ac:dyDescent="0.3">
      <c r="A421" s="2"/>
      <c r="B421" s="2"/>
      <c r="C421" s="10"/>
      <c r="D421" s="10"/>
      <c r="E421" s="10"/>
      <c r="F421" s="10"/>
      <c r="G421" s="69"/>
      <c r="H421" s="69"/>
      <c r="I421" s="69"/>
      <c r="J421" s="70"/>
      <c r="K421" s="69"/>
      <c r="L421" s="32"/>
      <c r="M421" s="69"/>
      <c r="N421" s="69"/>
      <c r="O421" s="69"/>
      <c r="P421" s="2"/>
      <c r="Q421" s="2"/>
      <c r="R421" s="32"/>
      <c r="S421" s="32"/>
      <c r="T421" s="32"/>
      <c r="U421" s="32"/>
      <c r="V421" s="2"/>
      <c r="W421" s="2"/>
      <c r="X421" s="2"/>
      <c r="Y421" s="2"/>
      <c r="Z421" s="2"/>
    </row>
    <row r="422" spans="1:26" ht="13.8" x14ac:dyDescent="0.3">
      <c r="A422" s="2"/>
      <c r="B422" s="2"/>
      <c r="C422" s="10"/>
      <c r="D422" s="10"/>
      <c r="E422" s="10"/>
      <c r="F422" s="10"/>
      <c r="G422" s="69"/>
      <c r="H422" s="69"/>
      <c r="I422" s="69"/>
      <c r="J422" s="70"/>
      <c r="K422" s="69"/>
      <c r="L422" s="32"/>
      <c r="M422" s="69"/>
      <c r="N422" s="69"/>
      <c r="O422" s="69"/>
      <c r="P422" s="2"/>
      <c r="Q422" s="2"/>
      <c r="R422" s="32"/>
      <c r="S422" s="32"/>
      <c r="T422" s="32"/>
      <c r="U422" s="32"/>
      <c r="V422" s="2"/>
      <c r="W422" s="2"/>
      <c r="X422" s="2"/>
      <c r="Y422" s="2"/>
      <c r="Z422" s="2"/>
    </row>
    <row r="423" spans="1:26" ht="13.8" x14ac:dyDescent="0.3">
      <c r="A423" s="2"/>
      <c r="B423" s="2"/>
      <c r="C423" s="10"/>
      <c r="D423" s="10"/>
      <c r="E423" s="10"/>
      <c r="F423" s="10"/>
      <c r="G423" s="69"/>
      <c r="H423" s="69"/>
      <c r="I423" s="69"/>
      <c r="J423" s="70"/>
      <c r="K423" s="69"/>
      <c r="L423" s="32"/>
      <c r="M423" s="69"/>
      <c r="N423" s="69"/>
      <c r="O423" s="69"/>
      <c r="P423" s="2"/>
      <c r="Q423" s="2"/>
      <c r="R423" s="32"/>
      <c r="S423" s="32"/>
      <c r="T423" s="32"/>
      <c r="U423" s="32"/>
      <c r="V423" s="2"/>
      <c r="W423" s="2"/>
      <c r="X423" s="2"/>
      <c r="Y423" s="2"/>
      <c r="Z423" s="2"/>
    </row>
    <row r="424" spans="1:26" ht="13.8" x14ac:dyDescent="0.3">
      <c r="A424" s="2"/>
      <c r="B424" s="2"/>
      <c r="C424" s="10"/>
      <c r="D424" s="10"/>
      <c r="E424" s="10"/>
      <c r="F424" s="10"/>
      <c r="G424" s="69"/>
      <c r="H424" s="69"/>
      <c r="I424" s="69"/>
      <c r="J424" s="70"/>
      <c r="K424" s="69"/>
      <c r="L424" s="32"/>
      <c r="M424" s="69"/>
      <c r="N424" s="69"/>
      <c r="O424" s="69"/>
      <c r="P424" s="2"/>
      <c r="Q424" s="2"/>
      <c r="R424" s="32"/>
      <c r="S424" s="32"/>
      <c r="T424" s="32"/>
      <c r="U424" s="32"/>
      <c r="V424" s="2"/>
      <c r="W424" s="2"/>
      <c r="X424" s="2"/>
      <c r="Y424" s="2"/>
      <c r="Z424" s="2"/>
    </row>
    <row r="425" spans="1:26" ht="13.8" x14ac:dyDescent="0.3">
      <c r="A425" s="2"/>
      <c r="B425" s="2"/>
      <c r="C425" s="10"/>
      <c r="D425" s="10"/>
      <c r="E425" s="10"/>
      <c r="F425" s="10"/>
      <c r="G425" s="69"/>
      <c r="H425" s="69"/>
      <c r="I425" s="69"/>
      <c r="J425" s="70"/>
      <c r="K425" s="69"/>
      <c r="L425" s="32"/>
      <c r="M425" s="69"/>
      <c r="N425" s="69"/>
      <c r="O425" s="69"/>
      <c r="P425" s="2"/>
      <c r="Q425" s="2"/>
      <c r="R425" s="32"/>
      <c r="S425" s="32"/>
      <c r="T425" s="32"/>
      <c r="U425" s="32"/>
      <c r="V425" s="2"/>
      <c r="W425" s="2"/>
      <c r="X425" s="2"/>
      <c r="Y425" s="2"/>
      <c r="Z425" s="2"/>
    </row>
    <row r="426" spans="1:26" ht="13.8" x14ac:dyDescent="0.3">
      <c r="A426" s="2"/>
      <c r="B426" s="2"/>
      <c r="C426" s="10"/>
      <c r="D426" s="10"/>
      <c r="E426" s="10"/>
      <c r="F426" s="10"/>
      <c r="G426" s="69"/>
      <c r="H426" s="69"/>
      <c r="I426" s="69"/>
      <c r="J426" s="70"/>
      <c r="K426" s="69"/>
      <c r="L426" s="32"/>
      <c r="M426" s="69"/>
      <c r="N426" s="69"/>
      <c r="O426" s="69"/>
      <c r="P426" s="2"/>
      <c r="Q426" s="2"/>
      <c r="R426" s="32"/>
      <c r="S426" s="32"/>
      <c r="T426" s="32"/>
      <c r="U426" s="32"/>
      <c r="V426" s="2"/>
      <c r="W426" s="2"/>
      <c r="X426" s="2"/>
      <c r="Y426" s="2"/>
      <c r="Z426" s="2"/>
    </row>
    <row r="427" spans="1:26" ht="13.8" x14ac:dyDescent="0.3">
      <c r="A427" s="2"/>
      <c r="B427" s="2"/>
      <c r="C427" s="10"/>
      <c r="D427" s="10"/>
      <c r="E427" s="10"/>
      <c r="F427" s="10"/>
      <c r="G427" s="69"/>
      <c r="H427" s="69"/>
      <c r="I427" s="69"/>
      <c r="J427" s="70"/>
      <c r="K427" s="69"/>
      <c r="L427" s="32"/>
      <c r="M427" s="69"/>
      <c r="N427" s="69"/>
      <c r="O427" s="69"/>
      <c r="P427" s="2"/>
      <c r="Q427" s="2"/>
      <c r="R427" s="32"/>
      <c r="S427" s="32"/>
      <c r="T427" s="32"/>
      <c r="U427" s="32"/>
      <c r="V427" s="2"/>
      <c r="W427" s="2"/>
      <c r="X427" s="2"/>
      <c r="Y427" s="2"/>
      <c r="Z427" s="2"/>
    </row>
    <row r="428" spans="1:26" ht="13.8" x14ac:dyDescent="0.3">
      <c r="A428" s="2"/>
      <c r="B428" s="2"/>
      <c r="C428" s="10"/>
      <c r="D428" s="10"/>
      <c r="E428" s="10"/>
      <c r="F428" s="10"/>
      <c r="G428" s="69"/>
      <c r="H428" s="69"/>
      <c r="I428" s="69"/>
      <c r="J428" s="70"/>
      <c r="K428" s="69"/>
      <c r="L428" s="32"/>
      <c r="M428" s="69"/>
      <c r="N428" s="69"/>
      <c r="O428" s="69"/>
      <c r="P428" s="2"/>
      <c r="Q428" s="2"/>
      <c r="R428" s="32"/>
      <c r="S428" s="32"/>
      <c r="T428" s="32"/>
      <c r="U428" s="32"/>
      <c r="V428" s="2"/>
      <c r="W428" s="2"/>
      <c r="X428" s="2"/>
      <c r="Y428" s="2"/>
      <c r="Z428" s="2"/>
    </row>
    <row r="429" spans="1:26" ht="13.8" x14ac:dyDescent="0.3">
      <c r="A429" s="2"/>
      <c r="B429" s="2"/>
      <c r="C429" s="10"/>
      <c r="D429" s="10"/>
      <c r="E429" s="10"/>
      <c r="F429" s="10"/>
      <c r="G429" s="69"/>
      <c r="H429" s="69"/>
      <c r="I429" s="69"/>
      <c r="J429" s="70"/>
      <c r="K429" s="69"/>
      <c r="L429" s="32"/>
      <c r="M429" s="69"/>
      <c r="N429" s="69"/>
      <c r="O429" s="69"/>
      <c r="P429" s="2"/>
      <c r="Q429" s="2"/>
      <c r="R429" s="32"/>
      <c r="S429" s="32"/>
      <c r="T429" s="32"/>
      <c r="U429" s="32"/>
      <c r="V429" s="2"/>
      <c r="W429" s="2"/>
      <c r="X429" s="2"/>
      <c r="Y429" s="2"/>
      <c r="Z429" s="2"/>
    </row>
    <row r="430" spans="1:26" ht="13.8" x14ac:dyDescent="0.3">
      <c r="A430" s="2"/>
      <c r="B430" s="2"/>
      <c r="C430" s="10"/>
      <c r="D430" s="10"/>
      <c r="E430" s="10"/>
      <c r="F430" s="10"/>
      <c r="G430" s="69"/>
      <c r="H430" s="69"/>
      <c r="I430" s="69"/>
      <c r="J430" s="70"/>
      <c r="K430" s="69"/>
      <c r="L430" s="32"/>
      <c r="M430" s="69"/>
      <c r="N430" s="69"/>
      <c r="O430" s="69"/>
      <c r="P430" s="2"/>
      <c r="Q430" s="2"/>
      <c r="R430" s="32"/>
      <c r="S430" s="32"/>
      <c r="T430" s="32"/>
      <c r="U430" s="32"/>
      <c r="V430" s="2"/>
      <c r="W430" s="2"/>
      <c r="X430" s="2"/>
      <c r="Y430" s="2"/>
      <c r="Z430" s="2"/>
    </row>
    <row r="431" spans="1:26" ht="13.8" x14ac:dyDescent="0.3">
      <c r="A431" s="2"/>
      <c r="B431" s="2"/>
      <c r="C431" s="10"/>
      <c r="D431" s="10"/>
      <c r="E431" s="10"/>
      <c r="F431" s="10"/>
      <c r="G431" s="69"/>
      <c r="H431" s="69"/>
      <c r="I431" s="69"/>
      <c r="J431" s="70"/>
      <c r="K431" s="69"/>
      <c r="L431" s="32"/>
      <c r="M431" s="69"/>
      <c r="N431" s="69"/>
      <c r="O431" s="69"/>
      <c r="P431" s="2"/>
      <c r="Q431" s="2"/>
      <c r="R431" s="32"/>
      <c r="S431" s="32"/>
      <c r="T431" s="32"/>
      <c r="U431" s="32"/>
      <c r="V431" s="2"/>
      <c r="W431" s="2"/>
      <c r="X431" s="2"/>
      <c r="Y431" s="2"/>
      <c r="Z431" s="2"/>
    </row>
    <row r="432" spans="1:26" ht="13.8" x14ac:dyDescent="0.3">
      <c r="A432" s="2"/>
      <c r="B432" s="2"/>
      <c r="C432" s="10"/>
      <c r="D432" s="10"/>
      <c r="E432" s="10"/>
      <c r="F432" s="10"/>
      <c r="G432" s="69"/>
      <c r="H432" s="69"/>
      <c r="I432" s="69"/>
      <c r="J432" s="70"/>
      <c r="K432" s="69"/>
      <c r="L432" s="32"/>
      <c r="M432" s="69"/>
      <c r="N432" s="69"/>
      <c r="O432" s="69"/>
      <c r="P432" s="2"/>
      <c r="Q432" s="2"/>
      <c r="R432" s="32"/>
      <c r="S432" s="32"/>
      <c r="T432" s="32"/>
      <c r="U432" s="32"/>
      <c r="V432" s="2"/>
      <c r="W432" s="2"/>
      <c r="X432" s="2"/>
      <c r="Y432" s="2"/>
      <c r="Z432" s="2"/>
    </row>
    <row r="433" spans="1:26" ht="13.8" x14ac:dyDescent="0.3">
      <c r="A433" s="2"/>
      <c r="B433" s="2"/>
      <c r="C433" s="10"/>
      <c r="D433" s="10"/>
      <c r="E433" s="10"/>
      <c r="F433" s="10"/>
      <c r="G433" s="69"/>
      <c r="H433" s="69"/>
      <c r="I433" s="69"/>
      <c r="J433" s="70"/>
      <c r="K433" s="69"/>
      <c r="L433" s="32"/>
      <c r="M433" s="69"/>
      <c r="N433" s="69"/>
      <c r="O433" s="69"/>
      <c r="P433" s="2"/>
      <c r="Q433" s="2"/>
      <c r="R433" s="32"/>
      <c r="S433" s="32"/>
      <c r="T433" s="32"/>
      <c r="U433" s="32"/>
      <c r="V433" s="2"/>
      <c r="W433" s="2"/>
      <c r="X433" s="2"/>
      <c r="Y433" s="2"/>
      <c r="Z433" s="2"/>
    </row>
    <row r="434" spans="1:26" ht="13.8" x14ac:dyDescent="0.3">
      <c r="A434" s="2"/>
      <c r="B434" s="2"/>
      <c r="C434" s="10"/>
      <c r="D434" s="10"/>
      <c r="E434" s="10"/>
      <c r="F434" s="10"/>
      <c r="G434" s="69"/>
      <c r="H434" s="69"/>
      <c r="I434" s="69"/>
      <c r="J434" s="70"/>
      <c r="K434" s="69"/>
      <c r="L434" s="32"/>
      <c r="M434" s="69"/>
      <c r="N434" s="69"/>
      <c r="O434" s="69"/>
      <c r="P434" s="2"/>
      <c r="Q434" s="2"/>
      <c r="R434" s="32"/>
      <c r="S434" s="32"/>
      <c r="T434" s="32"/>
      <c r="U434" s="32"/>
      <c r="V434" s="2"/>
      <c r="W434" s="2"/>
      <c r="X434" s="2"/>
      <c r="Y434" s="2"/>
      <c r="Z434" s="2"/>
    </row>
    <row r="435" spans="1:26" ht="13.8" x14ac:dyDescent="0.3">
      <c r="A435" s="2"/>
      <c r="B435" s="2"/>
      <c r="C435" s="10"/>
      <c r="D435" s="10"/>
      <c r="E435" s="10"/>
      <c r="F435" s="10"/>
      <c r="G435" s="69"/>
      <c r="H435" s="69"/>
      <c r="I435" s="69"/>
      <c r="J435" s="70"/>
      <c r="K435" s="69"/>
      <c r="L435" s="32"/>
      <c r="M435" s="69"/>
      <c r="N435" s="69"/>
      <c r="O435" s="69"/>
      <c r="P435" s="2"/>
      <c r="Q435" s="2"/>
      <c r="R435" s="32"/>
      <c r="S435" s="32"/>
      <c r="T435" s="32"/>
      <c r="U435" s="32"/>
      <c r="V435" s="2"/>
      <c r="W435" s="2"/>
      <c r="X435" s="2"/>
      <c r="Y435" s="2"/>
      <c r="Z435" s="2"/>
    </row>
    <row r="436" spans="1:26" ht="13.8" x14ac:dyDescent="0.3">
      <c r="A436" s="2"/>
      <c r="B436" s="2"/>
      <c r="C436" s="10"/>
      <c r="D436" s="10"/>
      <c r="E436" s="10"/>
      <c r="F436" s="10"/>
      <c r="G436" s="69"/>
      <c r="H436" s="69"/>
      <c r="I436" s="69"/>
      <c r="J436" s="70"/>
      <c r="K436" s="69"/>
      <c r="L436" s="32"/>
      <c r="M436" s="69"/>
      <c r="N436" s="69"/>
      <c r="O436" s="69"/>
      <c r="P436" s="2"/>
      <c r="Q436" s="2"/>
      <c r="R436" s="32"/>
      <c r="S436" s="32"/>
      <c r="T436" s="32"/>
      <c r="U436" s="32"/>
      <c r="V436" s="2"/>
      <c r="W436" s="2"/>
      <c r="X436" s="2"/>
      <c r="Y436" s="2"/>
      <c r="Z436" s="2"/>
    </row>
    <row r="437" spans="1:26" ht="13.8" x14ac:dyDescent="0.3">
      <c r="A437" s="2"/>
      <c r="B437" s="2"/>
      <c r="C437" s="10"/>
      <c r="D437" s="10"/>
      <c r="E437" s="10"/>
      <c r="F437" s="10"/>
      <c r="G437" s="69"/>
      <c r="H437" s="69"/>
      <c r="I437" s="69"/>
      <c r="J437" s="70"/>
      <c r="K437" s="69"/>
      <c r="L437" s="32"/>
      <c r="M437" s="69"/>
      <c r="N437" s="69"/>
      <c r="O437" s="69"/>
      <c r="P437" s="2"/>
      <c r="Q437" s="2"/>
      <c r="R437" s="32"/>
      <c r="S437" s="32"/>
      <c r="T437" s="32"/>
      <c r="U437" s="32"/>
      <c r="V437" s="2"/>
      <c r="W437" s="2"/>
      <c r="X437" s="2"/>
      <c r="Y437" s="2"/>
      <c r="Z437" s="2"/>
    </row>
    <row r="438" spans="1:26" ht="13.8" x14ac:dyDescent="0.3">
      <c r="A438" s="2"/>
      <c r="B438" s="2"/>
      <c r="C438" s="10"/>
      <c r="D438" s="10"/>
      <c r="E438" s="10"/>
      <c r="F438" s="10"/>
      <c r="G438" s="69"/>
      <c r="H438" s="69"/>
      <c r="I438" s="69"/>
      <c r="J438" s="70"/>
      <c r="K438" s="69"/>
      <c r="L438" s="32"/>
      <c r="M438" s="69"/>
      <c r="N438" s="69"/>
      <c r="O438" s="69"/>
      <c r="P438" s="2"/>
      <c r="Q438" s="2"/>
      <c r="R438" s="32"/>
      <c r="S438" s="32"/>
      <c r="T438" s="32"/>
      <c r="U438" s="32"/>
      <c r="V438" s="2"/>
      <c r="W438" s="2"/>
      <c r="X438" s="2"/>
      <c r="Y438" s="2"/>
      <c r="Z438" s="2"/>
    </row>
    <row r="439" spans="1:26" ht="13.8" x14ac:dyDescent="0.3">
      <c r="A439" s="2"/>
      <c r="B439" s="2"/>
      <c r="C439" s="10"/>
      <c r="D439" s="10"/>
      <c r="E439" s="10"/>
      <c r="F439" s="10"/>
      <c r="G439" s="69"/>
      <c r="H439" s="69"/>
      <c r="I439" s="69"/>
      <c r="J439" s="70"/>
      <c r="K439" s="69"/>
      <c r="L439" s="32"/>
      <c r="M439" s="69"/>
      <c r="N439" s="69"/>
      <c r="O439" s="69"/>
      <c r="P439" s="2"/>
      <c r="Q439" s="2"/>
      <c r="R439" s="32"/>
      <c r="S439" s="32"/>
      <c r="T439" s="32"/>
      <c r="U439" s="32"/>
      <c r="V439" s="2"/>
      <c r="W439" s="2"/>
      <c r="X439" s="2"/>
      <c r="Y439" s="2"/>
      <c r="Z439" s="2"/>
    </row>
    <row r="440" spans="1:26" ht="13.8" x14ac:dyDescent="0.3">
      <c r="A440" s="2"/>
      <c r="B440" s="2"/>
      <c r="C440" s="10"/>
      <c r="D440" s="10"/>
      <c r="E440" s="10"/>
      <c r="F440" s="10"/>
      <c r="G440" s="69"/>
      <c r="H440" s="69"/>
      <c r="I440" s="69"/>
      <c r="J440" s="70"/>
      <c r="K440" s="69"/>
      <c r="L440" s="32"/>
      <c r="M440" s="69"/>
      <c r="N440" s="69"/>
      <c r="O440" s="69"/>
      <c r="P440" s="2"/>
      <c r="Q440" s="2"/>
      <c r="R440" s="32"/>
      <c r="S440" s="32"/>
      <c r="T440" s="32"/>
      <c r="U440" s="32"/>
      <c r="V440" s="2"/>
      <c r="W440" s="2"/>
      <c r="X440" s="2"/>
      <c r="Y440" s="2"/>
      <c r="Z440" s="2"/>
    </row>
    <row r="441" spans="1:26" ht="13.8" x14ac:dyDescent="0.3">
      <c r="A441" s="2"/>
      <c r="B441" s="2"/>
      <c r="C441" s="10"/>
      <c r="D441" s="10"/>
      <c r="E441" s="10"/>
      <c r="F441" s="10"/>
      <c r="G441" s="69"/>
      <c r="H441" s="69"/>
      <c r="I441" s="69"/>
      <c r="J441" s="70"/>
      <c r="K441" s="69"/>
      <c r="L441" s="32"/>
      <c r="M441" s="69"/>
      <c r="N441" s="69"/>
      <c r="O441" s="69"/>
      <c r="P441" s="2"/>
      <c r="Q441" s="2"/>
      <c r="R441" s="32"/>
      <c r="S441" s="32"/>
      <c r="T441" s="32"/>
      <c r="U441" s="32"/>
      <c r="V441" s="2"/>
      <c r="W441" s="2"/>
      <c r="X441" s="2"/>
      <c r="Y441" s="2"/>
      <c r="Z441" s="2"/>
    </row>
    <row r="442" spans="1:26" ht="13.8" x14ac:dyDescent="0.3">
      <c r="A442" s="2"/>
      <c r="B442" s="2"/>
      <c r="C442" s="10"/>
      <c r="D442" s="10"/>
      <c r="E442" s="10"/>
      <c r="F442" s="10"/>
      <c r="G442" s="69"/>
      <c r="H442" s="69"/>
      <c r="I442" s="69"/>
      <c r="J442" s="70"/>
      <c r="K442" s="69"/>
      <c r="L442" s="32"/>
      <c r="M442" s="69"/>
      <c r="N442" s="69"/>
      <c r="O442" s="69"/>
      <c r="P442" s="2"/>
      <c r="Q442" s="2"/>
      <c r="R442" s="32"/>
      <c r="S442" s="32"/>
      <c r="T442" s="32"/>
      <c r="U442" s="32"/>
      <c r="V442" s="2"/>
      <c r="W442" s="2"/>
      <c r="X442" s="2"/>
      <c r="Y442" s="2"/>
      <c r="Z442" s="2"/>
    </row>
    <row r="443" spans="1:26" ht="13.8" x14ac:dyDescent="0.3">
      <c r="A443" s="2"/>
      <c r="B443" s="2"/>
      <c r="C443" s="10"/>
      <c r="D443" s="10"/>
      <c r="E443" s="10"/>
      <c r="F443" s="10"/>
      <c r="G443" s="69"/>
      <c r="H443" s="69"/>
      <c r="I443" s="69"/>
      <c r="J443" s="70"/>
      <c r="K443" s="69"/>
      <c r="L443" s="32"/>
      <c r="M443" s="69"/>
      <c r="N443" s="69"/>
      <c r="O443" s="69"/>
      <c r="P443" s="2"/>
      <c r="Q443" s="2"/>
      <c r="R443" s="32"/>
      <c r="S443" s="32"/>
      <c r="T443" s="32"/>
      <c r="U443" s="32"/>
      <c r="V443" s="2"/>
      <c r="W443" s="2"/>
      <c r="X443" s="2"/>
      <c r="Y443" s="2"/>
      <c r="Z443" s="2"/>
    </row>
    <row r="444" spans="1:26" ht="13.8" x14ac:dyDescent="0.3">
      <c r="A444" s="2"/>
      <c r="B444" s="2"/>
      <c r="C444" s="10"/>
      <c r="D444" s="10"/>
      <c r="E444" s="10"/>
      <c r="F444" s="10"/>
      <c r="G444" s="69"/>
      <c r="H444" s="69"/>
      <c r="I444" s="69"/>
      <c r="J444" s="70"/>
      <c r="K444" s="69"/>
      <c r="L444" s="32"/>
      <c r="M444" s="69"/>
      <c r="N444" s="69"/>
      <c r="O444" s="69"/>
      <c r="P444" s="2"/>
      <c r="Q444" s="2"/>
      <c r="R444" s="32"/>
      <c r="S444" s="32"/>
      <c r="T444" s="32"/>
      <c r="U444" s="32"/>
      <c r="V444" s="2"/>
      <c r="W444" s="2"/>
      <c r="X444" s="2"/>
      <c r="Y444" s="2"/>
      <c r="Z444" s="2"/>
    </row>
    <row r="445" spans="1:26" ht="13.8" x14ac:dyDescent="0.3">
      <c r="A445" s="2"/>
      <c r="B445" s="2"/>
      <c r="C445" s="10"/>
      <c r="D445" s="10"/>
      <c r="E445" s="10"/>
      <c r="F445" s="10"/>
      <c r="G445" s="69"/>
      <c r="H445" s="69"/>
      <c r="I445" s="69"/>
      <c r="J445" s="70"/>
      <c r="K445" s="69"/>
      <c r="L445" s="32"/>
      <c r="M445" s="69"/>
      <c r="N445" s="69"/>
      <c r="O445" s="69"/>
      <c r="P445" s="2"/>
      <c r="Q445" s="2"/>
      <c r="R445" s="32"/>
      <c r="S445" s="32"/>
      <c r="T445" s="32"/>
      <c r="U445" s="32"/>
      <c r="V445" s="2"/>
      <c r="W445" s="2"/>
      <c r="X445" s="2"/>
      <c r="Y445" s="2"/>
      <c r="Z445" s="2"/>
    </row>
    <row r="446" spans="1:26" ht="13.8" x14ac:dyDescent="0.3">
      <c r="A446" s="2"/>
      <c r="B446" s="2"/>
      <c r="C446" s="10"/>
      <c r="D446" s="10"/>
      <c r="E446" s="10"/>
      <c r="F446" s="10"/>
      <c r="G446" s="69"/>
      <c r="H446" s="69"/>
      <c r="I446" s="69"/>
      <c r="J446" s="70"/>
      <c r="K446" s="69"/>
      <c r="L446" s="32"/>
      <c r="M446" s="69"/>
      <c r="N446" s="69"/>
      <c r="O446" s="69"/>
      <c r="P446" s="2"/>
      <c r="Q446" s="2"/>
      <c r="R446" s="32"/>
      <c r="S446" s="32"/>
      <c r="T446" s="32"/>
      <c r="U446" s="32"/>
      <c r="V446" s="2"/>
      <c r="W446" s="2"/>
      <c r="X446" s="2"/>
      <c r="Y446" s="2"/>
      <c r="Z446" s="2"/>
    </row>
    <row r="447" spans="1:26" ht="13.8" x14ac:dyDescent="0.3">
      <c r="A447" s="2"/>
      <c r="B447" s="2"/>
      <c r="C447" s="10"/>
      <c r="D447" s="10"/>
      <c r="E447" s="10"/>
      <c r="F447" s="10"/>
      <c r="G447" s="69"/>
      <c r="H447" s="69"/>
      <c r="I447" s="69"/>
      <c r="J447" s="70"/>
      <c r="K447" s="69"/>
      <c r="L447" s="32"/>
      <c r="M447" s="69"/>
      <c r="N447" s="69"/>
      <c r="O447" s="69"/>
      <c r="P447" s="2"/>
      <c r="Q447" s="2"/>
      <c r="R447" s="32"/>
      <c r="S447" s="32"/>
      <c r="T447" s="32"/>
      <c r="U447" s="32"/>
      <c r="V447" s="2"/>
      <c r="W447" s="2"/>
      <c r="X447" s="2"/>
      <c r="Y447" s="2"/>
      <c r="Z447" s="2"/>
    </row>
    <row r="448" spans="1:26" ht="13.8" x14ac:dyDescent="0.3">
      <c r="A448" s="2"/>
      <c r="B448" s="2"/>
      <c r="C448" s="10"/>
      <c r="D448" s="10"/>
      <c r="E448" s="10"/>
      <c r="F448" s="10"/>
      <c r="G448" s="69"/>
      <c r="H448" s="69"/>
      <c r="I448" s="69"/>
      <c r="J448" s="70"/>
      <c r="K448" s="69"/>
      <c r="L448" s="32"/>
      <c r="M448" s="69"/>
      <c r="N448" s="69"/>
      <c r="O448" s="69"/>
      <c r="P448" s="2"/>
      <c r="Q448" s="2"/>
      <c r="R448" s="32"/>
      <c r="S448" s="32"/>
      <c r="T448" s="32"/>
      <c r="U448" s="32"/>
      <c r="V448" s="2"/>
      <c r="W448" s="2"/>
      <c r="X448" s="2"/>
      <c r="Y448" s="2"/>
      <c r="Z448" s="2"/>
    </row>
    <row r="449" spans="1:26" ht="13.8" x14ac:dyDescent="0.3">
      <c r="A449" s="2"/>
      <c r="B449" s="2"/>
      <c r="C449" s="10"/>
      <c r="D449" s="10"/>
      <c r="E449" s="10"/>
      <c r="F449" s="10"/>
      <c r="G449" s="69"/>
      <c r="H449" s="69"/>
      <c r="I449" s="69"/>
      <c r="J449" s="70"/>
      <c r="K449" s="69"/>
      <c r="L449" s="32"/>
      <c r="M449" s="69"/>
      <c r="N449" s="69"/>
      <c r="O449" s="69"/>
      <c r="P449" s="2"/>
      <c r="Q449" s="2"/>
      <c r="R449" s="32"/>
      <c r="S449" s="32"/>
      <c r="T449" s="32"/>
      <c r="U449" s="32"/>
      <c r="V449" s="2"/>
      <c r="W449" s="2"/>
      <c r="X449" s="2"/>
      <c r="Y449" s="2"/>
      <c r="Z449" s="2"/>
    </row>
    <row r="450" spans="1:26" ht="13.8" x14ac:dyDescent="0.3">
      <c r="A450" s="2"/>
      <c r="B450" s="2"/>
      <c r="C450" s="10"/>
      <c r="D450" s="10"/>
      <c r="E450" s="10"/>
      <c r="F450" s="10"/>
      <c r="G450" s="69"/>
      <c r="H450" s="69"/>
      <c r="I450" s="69"/>
      <c r="J450" s="70"/>
      <c r="K450" s="69"/>
      <c r="L450" s="32"/>
      <c r="M450" s="69"/>
      <c r="N450" s="69"/>
      <c r="O450" s="69"/>
      <c r="P450" s="2"/>
      <c r="Q450" s="2"/>
      <c r="R450" s="32"/>
      <c r="S450" s="32"/>
      <c r="T450" s="32"/>
      <c r="U450" s="32"/>
      <c r="V450" s="2"/>
      <c r="W450" s="2"/>
      <c r="X450" s="2"/>
      <c r="Y450" s="2"/>
      <c r="Z450" s="2"/>
    </row>
    <row r="451" spans="1:26" ht="13.8" x14ac:dyDescent="0.3">
      <c r="A451" s="2"/>
      <c r="B451" s="2"/>
      <c r="C451" s="10"/>
      <c r="D451" s="10"/>
      <c r="E451" s="10"/>
      <c r="F451" s="10"/>
      <c r="G451" s="69"/>
      <c r="H451" s="69"/>
      <c r="I451" s="69"/>
      <c r="J451" s="70"/>
      <c r="K451" s="69"/>
      <c r="L451" s="32"/>
      <c r="M451" s="69"/>
      <c r="N451" s="69"/>
      <c r="O451" s="69"/>
      <c r="P451" s="2"/>
      <c r="Q451" s="2"/>
      <c r="R451" s="32"/>
      <c r="S451" s="32"/>
      <c r="T451" s="32"/>
      <c r="U451" s="32"/>
      <c r="V451" s="2"/>
      <c r="W451" s="2"/>
      <c r="X451" s="2"/>
      <c r="Y451" s="2"/>
      <c r="Z451" s="2"/>
    </row>
    <row r="452" spans="1:26" ht="13.8" x14ac:dyDescent="0.3">
      <c r="A452" s="2"/>
      <c r="B452" s="2"/>
      <c r="C452" s="10"/>
      <c r="D452" s="10"/>
      <c r="E452" s="10"/>
      <c r="F452" s="10"/>
      <c r="G452" s="69"/>
      <c r="H452" s="69"/>
      <c r="I452" s="69"/>
      <c r="J452" s="70"/>
      <c r="K452" s="69"/>
      <c r="L452" s="32"/>
      <c r="M452" s="69"/>
      <c r="N452" s="69"/>
      <c r="O452" s="69"/>
      <c r="P452" s="2"/>
      <c r="Q452" s="2"/>
      <c r="R452" s="32"/>
      <c r="S452" s="32"/>
      <c r="T452" s="32"/>
      <c r="U452" s="32"/>
      <c r="V452" s="2"/>
      <c r="W452" s="2"/>
      <c r="X452" s="2"/>
      <c r="Y452" s="2"/>
      <c r="Z452" s="2"/>
    </row>
    <row r="453" spans="1:26" ht="13.8" x14ac:dyDescent="0.3">
      <c r="A453" s="2"/>
      <c r="B453" s="2"/>
      <c r="C453" s="10"/>
      <c r="D453" s="10"/>
      <c r="E453" s="10"/>
      <c r="F453" s="10"/>
      <c r="G453" s="69"/>
      <c r="H453" s="69"/>
      <c r="I453" s="69"/>
      <c r="J453" s="70"/>
      <c r="K453" s="69"/>
      <c r="L453" s="32"/>
      <c r="M453" s="69"/>
      <c r="N453" s="69"/>
      <c r="O453" s="69"/>
      <c r="P453" s="2"/>
      <c r="Q453" s="2"/>
      <c r="R453" s="32"/>
      <c r="S453" s="32"/>
      <c r="T453" s="32"/>
      <c r="U453" s="32"/>
      <c r="V453" s="2"/>
      <c r="W453" s="2"/>
      <c r="X453" s="2"/>
      <c r="Y453" s="2"/>
      <c r="Z453" s="2"/>
    </row>
    <row r="454" spans="1:26" ht="13.8" x14ac:dyDescent="0.3">
      <c r="A454" s="2"/>
      <c r="B454" s="2"/>
      <c r="C454" s="10"/>
      <c r="D454" s="10"/>
      <c r="E454" s="10"/>
      <c r="F454" s="10"/>
      <c r="G454" s="69"/>
      <c r="H454" s="69"/>
      <c r="I454" s="69"/>
      <c r="J454" s="70"/>
      <c r="K454" s="69"/>
      <c r="L454" s="32"/>
      <c r="M454" s="69"/>
      <c r="N454" s="69"/>
      <c r="O454" s="69"/>
      <c r="P454" s="2"/>
      <c r="Q454" s="2"/>
      <c r="R454" s="32"/>
      <c r="S454" s="32"/>
      <c r="T454" s="32"/>
      <c r="U454" s="32"/>
      <c r="V454" s="2"/>
      <c r="W454" s="2"/>
      <c r="X454" s="2"/>
      <c r="Y454" s="2"/>
      <c r="Z454" s="2"/>
    </row>
    <row r="455" spans="1:26" ht="13.8" x14ac:dyDescent="0.3">
      <c r="A455" s="2"/>
      <c r="B455" s="2"/>
      <c r="C455" s="10"/>
      <c r="D455" s="10"/>
      <c r="E455" s="10"/>
      <c r="F455" s="10"/>
      <c r="G455" s="69"/>
      <c r="H455" s="69"/>
      <c r="I455" s="69"/>
      <c r="J455" s="70"/>
      <c r="K455" s="69"/>
      <c r="L455" s="32"/>
      <c r="M455" s="69"/>
      <c r="N455" s="69"/>
      <c r="O455" s="69"/>
      <c r="P455" s="2"/>
      <c r="Q455" s="2"/>
      <c r="R455" s="32"/>
      <c r="S455" s="32"/>
      <c r="T455" s="32"/>
      <c r="U455" s="32"/>
      <c r="V455" s="2"/>
      <c r="W455" s="2"/>
      <c r="X455" s="2"/>
      <c r="Y455" s="2"/>
      <c r="Z455" s="2"/>
    </row>
    <row r="456" spans="1:26" ht="13.8" x14ac:dyDescent="0.3">
      <c r="A456" s="2"/>
      <c r="B456" s="2"/>
      <c r="C456" s="10"/>
      <c r="D456" s="10"/>
      <c r="E456" s="10"/>
      <c r="F456" s="10"/>
      <c r="G456" s="69"/>
      <c r="H456" s="69"/>
      <c r="I456" s="69"/>
      <c r="J456" s="70"/>
      <c r="K456" s="69"/>
      <c r="L456" s="32"/>
      <c r="M456" s="69"/>
      <c r="N456" s="69"/>
      <c r="O456" s="69"/>
      <c r="P456" s="2"/>
      <c r="Q456" s="2"/>
      <c r="R456" s="32"/>
      <c r="S456" s="32"/>
      <c r="T456" s="32"/>
      <c r="U456" s="32"/>
      <c r="V456" s="2"/>
      <c r="W456" s="2"/>
      <c r="X456" s="2"/>
      <c r="Y456" s="2"/>
      <c r="Z456" s="2"/>
    </row>
    <row r="457" spans="1:26" ht="13.8" x14ac:dyDescent="0.3">
      <c r="A457" s="2"/>
      <c r="B457" s="2"/>
      <c r="C457" s="10"/>
      <c r="D457" s="10"/>
      <c r="E457" s="10"/>
      <c r="F457" s="10"/>
      <c r="G457" s="69"/>
      <c r="H457" s="69"/>
      <c r="I457" s="69"/>
      <c r="J457" s="70"/>
      <c r="K457" s="69"/>
      <c r="L457" s="32"/>
      <c r="M457" s="69"/>
      <c r="N457" s="69"/>
      <c r="O457" s="69"/>
      <c r="P457" s="2"/>
      <c r="Q457" s="2"/>
      <c r="R457" s="32"/>
      <c r="S457" s="32"/>
      <c r="T457" s="32"/>
      <c r="U457" s="32"/>
      <c r="V457" s="2"/>
      <c r="W457" s="2"/>
      <c r="X457" s="2"/>
      <c r="Y457" s="2"/>
      <c r="Z457" s="2"/>
    </row>
    <row r="458" spans="1:26" ht="13.8" x14ac:dyDescent="0.3">
      <c r="A458" s="2"/>
      <c r="B458" s="2"/>
      <c r="C458" s="10"/>
      <c r="D458" s="10"/>
      <c r="E458" s="10"/>
      <c r="F458" s="10"/>
      <c r="G458" s="69"/>
      <c r="H458" s="69"/>
      <c r="I458" s="69"/>
      <c r="J458" s="70"/>
      <c r="K458" s="69"/>
      <c r="L458" s="32"/>
      <c r="M458" s="69"/>
      <c r="N458" s="69"/>
      <c r="O458" s="69"/>
      <c r="P458" s="2"/>
      <c r="Q458" s="2"/>
      <c r="R458" s="32"/>
      <c r="S458" s="32"/>
      <c r="T458" s="32"/>
      <c r="U458" s="32"/>
      <c r="V458" s="2"/>
      <c r="W458" s="2"/>
      <c r="X458" s="2"/>
      <c r="Y458" s="2"/>
      <c r="Z458" s="2"/>
    </row>
    <row r="459" spans="1:26" ht="13.8" x14ac:dyDescent="0.3">
      <c r="A459" s="2"/>
      <c r="B459" s="2"/>
      <c r="C459" s="10"/>
      <c r="D459" s="10"/>
      <c r="E459" s="10"/>
      <c r="F459" s="10"/>
      <c r="G459" s="69"/>
      <c r="H459" s="69"/>
      <c r="I459" s="69"/>
      <c r="J459" s="70"/>
      <c r="K459" s="69"/>
      <c r="L459" s="32"/>
      <c r="M459" s="69"/>
      <c r="N459" s="69"/>
      <c r="O459" s="69"/>
      <c r="P459" s="2"/>
      <c r="Q459" s="2"/>
      <c r="R459" s="32"/>
      <c r="S459" s="32"/>
      <c r="T459" s="32"/>
      <c r="U459" s="32"/>
      <c r="V459" s="2"/>
      <c r="W459" s="2"/>
      <c r="X459" s="2"/>
      <c r="Y459" s="2"/>
      <c r="Z459" s="2"/>
    </row>
    <row r="460" spans="1:26" ht="13.8" x14ac:dyDescent="0.3">
      <c r="A460" s="2"/>
      <c r="B460" s="2"/>
      <c r="C460" s="10"/>
      <c r="D460" s="10"/>
      <c r="E460" s="10"/>
      <c r="F460" s="10"/>
      <c r="G460" s="69"/>
      <c r="H460" s="69"/>
      <c r="I460" s="69"/>
      <c r="J460" s="70"/>
      <c r="K460" s="69"/>
      <c r="L460" s="32"/>
      <c r="M460" s="69"/>
      <c r="N460" s="69"/>
      <c r="O460" s="69"/>
      <c r="P460" s="2"/>
      <c r="Q460" s="2"/>
      <c r="R460" s="32"/>
      <c r="S460" s="32"/>
      <c r="T460" s="32"/>
      <c r="U460" s="32"/>
      <c r="V460" s="2"/>
      <c r="W460" s="2"/>
      <c r="X460" s="2"/>
      <c r="Y460" s="2"/>
      <c r="Z460" s="2"/>
    </row>
    <row r="461" spans="1:26" ht="13.8" x14ac:dyDescent="0.3">
      <c r="A461" s="2"/>
      <c r="B461" s="2"/>
      <c r="C461" s="10"/>
      <c r="D461" s="10"/>
      <c r="E461" s="10"/>
      <c r="F461" s="10"/>
      <c r="G461" s="69"/>
      <c r="H461" s="69"/>
      <c r="I461" s="69"/>
      <c r="J461" s="70"/>
      <c r="K461" s="69"/>
      <c r="L461" s="32"/>
      <c r="M461" s="69"/>
      <c r="N461" s="69"/>
      <c r="O461" s="69"/>
      <c r="P461" s="2"/>
      <c r="Q461" s="2"/>
      <c r="R461" s="32"/>
      <c r="S461" s="32"/>
      <c r="T461" s="32"/>
      <c r="U461" s="32"/>
      <c r="V461" s="2"/>
      <c r="W461" s="2"/>
      <c r="X461" s="2"/>
      <c r="Y461" s="2"/>
      <c r="Z461" s="2"/>
    </row>
    <row r="462" spans="1:26" ht="13.8" x14ac:dyDescent="0.3">
      <c r="A462" s="2"/>
      <c r="B462" s="2"/>
      <c r="C462" s="10"/>
      <c r="D462" s="10"/>
      <c r="E462" s="10"/>
      <c r="F462" s="10"/>
      <c r="G462" s="69"/>
      <c r="H462" s="69"/>
      <c r="I462" s="69"/>
      <c r="J462" s="70"/>
      <c r="K462" s="69"/>
      <c r="L462" s="32"/>
      <c r="M462" s="69"/>
      <c r="N462" s="69"/>
      <c r="O462" s="69"/>
      <c r="P462" s="2"/>
      <c r="Q462" s="2"/>
      <c r="R462" s="32"/>
      <c r="S462" s="32"/>
      <c r="T462" s="32"/>
      <c r="U462" s="32"/>
      <c r="V462" s="2"/>
      <c r="W462" s="2"/>
      <c r="X462" s="2"/>
      <c r="Y462" s="2"/>
      <c r="Z462" s="2"/>
    </row>
    <row r="463" spans="1:26" ht="13.8" x14ac:dyDescent="0.3">
      <c r="A463" s="2"/>
      <c r="B463" s="2"/>
      <c r="C463" s="10"/>
      <c r="D463" s="10"/>
      <c r="E463" s="10"/>
      <c r="F463" s="10"/>
      <c r="G463" s="69"/>
      <c r="H463" s="69"/>
      <c r="I463" s="69"/>
      <c r="J463" s="70"/>
      <c r="K463" s="69"/>
      <c r="L463" s="32"/>
      <c r="M463" s="69"/>
      <c r="N463" s="69"/>
      <c r="O463" s="69"/>
      <c r="P463" s="2"/>
      <c r="Q463" s="2"/>
      <c r="R463" s="32"/>
      <c r="S463" s="32"/>
      <c r="T463" s="32"/>
      <c r="U463" s="32"/>
      <c r="V463" s="2"/>
      <c r="W463" s="2"/>
      <c r="X463" s="2"/>
      <c r="Y463" s="2"/>
      <c r="Z463" s="2"/>
    </row>
    <row r="464" spans="1:26" ht="13.8" x14ac:dyDescent="0.3">
      <c r="A464" s="2"/>
      <c r="B464" s="2"/>
      <c r="C464" s="10"/>
      <c r="D464" s="10"/>
      <c r="E464" s="10"/>
      <c r="F464" s="10"/>
      <c r="G464" s="69"/>
      <c r="H464" s="69"/>
      <c r="I464" s="69"/>
      <c r="J464" s="70"/>
      <c r="K464" s="69"/>
      <c r="L464" s="32"/>
      <c r="M464" s="69"/>
      <c r="N464" s="69"/>
      <c r="O464" s="69"/>
      <c r="P464" s="2"/>
      <c r="Q464" s="2"/>
      <c r="R464" s="32"/>
      <c r="S464" s="32"/>
      <c r="T464" s="32"/>
      <c r="U464" s="32"/>
      <c r="V464" s="2"/>
      <c r="W464" s="2"/>
      <c r="X464" s="2"/>
      <c r="Y464" s="2"/>
      <c r="Z464" s="2"/>
    </row>
    <row r="465" spans="1:26" ht="13.8" x14ac:dyDescent="0.3">
      <c r="A465" s="2"/>
      <c r="B465" s="2"/>
      <c r="C465" s="10"/>
      <c r="D465" s="10"/>
      <c r="E465" s="10"/>
      <c r="F465" s="10"/>
      <c r="G465" s="69"/>
      <c r="H465" s="69"/>
      <c r="I465" s="69"/>
      <c r="J465" s="70"/>
      <c r="K465" s="69"/>
      <c r="L465" s="32"/>
      <c r="M465" s="69"/>
      <c r="N465" s="69"/>
      <c r="O465" s="69"/>
      <c r="P465" s="2"/>
      <c r="Q465" s="2"/>
      <c r="R465" s="32"/>
      <c r="S465" s="32"/>
      <c r="T465" s="32"/>
      <c r="U465" s="32"/>
      <c r="V465" s="2"/>
      <c r="W465" s="2"/>
      <c r="X465" s="2"/>
      <c r="Y465" s="2"/>
      <c r="Z465" s="2"/>
    </row>
    <row r="466" spans="1:26" ht="13.8" x14ac:dyDescent="0.3">
      <c r="A466" s="2"/>
      <c r="B466" s="2"/>
      <c r="C466" s="10"/>
      <c r="D466" s="10"/>
      <c r="E466" s="10"/>
      <c r="F466" s="10"/>
      <c r="G466" s="69"/>
      <c r="H466" s="69"/>
      <c r="I466" s="69"/>
      <c r="J466" s="70"/>
      <c r="K466" s="69"/>
      <c r="L466" s="32"/>
      <c r="M466" s="69"/>
      <c r="N466" s="69"/>
      <c r="O466" s="69"/>
      <c r="P466" s="2"/>
      <c r="Q466" s="2"/>
      <c r="R466" s="32"/>
      <c r="S466" s="32"/>
      <c r="T466" s="32"/>
      <c r="U466" s="32"/>
      <c r="V466" s="2"/>
      <c r="W466" s="2"/>
      <c r="X466" s="2"/>
      <c r="Y466" s="2"/>
      <c r="Z466" s="2"/>
    </row>
    <row r="467" spans="1:26" ht="13.8" x14ac:dyDescent="0.3">
      <c r="A467" s="2"/>
      <c r="B467" s="2"/>
      <c r="C467" s="10"/>
      <c r="D467" s="10"/>
      <c r="E467" s="10"/>
      <c r="F467" s="10"/>
      <c r="G467" s="69"/>
      <c r="H467" s="69"/>
      <c r="I467" s="69"/>
      <c r="J467" s="70"/>
      <c r="K467" s="69"/>
      <c r="L467" s="32"/>
      <c r="M467" s="69"/>
      <c r="N467" s="69"/>
      <c r="O467" s="69"/>
      <c r="P467" s="2"/>
      <c r="Q467" s="2"/>
      <c r="R467" s="32"/>
      <c r="S467" s="32"/>
      <c r="T467" s="32"/>
      <c r="U467" s="32"/>
      <c r="V467" s="2"/>
      <c r="W467" s="2"/>
      <c r="X467" s="2"/>
      <c r="Y467" s="2"/>
      <c r="Z467" s="2"/>
    </row>
    <row r="468" spans="1:26" ht="13.8" x14ac:dyDescent="0.3">
      <c r="A468" s="2"/>
      <c r="B468" s="2"/>
      <c r="C468" s="10"/>
      <c r="D468" s="10"/>
      <c r="E468" s="10"/>
      <c r="F468" s="10"/>
      <c r="G468" s="69"/>
      <c r="H468" s="69"/>
      <c r="I468" s="69"/>
      <c r="J468" s="70"/>
      <c r="K468" s="69"/>
      <c r="L468" s="32"/>
      <c r="M468" s="69"/>
      <c r="N468" s="69"/>
      <c r="O468" s="69"/>
      <c r="P468" s="2"/>
      <c r="Q468" s="2"/>
      <c r="R468" s="32"/>
      <c r="S468" s="32"/>
      <c r="T468" s="32"/>
      <c r="U468" s="32"/>
      <c r="V468" s="2"/>
      <c r="W468" s="2"/>
      <c r="X468" s="2"/>
      <c r="Y468" s="2"/>
      <c r="Z468" s="2"/>
    </row>
    <row r="469" spans="1:26" ht="13.8" x14ac:dyDescent="0.3">
      <c r="A469" s="2"/>
      <c r="B469" s="2"/>
      <c r="C469" s="10"/>
      <c r="D469" s="10"/>
      <c r="E469" s="10"/>
      <c r="F469" s="10"/>
      <c r="G469" s="69"/>
      <c r="H469" s="69"/>
      <c r="I469" s="69"/>
      <c r="J469" s="70"/>
      <c r="K469" s="69"/>
      <c r="L469" s="32"/>
      <c r="M469" s="69"/>
      <c r="N469" s="69"/>
      <c r="O469" s="69"/>
      <c r="P469" s="2"/>
      <c r="Q469" s="2"/>
      <c r="R469" s="32"/>
      <c r="S469" s="32"/>
      <c r="T469" s="32"/>
      <c r="U469" s="32"/>
      <c r="V469" s="2"/>
      <c r="W469" s="2"/>
      <c r="X469" s="2"/>
      <c r="Y469" s="2"/>
      <c r="Z469" s="2"/>
    </row>
    <row r="470" spans="1:26" ht="13.8" x14ac:dyDescent="0.3">
      <c r="A470" s="2"/>
      <c r="B470" s="2"/>
      <c r="C470" s="10"/>
      <c r="D470" s="10"/>
      <c r="E470" s="10"/>
      <c r="F470" s="10"/>
      <c r="G470" s="69"/>
      <c r="H470" s="69"/>
      <c r="I470" s="69"/>
      <c r="J470" s="70"/>
      <c r="K470" s="69"/>
      <c r="L470" s="32"/>
      <c r="M470" s="69"/>
      <c r="N470" s="69"/>
      <c r="O470" s="69"/>
      <c r="P470" s="2"/>
      <c r="Q470" s="2"/>
      <c r="R470" s="32"/>
      <c r="S470" s="32"/>
      <c r="T470" s="32"/>
      <c r="U470" s="32"/>
      <c r="V470" s="2"/>
      <c r="W470" s="2"/>
      <c r="X470" s="2"/>
      <c r="Y470" s="2"/>
      <c r="Z470" s="2"/>
    </row>
    <row r="471" spans="1:26" ht="13.8" x14ac:dyDescent="0.3">
      <c r="A471" s="2"/>
      <c r="B471" s="2"/>
      <c r="C471" s="10"/>
      <c r="D471" s="10"/>
      <c r="E471" s="10"/>
      <c r="F471" s="10"/>
      <c r="G471" s="69"/>
      <c r="H471" s="69"/>
      <c r="I471" s="69"/>
      <c r="J471" s="70"/>
      <c r="K471" s="69"/>
      <c r="L471" s="32"/>
      <c r="M471" s="69"/>
      <c r="N471" s="69"/>
      <c r="O471" s="69"/>
      <c r="P471" s="2"/>
      <c r="Q471" s="2"/>
      <c r="R471" s="32"/>
      <c r="S471" s="32"/>
      <c r="T471" s="32"/>
      <c r="U471" s="32"/>
      <c r="V471" s="2"/>
      <c r="W471" s="2"/>
      <c r="X471" s="2"/>
      <c r="Y471" s="2"/>
      <c r="Z471" s="2"/>
    </row>
    <row r="472" spans="1:26" ht="13.8" x14ac:dyDescent="0.3">
      <c r="A472" s="2"/>
      <c r="B472" s="2"/>
      <c r="C472" s="10"/>
      <c r="D472" s="10"/>
      <c r="E472" s="10"/>
      <c r="F472" s="10"/>
      <c r="G472" s="69"/>
      <c r="H472" s="69"/>
      <c r="I472" s="69"/>
      <c r="J472" s="70"/>
      <c r="K472" s="69"/>
      <c r="L472" s="32"/>
      <c r="M472" s="69"/>
      <c r="N472" s="69"/>
      <c r="O472" s="69"/>
      <c r="P472" s="2"/>
      <c r="Q472" s="2"/>
      <c r="R472" s="32"/>
      <c r="S472" s="32"/>
      <c r="T472" s="32"/>
      <c r="U472" s="32"/>
      <c r="V472" s="2"/>
      <c r="W472" s="2"/>
      <c r="X472" s="2"/>
      <c r="Y472" s="2"/>
      <c r="Z472" s="2"/>
    </row>
    <row r="473" spans="1:26" ht="13.8" x14ac:dyDescent="0.3">
      <c r="A473" s="2"/>
      <c r="B473" s="2"/>
      <c r="C473" s="10"/>
      <c r="D473" s="10"/>
      <c r="E473" s="10"/>
      <c r="F473" s="10"/>
      <c r="G473" s="69"/>
      <c r="H473" s="69"/>
      <c r="I473" s="69"/>
      <c r="J473" s="70"/>
      <c r="K473" s="69"/>
      <c r="L473" s="32"/>
      <c r="M473" s="69"/>
      <c r="N473" s="69"/>
      <c r="O473" s="69"/>
      <c r="P473" s="2"/>
      <c r="Q473" s="2"/>
      <c r="R473" s="32"/>
      <c r="S473" s="32"/>
      <c r="T473" s="32"/>
      <c r="U473" s="32"/>
      <c r="V473" s="2"/>
      <c r="W473" s="2"/>
      <c r="X473" s="2"/>
      <c r="Y473" s="2"/>
      <c r="Z473" s="2"/>
    </row>
    <row r="474" spans="1:26" ht="13.8" x14ac:dyDescent="0.3">
      <c r="A474" s="2"/>
      <c r="B474" s="2"/>
      <c r="C474" s="10"/>
      <c r="D474" s="10"/>
      <c r="E474" s="10"/>
      <c r="F474" s="10"/>
      <c r="G474" s="69"/>
      <c r="H474" s="69"/>
      <c r="I474" s="69"/>
      <c r="J474" s="70"/>
      <c r="K474" s="69"/>
      <c r="L474" s="32"/>
      <c r="M474" s="69"/>
      <c r="N474" s="69"/>
      <c r="O474" s="69"/>
      <c r="P474" s="2"/>
      <c r="Q474" s="2"/>
      <c r="R474" s="32"/>
      <c r="S474" s="32"/>
      <c r="T474" s="32"/>
      <c r="U474" s="32"/>
      <c r="V474" s="2"/>
      <c r="W474" s="2"/>
      <c r="X474" s="2"/>
      <c r="Y474" s="2"/>
      <c r="Z474" s="2"/>
    </row>
    <row r="475" spans="1:26" ht="13.8" x14ac:dyDescent="0.3">
      <c r="A475" s="2"/>
      <c r="B475" s="2"/>
      <c r="C475" s="10"/>
      <c r="D475" s="10"/>
      <c r="E475" s="10"/>
      <c r="F475" s="10"/>
      <c r="G475" s="69"/>
      <c r="H475" s="69"/>
      <c r="I475" s="69"/>
      <c r="J475" s="70"/>
      <c r="K475" s="69"/>
      <c r="L475" s="32"/>
      <c r="M475" s="69"/>
      <c r="N475" s="69"/>
      <c r="O475" s="69"/>
      <c r="P475" s="2"/>
      <c r="Q475" s="2"/>
      <c r="R475" s="32"/>
      <c r="S475" s="32"/>
      <c r="T475" s="32"/>
      <c r="U475" s="32"/>
      <c r="V475" s="2"/>
      <c r="W475" s="2"/>
      <c r="X475" s="2"/>
      <c r="Y475" s="2"/>
      <c r="Z475" s="2"/>
    </row>
    <row r="476" spans="1:26" ht="13.8" x14ac:dyDescent="0.3">
      <c r="A476" s="2"/>
      <c r="B476" s="2"/>
      <c r="C476" s="10"/>
      <c r="D476" s="10"/>
      <c r="E476" s="10"/>
      <c r="F476" s="10"/>
      <c r="G476" s="69"/>
      <c r="H476" s="69"/>
      <c r="I476" s="69"/>
      <c r="J476" s="70"/>
      <c r="K476" s="69"/>
      <c r="L476" s="32"/>
      <c r="M476" s="69"/>
      <c r="N476" s="69"/>
      <c r="O476" s="69"/>
      <c r="P476" s="2"/>
      <c r="Q476" s="2"/>
      <c r="R476" s="32"/>
      <c r="S476" s="32"/>
      <c r="T476" s="32"/>
      <c r="U476" s="32"/>
      <c r="V476" s="2"/>
      <c r="W476" s="2"/>
      <c r="X476" s="2"/>
      <c r="Y476" s="2"/>
      <c r="Z476" s="2"/>
    </row>
    <row r="477" spans="1:26" ht="13.8" x14ac:dyDescent="0.3">
      <c r="A477" s="2"/>
      <c r="B477" s="2"/>
      <c r="C477" s="10"/>
      <c r="D477" s="10"/>
      <c r="E477" s="10"/>
      <c r="F477" s="10"/>
      <c r="G477" s="69"/>
      <c r="H477" s="69"/>
      <c r="I477" s="69"/>
      <c r="J477" s="70"/>
      <c r="K477" s="69"/>
      <c r="L477" s="32"/>
      <c r="M477" s="69"/>
      <c r="N477" s="69"/>
      <c r="O477" s="69"/>
      <c r="P477" s="2"/>
      <c r="Q477" s="2"/>
      <c r="R477" s="32"/>
      <c r="S477" s="32"/>
      <c r="T477" s="32"/>
      <c r="U477" s="32"/>
      <c r="V477" s="2"/>
      <c r="W477" s="2"/>
      <c r="X477" s="2"/>
      <c r="Y477" s="2"/>
      <c r="Z477" s="2"/>
    </row>
    <row r="478" spans="1:26" ht="13.8" x14ac:dyDescent="0.3">
      <c r="A478" s="2"/>
      <c r="B478" s="2"/>
      <c r="C478" s="10"/>
      <c r="D478" s="10"/>
      <c r="E478" s="10"/>
      <c r="F478" s="10"/>
      <c r="G478" s="69"/>
      <c r="H478" s="69"/>
      <c r="I478" s="69"/>
      <c r="J478" s="70"/>
      <c r="K478" s="69"/>
      <c r="L478" s="32"/>
      <c r="M478" s="69"/>
      <c r="N478" s="69"/>
      <c r="O478" s="69"/>
      <c r="P478" s="2"/>
      <c r="Q478" s="2"/>
      <c r="R478" s="32"/>
      <c r="S478" s="32"/>
      <c r="T478" s="32"/>
      <c r="U478" s="32"/>
      <c r="V478" s="2"/>
      <c r="W478" s="2"/>
      <c r="X478" s="2"/>
      <c r="Y478" s="2"/>
      <c r="Z478" s="2"/>
    </row>
    <row r="479" spans="1:26" ht="13.8" x14ac:dyDescent="0.3">
      <c r="A479" s="2"/>
      <c r="B479" s="2"/>
      <c r="C479" s="10"/>
      <c r="D479" s="10"/>
      <c r="E479" s="10"/>
      <c r="F479" s="10"/>
      <c r="G479" s="69"/>
      <c r="H479" s="69"/>
      <c r="I479" s="69"/>
      <c r="J479" s="70"/>
      <c r="K479" s="69"/>
      <c r="L479" s="32"/>
      <c r="M479" s="69"/>
      <c r="N479" s="69"/>
      <c r="O479" s="69"/>
      <c r="P479" s="2"/>
      <c r="Q479" s="2"/>
      <c r="R479" s="32"/>
      <c r="S479" s="32"/>
      <c r="T479" s="32"/>
      <c r="U479" s="32"/>
      <c r="V479" s="2"/>
      <c r="W479" s="2"/>
      <c r="X479" s="2"/>
      <c r="Y479" s="2"/>
      <c r="Z479" s="2"/>
    </row>
    <row r="480" spans="1:26" ht="13.8" x14ac:dyDescent="0.3">
      <c r="A480" s="2"/>
      <c r="B480" s="2"/>
      <c r="C480" s="10"/>
      <c r="D480" s="10"/>
      <c r="E480" s="10"/>
      <c r="F480" s="10"/>
      <c r="G480" s="69"/>
      <c r="H480" s="69"/>
      <c r="I480" s="69"/>
      <c r="J480" s="70"/>
      <c r="K480" s="69"/>
      <c r="L480" s="32"/>
      <c r="M480" s="69"/>
      <c r="N480" s="69"/>
      <c r="O480" s="69"/>
      <c r="P480" s="2"/>
      <c r="Q480" s="2"/>
      <c r="R480" s="32"/>
      <c r="S480" s="32"/>
      <c r="T480" s="32"/>
      <c r="U480" s="32"/>
      <c r="V480" s="2"/>
      <c r="W480" s="2"/>
      <c r="X480" s="2"/>
      <c r="Y480" s="2"/>
      <c r="Z480" s="2"/>
    </row>
    <row r="481" spans="1:26" ht="13.8" x14ac:dyDescent="0.3">
      <c r="A481" s="2"/>
      <c r="B481" s="2"/>
      <c r="C481" s="10"/>
      <c r="D481" s="10"/>
      <c r="E481" s="10"/>
      <c r="F481" s="10"/>
      <c r="G481" s="69"/>
      <c r="H481" s="69"/>
      <c r="I481" s="69"/>
      <c r="J481" s="70"/>
      <c r="K481" s="69"/>
      <c r="L481" s="32"/>
      <c r="M481" s="69"/>
      <c r="N481" s="69"/>
      <c r="O481" s="69"/>
      <c r="P481" s="2"/>
      <c r="Q481" s="2"/>
      <c r="R481" s="32"/>
      <c r="S481" s="32"/>
      <c r="T481" s="32"/>
      <c r="U481" s="32"/>
      <c r="V481" s="2"/>
      <c r="W481" s="2"/>
      <c r="X481" s="2"/>
      <c r="Y481" s="2"/>
      <c r="Z481" s="2"/>
    </row>
    <row r="482" spans="1:26" ht="13.8" x14ac:dyDescent="0.3">
      <c r="A482" s="2"/>
      <c r="B482" s="2"/>
      <c r="C482" s="10"/>
      <c r="D482" s="10"/>
      <c r="E482" s="10"/>
      <c r="F482" s="10"/>
      <c r="G482" s="69"/>
      <c r="H482" s="69"/>
      <c r="I482" s="69"/>
      <c r="J482" s="70"/>
      <c r="K482" s="69"/>
      <c r="L482" s="32"/>
      <c r="M482" s="69"/>
      <c r="N482" s="69"/>
      <c r="O482" s="69"/>
      <c r="P482" s="2"/>
      <c r="Q482" s="2"/>
      <c r="R482" s="32"/>
      <c r="S482" s="32"/>
      <c r="T482" s="32"/>
      <c r="U482" s="32"/>
      <c r="V482" s="2"/>
      <c r="W482" s="2"/>
      <c r="X482" s="2"/>
      <c r="Y482" s="2"/>
      <c r="Z482" s="2"/>
    </row>
    <row r="483" spans="1:26" ht="13.8" x14ac:dyDescent="0.3">
      <c r="A483" s="2"/>
      <c r="B483" s="2"/>
      <c r="C483" s="10"/>
      <c r="D483" s="10"/>
      <c r="E483" s="10"/>
      <c r="F483" s="10"/>
      <c r="G483" s="69"/>
      <c r="H483" s="69"/>
      <c r="I483" s="69"/>
      <c r="J483" s="70"/>
      <c r="K483" s="69"/>
      <c r="L483" s="32"/>
      <c r="M483" s="69"/>
      <c r="N483" s="69"/>
      <c r="O483" s="69"/>
      <c r="P483" s="2"/>
      <c r="Q483" s="2"/>
      <c r="R483" s="32"/>
      <c r="S483" s="32"/>
      <c r="T483" s="32"/>
      <c r="U483" s="32"/>
      <c r="V483" s="2"/>
      <c r="W483" s="2"/>
      <c r="X483" s="2"/>
      <c r="Y483" s="2"/>
      <c r="Z483" s="2"/>
    </row>
    <row r="484" spans="1:26" ht="13.8" x14ac:dyDescent="0.3">
      <c r="A484" s="2"/>
      <c r="B484" s="2"/>
      <c r="C484" s="10"/>
      <c r="D484" s="10"/>
      <c r="E484" s="10"/>
      <c r="F484" s="10"/>
      <c r="G484" s="69"/>
      <c r="H484" s="69"/>
      <c r="I484" s="69"/>
      <c r="J484" s="70"/>
      <c r="K484" s="69"/>
      <c r="L484" s="32"/>
      <c r="M484" s="69"/>
      <c r="N484" s="69"/>
      <c r="O484" s="69"/>
      <c r="P484" s="2"/>
      <c r="Q484" s="2"/>
      <c r="R484" s="32"/>
      <c r="S484" s="32"/>
      <c r="T484" s="32"/>
      <c r="U484" s="32"/>
      <c r="V484" s="2"/>
      <c r="W484" s="2"/>
      <c r="X484" s="2"/>
      <c r="Y484" s="2"/>
      <c r="Z484" s="2"/>
    </row>
    <row r="485" spans="1:26" ht="13.8" x14ac:dyDescent="0.3">
      <c r="A485" s="2"/>
      <c r="B485" s="2"/>
      <c r="C485" s="10"/>
      <c r="D485" s="10"/>
      <c r="E485" s="10"/>
      <c r="F485" s="10"/>
      <c r="G485" s="69"/>
      <c r="H485" s="69"/>
      <c r="I485" s="69"/>
      <c r="J485" s="70"/>
      <c r="K485" s="69"/>
      <c r="L485" s="32"/>
      <c r="M485" s="69"/>
      <c r="N485" s="69"/>
      <c r="O485" s="69"/>
      <c r="P485" s="2"/>
      <c r="Q485" s="2"/>
      <c r="R485" s="32"/>
      <c r="S485" s="32"/>
      <c r="T485" s="32"/>
      <c r="U485" s="32"/>
      <c r="V485" s="2"/>
      <c r="W485" s="2"/>
      <c r="X485" s="2"/>
      <c r="Y485" s="2"/>
      <c r="Z485" s="2"/>
    </row>
    <row r="486" spans="1:26" ht="13.8" x14ac:dyDescent="0.3">
      <c r="A486" s="2"/>
      <c r="B486" s="2"/>
      <c r="C486" s="10"/>
      <c r="D486" s="10"/>
      <c r="E486" s="10"/>
      <c r="F486" s="10"/>
      <c r="G486" s="69"/>
      <c r="H486" s="69"/>
      <c r="I486" s="69"/>
      <c r="J486" s="70"/>
      <c r="K486" s="69"/>
      <c r="L486" s="32"/>
      <c r="M486" s="69"/>
      <c r="N486" s="69"/>
      <c r="O486" s="69"/>
      <c r="P486" s="2"/>
      <c r="Q486" s="2"/>
      <c r="R486" s="32"/>
      <c r="S486" s="32"/>
      <c r="T486" s="32"/>
      <c r="U486" s="32"/>
      <c r="V486" s="2"/>
      <c r="W486" s="2"/>
      <c r="X486" s="2"/>
      <c r="Y486" s="2"/>
      <c r="Z486" s="2"/>
    </row>
    <row r="487" spans="1:26" ht="13.8" x14ac:dyDescent="0.3">
      <c r="A487" s="2"/>
      <c r="B487" s="2"/>
      <c r="C487" s="10"/>
      <c r="D487" s="10"/>
      <c r="E487" s="10"/>
      <c r="F487" s="10"/>
      <c r="G487" s="69"/>
      <c r="H487" s="69"/>
      <c r="I487" s="69"/>
      <c r="J487" s="70"/>
      <c r="K487" s="69"/>
      <c r="L487" s="32"/>
      <c r="M487" s="69"/>
      <c r="N487" s="69"/>
      <c r="O487" s="69"/>
      <c r="P487" s="2"/>
      <c r="Q487" s="2"/>
      <c r="R487" s="32"/>
      <c r="S487" s="32"/>
      <c r="T487" s="32"/>
      <c r="U487" s="32"/>
      <c r="V487" s="2"/>
      <c r="W487" s="2"/>
      <c r="X487" s="2"/>
      <c r="Y487" s="2"/>
      <c r="Z487" s="2"/>
    </row>
    <row r="488" spans="1:26" ht="13.8" x14ac:dyDescent="0.3">
      <c r="A488" s="2"/>
      <c r="B488" s="2"/>
      <c r="C488" s="10"/>
      <c r="D488" s="10"/>
      <c r="E488" s="10"/>
      <c r="F488" s="10"/>
      <c r="G488" s="69"/>
      <c r="H488" s="69"/>
      <c r="I488" s="69"/>
      <c r="J488" s="70"/>
      <c r="K488" s="69"/>
      <c r="L488" s="32"/>
      <c r="M488" s="69"/>
      <c r="N488" s="69"/>
      <c r="O488" s="69"/>
      <c r="P488" s="2"/>
      <c r="Q488" s="2"/>
      <c r="R488" s="32"/>
      <c r="S488" s="32"/>
      <c r="T488" s="32"/>
      <c r="U488" s="32"/>
      <c r="V488" s="2"/>
      <c r="W488" s="2"/>
      <c r="X488" s="2"/>
      <c r="Y488" s="2"/>
      <c r="Z488" s="2"/>
    </row>
    <row r="489" spans="1:26" ht="13.8" x14ac:dyDescent="0.3">
      <c r="A489" s="2"/>
      <c r="B489" s="2"/>
      <c r="C489" s="10"/>
      <c r="D489" s="10"/>
      <c r="E489" s="10"/>
      <c r="F489" s="10"/>
      <c r="G489" s="69"/>
      <c r="H489" s="69"/>
      <c r="I489" s="69"/>
      <c r="J489" s="70"/>
      <c r="K489" s="69"/>
      <c r="L489" s="32"/>
      <c r="M489" s="69"/>
      <c r="N489" s="69"/>
      <c r="O489" s="69"/>
      <c r="P489" s="2"/>
      <c r="Q489" s="2"/>
      <c r="R489" s="32"/>
      <c r="S489" s="32"/>
      <c r="T489" s="32"/>
      <c r="U489" s="32"/>
      <c r="V489" s="2"/>
      <c r="W489" s="2"/>
      <c r="X489" s="2"/>
      <c r="Y489" s="2"/>
      <c r="Z489" s="2"/>
    </row>
    <row r="490" spans="1:26" ht="13.8" x14ac:dyDescent="0.3">
      <c r="A490" s="2"/>
      <c r="B490" s="2"/>
      <c r="C490" s="10"/>
      <c r="D490" s="10"/>
      <c r="E490" s="10"/>
      <c r="F490" s="10"/>
      <c r="G490" s="69"/>
      <c r="H490" s="69"/>
      <c r="I490" s="69"/>
      <c r="J490" s="70"/>
      <c r="K490" s="69"/>
      <c r="L490" s="32"/>
      <c r="M490" s="69"/>
      <c r="N490" s="69"/>
      <c r="O490" s="69"/>
      <c r="P490" s="2"/>
      <c r="Q490" s="2"/>
      <c r="R490" s="32"/>
      <c r="S490" s="32"/>
      <c r="T490" s="32"/>
      <c r="U490" s="32"/>
      <c r="V490" s="2"/>
      <c r="W490" s="2"/>
      <c r="X490" s="2"/>
      <c r="Y490" s="2"/>
      <c r="Z490" s="2"/>
    </row>
    <row r="491" spans="1:26" ht="13.8" x14ac:dyDescent="0.3">
      <c r="A491" s="2"/>
      <c r="B491" s="2"/>
      <c r="C491" s="10"/>
      <c r="D491" s="10"/>
      <c r="E491" s="10"/>
      <c r="F491" s="10"/>
      <c r="G491" s="69"/>
      <c r="H491" s="69"/>
      <c r="I491" s="69"/>
      <c r="J491" s="70"/>
      <c r="K491" s="69"/>
      <c r="L491" s="32"/>
      <c r="M491" s="69"/>
      <c r="N491" s="69"/>
      <c r="O491" s="69"/>
      <c r="P491" s="2"/>
      <c r="Q491" s="2"/>
      <c r="R491" s="32"/>
      <c r="S491" s="32"/>
      <c r="T491" s="32"/>
      <c r="U491" s="32"/>
      <c r="V491" s="2"/>
      <c r="W491" s="2"/>
      <c r="X491" s="2"/>
      <c r="Y491" s="2"/>
      <c r="Z491" s="2"/>
    </row>
    <row r="492" spans="1:26" ht="13.8" x14ac:dyDescent="0.3">
      <c r="A492" s="2"/>
      <c r="B492" s="2"/>
      <c r="C492" s="10"/>
      <c r="D492" s="10"/>
      <c r="E492" s="10"/>
      <c r="F492" s="10"/>
      <c r="G492" s="69"/>
      <c r="H492" s="69"/>
      <c r="I492" s="69"/>
      <c r="J492" s="70"/>
      <c r="K492" s="69"/>
      <c r="L492" s="32"/>
      <c r="M492" s="69"/>
      <c r="N492" s="69"/>
      <c r="O492" s="69"/>
      <c r="P492" s="2"/>
      <c r="Q492" s="2"/>
      <c r="R492" s="32"/>
      <c r="S492" s="32"/>
      <c r="T492" s="32"/>
      <c r="U492" s="32"/>
      <c r="V492" s="2"/>
      <c r="W492" s="2"/>
      <c r="X492" s="2"/>
      <c r="Y492" s="2"/>
      <c r="Z492" s="2"/>
    </row>
    <row r="493" spans="1:26" ht="13.8" x14ac:dyDescent="0.3">
      <c r="A493" s="2"/>
      <c r="B493" s="2"/>
      <c r="C493" s="10"/>
      <c r="D493" s="10"/>
      <c r="E493" s="10"/>
      <c r="F493" s="10"/>
      <c r="G493" s="69"/>
      <c r="H493" s="69"/>
      <c r="I493" s="69"/>
      <c r="J493" s="70"/>
      <c r="K493" s="69"/>
      <c r="L493" s="32"/>
      <c r="M493" s="69"/>
      <c r="N493" s="69"/>
      <c r="O493" s="69"/>
      <c r="P493" s="2"/>
      <c r="Q493" s="2"/>
      <c r="R493" s="32"/>
      <c r="S493" s="32"/>
      <c r="T493" s="32"/>
      <c r="U493" s="32"/>
      <c r="V493" s="2"/>
      <c r="W493" s="2"/>
      <c r="X493" s="2"/>
      <c r="Y493" s="2"/>
      <c r="Z493" s="2"/>
    </row>
    <row r="494" spans="1:26" ht="13.8" x14ac:dyDescent="0.3">
      <c r="A494" s="2"/>
      <c r="B494" s="2"/>
      <c r="C494" s="10"/>
      <c r="D494" s="10"/>
      <c r="E494" s="10"/>
      <c r="F494" s="10"/>
      <c r="G494" s="69"/>
      <c r="H494" s="69"/>
      <c r="I494" s="69"/>
      <c r="J494" s="70"/>
      <c r="K494" s="69"/>
      <c r="L494" s="32"/>
      <c r="M494" s="69"/>
      <c r="N494" s="69"/>
      <c r="O494" s="69"/>
      <c r="P494" s="2"/>
      <c r="Q494" s="2"/>
      <c r="R494" s="32"/>
      <c r="S494" s="32"/>
      <c r="T494" s="32"/>
      <c r="U494" s="32"/>
      <c r="V494" s="2"/>
      <c r="W494" s="2"/>
      <c r="X494" s="2"/>
      <c r="Y494" s="2"/>
      <c r="Z494" s="2"/>
    </row>
    <row r="495" spans="1:26" ht="13.8" x14ac:dyDescent="0.3">
      <c r="A495" s="2"/>
      <c r="B495" s="2"/>
      <c r="C495" s="10"/>
      <c r="D495" s="10"/>
      <c r="E495" s="10"/>
      <c r="F495" s="10"/>
      <c r="G495" s="69"/>
      <c r="H495" s="69"/>
      <c r="I495" s="69"/>
      <c r="J495" s="70"/>
      <c r="K495" s="69"/>
      <c r="L495" s="32"/>
      <c r="M495" s="69"/>
      <c r="N495" s="69"/>
      <c r="O495" s="69"/>
      <c r="P495" s="2"/>
      <c r="Q495" s="2"/>
      <c r="R495" s="32"/>
      <c r="S495" s="32"/>
      <c r="T495" s="32"/>
      <c r="U495" s="32"/>
      <c r="V495" s="2"/>
      <c r="W495" s="2"/>
      <c r="X495" s="2"/>
      <c r="Y495" s="2"/>
      <c r="Z495" s="2"/>
    </row>
    <row r="496" spans="1:26" ht="13.8" x14ac:dyDescent="0.3">
      <c r="A496" s="2"/>
      <c r="B496" s="2"/>
      <c r="C496" s="10"/>
      <c r="D496" s="10"/>
      <c r="E496" s="10"/>
      <c r="F496" s="10"/>
      <c r="G496" s="69"/>
      <c r="H496" s="69"/>
      <c r="I496" s="69"/>
      <c r="J496" s="70"/>
      <c r="K496" s="69"/>
      <c r="L496" s="32"/>
      <c r="M496" s="69"/>
      <c r="N496" s="69"/>
      <c r="O496" s="69"/>
      <c r="P496" s="2"/>
      <c r="Q496" s="2"/>
      <c r="R496" s="32"/>
      <c r="S496" s="32"/>
      <c r="T496" s="32"/>
      <c r="U496" s="32"/>
      <c r="V496" s="2"/>
      <c r="W496" s="2"/>
      <c r="X496" s="2"/>
      <c r="Y496" s="2"/>
      <c r="Z496" s="2"/>
    </row>
    <row r="497" spans="1:26" ht="13.8" x14ac:dyDescent="0.3">
      <c r="A497" s="2"/>
      <c r="B497" s="2"/>
      <c r="C497" s="10"/>
      <c r="D497" s="10"/>
      <c r="E497" s="10"/>
      <c r="F497" s="10"/>
      <c r="G497" s="69"/>
      <c r="H497" s="69"/>
      <c r="I497" s="69"/>
      <c r="J497" s="70"/>
      <c r="K497" s="69"/>
      <c r="L497" s="32"/>
      <c r="M497" s="69"/>
      <c r="N497" s="69"/>
      <c r="O497" s="69"/>
      <c r="P497" s="2"/>
      <c r="Q497" s="2"/>
      <c r="R497" s="32"/>
      <c r="S497" s="32"/>
      <c r="T497" s="32"/>
      <c r="U497" s="32"/>
      <c r="V497" s="2"/>
      <c r="W497" s="2"/>
      <c r="X497" s="2"/>
      <c r="Y497" s="2"/>
      <c r="Z497" s="2"/>
    </row>
    <row r="498" spans="1:26" ht="13.8" x14ac:dyDescent="0.3">
      <c r="A498" s="2"/>
      <c r="B498" s="2"/>
      <c r="C498" s="10"/>
      <c r="D498" s="10"/>
      <c r="E498" s="10"/>
      <c r="F498" s="10"/>
      <c r="G498" s="69"/>
      <c r="H498" s="69"/>
      <c r="I498" s="69"/>
      <c r="J498" s="70"/>
      <c r="K498" s="69"/>
      <c r="L498" s="32"/>
      <c r="M498" s="69"/>
      <c r="N498" s="69"/>
      <c r="O498" s="69"/>
      <c r="P498" s="2"/>
      <c r="Q498" s="2"/>
      <c r="R498" s="32"/>
      <c r="S498" s="32"/>
      <c r="T498" s="32"/>
      <c r="U498" s="32"/>
      <c r="V498" s="2"/>
      <c r="W498" s="2"/>
      <c r="X498" s="2"/>
      <c r="Y498" s="2"/>
      <c r="Z498" s="2"/>
    </row>
    <row r="499" spans="1:26" ht="13.8" x14ac:dyDescent="0.3">
      <c r="A499" s="2"/>
      <c r="B499" s="2"/>
      <c r="C499" s="10"/>
      <c r="D499" s="10"/>
      <c r="E499" s="10"/>
      <c r="F499" s="10"/>
      <c r="G499" s="69"/>
      <c r="H499" s="69"/>
      <c r="I499" s="69"/>
      <c r="J499" s="70"/>
      <c r="K499" s="69"/>
      <c r="L499" s="32"/>
      <c r="M499" s="69"/>
      <c r="N499" s="69"/>
      <c r="O499" s="69"/>
      <c r="P499" s="2"/>
      <c r="Q499" s="2"/>
      <c r="R499" s="32"/>
      <c r="S499" s="32"/>
      <c r="T499" s="32"/>
      <c r="U499" s="32"/>
      <c r="V499" s="2"/>
      <c r="W499" s="2"/>
      <c r="X499" s="2"/>
      <c r="Y499" s="2"/>
      <c r="Z499" s="2"/>
    </row>
    <row r="500" spans="1:26" ht="13.8" x14ac:dyDescent="0.3">
      <c r="A500" s="2"/>
      <c r="B500" s="2"/>
      <c r="C500" s="10"/>
      <c r="D500" s="10"/>
      <c r="E500" s="10"/>
      <c r="F500" s="10"/>
      <c r="G500" s="69"/>
      <c r="H500" s="69"/>
      <c r="I500" s="69"/>
      <c r="J500" s="70"/>
      <c r="K500" s="69"/>
      <c r="L500" s="32"/>
      <c r="M500" s="69"/>
      <c r="N500" s="69"/>
      <c r="O500" s="69"/>
      <c r="P500" s="2"/>
      <c r="Q500" s="2"/>
      <c r="R500" s="32"/>
      <c r="S500" s="32"/>
      <c r="T500" s="32"/>
      <c r="U500" s="32"/>
      <c r="V500" s="2"/>
      <c r="W500" s="2"/>
      <c r="X500" s="2"/>
      <c r="Y500" s="2"/>
      <c r="Z500" s="2"/>
    </row>
    <row r="501" spans="1:26" ht="13.8" x14ac:dyDescent="0.3">
      <c r="A501" s="2"/>
      <c r="B501" s="2"/>
      <c r="C501" s="10"/>
      <c r="D501" s="10"/>
      <c r="E501" s="10"/>
      <c r="F501" s="10"/>
      <c r="G501" s="69"/>
      <c r="H501" s="69"/>
      <c r="I501" s="69"/>
      <c r="J501" s="70"/>
      <c r="K501" s="69"/>
      <c r="L501" s="32"/>
      <c r="M501" s="69"/>
      <c r="N501" s="69"/>
      <c r="O501" s="69"/>
      <c r="P501" s="2"/>
      <c r="Q501" s="2"/>
      <c r="R501" s="32"/>
      <c r="S501" s="32"/>
      <c r="T501" s="32"/>
      <c r="U501" s="32"/>
      <c r="V501" s="2"/>
      <c r="W501" s="2"/>
      <c r="X501" s="2"/>
      <c r="Y501" s="2"/>
      <c r="Z501" s="2"/>
    </row>
    <row r="502" spans="1:26" ht="13.8" x14ac:dyDescent="0.3">
      <c r="A502" s="2"/>
      <c r="B502" s="2"/>
      <c r="C502" s="10"/>
      <c r="D502" s="10"/>
      <c r="E502" s="10"/>
      <c r="F502" s="10"/>
      <c r="G502" s="69"/>
      <c r="H502" s="69"/>
      <c r="I502" s="69"/>
      <c r="J502" s="70"/>
      <c r="K502" s="69"/>
      <c r="L502" s="32"/>
      <c r="M502" s="69"/>
      <c r="N502" s="69"/>
      <c r="O502" s="69"/>
      <c r="P502" s="2"/>
      <c r="Q502" s="2"/>
      <c r="R502" s="32"/>
      <c r="S502" s="32"/>
      <c r="T502" s="32"/>
      <c r="U502" s="32"/>
      <c r="V502" s="2"/>
      <c r="W502" s="2"/>
      <c r="X502" s="2"/>
      <c r="Y502" s="2"/>
      <c r="Z502" s="2"/>
    </row>
    <row r="503" spans="1:26" ht="13.8" x14ac:dyDescent="0.3">
      <c r="A503" s="2"/>
      <c r="B503" s="2"/>
      <c r="C503" s="10"/>
      <c r="D503" s="10"/>
      <c r="E503" s="10"/>
      <c r="F503" s="10"/>
      <c r="G503" s="69"/>
      <c r="H503" s="69"/>
      <c r="I503" s="69"/>
      <c r="J503" s="70"/>
      <c r="K503" s="69"/>
      <c r="L503" s="32"/>
      <c r="M503" s="69"/>
      <c r="N503" s="69"/>
      <c r="O503" s="69"/>
      <c r="P503" s="2"/>
      <c r="Q503" s="2"/>
      <c r="R503" s="32"/>
      <c r="S503" s="32"/>
      <c r="T503" s="32"/>
      <c r="U503" s="32"/>
      <c r="V503" s="2"/>
      <c r="W503" s="2"/>
      <c r="X503" s="2"/>
      <c r="Y503" s="2"/>
      <c r="Z503" s="2"/>
    </row>
    <row r="504" spans="1:26" ht="13.8" x14ac:dyDescent="0.3">
      <c r="A504" s="2"/>
      <c r="B504" s="2"/>
      <c r="C504" s="10"/>
      <c r="D504" s="10"/>
      <c r="E504" s="10"/>
      <c r="F504" s="10"/>
      <c r="G504" s="69"/>
      <c r="H504" s="69"/>
      <c r="I504" s="69"/>
      <c r="J504" s="70"/>
      <c r="K504" s="69"/>
      <c r="L504" s="32"/>
      <c r="M504" s="69"/>
      <c r="N504" s="69"/>
      <c r="O504" s="69"/>
      <c r="P504" s="2"/>
      <c r="Q504" s="2"/>
      <c r="R504" s="32"/>
      <c r="S504" s="32"/>
      <c r="T504" s="32"/>
      <c r="U504" s="32"/>
      <c r="V504" s="2"/>
      <c r="W504" s="2"/>
      <c r="X504" s="2"/>
      <c r="Y504" s="2"/>
      <c r="Z504" s="2"/>
    </row>
    <row r="505" spans="1:26" ht="13.8" x14ac:dyDescent="0.3">
      <c r="A505" s="2"/>
      <c r="B505" s="2"/>
      <c r="C505" s="10"/>
      <c r="D505" s="10"/>
      <c r="E505" s="10"/>
      <c r="F505" s="10"/>
      <c r="G505" s="69"/>
      <c r="H505" s="69"/>
      <c r="I505" s="69"/>
      <c r="J505" s="70"/>
      <c r="K505" s="69"/>
      <c r="L505" s="32"/>
      <c r="M505" s="69"/>
      <c r="N505" s="69"/>
      <c r="O505" s="69"/>
      <c r="P505" s="2"/>
      <c r="Q505" s="2"/>
      <c r="R505" s="32"/>
      <c r="S505" s="32"/>
      <c r="T505" s="32"/>
      <c r="U505" s="32"/>
      <c r="V505" s="2"/>
      <c r="W505" s="2"/>
      <c r="X505" s="2"/>
      <c r="Y505" s="2"/>
      <c r="Z505" s="2"/>
    </row>
    <row r="506" spans="1:26" ht="13.8" x14ac:dyDescent="0.3">
      <c r="A506" s="2"/>
      <c r="B506" s="2"/>
      <c r="C506" s="10"/>
      <c r="D506" s="10"/>
      <c r="E506" s="10"/>
      <c r="F506" s="10"/>
      <c r="G506" s="69"/>
      <c r="H506" s="69"/>
      <c r="I506" s="69"/>
      <c r="J506" s="70"/>
      <c r="K506" s="69"/>
      <c r="L506" s="32"/>
      <c r="M506" s="69"/>
      <c r="N506" s="69"/>
      <c r="O506" s="69"/>
      <c r="P506" s="2"/>
      <c r="Q506" s="2"/>
      <c r="R506" s="32"/>
      <c r="S506" s="32"/>
      <c r="T506" s="32"/>
      <c r="U506" s="32"/>
      <c r="V506" s="2"/>
      <c r="W506" s="2"/>
      <c r="X506" s="2"/>
      <c r="Y506" s="2"/>
      <c r="Z506" s="2"/>
    </row>
    <row r="507" spans="1:26" ht="13.8" x14ac:dyDescent="0.3">
      <c r="A507" s="2"/>
      <c r="B507" s="2"/>
      <c r="C507" s="10"/>
      <c r="D507" s="10"/>
      <c r="E507" s="10"/>
      <c r="F507" s="10"/>
      <c r="G507" s="69"/>
      <c r="H507" s="69"/>
      <c r="I507" s="69"/>
      <c r="J507" s="70"/>
      <c r="K507" s="69"/>
      <c r="L507" s="32"/>
      <c r="M507" s="69"/>
      <c r="N507" s="69"/>
      <c r="O507" s="69"/>
      <c r="P507" s="2"/>
      <c r="Q507" s="2"/>
      <c r="R507" s="32"/>
      <c r="S507" s="32"/>
      <c r="T507" s="32"/>
      <c r="U507" s="32"/>
      <c r="V507" s="2"/>
      <c r="W507" s="2"/>
      <c r="X507" s="2"/>
      <c r="Y507" s="2"/>
      <c r="Z507" s="2"/>
    </row>
    <row r="508" spans="1:26" ht="13.8" x14ac:dyDescent="0.3">
      <c r="A508" s="2"/>
      <c r="B508" s="2"/>
      <c r="C508" s="10"/>
      <c r="D508" s="10"/>
      <c r="E508" s="10"/>
      <c r="F508" s="10"/>
      <c r="G508" s="69"/>
      <c r="H508" s="69"/>
      <c r="I508" s="69"/>
      <c r="J508" s="70"/>
      <c r="K508" s="69"/>
      <c r="L508" s="32"/>
      <c r="M508" s="69"/>
      <c r="N508" s="69"/>
      <c r="O508" s="69"/>
      <c r="P508" s="2"/>
      <c r="Q508" s="2"/>
      <c r="R508" s="32"/>
      <c r="S508" s="32"/>
      <c r="T508" s="32"/>
      <c r="U508" s="32"/>
      <c r="V508" s="2"/>
      <c r="W508" s="2"/>
      <c r="X508" s="2"/>
      <c r="Y508" s="2"/>
      <c r="Z508" s="2"/>
    </row>
    <row r="509" spans="1:26" ht="13.8" x14ac:dyDescent="0.3">
      <c r="A509" s="2"/>
      <c r="B509" s="2"/>
      <c r="C509" s="10"/>
      <c r="D509" s="10"/>
      <c r="E509" s="10"/>
      <c r="F509" s="10"/>
      <c r="G509" s="69"/>
      <c r="H509" s="69"/>
      <c r="I509" s="69"/>
      <c r="J509" s="70"/>
      <c r="K509" s="69"/>
      <c r="L509" s="32"/>
      <c r="M509" s="69"/>
      <c r="N509" s="69"/>
      <c r="O509" s="69"/>
      <c r="P509" s="2"/>
      <c r="Q509" s="2"/>
      <c r="R509" s="32"/>
      <c r="S509" s="32"/>
      <c r="T509" s="32"/>
      <c r="U509" s="32"/>
      <c r="V509" s="2"/>
      <c r="W509" s="2"/>
      <c r="X509" s="2"/>
      <c r="Y509" s="2"/>
      <c r="Z509" s="2"/>
    </row>
    <row r="510" spans="1:26" ht="13.8" x14ac:dyDescent="0.3">
      <c r="A510" s="2"/>
      <c r="B510" s="2"/>
      <c r="C510" s="10"/>
      <c r="D510" s="10"/>
      <c r="E510" s="10"/>
      <c r="F510" s="10"/>
      <c r="G510" s="69"/>
      <c r="H510" s="69"/>
      <c r="I510" s="69"/>
      <c r="J510" s="70"/>
      <c r="K510" s="69"/>
      <c r="L510" s="32"/>
      <c r="M510" s="69"/>
      <c r="N510" s="69"/>
      <c r="O510" s="69"/>
      <c r="P510" s="2"/>
      <c r="Q510" s="2"/>
      <c r="R510" s="32"/>
      <c r="S510" s="32"/>
      <c r="T510" s="32"/>
      <c r="U510" s="32"/>
      <c r="V510" s="2"/>
      <c r="W510" s="2"/>
      <c r="X510" s="2"/>
      <c r="Y510" s="2"/>
      <c r="Z510" s="2"/>
    </row>
    <row r="511" spans="1:26" ht="13.8" x14ac:dyDescent="0.3">
      <c r="A511" s="2"/>
      <c r="B511" s="2"/>
      <c r="C511" s="10"/>
      <c r="D511" s="10"/>
      <c r="E511" s="10"/>
      <c r="F511" s="10"/>
      <c r="G511" s="69"/>
      <c r="H511" s="69"/>
      <c r="I511" s="69"/>
      <c r="J511" s="70"/>
      <c r="K511" s="69"/>
      <c r="L511" s="32"/>
      <c r="M511" s="69"/>
      <c r="N511" s="69"/>
      <c r="O511" s="69"/>
      <c r="P511" s="2"/>
      <c r="Q511" s="2"/>
      <c r="R511" s="32"/>
      <c r="S511" s="32"/>
      <c r="T511" s="32"/>
      <c r="U511" s="32"/>
      <c r="V511" s="2"/>
      <c r="W511" s="2"/>
      <c r="X511" s="2"/>
      <c r="Y511" s="2"/>
      <c r="Z511" s="2"/>
    </row>
    <row r="512" spans="1:26" ht="13.8" x14ac:dyDescent="0.3">
      <c r="A512" s="2"/>
      <c r="B512" s="2"/>
      <c r="C512" s="10"/>
      <c r="D512" s="10"/>
      <c r="E512" s="10"/>
      <c r="F512" s="10"/>
      <c r="G512" s="69"/>
      <c r="H512" s="69"/>
      <c r="I512" s="69"/>
      <c r="J512" s="70"/>
      <c r="K512" s="69"/>
      <c r="L512" s="32"/>
      <c r="M512" s="69"/>
      <c r="N512" s="69"/>
      <c r="O512" s="69"/>
      <c r="P512" s="2"/>
      <c r="Q512" s="2"/>
      <c r="R512" s="32"/>
      <c r="S512" s="32"/>
      <c r="T512" s="32"/>
      <c r="U512" s="32"/>
      <c r="V512" s="2"/>
      <c r="W512" s="2"/>
      <c r="X512" s="2"/>
      <c r="Y512" s="2"/>
      <c r="Z512" s="2"/>
    </row>
    <row r="513" spans="1:26" ht="13.8" x14ac:dyDescent="0.3">
      <c r="A513" s="2"/>
      <c r="B513" s="2"/>
      <c r="C513" s="10"/>
      <c r="D513" s="10"/>
      <c r="E513" s="10"/>
      <c r="F513" s="10"/>
      <c r="G513" s="69"/>
      <c r="H513" s="69"/>
      <c r="I513" s="69"/>
      <c r="J513" s="70"/>
      <c r="K513" s="69"/>
      <c r="L513" s="32"/>
      <c r="M513" s="69"/>
      <c r="N513" s="69"/>
      <c r="O513" s="69"/>
      <c r="P513" s="2"/>
      <c r="Q513" s="2"/>
      <c r="R513" s="32"/>
      <c r="S513" s="32"/>
      <c r="T513" s="32"/>
      <c r="U513" s="32"/>
      <c r="V513" s="2"/>
      <c r="W513" s="2"/>
      <c r="X513" s="2"/>
      <c r="Y513" s="2"/>
      <c r="Z513" s="2"/>
    </row>
    <row r="514" spans="1:26" ht="13.8" x14ac:dyDescent="0.3">
      <c r="A514" s="2"/>
      <c r="B514" s="2"/>
      <c r="C514" s="10"/>
      <c r="D514" s="10"/>
      <c r="E514" s="10"/>
      <c r="F514" s="10"/>
      <c r="G514" s="69"/>
      <c r="H514" s="69"/>
      <c r="I514" s="69"/>
      <c r="J514" s="70"/>
      <c r="K514" s="69"/>
      <c r="L514" s="32"/>
      <c r="M514" s="69"/>
      <c r="N514" s="69"/>
      <c r="O514" s="69"/>
      <c r="P514" s="2"/>
      <c r="Q514" s="2"/>
      <c r="R514" s="32"/>
      <c r="S514" s="32"/>
      <c r="T514" s="32"/>
      <c r="U514" s="32"/>
      <c r="V514" s="2"/>
      <c r="W514" s="2"/>
      <c r="X514" s="2"/>
      <c r="Y514" s="2"/>
      <c r="Z514" s="2"/>
    </row>
    <row r="515" spans="1:26" ht="13.8" x14ac:dyDescent="0.3">
      <c r="A515" s="2"/>
      <c r="B515" s="2"/>
      <c r="C515" s="10"/>
      <c r="D515" s="10"/>
      <c r="E515" s="10"/>
      <c r="F515" s="10"/>
      <c r="G515" s="69"/>
      <c r="H515" s="69"/>
      <c r="I515" s="69"/>
      <c r="J515" s="70"/>
      <c r="K515" s="69"/>
      <c r="L515" s="32"/>
      <c r="M515" s="69"/>
      <c r="N515" s="69"/>
      <c r="O515" s="69"/>
      <c r="P515" s="2"/>
      <c r="Q515" s="2"/>
      <c r="R515" s="32"/>
      <c r="S515" s="32"/>
      <c r="T515" s="32"/>
      <c r="U515" s="32"/>
      <c r="V515" s="2"/>
      <c r="W515" s="2"/>
      <c r="X515" s="2"/>
      <c r="Y515" s="2"/>
      <c r="Z515" s="2"/>
    </row>
    <row r="516" spans="1:26" ht="13.8" x14ac:dyDescent="0.3">
      <c r="A516" s="2"/>
      <c r="B516" s="2"/>
      <c r="C516" s="10"/>
      <c r="D516" s="10"/>
      <c r="E516" s="10"/>
      <c r="F516" s="10"/>
      <c r="G516" s="69"/>
      <c r="H516" s="69"/>
      <c r="I516" s="69"/>
      <c r="J516" s="70"/>
      <c r="K516" s="69"/>
      <c r="L516" s="32"/>
      <c r="M516" s="69"/>
      <c r="N516" s="69"/>
      <c r="O516" s="69"/>
      <c r="P516" s="2"/>
      <c r="Q516" s="2"/>
      <c r="R516" s="32"/>
      <c r="S516" s="32"/>
      <c r="T516" s="32"/>
      <c r="U516" s="32"/>
      <c r="V516" s="2"/>
      <c r="W516" s="2"/>
      <c r="X516" s="2"/>
      <c r="Y516" s="2"/>
      <c r="Z516" s="2"/>
    </row>
    <row r="517" spans="1:26" ht="13.8" x14ac:dyDescent="0.3">
      <c r="A517" s="2"/>
      <c r="B517" s="2"/>
      <c r="C517" s="10"/>
      <c r="D517" s="10"/>
      <c r="E517" s="10"/>
      <c r="F517" s="10"/>
      <c r="G517" s="69"/>
      <c r="H517" s="69"/>
      <c r="I517" s="69"/>
      <c r="J517" s="70"/>
      <c r="K517" s="69"/>
      <c r="L517" s="32"/>
      <c r="M517" s="69"/>
      <c r="N517" s="69"/>
      <c r="O517" s="69"/>
      <c r="P517" s="2"/>
      <c r="Q517" s="2"/>
      <c r="R517" s="32"/>
      <c r="S517" s="32"/>
      <c r="T517" s="32"/>
      <c r="U517" s="32"/>
      <c r="V517" s="2"/>
      <c r="W517" s="2"/>
      <c r="X517" s="2"/>
      <c r="Y517" s="2"/>
      <c r="Z517" s="2"/>
    </row>
    <row r="518" spans="1:26" ht="13.8" x14ac:dyDescent="0.3">
      <c r="A518" s="2"/>
      <c r="B518" s="2"/>
      <c r="C518" s="10"/>
      <c r="D518" s="10"/>
      <c r="E518" s="10"/>
      <c r="F518" s="10"/>
      <c r="G518" s="69"/>
      <c r="H518" s="69"/>
      <c r="I518" s="69"/>
      <c r="J518" s="70"/>
      <c r="K518" s="69"/>
      <c r="L518" s="32"/>
      <c r="M518" s="69"/>
      <c r="N518" s="69"/>
      <c r="O518" s="69"/>
      <c r="P518" s="2"/>
      <c r="Q518" s="2"/>
      <c r="R518" s="32"/>
      <c r="S518" s="32"/>
      <c r="T518" s="32"/>
      <c r="U518" s="32"/>
      <c r="V518" s="2"/>
      <c r="W518" s="2"/>
      <c r="X518" s="2"/>
      <c r="Y518" s="2"/>
      <c r="Z518" s="2"/>
    </row>
    <row r="519" spans="1:26" ht="13.8" x14ac:dyDescent="0.3">
      <c r="A519" s="2"/>
      <c r="B519" s="2"/>
      <c r="C519" s="10"/>
      <c r="D519" s="10"/>
      <c r="E519" s="10"/>
      <c r="F519" s="10"/>
      <c r="G519" s="69"/>
      <c r="H519" s="69"/>
      <c r="I519" s="69"/>
      <c r="J519" s="70"/>
      <c r="K519" s="69"/>
      <c r="L519" s="32"/>
      <c r="M519" s="69"/>
      <c r="N519" s="69"/>
      <c r="O519" s="69"/>
      <c r="P519" s="2"/>
      <c r="Q519" s="2"/>
      <c r="R519" s="32"/>
      <c r="S519" s="32"/>
      <c r="T519" s="32"/>
      <c r="U519" s="32"/>
      <c r="V519" s="2"/>
      <c r="W519" s="2"/>
      <c r="X519" s="2"/>
      <c r="Y519" s="2"/>
      <c r="Z519" s="2"/>
    </row>
    <row r="520" spans="1:26" ht="13.8" x14ac:dyDescent="0.3">
      <c r="A520" s="2"/>
      <c r="B520" s="2"/>
      <c r="C520" s="10"/>
      <c r="D520" s="10"/>
      <c r="E520" s="10"/>
      <c r="F520" s="10"/>
      <c r="G520" s="69"/>
      <c r="H520" s="69"/>
      <c r="I520" s="69"/>
      <c r="J520" s="70"/>
      <c r="K520" s="69"/>
      <c r="L520" s="32"/>
      <c r="M520" s="69"/>
      <c r="N520" s="69"/>
      <c r="O520" s="69"/>
      <c r="P520" s="2"/>
      <c r="Q520" s="2"/>
      <c r="R520" s="32"/>
      <c r="S520" s="32"/>
      <c r="T520" s="32"/>
      <c r="U520" s="32"/>
      <c r="V520" s="2"/>
      <c r="W520" s="2"/>
      <c r="X520" s="2"/>
      <c r="Y520" s="2"/>
      <c r="Z520" s="2"/>
    </row>
    <row r="521" spans="1:26" ht="13.8" x14ac:dyDescent="0.3">
      <c r="A521" s="2"/>
      <c r="B521" s="2"/>
      <c r="C521" s="10"/>
      <c r="D521" s="10"/>
      <c r="E521" s="10"/>
      <c r="F521" s="10"/>
      <c r="G521" s="69"/>
      <c r="H521" s="69"/>
      <c r="I521" s="69"/>
      <c r="J521" s="70"/>
      <c r="K521" s="69"/>
      <c r="L521" s="32"/>
      <c r="M521" s="69"/>
      <c r="N521" s="69"/>
      <c r="O521" s="69"/>
      <c r="P521" s="2"/>
      <c r="Q521" s="2"/>
      <c r="R521" s="32"/>
      <c r="S521" s="32"/>
      <c r="T521" s="32"/>
      <c r="U521" s="32"/>
      <c r="V521" s="2"/>
      <c r="W521" s="2"/>
      <c r="X521" s="2"/>
      <c r="Y521" s="2"/>
      <c r="Z521" s="2"/>
    </row>
    <row r="522" spans="1:26" ht="13.8" x14ac:dyDescent="0.3">
      <c r="A522" s="2"/>
      <c r="B522" s="2"/>
      <c r="C522" s="10"/>
      <c r="D522" s="10"/>
      <c r="E522" s="10"/>
      <c r="F522" s="10"/>
      <c r="G522" s="69"/>
      <c r="H522" s="69"/>
      <c r="I522" s="69"/>
      <c r="J522" s="70"/>
      <c r="K522" s="69"/>
      <c r="L522" s="32"/>
      <c r="M522" s="69"/>
      <c r="N522" s="69"/>
      <c r="O522" s="69"/>
      <c r="P522" s="2"/>
      <c r="Q522" s="2"/>
      <c r="R522" s="32"/>
      <c r="S522" s="32"/>
      <c r="T522" s="32"/>
      <c r="U522" s="32"/>
      <c r="V522" s="2"/>
      <c r="W522" s="2"/>
      <c r="X522" s="2"/>
      <c r="Y522" s="2"/>
      <c r="Z522" s="2"/>
    </row>
    <row r="523" spans="1:26" ht="13.8" x14ac:dyDescent="0.3">
      <c r="A523" s="2"/>
      <c r="B523" s="2"/>
      <c r="C523" s="10"/>
      <c r="D523" s="10"/>
      <c r="E523" s="10"/>
      <c r="F523" s="10"/>
      <c r="G523" s="69"/>
      <c r="H523" s="69"/>
      <c r="I523" s="69"/>
      <c r="J523" s="70"/>
      <c r="K523" s="69"/>
      <c r="L523" s="32"/>
      <c r="M523" s="69"/>
      <c r="N523" s="69"/>
      <c r="O523" s="69"/>
      <c r="P523" s="2"/>
      <c r="Q523" s="2"/>
      <c r="R523" s="32"/>
      <c r="S523" s="32"/>
      <c r="T523" s="32"/>
      <c r="U523" s="32"/>
      <c r="V523" s="2"/>
      <c r="W523" s="2"/>
      <c r="X523" s="2"/>
      <c r="Y523" s="2"/>
      <c r="Z523" s="2"/>
    </row>
    <row r="524" spans="1:26" ht="13.8" x14ac:dyDescent="0.3">
      <c r="A524" s="2"/>
      <c r="B524" s="2"/>
      <c r="C524" s="10"/>
      <c r="D524" s="10"/>
      <c r="E524" s="10"/>
      <c r="F524" s="10"/>
      <c r="G524" s="69"/>
      <c r="H524" s="69"/>
      <c r="I524" s="69"/>
      <c r="J524" s="70"/>
      <c r="K524" s="69"/>
      <c r="L524" s="32"/>
      <c r="M524" s="69"/>
      <c r="N524" s="69"/>
      <c r="O524" s="69"/>
      <c r="P524" s="2"/>
      <c r="Q524" s="2"/>
      <c r="R524" s="32"/>
      <c r="S524" s="32"/>
      <c r="T524" s="32"/>
      <c r="U524" s="32"/>
      <c r="V524" s="2"/>
      <c r="W524" s="2"/>
      <c r="X524" s="2"/>
      <c r="Y524" s="2"/>
      <c r="Z524" s="2"/>
    </row>
    <row r="525" spans="1:26" ht="13.8" x14ac:dyDescent="0.3">
      <c r="A525" s="2"/>
      <c r="B525" s="2"/>
      <c r="C525" s="10"/>
      <c r="D525" s="10"/>
      <c r="E525" s="10"/>
      <c r="F525" s="10"/>
      <c r="G525" s="69"/>
      <c r="H525" s="69"/>
      <c r="I525" s="69"/>
      <c r="J525" s="70"/>
      <c r="K525" s="69"/>
      <c r="L525" s="32"/>
      <c r="M525" s="69"/>
      <c r="N525" s="69"/>
      <c r="O525" s="69"/>
      <c r="P525" s="2"/>
      <c r="Q525" s="2"/>
      <c r="R525" s="32"/>
      <c r="S525" s="32"/>
      <c r="T525" s="32"/>
      <c r="U525" s="32"/>
      <c r="V525" s="2"/>
      <c r="W525" s="2"/>
      <c r="X525" s="2"/>
      <c r="Y525" s="2"/>
      <c r="Z525" s="2"/>
    </row>
    <row r="526" spans="1:26" ht="13.8" x14ac:dyDescent="0.3">
      <c r="A526" s="2"/>
      <c r="B526" s="2"/>
      <c r="C526" s="10"/>
      <c r="D526" s="10"/>
      <c r="E526" s="10"/>
      <c r="F526" s="10"/>
      <c r="G526" s="69"/>
      <c r="H526" s="69"/>
      <c r="I526" s="69"/>
      <c r="J526" s="70"/>
      <c r="K526" s="69"/>
      <c r="L526" s="32"/>
      <c r="M526" s="69"/>
      <c r="N526" s="69"/>
      <c r="O526" s="69"/>
      <c r="P526" s="2"/>
      <c r="Q526" s="2"/>
      <c r="R526" s="32"/>
      <c r="S526" s="32"/>
      <c r="T526" s="32"/>
      <c r="U526" s="32"/>
      <c r="V526" s="2"/>
      <c r="W526" s="2"/>
      <c r="X526" s="2"/>
      <c r="Y526" s="2"/>
      <c r="Z526" s="2"/>
    </row>
    <row r="527" spans="1:26" ht="13.8" x14ac:dyDescent="0.3">
      <c r="A527" s="2"/>
      <c r="B527" s="2"/>
      <c r="C527" s="10"/>
      <c r="D527" s="10"/>
      <c r="E527" s="10"/>
      <c r="F527" s="10"/>
      <c r="G527" s="69"/>
      <c r="H527" s="69"/>
      <c r="I527" s="69"/>
      <c r="J527" s="70"/>
      <c r="K527" s="69"/>
      <c r="L527" s="32"/>
      <c r="M527" s="69"/>
      <c r="N527" s="69"/>
      <c r="O527" s="69"/>
      <c r="P527" s="2"/>
      <c r="Q527" s="2"/>
      <c r="R527" s="32"/>
      <c r="S527" s="32"/>
      <c r="T527" s="32"/>
      <c r="U527" s="32"/>
      <c r="V527" s="2"/>
      <c r="W527" s="2"/>
      <c r="X527" s="2"/>
      <c r="Y527" s="2"/>
      <c r="Z527" s="2"/>
    </row>
    <row r="528" spans="1:26" ht="13.8" x14ac:dyDescent="0.3">
      <c r="A528" s="2"/>
      <c r="B528" s="2"/>
      <c r="C528" s="10"/>
      <c r="D528" s="10"/>
      <c r="E528" s="10"/>
      <c r="F528" s="10"/>
      <c r="G528" s="69"/>
      <c r="H528" s="69"/>
      <c r="I528" s="69"/>
      <c r="J528" s="70"/>
      <c r="K528" s="69"/>
      <c r="L528" s="32"/>
      <c r="M528" s="69"/>
      <c r="N528" s="69"/>
      <c r="O528" s="69"/>
      <c r="P528" s="2"/>
      <c r="Q528" s="2"/>
      <c r="R528" s="32"/>
      <c r="S528" s="32"/>
      <c r="T528" s="32"/>
      <c r="U528" s="32"/>
      <c r="V528" s="2"/>
      <c r="W528" s="2"/>
      <c r="X528" s="2"/>
      <c r="Y528" s="2"/>
      <c r="Z528" s="2"/>
    </row>
    <row r="529" spans="1:26" ht="13.8" x14ac:dyDescent="0.3">
      <c r="A529" s="2"/>
      <c r="B529" s="2"/>
      <c r="C529" s="10"/>
      <c r="D529" s="10"/>
      <c r="E529" s="10"/>
      <c r="F529" s="10"/>
      <c r="G529" s="69"/>
      <c r="H529" s="69"/>
      <c r="I529" s="69"/>
      <c r="J529" s="70"/>
      <c r="K529" s="69"/>
      <c r="L529" s="32"/>
      <c r="M529" s="69"/>
      <c r="N529" s="69"/>
      <c r="O529" s="69"/>
      <c r="P529" s="2"/>
      <c r="Q529" s="2"/>
      <c r="R529" s="32"/>
      <c r="S529" s="32"/>
      <c r="T529" s="32"/>
      <c r="U529" s="32"/>
      <c r="V529" s="2"/>
      <c r="W529" s="2"/>
      <c r="X529" s="2"/>
      <c r="Y529" s="2"/>
      <c r="Z529" s="2"/>
    </row>
    <row r="530" spans="1:26" ht="13.8" x14ac:dyDescent="0.3">
      <c r="A530" s="2"/>
      <c r="B530" s="2"/>
      <c r="C530" s="10"/>
      <c r="D530" s="10"/>
      <c r="E530" s="10"/>
      <c r="F530" s="10"/>
      <c r="G530" s="69"/>
      <c r="H530" s="69"/>
      <c r="I530" s="69"/>
      <c r="J530" s="70"/>
      <c r="K530" s="69"/>
      <c r="L530" s="32"/>
      <c r="M530" s="69"/>
      <c r="N530" s="69"/>
      <c r="O530" s="69"/>
      <c r="P530" s="2"/>
      <c r="Q530" s="2"/>
      <c r="R530" s="32"/>
      <c r="S530" s="32"/>
      <c r="T530" s="32"/>
      <c r="U530" s="32"/>
      <c r="V530" s="2"/>
      <c r="W530" s="2"/>
      <c r="X530" s="2"/>
      <c r="Y530" s="2"/>
      <c r="Z530" s="2"/>
    </row>
    <row r="531" spans="1:26" ht="13.8" x14ac:dyDescent="0.3">
      <c r="A531" s="2"/>
      <c r="B531" s="2"/>
      <c r="C531" s="10"/>
      <c r="D531" s="10"/>
      <c r="E531" s="10"/>
      <c r="F531" s="10"/>
      <c r="G531" s="69"/>
      <c r="H531" s="69"/>
      <c r="I531" s="69"/>
      <c r="J531" s="70"/>
      <c r="K531" s="69"/>
      <c r="L531" s="32"/>
      <c r="M531" s="69"/>
      <c r="N531" s="69"/>
      <c r="O531" s="69"/>
      <c r="P531" s="2"/>
      <c r="Q531" s="2"/>
      <c r="R531" s="32"/>
      <c r="S531" s="32"/>
      <c r="T531" s="32"/>
      <c r="U531" s="32"/>
      <c r="V531" s="2"/>
      <c r="W531" s="2"/>
      <c r="X531" s="2"/>
      <c r="Y531" s="2"/>
      <c r="Z531" s="2"/>
    </row>
    <row r="532" spans="1:26" ht="13.8" x14ac:dyDescent="0.3">
      <c r="A532" s="2"/>
      <c r="B532" s="2"/>
      <c r="C532" s="10"/>
      <c r="D532" s="10"/>
      <c r="E532" s="10"/>
      <c r="F532" s="10"/>
      <c r="G532" s="69"/>
      <c r="H532" s="69"/>
      <c r="I532" s="69"/>
      <c r="J532" s="70"/>
      <c r="K532" s="69"/>
      <c r="L532" s="32"/>
      <c r="M532" s="69"/>
      <c r="N532" s="69"/>
      <c r="O532" s="69"/>
      <c r="P532" s="2"/>
      <c r="Q532" s="2"/>
      <c r="R532" s="32"/>
      <c r="S532" s="32"/>
      <c r="T532" s="32"/>
      <c r="U532" s="32"/>
      <c r="V532" s="2"/>
      <c r="W532" s="2"/>
      <c r="X532" s="2"/>
      <c r="Y532" s="2"/>
      <c r="Z532" s="2"/>
    </row>
    <row r="533" spans="1:26" ht="13.8" x14ac:dyDescent="0.3">
      <c r="A533" s="2"/>
      <c r="B533" s="2"/>
      <c r="C533" s="10"/>
      <c r="D533" s="10"/>
      <c r="E533" s="10"/>
      <c r="F533" s="10"/>
      <c r="G533" s="69"/>
      <c r="H533" s="69"/>
      <c r="I533" s="69"/>
      <c r="J533" s="70"/>
      <c r="K533" s="69"/>
      <c r="L533" s="32"/>
      <c r="M533" s="69"/>
      <c r="N533" s="69"/>
      <c r="O533" s="69"/>
      <c r="P533" s="2"/>
      <c r="Q533" s="2"/>
      <c r="R533" s="32"/>
      <c r="S533" s="32"/>
      <c r="T533" s="32"/>
      <c r="U533" s="32"/>
      <c r="V533" s="2"/>
      <c r="W533" s="2"/>
      <c r="X533" s="2"/>
      <c r="Y533" s="2"/>
      <c r="Z533" s="2"/>
    </row>
    <row r="534" spans="1:26" ht="13.8" x14ac:dyDescent="0.3">
      <c r="A534" s="2"/>
      <c r="B534" s="2"/>
      <c r="C534" s="10"/>
      <c r="D534" s="10"/>
      <c r="E534" s="10"/>
      <c r="F534" s="10"/>
      <c r="G534" s="69"/>
      <c r="H534" s="69"/>
      <c r="I534" s="69"/>
      <c r="J534" s="70"/>
      <c r="K534" s="69"/>
      <c r="L534" s="32"/>
      <c r="M534" s="69"/>
      <c r="N534" s="69"/>
      <c r="O534" s="69"/>
      <c r="P534" s="2"/>
      <c r="Q534" s="2"/>
      <c r="R534" s="32"/>
      <c r="S534" s="32"/>
      <c r="T534" s="32"/>
      <c r="U534" s="32"/>
      <c r="V534" s="2"/>
      <c r="W534" s="2"/>
      <c r="X534" s="2"/>
      <c r="Y534" s="2"/>
      <c r="Z534" s="2"/>
    </row>
    <row r="535" spans="1:26" ht="13.8" x14ac:dyDescent="0.3">
      <c r="A535" s="2"/>
      <c r="B535" s="2"/>
      <c r="C535" s="10"/>
      <c r="D535" s="10"/>
      <c r="E535" s="10"/>
      <c r="F535" s="10"/>
      <c r="G535" s="69"/>
      <c r="H535" s="69"/>
      <c r="I535" s="69"/>
      <c r="J535" s="70"/>
      <c r="K535" s="69"/>
      <c r="L535" s="32"/>
      <c r="M535" s="69"/>
      <c r="N535" s="69"/>
      <c r="O535" s="69"/>
      <c r="P535" s="2"/>
      <c r="Q535" s="2"/>
      <c r="R535" s="32"/>
      <c r="S535" s="32"/>
      <c r="T535" s="32"/>
      <c r="U535" s="32"/>
      <c r="V535" s="2"/>
      <c r="W535" s="2"/>
      <c r="X535" s="2"/>
      <c r="Y535" s="2"/>
      <c r="Z535" s="2"/>
    </row>
    <row r="536" spans="1:26" ht="13.8" x14ac:dyDescent="0.3">
      <c r="A536" s="2"/>
      <c r="B536" s="2"/>
      <c r="C536" s="10"/>
      <c r="D536" s="10"/>
      <c r="E536" s="10"/>
      <c r="F536" s="10"/>
      <c r="G536" s="69"/>
      <c r="H536" s="69"/>
      <c r="I536" s="69"/>
      <c r="J536" s="70"/>
      <c r="K536" s="69"/>
      <c r="L536" s="32"/>
      <c r="M536" s="69"/>
      <c r="N536" s="69"/>
      <c r="O536" s="69"/>
      <c r="P536" s="2"/>
      <c r="Q536" s="2"/>
      <c r="R536" s="32"/>
      <c r="S536" s="32"/>
      <c r="T536" s="32"/>
      <c r="U536" s="32"/>
      <c r="V536" s="2"/>
      <c r="W536" s="2"/>
      <c r="X536" s="2"/>
      <c r="Y536" s="2"/>
      <c r="Z536" s="2"/>
    </row>
    <row r="537" spans="1:26" ht="13.8" x14ac:dyDescent="0.3">
      <c r="A537" s="2"/>
      <c r="B537" s="2"/>
      <c r="C537" s="10"/>
      <c r="D537" s="10"/>
      <c r="E537" s="10"/>
      <c r="F537" s="10"/>
      <c r="G537" s="69"/>
      <c r="H537" s="69"/>
      <c r="I537" s="69"/>
      <c r="J537" s="70"/>
      <c r="K537" s="69"/>
      <c r="L537" s="32"/>
      <c r="M537" s="69"/>
      <c r="N537" s="69"/>
      <c r="O537" s="69"/>
      <c r="P537" s="2"/>
      <c r="Q537" s="2"/>
      <c r="R537" s="32"/>
      <c r="S537" s="32"/>
      <c r="T537" s="32"/>
      <c r="U537" s="32"/>
      <c r="V537" s="2"/>
      <c r="W537" s="2"/>
      <c r="X537" s="2"/>
      <c r="Y537" s="2"/>
      <c r="Z537" s="2"/>
    </row>
    <row r="538" spans="1:26" ht="13.8" x14ac:dyDescent="0.3">
      <c r="A538" s="2"/>
      <c r="B538" s="2"/>
      <c r="C538" s="10"/>
      <c r="D538" s="10"/>
      <c r="E538" s="10"/>
      <c r="F538" s="10"/>
      <c r="G538" s="69"/>
      <c r="H538" s="69"/>
      <c r="I538" s="69"/>
      <c r="J538" s="70"/>
      <c r="K538" s="69"/>
      <c r="L538" s="32"/>
      <c r="M538" s="69"/>
      <c r="N538" s="69"/>
      <c r="O538" s="69"/>
      <c r="P538" s="2"/>
      <c r="Q538" s="2"/>
      <c r="R538" s="32"/>
      <c r="S538" s="32"/>
      <c r="T538" s="32"/>
      <c r="U538" s="32"/>
      <c r="V538" s="2"/>
      <c r="W538" s="2"/>
      <c r="X538" s="2"/>
      <c r="Y538" s="2"/>
      <c r="Z538" s="2"/>
    </row>
    <row r="539" spans="1:26" ht="13.8" x14ac:dyDescent="0.3">
      <c r="A539" s="2"/>
      <c r="B539" s="2"/>
      <c r="C539" s="10"/>
      <c r="D539" s="10"/>
      <c r="E539" s="10"/>
      <c r="F539" s="10"/>
      <c r="G539" s="69"/>
      <c r="H539" s="69"/>
      <c r="I539" s="69"/>
      <c r="J539" s="70"/>
      <c r="K539" s="69"/>
      <c r="L539" s="32"/>
      <c r="M539" s="69"/>
      <c r="N539" s="69"/>
      <c r="O539" s="69"/>
      <c r="P539" s="2"/>
      <c r="Q539" s="2"/>
      <c r="R539" s="32"/>
      <c r="S539" s="32"/>
      <c r="T539" s="32"/>
      <c r="U539" s="32"/>
      <c r="V539" s="2"/>
      <c r="W539" s="2"/>
      <c r="X539" s="2"/>
      <c r="Y539" s="2"/>
      <c r="Z539" s="2"/>
    </row>
    <row r="540" spans="1:26" ht="13.8" x14ac:dyDescent="0.3">
      <c r="A540" s="2"/>
      <c r="B540" s="2"/>
      <c r="C540" s="10"/>
      <c r="D540" s="10"/>
      <c r="E540" s="10"/>
      <c r="F540" s="10"/>
      <c r="G540" s="69"/>
      <c r="H540" s="69"/>
      <c r="I540" s="69"/>
      <c r="J540" s="70"/>
      <c r="K540" s="69"/>
      <c r="L540" s="32"/>
      <c r="M540" s="69"/>
      <c r="N540" s="69"/>
      <c r="O540" s="69"/>
      <c r="P540" s="2"/>
      <c r="Q540" s="2"/>
      <c r="R540" s="32"/>
      <c r="S540" s="32"/>
      <c r="T540" s="32"/>
      <c r="U540" s="32"/>
      <c r="V540" s="2"/>
      <c r="W540" s="2"/>
      <c r="X540" s="2"/>
      <c r="Y540" s="2"/>
      <c r="Z540" s="2"/>
    </row>
    <row r="541" spans="1:26" ht="13.8" x14ac:dyDescent="0.3">
      <c r="A541" s="2"/>
      <c r="B541" s="2"/>
      <c r="C541" s="10"/>
      <c r="D541" s="10"/>
      <c r="E541" s="10"/>
      <c r="F541" s="10"/>
      <c r="G541" s="69"/>
      <c r="H541" s="69"/>
      <c r="I541" s="69"/>
      <c r="J541" s="70"/>
      <c r="K541" s="69"/>
      <c r="L541" s="32"/>
      <c r="M541" s="69"/>
      <c r="N541" s="69"/>
      <c r="O541" s="69"/>
      <c r="P541" s="2"/>
      <c r="Q541" s="2"/>
      <c r="R541" s="32"/>
      <c r="S541" s="32"/>
      <c r="T541" s="32"/>
      <c r="U541" s="32"/>
      <c r="V541" s="2"/>
      <c r="W541" s="2"/>
      <c r="X541" s="2"/>
      <c r="Y541" s="2"/>
      <c r="Z541" s="2"/>
    </row>
    <row r="542" spans="1:26" ht="13.8" x14ac:dyDescent="0.3">
      <c r="A542" s="2"/>
      <c r="B542" s="2"/>
      <c r="C542" s="10"/>
      <c r="D542" s="10"/>
      <c r="E542" s="10"/>
      <c r="F542" s="10"/>
      <c r="G542" s="69"/>
      <c r="H542" s="69"/>
      <c r="I542" s="69"/>
      <c r="J542" s="70"/>
      <c r="K542" s="69"/>
      <c r="L542" s="32"/>
      <c r="M542" s="69"/>
      <c r="N542" s="69"/>
      <c r="O542" s="69"/>
      <c r="P542" s="2"/>
      <c r="Q542" s="2"/>
      <c r="R542" s="32"/>
      <c r="S542" s="32"/>
      <c r="T542" s="32"/>
      <c r="U542" s="32"/>
      <c r="V542" s="2"/>
      <c r="W542" s="2"/>
      <c r="X542" s="2"/>
      <c r="Y542" s="2"/>
      <c r="Z542" s="2"/>
    </row>
    <row r="543" spans="1:26" ht="13.8" x14ac:dyDescent="0.3">
      <c r="A543" s="2"/>
      <c r="B543" s="2"/>
      <c r="C543" s="10"/>
      <c r="D543" s="10"/>
      <c r="E543" s="10"/>
      <c r="F543" s="10"/>
      <c r="G543" s="69"/>
      <c r="H543" s="69"/>
      <c r="I543" s="69"/>
      <c r="J543" s="70"/>
      <c r="K543" s="69"/>
      <c r="L543" s="32"/>
      <c r="M543" s="69"/>
      <c r="N543" s="69"/>
      <c r="O543" s="69"/>
      <c r="P543" s="2"/>
      <c r="Q543" s="2"/>
      <c r="R543" s="32"/>
      <c r="S543" s="32"/>
      <c r="T543" s="32"/>
      <c r="U543" s="32"/>
      <c r="V543" s="2"/>
      <c r="W543" s="2"/>
      <c r="X543" s="2"/>
      <c r="Y543" s="2"/>
      <c r="Z543" s="2"/>
    </row>
    <row r="544" spans="1:26" ht="13.8" x14ac:dyDescent="0.3">
      <c r="A544" s="2"/>
      <c r="B544" s="2"/>
      <c r="C544" s="10"/>
      <c r="D544" s="10"/>
      <c r="E544" s="10"/>
      <c r="F544" s="10"/>
      <c r="G544" s="69"/>
      <c r="H544" s="69"/>
      <c r="I544" s="69"/>
      <c r="J544" s="70"/>
      <c r="K544" s="69"/>
      <c r="L544" s="32"/>
      <c r="M544" s="69"/>
      <c r="N544" s="69"/>
      <c r="O544" s="69"/>
      <c r="P544" s="2"/>
      <c r="Q544" s="2"/>
      <c r="R544" s="32"/>
      <c r="S544" s="32"/>
      <c r="T544" s="32"/>
      <c r="U544" s="32"/>
      <c r="V544" s="2"/>
      <c r="W544" s="2"/>
      <c r="X544" s="2"/>
      <c r="Y544" s="2"/>
      <c r="Z544" s="2"/>
    </row>
    <row r="545" spans="1:26" ht="13.8" x14ac:dyDescent="0.3">
      <c r="A545" s="2"/>
      <c r="B545" s="2"/>
      <c r="C545" s="10"/>
      <c r="D545" s="10"/>
      <c r="E545" s="10"/>
      <c r="F545" s="10"/>
      <c r="G545" s="69"/>
      <c r="H545" s="69"/>
      <c r="I545" s="69"/>
      <c r="J545" s="70"/>
      <c r="K545" s="69"/>
      <c r="L545" s="32"/>
      <c r="M545" s="69"/>
      <c r="N545" s="69"/>
      <c r="O545" s="69"/>
      <c r="P545" s="2"/>
      <c r="Q545" s="2"/>
      <c r="R545" s="32"/>
      <c r="S545" s="32"/>
      <c r="T545" s="32"/>
      <c r="U545" s="32"/>
      <c r="V545" s="2"/>
      <c r="W545" s="2"/>
      <c r="X545" s="2"/>
      <c r="Y545" s="2"/>
      <c r="Z545" s="2"/>
    </row>
    <row r="546" spans="1:26" ht="13.8" x14ac:dyDescent="0.3">
      <c r="A546" s="2"/>
      <c r="B546" s="2"/>
      <c r="C546" s="10"/>
      <c r="D546" s="10"/>
      <c r="E546" s="10"/>
      <c r="F546" s="10"/>
      <c r="G546" s="69"/>
      <c r="H546" s="69"/>
      <c r="I546" s="69"/>
      <c r="J546" s="70"/>
      <c r="K546" s="69"/>
      <c r="L546" s="32"/>
      <c r="M546" s="69"/>
      <c r="N546" s="69"/>
      <c r="O546" s="69"/>
      <c r="P546" s="2"/>
      <c r="Q546" s="2"/>
      <c r="R546" s="32"/>
      <c r="S546" s="32"/>
      <c r="T546" s="32"/>
      <c r="U546" s="32"/>
      <c r="V546" s="2"/>
      <c r="W546" s="2"/>
      <c r="X546" s="2"/>
      <c r="Y546" s="2"/>
      <c r="Z546" s="2"/>
    </row>
    <row r="547" spans="1:26" ht="13.8" x14ac:dyDescent="0.3">
      <c r="A547" s="2"/>
      <c r="B547" s="2"/>
      <c r="C547" s="10"/>
      <c r="D547" s="10"/>
      <c r="E547" s="10"/>
      <c r="F547" s="10"/>
      <c r="G547" s="69"/>
      <c r="H547" s="69"/>
      <c r="I547" s="69"/>
      <c r="J547" s="70"/>
      <c r="K547" s="69"/>
      <c r="L547" s="32"/>
      <c r="M547" s="69"/>
      <c r="N547" s="69"/>
      <c r="O547" s="69"/>
      <c r="P547" s="2"/>
      <c r="Q547" s="2"/>
      <c r="R547" s="32"/>
      <c r="S547" s="32"/>
      <c r="T547" s="32"/>
      <c r="U547" s="32"/>
      <c r="V547" s="2"/>
      <c r="W547" s="2"/>
      <c r="X547" s="2"/>
      <c r="Y547" s="2"/>
      <c r="Z547" s="2"/>
    </row>
    <row r="548" spans="1:26" ht="13.8" x14ac:dyDescent="0.3">
      <c r="A548" s="2"/>
      <c r="B548" s="2"/>
      <c r="C548" s="10"/>
      <c r="D548" s="10"/>
      <c r="E548" s="10"/>
      <c r="F548" s="10"/>
      <c r="G548" s="69"/>
      <c r="H548" s="69"/>
      <c r="I548" s="69"/>
      <c r="J548" s="70"/>
      <c r="K548" s="69"/>
      <c r="L548" s="32"/>
      <c r="M548" s="69"/>
      <c r="N548" s="69"/>
      <c r="O548" s="69"/>
      <c r="P548" s="2"/>
      <c r="Q548" s="2"/>
      <c r="R548" s="32"/>
      <c r="S548" s="32"/>
      <c r="T548" s="32"/>
      <c r="U548" s="32"/>
      <c r="V548" s="2"/>
      <c r="W548" s="2"/>
      <c r="X548" s="2"/>
      <c r="Y548" s="2"/>
      <c r="Z548" s="2"/>
    </row>
    <row r="549" spans="1:26" ht="13.8" x14ac:dyDescent="0.3">
      <c r="A549" s="2"/>
      <c r="B549" s="2"/>
      <c r="C549" s="10"/>
      <c r="D549" s="10"/>
      <c r="E549" s="10"/>
      <c r="F549" s="10"/>
      <c r="G549" s="69"/>
      <c r="H549" s="69"/>
      <c r="I549" s="69"/>
      <c r="J549" s="70"/>
      <c r="K549" s="69"/>
      <c r="L549" s="32"/>
      <c r="M549" s="69"/>
      <c r="N549" s="69"/>
      <c r="O549" s="69"/>
      <c r="P549" s="2"/>
      <c r="Q549" s="2"/>
      <c r="R549" s="32"/>
      <c r="S549" s="32"/>
      <c r="T549" s="32"/>
      <c r="U549" s="32"/>
      <c r="V549" s="2"/>
      <c r="W549" s="2"/>
      <c r="X549" s="2"/>
      <c r="Y549" s="2"/>
      <c r="Z549" s="2"/>
    </row>
    <row r="550" spans="1:26" ht="13.8" x14ac:dyDescent="0.3">
      <c r="A550" s="2"/>
      <c r="B550" s="2"/>
      <c r="C550" s="10"/>
      <c r="D550" s="10"/>
      <c r="E550" s="10"/>
      <c r="F550" s="10"/>
      <c r="G550" s="69"/>
      <c r="H550" s="69"/>
      <c r="I550" s="69"/>
      <c r="J550" s="70"/>
      <c r="K550" s="69"/>
      <c r="L550" s="32"/>
      <c r="M550" s="69"/>
      <c r="N550" s="69"/>
      <c r="O550" s="69"/>
      <c r="P550" s="2"/>
      <c r="Q550" s="2"/>
      <c r="R550" s="32"/>
      <c r="S550" s="32"/>
      <c r="T550" s="32"/>
      <c r="U550" s="32"/>
      <c r="V550" s="2"/>
      <c r="W550" s="2"/>
      <c r="X550" s="2"/>
      <c r="Y550" s="2"/>
      <c r="Z550" s="2"/>
    </row>
    <row r="551" spans="1:26" ht="13.8" x14ac:dyDescent="0.3">
      <c r="A551" s="2"/>
      <c r="B551" s="2"/>
      <c r="C551" s="10"/>
      <c r="D551" s="10"/>
      <c r="E551" s="10"/>
      <c r="F551" s="10"/>
      <c r="G551" s="69"/>
      <c r="H551" s="69"/>
      <c r="I551" s="69"/>
      <c r="J551" s="70"/>
      <c r="K551" s="69"/>
      <c r="L551" s="32"/>
      <c r="M551" s="69"/>
      <c r="N551" s="69"/>
      <c r="O551" s="69"/>
      <c r="P551" s="2"/>
      <c r="Q551" s="2"/>
      <c r="R551" s="32"/>
      <c r="S551" s="32"/>
      <c r="T551" s="32"/>
      <c r="U551" s="32"/>
      <c r="V551" s="2"/>
      <c r="W551" s="2"/>
      <c r="X551" s="2"/>
      <c r="Y551" s="2"/>
      <c r="Z551" s="2"/>
    </row>
    <row r="552" spans="1:26" ht="13.8" x14ac:dyDescent="0.3">
      <c r="A552" s="2"/>
      <c r="B552" s="2"/>
      <c r="C552" s="10"/>
      <c r="D552" s="10"/>
      <c r="E552" s="10"/>
      <c r="F552" s="10"/>
      <c r="G552" s="69"/>
      <c r="H552" s="69"/>
      <c r="I552" s="69"/>
      <c r="J552" s="70"/>
      <c r="K552" s="69"/>
      <c r="L552" s="32"/>
      <c r="M552" s="69"/>
      <c r="N552" s="69"/>
      <c r="O552" s="69"/>
      <c r="P552" s="2"/>
      <c r="Q552" s="2"/>
      <c r="R552" s="32"/>
      <c r="S552" s="32"/>
      <c r="T552" s="32"/>
      <c r="U552" s="32"/>
      <c r="V552" s="2"/>
      <c r="W552" s="2"/>
      <c r="X552" s="2"/>
      <c r="Y552" s="2"/>
      <c r="Z552" s="2"/>
    </row>
    <row r="553" spans="1:26" ht="13.8" x14ac:dyDescent="0.3">
      <c r="A553" s="2"/>
      <c r="B553" s="2"/>
      <c r="C553" s="10"/>
      <c r="D553" s="10"/>
      <c r="E553" s="10"/>
      <c r="F553" s="10"/>
      <c r="G553" s="69"/>
      <c r="H553" s="69"/>
      <c r="I553" s="69"/>
      <c r="J553" s="70"/>
      <c r="K553" s="69"/>
      <c r="L553" s="32"/>
      <c r="M553" s="69"/>
      <c r="N553" s="69"/>
      <c r="O553" s="69"/>
      <c r="P553" s="2"/>
      <c r="Q553" s="2"/>
      <c r="R553" s="32"/>
      <c r="S553" s="32"/>
      <c r="T553" s="32"/>
      <c r="U553" s="32"/>
      <c r="V553" s="2"/>
      <c r="W553" s="2"/>
      <c r="X553" s="2"/>
      <c r="Y553" s="2"/>
      <c r="Z553" s="2"/>
    </row>
    <row r="554" spans="1:26" ht="13.8" x14ac:dyDescent="0.3">
      <c r="A554" s="2"/>
      <c r="B554" s="2"/>
      <c r="C554" s="10"/>
      <c r="D554" s="10"/>
      <c r="E554" s="10"/>
      <c r="F554" s="10"/>
      <c r="G554" s="69"/>
      <c r="H554" s="69"/>
      <c r="I554" s="69"/>
      <c r="J554" s="70"/>
      <c r="K554" s="69"/>
      <c r="L554" s="32"/>
      <c r="M554" s="69"/>
      <c r="N554" s="69"/>
      <c r="O554" s="69"/>
      <c r="P554" s="2"/>
      <c r="Q554" s="2"/>
      <c r="R554" s="32"/>
      <c r="S554" s="32"/>
      <c r="T554" s="32"/>
      <c r="U554" s="32"/>
      <c r="V554" s="2"/>
      <c r="W554" s="2"/>
      <c r="X554" s="2"/>
      <c r="Y554" s="2"/>
      <c r="Z554" s="2"/>
    </row>
    <row r="555" spans="1:26" ht="13.8" x14ac:dyDescent="0.3">
      <c r="A555" s="2"/>
      <c r="B555" s="2"/>
      <c r="C555" s="10"/>
      <c r="D555" s="10"/>
      <c r="E555" s="10"/>
      <c r="F555" s="10"/>
      <c r="G555" s="69"/>
      <c r="H555" s="69"/>
      <c r="I555" s="69"/>
      <c r="J555" s="70"/>
      <c r="K555" s="69"/>
      <c r="L555" s="32"/>
      <c r="M555" s="69"/>
      <c r="N555" s="69"/>
      <c r="O555" s="69"/>
      <c r="P555" s="2"/>
      <c r="Q555" s="2"/>
      <c r="R555" s="32"/>
      <c r="S555" s="32"/>
      <c r="T555" s="32"/>
      <c r="U555" s="32"/>
      <c r="V555" s="2"/>
      <c r="W555" s="2"/>
      <c r="X555" s="2"/>
      <c r="Y555" s="2"/>
      <c r="Z555" s="2"/>
    </row>
    <row r="556" spans="1:26" ht="13.8" x14ac:dyDescent="0.3">
      <c r="A556" s="2"/>
      <c r="B556" s="2"/>
      <c r="C556" s="10"/>
      <c r="D556" s="10"/>
      <c r="E556" s="10"/>
      <c r="F556" s="10"/>
      <c r="G556" s="69"/>
      <c r="H556" s="69"/>
      <c r="I556" s="69"/>
      <c r="J556" s="70"/>
      <c r="K556" s="69"/>
      <c r="L556" s="32"/>
      <c r="M556" s="69"/>
      <c r="N556" s="69"/>
      <c r="O556" s="69"/>
      <c r="P556" s="2"/>
      <c r="Q556" s="2"/>
      <c r="R556" s="32"/>
      <c r="S556" s="32"/>
      <c r="T556" s="32"/>
      <c r="U556" s="32"/>
      <c r="V556" s="2"/>
      <c r="W556" s="2"/>
      <c r="X556" s="2"/>
      <c r="Y556" s="2"/>
      <c r="Z556" s="2"/>
    </row>
    <row r="557" spans="1:26" ht="13.8" x14ac:dyDescent="0.3">
      <c r="A557" s="2"/>
      <c r="B557" s="2"/>
      <c r="C557" s="10"/>
      <c r="D557" s="10"/>
      <c r="E557" s="10"/>
      <c r="F557" s="10"/>
      <c r="G557" s="69"/>
      <c r="H557" s="69"/>
      <c r="I557" s="69"/>
      <c r="J557" s="70"/>
      <c r="K557" s="69"/>
      <c r="L557" s="32"/>
      <c r="M557" s="69"/>
      <c r="N557" s="69"/>
      <c r="O557" s="69"/>
      <c r="P557" s="2"/>
      <c r="Q557" s="2"/>
      <c r="R557" s="32"/>
      <c r="S557" s="32"/>
      <c r="T557" s="32"/>
      <c r="U557" s="32"/>
      <c r="V557" s="2"/>
      <c r="W557" s="2"/>
      <c r="X557" s="2"/>
      <c r="Y557" s="2"/>
      <c r="Z557" s="2"/>
    </row>
    <row r="558" spans="1:26" ht="13.8" x14ac:dyDescent="0.3">
      <c r="A558" s="2"/>
      <c r="B558" s="2"/>
      <c r="C558" s="10"/>
      <c r="D558" s="10"/>
      <c r="E558" s="10"/>
      <c r="F558" s="10"/>
      <c r="G558" s="69"/>
      <c r="H558" s="69"/>
      <c r="I558" s="69"/>
      <c r="J558" s="70"/>
      <c r="K558" s="69"/>
      <c r="L558" s="32"/>
      <c r="M558" s="69"/>
      <c r="N558" s="69"/>
      <c r="O558" s="69"/>
      <c r="P558" s="2"/>
      <c r="Q558" s="2"/>
      <c r="R558" s="32"/>
      <c r="S558" s="32"/>
      <c r="T558" s="32"/>
      <c r="U558" s="32"/>
      <c r="V558" s="2"/>
      <c r="W558" s="2"/>
      <c r="X558" s="2"/>
      <c r="Y558" s="2"/>
      <c r="Z558" s="2"/>
    </row>
    <row r="559" spans="1:26" ht="13.8" x14ac:dyDescent="0.3">
      <c r="A559" s="2"/>
      <c r="B559" s="2"/>
      <c r="C559" s="10"/>
      <c r="D559" s="10"/>
      <c r="E559" s="10"/>
      <c r="F559" s="10"/>
      <c r="G559" s="69"/>
      <c r="H559" s="69"/>
      <c r="I559" s="69"/>
      <c r="J559" s="70"/>
      <c r="K559" s="69"/>
      <c r="L559" s="32"/>
      <c r="M559" s="69"/>
      <c r="N559" s="69"/>
      <c r="O559" s="69"/>
      <c r="P559" s="2"/>
      <c r="Q559" s="2"/>
      <c r="R559" s="32"/>
      <c r="S559" s="32"/>
      <c r="T559" s="32"/>
      <c r="U559" s="32"/>
      <c r="V559" s="2"/>
      <c r="W559" s="2"/>
      <c r="X559" s="2"/>
      <c r="Y559" s="2"/>
      <c r="Z559" s="2"/>
    </row>
    <row r="560" spans="1:26" ht="13.8" x14ac:dyDescent="0.3">
      <c r="A560" s="2"/>
      <c r="B560" s="2"/>
      <c r="C560" s="10"/>
      <c r="D560" s="10"/>
      <c r="E560" s="10"/>
      <c r="F560" s="10"/>
      <c r="G560" s="69"/>
      <c r="H560" s="69"/>
      <c r="I560" s="69"/>
      <c r="J560" s="70"/>
      <c r="K560" s="69"/>
      <c r="L560" s="32"/>
      <c r="M560" s="69"/>
      <c r="N560" s="69"/>
      <c r="O560" s="69"/>
      <c r="P560" s="2"/>
      <c r="Q560" s="2"/>
      <c r="R560" s="32"/>
      <c r="S560" s="32"/>
      <c r="T560" s="32"/>
      <c r="U560" s="32"/>
      <c r="V560" s="2"/>
      <c r="W560" s="2"/>
      <c r="X560" s="2"/>
      <c r="Y560" s="2"/>
      <c r="Z560" s="2"/>
    </row>
    <row r="561" spans="1:26" ht="13.8" x14ac:dyDescent="0.3">
      <c r="A561" s="2"/>
      <c r="B561" s="2"/>
      <c r="C561" s="10"/>
      <c r="D561" s="10"/>
      <c r="E561" s="10"/>
      <c r="F561" s="10"/>
      <c r="G561" s="69"/>
      <c r="H561" s="69"/>
      <c r="I561" s="69"/>
      <c r="J561" s="70"/>
      <c r="K561" s="69"/>
      <c r="L561" s="32"/>
      <c r="M561" s="69"/>
      <c r="N561" s="69"/>
      <c r="O561" s="69"/>
      <c r="P561" s="2"/>
      <c r="Q561" s="2"/>
      <c r="R561" s="32"/>
      <c r="S561" s="32"/>
      <c r="T561" s="32"/>
      <c r="U561" s="32"/>
      <c r="V561" s="2"/>
      <c r="W561" s="2"/>
      <c r="X561" s="2"/>
      <c r="Y561" s="2"/>
      <c r="Z561" s="2"/>
    </row>
    <row r="562" spans="1:26" ht="13.8" x14ac:dyDescent="0.3">
      <c r="A562" s="2"/>
      <c r="B562" s="2"/>
      <c r="C562" s="10"/>
      <c r="D562" s="10"/>
      <c r="E562" s="10"/>
      <c r="F562" s="10"/>
      <c r="G562" s="69"/>
      <c r="H562" s="69"/>
      <c r="I562" s="69"/>
      <c r="J562" s="70"/>
      <c r="K562" s="69"/>
      <c r="L562" s="32"/>
      <c r="M562" s="69"/>
      <c r="N562" s="69"/>
      <c r="O562" s="69"/>
      <c r="P562" s="2"/>
      <c r="Q562" s="2"/>
      <c r="R562" s="32"/>
      <c r="S562" s="32"/>
      <c r="T562" s="32"/>
      <c r="U562" s="32"/>
      <c r="V562" s="2"/>
      <c r="W562" s="2"/>
      <c r="X562" s="2"/>
      <c r="Y562" s="2"/>
      <c r="Z562" s="2"/>
    </row>
    <row r="563" spans="1:26" ht="13.8" x14ac:dyDescent="0.3">
      <c r="A563" s="2"/>
      <c r="B563" s="2"/>
      <c r="C563" s="10"/>
      <c r="D563" s="10"/>
      <c r="E563" s="10"/>
      <c r="F563" s="10"/>
      <c r="G563" s="69"/>
      <c r="H563" s="69"/>
      <c r="I563" s="69"/>
      <c r="J563" s="70"/>
      <c r="K563" s="69"/>
      <c r="L563" s="32"/>
      <c r="M563" s="69"/>
      <c r="N563" s="69"/>
      <c r="O563" s="69"/>
      <c r="P563" s="2"/>
      <c r="Q563" s="2"/>
      <c r="R563" s="32"/>
      <c r="S563" s="32"/>
      <c r="T563" s="32"/>
      <c r="U563" s="32"/>
      <c r="V563" s="2"/>
      <c r="W563" s="2"/>
      <c r="X563" s="2"/>
      <c r="Y563" s="2"/>
      <c r="Z563" s="2"/>
    </row>
    <row r="564" spans="1:26" ht="13.8" x14ac:dyDescent="0.3">
      <c r="A564" s="2"/>
      <c r="B564" s="2"/>
      <c r="C564" s="10"/>
      <c r="D564" s="10"/>
      <c r="E564" s="10"/>
      <c r="F564" s="10"/>
      <c r="G564" s="69"/>
      <c r="H564" s="69"/>
      <c r="I564" s="69"/>
      <c r="J564" s="70"/>
      <c r="K564" s="69"/>
      <c r="L564" s="32"/>
      <c r="M564" s="69"/>
      <c r="N564" s="69"/>
      <c r="O564" s="69"/>
      <c r="P564" s="2"/>
      <c r="Q564" s="2"/>
      <c r="R564" s="32"/>
      <c r="S564" s="32"/>
      <c r="T564" s="32"/>
      <c r="U564" s="32"/>
      <c r="V564" s="2"/>
      <c r="W564" s="2"/>
      <c r="X564" s="2"/>
      <c r="Y564" s="2"/>
      <c r="Z564" s="2"/>
    </row>
    <row r="565" spans="1:26" ht="13.8" x14ac:dyDescent="0.3">
      <c r="A565" s="2"/>
      <c r="B565" s="2"/>
      <c r="C565" s="10"/>
      <c r="D565" s="10"/>
      <c r="E565" s="10"/>
      <c r="F565" s="10"/>
      <c r="G565" s="69"/>
      <c r="H565" s="69"/>
      <c r="I565" s="69"/>
      <c r="J565" s="70"/>
      <c r="K565" s="69"/>
      <c r="L565" s="32"/>
      <c r="M565" s="69"/>
      <c r="N565" s="69"/>
      <c r="O565" s="69"/>
      <c r="P565" s="2"/>
      <c r="Q565" s="2"/>
      <c r="R565" s="32"/>
      <c r="S565" s="32"/>
      <c r="T565" s="32"/>
      <c r="U565" s="32"/>
      <c r="V565" s="2"/>
      <c r="W565" s="2"/>
      <c r="X565" s="2"/>
      <c r="Y565" s="2"/>
      <c r="Z565" s="2"/>
    </row>
    <row r="566" spans="1:26" ht="13.8" x14ac:dyDescent="0.3">
      <c r="A566" s="2"/>
      <c r="B566" s="2"/>
      <c r="C566" s="10"/>
      <c r="D566" s="10"/>
      <c r="E566" s="10"/>
      <c r="F566" s="10"/>
      <c r="G566" s="69"/>
      <c r="H566" s="69"/>
      <c r="I566" s="69"/>
      <c r="J566" s="70"/>
      <c r="K566" s="69"/>
      <c r="L566" s="32"/>
      <c r="M566" s="69"/>
      <c r="N566" s="69"/>
      <c r="O566" s="69"/>
      <c r="P566" s="2"/>
      <c r="Q566" s="2"/>
      <c r="R566" s="32"/>
      <c r="S566" s="32"/>
      <c r="T566" s="32"/>
      <c r="U566" s="32"/>
      <c r="V566" s="2"/>
      <c r="W566" s="2"/>
      <c r="X566" s="2"/>
      <c r="Y566" s="2"/>
      <c r="Z566" s="2"/>
    </row>
    <row r="567" spans="1:26" ht="13.8" x14ac:dyDescent="0.3">
      <c r="A567" s="2"/>
      <c r="B567" s="2"/>
      <c r="C567" s="10"/>
      <c r="D567" s="10"/>
      <c r="E567" s="10"/>
      <c r="F567" s="10"/>
      <c r="G567" s="69"/>
      <c r="H567" s="69"/>
      <c r="I567" s="69"/>
      <c r="J567" s="70"/>
      <c r="K567" s="69"/>
      <c r="L567" s="32"/>
      <c r="M567" s="69"/>
      <c r="N567" s="69"/>
      <c r="O567" s="69"/>
      <c r="P567" s="2"/>
      <c r="Q567" s="2"/>
      <c r="R567" s="32"/>
      <c r="S567" s="32"/>
      <c r="T567" s="32"/>
      <c r="U567" s="32"/>
      <c r="V567" s="2"/>
      <c r="W567" s="2"/>
      <c r="X567" s="2"/>
      <c r="Y567" s="2"/>
      <c r="Z567" s="2"/>
    </row>
    <row r="568" spans="1:26" ht="13.8" x14ac:dyDescent="0.3">
      <c r="A568" s="2"/>
      <c r="B568" s="2"/>
      <c r="C568" s="10"/>
      <c r="D568" s="10"/>
      <c r="E568" s="10"/>
      <c r="F568" s="10"/>
      <c r="G568" s="69"/>
      <c r="H568" s="69"/>
      <c r="I568" s="69"/>
      <c r="J568" s="70"/>
      <c r="K568" s="69"/>
      <c r="L568" s="32"/>
      <c r="M568" s="69"/>
      <c r="N568" s="69"/>
      <c r="O568" s="69"/>
      <c r="P568" s="2"/>
      <c r="Q568" s="2"/>
      <c r="R568" s="32"/>
      <c r="S568" s="32"/>
      <c r="T568" s="32"/>
      <c r="U568" s="32"/>
      <c r="V568" s="2"/>
      <c r="W568" s="2"/>
      <c r="X568" s="2"/>
      <c r="Y568" s="2"/>
      <c r="Z568" s="2"/>
    </row>
    <row r="569" spans="1:26" ht="13.8" x14ac:dyDescent="0.3">
      <c r="A569" s="2"/>
      <c r="B569" s="2"/>
      <c r="C569" s="10"/>
      <c r="D569" s="10"/>
      <c r="E569" s="10"/>
      <c r="F569" s="10"/>
      <c r="G569" s="69"/>
      <c r="H569" s="69"/>
      <c r="I569" s="69"/>
      <c r="J569" s="70"/>
      <c r="K569" s="69"/>
      <c r="L569" s="32"/>
      <c r="M569" s="69"/>
      <c r="N569" s="69"/>
      <c r="O569" s="69"/>
      <c r="P569" s="2"/>
      <c r="Q569" s="2"/>
      <c r="R569" s="32"/>
      <c r="S569" s="32"/>
      <c r="T569" s="32"/>
      <c r="U569" s="32"/>
      <c r="V569" s="2"/>
      <c r="W569" s="2"/>
      <c r="X569" s="2"/>
      <c r="Y569" s="2"/>
      <c r="Z569" s="2"/>
    </row>
    <row r="570" spans="1:26" ht="13.8" x14ac:dyDescent="0.3">
      <c r="A570" s="2"/>
      <c r="B570" s="2"/>
      <c r="C570" s="10"/>
      <c r="D570" s="10"/>
      <c r="E570" s="10"/>
      <c r="F570" s="10"/>
      <c r="G570" s="69"/>
      <c r="H570" s="69"/>
      <c r="I570" s="69"/>
      <c r="J570" s="70"/>
      <c r="K570" s="69"/>
      <c r="L570" s="32"/>
      <c r="M570" s="69"/>
      <c r="N570" s="69"/>
      <c r="O570" s="69"/>
      <c r="P570" s="2"/>
      <c r="Q570" s="2"/>
      <c r="R570" s="32"/>
      <c r="S570" s="32"/>
      <c r="T570" s="32"/>
      <c r="U570" s="32"/>
      <c r="V570" s="2"/>
      <c r="W570" s="2"/>
      <c r="X570" s="2"/>
      <c r="Y570" s="2"/>
      <c r="Z570" s="2"/>
    </row>
    <row r="571" spans="1:26" ht="13.8" x14ac:dyDescent="0.3">
      <c r="A571" s="2"/>
      <c r="B571" s="2"/>
      <c r="C571" s="10"/>
      <c r="D571" s="10"/>
      <c r="E571" s="10"/>
      <c r="F571" s="10"/>
      <c r="G571" s="69"/>
      <c r="H571" s="69"/>
      <c r="I571" s="69"/>
      <c r="J571" s="70"/>
      <c r="K571" s="69"/>
      <c r="L571" s="32"/>
      <c r="M571" s="69"/>
      <c r="N571" s="69"/>
      <c r="O571" s="69"/>
      <c r="P571" s="2"/>
      <c r="Q571" s="2"/>
      <c r="R571" s="32"/>
      <c r="S571" s="32"/>
      <c r="T571" s="32"/>
      <c r="U571" s="32"/>
      <c r="V571" s="2"/>
      <c r="W571" s="2"/>
      <c r="X571" s="2"/>
      <c r="Y571" s="2"/>
      <c r="Z571" s="2"/>
    </row>
    <row r="572" spans="1:26" ht="13.8" x14ac:dyDescent="0.3">
      <c r="A572" s="2"/>
      <c r="B572" s="2"/>
      <c r="C572" s="10"/>
      <c r="D572" s="10"/>
      <c r="E572" s="10"/>
      <c r="F572" s="10"/>
      <c r="G572" s="69"/>
      <c r="H572" s="69"/>
      <c r="I572" s="69"/>
      <c r="J572" s="70"/>
      <c r="K572" s="69"/>
      <c r="L572" s="32"/>
      <c r="M572" s="69"/>
      <c r="N572" s="69"/>
      <c r="O572" s="69"/>
      <c r="P572" s="2"/>
      <c r="Q572" s="2"/>
      <c r="R572" s="32"/>
      <c r="S572" s="32"/>
      <c r="T572" s="32"/>
      <c r="U572" s="32"/>
      <c r="V572" s="2"/>
      <c r="W572" s="2"/>
      <c r="X572" s="2"/>
      <c r="Y572" s="2"/>
      <c r="Z572" s="2"/>
    </row>
    <row r="573" spans="1:26" ht="13.8" x14ac:dyDescent="0.3">
      <c r="A573" s="2"/>
      <c r="B573" s="2"/>
      <c r="C573" s="10"/>
      <c r="D573" s="10"/>
      <c r="E573" s="10"/>
      <c r="F573" s="10"/>
      <c r="G573" s="69"/>
      <c r="H573" s="69"/>
      <c r="I573" s="69"/>
      <c r="J573" s="70"/>
      <c r="K573" s="69"/>
      <c r="L573" s="32"/>
      <c r="M573" s="69"/>
      <c r="N573" s="69"/>
      <c r="O573" s="69"/>
      <c r="P573" s="2"/>
      <c r="Q573" s="2"/>
      <c r="R573" s="32"/>
      <c r="S573" s="32"/>
      <c r="T573" s="32"/>
      <c r="U573" s="32"/>
      <c r="V573" s="2"/>
      <c r="W573" s="2"/>
      <c r="X573" s="2"/>
      <c r="Y573" s="2"/>
      <c r="Z573" s="2"/>
    </row>
    <row r="574" spans="1:26" ht="13.8" x14ac:dyDescent="0.3">
      <c r="A574" s="2"/>
      <c r="B574" s="2"/>
      <c r="C574" s="10"/>
      <c r="D574" s="10"/>
      <c r="E574" s="10"/>
      <c r="F574" s="10"/>
      <c r="G574" s="69"/>
      <c r="H574" s="69"/>
      <c r="I574" s="69"/>
      <c r="J574" s="70"/>
      <c r="K574" s="69"/>
      <c r="L574" s="32"/>
      <c r="M574" s="69"/>
      <c r="N574" s="69"/>
      <c r="O574" s="69"/>
      <c r="P574" s="2"/>
      <c r="Q574" s="2"/>
      <c r="R574" s="32"/>
      <c r="S574" s="32"/>
      <c r="T574" s="32"/>
      <c r="U574" s="32"/>
      <c r="V574" s="2"/>
      <c r="W574" s="2"/>
      <c r="X574" s="2"/>
      <c r="Y574" s="2"/>
      <c r="Z574" s="2"/>
    </row>
    <row r="575" spans="1:26" ht="13.8" x14ac:dyDescent="0.3">
      <c r="A575" s="2"/>
      <c r="B575" s="2"/>
      <c r="C575" s="10"/>
      <c r="D575" s="10"/>
      <c r="E575" s="10"/>
      <c r="F575" s="10"/>
      <c r="G575" s="69"/>
      <c r="H575" s="69"/>
      <c r="I575" s="69"/>
      <c r="J575" s="70"/>
      <c r="K575" s="69"/>
      <c r="L575" s="32"/>
      <c r="M575" s="69"/>
      <c r="N575" s="69"/>
      <c r="O575" s="69"/>
      <c r="P575" s="2"/>
      <c r="Q575" s="2"/>
      <c r="R575" s="32"/>
      <c r="S575" s="32"/>
      <c r="T575" s="32"/>
      <c r="U575" s="32"/>
      <c r="V575" s="2"/>
      <c r="W575" s="2"/>
      <c r="X575" s="2"/>
      <c r="Y575" s="2"/>
      <c r="Z575" s="2"/>
    </row>
    <row r="576" spans="1:26" ht="13.8" x14ac:dyDescent="0.3">
      <c r="A576" s="2"/>
      <c r="B576" s="2"/>
      <c r="C576" s="10"/>
      <c r="D576" s="10"/>
      <c r="E576" s="10"/>
      <c r="F576" s="10"/>
      <c r="G576" s="69"/>
      <c r="H576" s="69"/>
      <c r="I576" s="69"/>
      <c r="J576" s="70"/>
      <c r="K576" s="69"/>
      <c r="L576" s="32"/>
      <c r="M576" s="69"/>
      <c r="N576" s="69"/>
      <c r="O576" s="69"/>
      <c r="P576" s="2"/>
      <c r="Q576" s="2"/>
      <c r="R576" s="32"/>
      <c r="S576" s="32"/>
      <c r="T576" s="32"/>
      <c r="U576" s="32"/>
      <c r="V576" s="2"/>
      <c r="W576" s="2"/>
      <c r="X576" s="2"/>
      <c r="Y576" s="2"/>
      <c r="Z576" s="2"/>
    </row>
    <row r="577" spans="1:26" ht="13.8" x14ac:dyDescent="0.3">
      <c r="A577" s="2"/>
      <c r="B577" s="2"/>
      <c r="C577" s="10"/>
      <c r="D577" s="10"/>
      <c r="E577" s="10"/>
      <c r="F577" s="10"/>
      <c r="G577" s="69"/>
      <c r="H577" s="69"/>
      <c r="I577" s="69"/>
      <c r="J577" s="70"/>
      <c r="K577" s="69"/>
      <c r="L577" s="32"/>
      <c r="M577" s="69"/>
      <c r="N577" s="69"/>
      <c r="O577" s="69"/>
      <c r="P577" s="2"/>
      <c r="Q577" s="2"/>
      <c r="R577" s="32"/>
      <c r="S577" s="32"/>
      <c r="T577" s="32"/>
      <c r="U577" s="32"/>
      <c r="V577" s="2"/>
      <c r="W577" s="2"/>
      <c r="X577" s="2"/>
      <c r="Y577" s="2"/>
      <c r="Z577" s="2"/>
    </row>
    <row r="578" spans="1:26" ht="13.8" x14ac:dyDescent="0.3">
      <c r="A578" s="2"/>
      <c r="B578" s="2"/>
      <c r="C578" s="10"/>
      <c r="D578" s="10"/>
      <c r="E578" s="10"/>
      <c r="F578" s="10"/>
      <c r="G578" s="69"/>
      <c r="H578" s="69"/>
      <c r="I578" s="69"/>
      <c r="J578" s="70"/>
      <c r="K578" s="69"/>
      <c r="L578" s="32"/>
      <c r="M578" s="69"/>
      <c r="N578" s="69"/>
      <c r="O578" s="69"/>
      <c r="P578" s="2"/>
      <c r="Q578" s="2"/>
      <c r="R578" s="32"/>
      <c r="S578" s="32"/>
      <c r="T578" s="32"/>
      <c r="U578" s="32"/>
      <c r="V578" s="2"/>
      <c r="W578" s="2"/>
      <c r="X578" s="2"/>
      <c r="Y578" s="2"/>
      <c r="Z578" s="2"/>
    </row>
    <row r="579" spans="1:26" ht="13.8" x14ac:dyDescent="0.3">
      <c r="A579" s="2"/>
      <c r="B579" s="2"/>
      <c r="C579" s="10"/>
      <c r="D579" s="10"/>
      <c r="E579" s="10"/>
      <c r="F579" s="10"/>
      <c r="G579" s="69"/>
      <c r="H579" s="69"/>
      <c r="I579" s="69"/>
      <c r="J579" s="70"/>
      <c r="K579" s="69"/>
      <c r="L579" s="32"/>
      <c r="M579" s="69"/>
      <c r="N579" s="69"/>
      <c r="O579" s="69"/>
      <c r="P579" s="2"/>
      <c r="Q579" s="2"/>
      <c r="R579" s="32"/>
      <c r="S579" s="32"/>
      <c r="T579" s="32"/>
      <c r="U579" s="32"/>
      <c r="V579" s="2"/>
      <c r="W579" s="2"/>
      <c r="X579" s="2"/>
      <c r="Y579" s="2"/>
      <c r="Z579" s="2"/>
    </row>
    <row r="580" spans="1:26" ht="13.8" x14ac:dyDescent="0.3">
      <c r="A580" s="2"/>
      <c r="B580" s="2"/>
      <c r="C580" s="10"/>
      <c r="D580" s="10"/>
      <c r="E580" s="10"/>
      <c r="F580" s="10"/>
      <c r="G580" s="69"/>
      <c r="H580" s="69"/>
      <c r="I580" s="69"/>
      <c r="J580" s="70"/>
      <c r="K580" s="69"/>
      <c r="L580" s="32"/>
      <c r="M580" s="69"/>
      <c r="N580" s="69"/>
      <c r="O580" s="69"/>
      <c r="P580" s="2"/>
      <c r="Q580" s="2"/>
      <c r="R580" s="32"/>
      <c r="S580" s="32"/>
      <c r="T580" s="32"/>
      <c r="U580" s="32"/>
      <c r="V580" s="2"/>
      <c r="W580" s="2"/>
      <c r="X580" s="2"/>
      <c r="Y580" s="2"/>
      <c r="Z580" s="2"/>
    </row>
    <row r="581" spans="1:26" ht="13.8" x14ac:dyDescent="0.3">
      <c r="A581" s="2"/>
      <c r="B581" s="2"/>
      <c r="C581" s="10"/>
      <c r="D581" s="10"/>
      <c r="E581" s="10"/>
      <c r="F581" s="10"/>
      <c r="G581" s="69"/>
      <c r="H581" s="69"/>
      <c r="I581" s="69"/>
      <c r="J581" s="70"/>
      <c r="K581" s="69"/>
      <c r="L581" s="32"/>
      <c r="M581" s="69"/>
      <c r="N581" s="69"/>
      <c r="O581" s="69"/>
      <c r="P581" s="2"/>
      <c r="Q581" s="2"/>
      <c r="R581" s="32"/>
      <c r="S581" s="32"/>
      <c r="T581" s="32"/>
      <c r="U581" s="32"/>
      <c r="V581" s="2"/>
      <c r="W581" s="2"/>
      <c r="X581" s="2"/>
      <c r="Y581" s="2"/>
      <c r="Z581" s="2"/>
    </row>
    <row r="582" spans="1:26" ht="13.8" x14ac:dyDescent="0.3">
      <c r="A582" s="2"/>
      <c r="B582" s="2"/>
      <c r="C582" s="10"/>
      <c r="D582" s="10"/>
      <c r="E582" s="10"/>
      <c r="F582" s="10"/>
      <c r="G582" s="69"/>
      <c r="H582" s="69"/>
      <c r="I582" s="69"/>
      <c r="J582" s="70"/>
      <c r="K582" s="69"/>
      <c r="L582" s="32"/>
      <c r="M582" s="69"/>
      <c r="N582" s="69"/>
      <c r="O582" s="69"/>
      <c r="P582" s="2"/>
      <c r="Q582" s="2"/>
      <c r="R582" s="32"/>
      <c r="S582" s="32"/>
      <c r="T582" s="32"/>
      <c r="U582" s="32"/>
      <c r="V582" s="2"/>
      <c r="W582" s="2"/>
      <c r="X582" s="2"/>
      <c r="Y582" s="2"/>
      <c r="Z582" s="2"/>
    </row>
    <row r="583" spans="1:26" ht="13.8" x14ac:dyDescent="0.3">
      <c r="A583" s="2"/>
      <c r="B583" s="2"/>
      <c r="C583" s="10"/>
      <c r="D583" s="10"/>
      <c r="E583" s="10"/>
      <c r="F583" s="10"/>
      <c r="G583" s="69"/>
      <c r="H583" s="69"/>
      <c r="I583" s="69"/>
      <c r="J583" s="70"/>
      <c r="K583" s="69"/>
      <c r="L583" s="32"/>
      <c r="M583" s="69"/>
      <c r="N583" s="69"/>
      <c r="O583" s="69"/>
      <c r="P583" s="2"/>
      <c r="Q583" s="2"/>
      <c r="R583" s="32"/>
      <c r="S583" s="32"/>
      <c r="T583" s="32"/>
      <c r="U583" s="32"/>
      <c r="V583" s="2"/>
      <c r="W583" s="2"/>
      <c r="X583" s="2"/>
      <c r="Y583" s="2"/>
      <c r="Z583" s="2"/>
    </row>
    <row r="584" spans="1:26" ht="13.8" x14ac:dyDescent="0.3">
      <c r="A584" s="2"/>
      <c r="B584" s="2"/>
      <c r="C584" s="10"/>
      <c r="D584" s="10"/>
      <c r="E584" s="10"/>
      <c r="F584" s="10"/>
      <c r="G584" s="69"/>
      <c r="H584" s="69"/>
      <c r="I584" s="69"/>
      <c r="J584" s="70"/>
      <c r="K584" s="69"/>
      <c r="L584" s="32"/>
      <c r="M584" s="69"/>
      <c r="N584" s="69"/>
      <c r="O584" s="69"/>
      <c r="P584" s="2"/>
      <c r="Q584" s="2"/>
      <c r="R584" s="32"/>
      <c r="S584" s="32"/>
      <c r="T584" s="32"/>
      <c r="U584" s="32"/>
      <c r="V584" s="2"/>
      <c r="W584" s="2"/>
      <c r="X584" s="2"/>
      <c r="Y584" s="2"/>
      <c r="Z584" s="2"/>
    </row>
    <row r="585" spans="1:26" ht="13.8" x14ac:dyDescent="0.3">
      <c r="A585" s="2"/>
      <c r="B585" s="2"/>
      <c r="C585" s="10"/>
      <c r="D585" s="10"/>
      <c r="E585" s="10"/>
      <c r="F585" s="10"/>
      <c r="G585" s="69"/>
      <c r="H585" s="69"/>
      <c r="I585" s="69"/>
      <c r="J585" s="70"/>
      <c r="K585" s="69"/>
      <c r="L585" s="32"/>
      <c r="M585" s="69"/>
      <c r="N585" s="69"/>
      <c r="O585" s="69"/>
      <c r="P585" s="2"/>
      <c r="Q585" s="2"/>
      <c r="R585" s="32"/>
      <c r="S585" s="32"/>
      <c r="T585" s="32"/>
      <c r="U585" s="32"/>
      <c r="V585" s="2"/>
      <c r="W585" s="2"/>
      <c r="X585" s="2"/>
      <c r="Y585" s="2"/>
      <c r="Z585" s="2"/>
    </row>
    <row r="586" spans="1:26" ht="13.8" x14ac:dyDescent="0.3">
      <c r="A586" s="2"/>
      <c r="B586" s="2"/>
      <c r="C586" s="10"/>
      <c r="D586" s="10"/>
      <c r="E586" s="10"/>
      <c r="F586" s="10"/>
      <c r="G586" s="69"/>
      <c r="H586" s="69"/>
      <c r="I586" s="69"/>
      <c r="J586" s="70"/>
      <c r="K586" s="69"/>
      <c r="L586" s="32"/>
      <c r="M586" s="69"/>
      <c r="N586" s="69"/>
      <c r="O586" s="69"/>
      <c r="P586" s="2"/>
      <c r="Q586" s="2"/>
      <c r="R586" s="32"/>
      <c r="S586" s="32"/>
      <c r="T586" s="32"/>
      <c r="U586" s="32"/>
      <c r="V586" s="2"/>
      <c r="W586" s="2"/>
      <c r="X586" s="2"/>
      <c r="Y586" s="2"/>
      <c r="Z586" s="2"/>
    </row>
    <row r="587" spans="1:26" ht="13.8" x14ac:dyDescent="0.3">
      <c r="A587" s="2"/>
      <c r="B587" s="2"/>
      <c r="C587" s="10"/>
      <c r="D587" s="10"/>
      <c r="E587" s="10"/>
      <c r="F587" s="10"/>
      <c r="G587" s="69"/>
      <c r="H587" s="69"/>
      <c r="I587" s="69"/>
      <c r="J587" s="70"/>
      <c r="K587" s="69"/>
      <c r="L587" s="32"/>
      <c r="M587" s="69"/>
      <c r="N587" s="69"/>
      <c r="O587" s="69"/>
      <c r="P587" s="2"/>
      <c r="Q587" s="2"/>
      <c r="R587" s="32"/>
      <c r="S587" s="32"/>
      <c r="T587" s="32"/>
      <c r="U587" s="32"/>
      <c r="V587" s="2"/>
      <c r="W587" s="2"/>
      <c r="X587" s="2"/>
      <c r="Y587" s="2"/>
      <c r="Z587" s="2"/>
    </row>
    <row r="588" spans="1:26" ht="13.8" x14ac:dyDescent="0.3">
      <c r="A588" s="2"/>
      <c r="B588" s="2"/>
      <c r="C588" s="10"/>
      <c r="D588" s="10"/>
      <c r="E588" s="10"/>
      <c r="F588" s="10"/>
      <c r="G588" s="69"/>
      <c r="H588" s="69"/>
      <c r="I588" s="69"/>
      <c r="J588" s="70"/>
      <c r="K588" s="69"/>
      <c r="L588" s="32"/>
      <c r="M588" s="69"/>
      <c r="N588" s="69"/>
      <c r="O588" s="69"/>
      <c r="P588" s="2"/>
      <c r="Q588" s="2"/>
      <c r="R588" s="32"/>
      <c r="S588" s="32"/>
      <c r="T588" s="32"/>
      <c r="U588" s="32"/>
      <c r="V588" s="2"/>
      <c r="W588" s="2"/>
      <c r="X588" s="2"/>
      <c r="Y588" s="2"/>
      <c r="Z588" s="2"/>
    </row>
    <row r="589" spans="1:26" ht="13.8" x14ac:dyDescent="0.3">
      <c r="A589" s="2"/>
      <c r="B589" s="2"/>
      <c r="C589" s="10"/>
      <c r="D589" s="10"/>
      <c r="E589" s="10"/>
      <c r="F589" s="10"/>
      <c r="G589" s="69"/>
      <c r="H589" s="69"/>
      <c r="I589" s="69"/>
      <c r="J589" s="70"/>
      <c r="K589" s="69"/>
      <c r="L589" s="32"/>
      <c r="M589" s="69"/>
      <c r="N589" s="69"/>
      <c r="O589" s="69"/>
      <c r="P589" s="2"/>
      <c r="Q589" s="2"/>
      <c r="R589" s="32"/>
      <c r="S589" s="32"/>
      <c r="T589" s="32"/>
      <c r="U589" s="32"/>
      <c r="V589" s="2"/>
      <c r="W589" s="2"/>
      <c r="X589" s="2"/>
      <c r="Y589" s="2"/>
      <c r="Z589" s="2"/>
    </row>
    <row r="590" spans="1:26" ht="13.8" x14ac:dyDescent="0.3">
      <c r="A590" s="2"/>
      <c r="B590" s="2"/>
      <c r="C590" s="10"/>
      <c r="D590" s="10"/>
      <c r="E590" s="10"/>
      <c r="F590" s="10"/>
      <c r="G590" s="69"/>
      <c r="H590" s="69"/>
      <c r="I590" s="69"/>
      <c r="J590" s="70"/>
      <c r="K590" s="69"/>
      <c r="L590" s="32"/>
      <c r="M590" s="69"/>
      <c r="N590" s="69"/>
      <c r="O590" s="69"/>
      <c r="P590" s="2"/>
      <c r="Q590" s="2"/>
      <c r="R590" s="32"/>
      <c r="S590" s="32"/>
      <c r="T590" s="32"/>
      <c r="U590" s="32"/>
      <c r="V590" s="2"/>
      <c r="W590" s="2"/>
      <c r="X590" s="2"/>
      <c r="Y590" s="2"/>
      <c r="Z590" s="2"/>
    </row>
    <row r="591" spans="1:26" ht="13.8" x14ac:dyDescent="0.3">
      <c r="A591" s="2"/>
      <c r="B591" s="2"/>
      <c r="C591" s="10"/>
      <c r="D591" s="10"/>
      <c r="E591" s="10"/>
      <c r="F591" s="10"/>
      <c r="G591" s="69"/>
      <c r="H591" s="69"/>
      <c r="I591" s="69"/>
      <c r="J591" s="70"/>
      <c r="K591" s="69"/>
      <c r="L591" s="32"/>
      <c r="M591" s="69"/>
      <c r="N591" s="69"/>
      <c r="O591" s="69"/>
      <c r="P591" s="2"/>
      <c r="Q591" s="2"/>
      <c r="R591" s="32"/>
      <c r="S591" s="32"/>
      <c r="T591" s="32"/>
      <c r="U591" s="32"/>
      <c r="V591" s="2"/>
      <c r="W591" s="2"/>
      <c r="X591" s="2"/>
      <c r="Y591" s="2"/>
      <c r="Z591" s="2"/>
    </row>
    <row r="592" spans="1:26" ht="13.8" x14ac:dyDescent="0.3">
      <c r="A592" s="2"/>
      <c r="B592" s="2"/>
      <c r="C592" s="10"/>
      <c r="D592" s="10"/>
      <c r="E592" s="10"/>
      <c r="F592" s="10"/>
      <c r="G592" s="69"/>
      <c r="H592" s="69"/>
      <c r="I592" s="69"/>
      <c r="J592" s="70"/>
      <c r="K592" s="69"/>
      <c r="L592" s="32"/>
      <c r="M592" s="69"/>
      <c r="N592" s="69"/>
      <c r="O592" s="69"/>
      <c r="P592" s="2"/>
      <c r="Q592" s="2"/>
      <c r="R592" s="32"/>
      <c r="S592" s="32"/>
      <c r="T592" s="32"/>
      <c r="U592" s="32"/>
      <c r="V592" s="2"/>
      <c r="W592" s="2"/>
      <c r="X592" s="2"/>
      <c r="Y592" s="2"/>
      <c r="Z592" s="2"/>
    </row>
    <row r="593" spans="1:26" ht="13.8" x14ac:dyDescent="0.3">
      <c r="A593" s="2"/>
      <c r="B593" s="2"/>
      <c r="C593" s="10"/>
      <c r="D593" s="10"/>
      <c r="E593" s="10"/>
      <c r="F593" s="10"/>
      <c r="G593" s="69"/>
      <c r="H593" s="69"/>
      <c r="I593" s="69"/>
      <c r="J593" s="70"/>
      <c r="K593" s="69"/>
      <c r="L593" s="32"/>
      <c r="M593" s="69"/>
      <c r="N593" s="69"/>
      <c r="O593" s="69"/>
      <c r="P593" s="2"/>
      <c r="Q593" s="2"/>
      <c r="R593" s="32"/>
      <c r="S593" s="32"/>
      <c r="T593" s="32"/>
      <c r="U593" s="32"/>
      <c r="V593" s="2"/>
      <c r="W593" s="2"/>
      <c r="X593" s="2"/>
      <c r="Y593" s="2"/>
      <c r="Z593" s="2"/>
    </row>
    <row r="594" spans="1:26" ht="13.8" x14ac:dyDescent="0.3">
      <c r="A594" s="2"/>
      <c r="B594" s="2"/>
      <c r="C594" s="10"/>
      <c r="D594" s="10"/>
      <c r="E594" s="10"/>
      <c r="F594" s="10"/>
      <c r="G594" s="69"/>
      <c r="H594" s="69"/>
      <c r="I594" s="69"/>
      <c r="J594" s="70"/>
      <c r="K594" s="69"/>
      <c r="L594" s="32"/>
      <c r="M594" s="69"/>
      <c r="N594" s="69"/>
      <c r="O594" s="69"/>
      <c r="P594" s="2"/>
      <c r="Q594" s="2"/>
      <c r="R594" s="32"/>
      <c r="S594" s="32"/>
      <c r="T594" s="32"/>
      <c r="U594" s="32"/>
      <c r="V594" s="2"/>
      <c r="W594" s="2"/>
      <c r="X594" s="2"/>
      <c r="Y594" s="2"/>
      <c r="Z594" s="2"/>
    </row>
    <row r="595" spans="1:26" ht="13.8" x14ac:dyDescent="0.3">
      <c r="A595" s="2"/>
      <c r="B595" s="2"/>
      <c r="C595" s="10"/>
      <c r="D595" s="10"/>
      <c r="E595" s="10"/>
      <c r="F595" s="10"/>
      <c r="G595" s="69"/>
      <c r="H595" s="69"/>
      <c r="I595" s="69"/>
      <c r="J595" s="70"/>
      <c r="K595" s="69"/>
      <c r="L595" s="32"/>
      <c r="M595" s="69"/>
      <c r="N595" s="69"/>
      <c r="O595" s="69"/>
      <c r="P595" s="2"/>
      <c r="Q595" s="2"/>
      <c r="R595" s="32"/>
      <c r="S595" s="32"/>
      <c r="T595" s="32"/>
      <c r="U595" s="32"/>
      <c r="V595" s="2"/>
      <c r="W595" s="2"/>
      <c r="X595" s="2"/>
      <c r="Y595" s="2"/>
      <c r="Z595" s="2"/>
    </row>
    <row r="596" spans="1:26" ht="13.8" x14ac:dyDescent="0.3">
      <c r="A596" s="2"/>
      <c r="B596" s="2"/>
      <c r="C596" s="10"/>
      <c r="D596" s="10"/>
      <c r="E596" s="10"/>
      <c r="F596" s="10"/>
      <c r="G596" s="69"/>
      <c r="H596" s="69"/>
      <c r="I596" s="69"/>
      <c r="J596" s="70"/>
      <c r="K596" s="69"/>
      <c r="L596" s="32"/>
      <c r="M596" s="69"/>
      <c r="N596" s="69"/>
      <c r="O596" s="69"/>
      <c r="P596" s="2"/>
      <c r="Q596" s="2"/>
      <c r="R596" s="32"/>
      <c r="S596" s="32"/>
      <c r="T596" s="32"/>
      <c r="U596" s="32"/>
      <c r="V596" s="2"/>
      <c r="W596" s="2"/>
      <c r="X596" s="2"/>
      <c r="Y596" s="2"/>
      <c r="Z596" s="2"/>
    </row>
    <row r="597" spans="1:26" ht="13.8" x14ac:dyDescent="0.3">
      <c r="A597" s="2"/>
      <c r="B597" s="2"/>
      <c r="C597" s="10"/>
      <c r="D597" s="10"/>
      <c r="E597" s="10"/>
      <c r="F597" s="10"/>
      <c r="G597" s="69"/>
      <c r="H597" s="69"/>
      <c r="I597" s="69"/>
      <c r="J597" s="70"/>
      <c r="K597" s="69"/>
      <c r="L597" s="32"/>
      <c r="M597" s="69"/>
      <c r="N597" s="69"/>
      <c r="O597" s="69"/>
      <c r="P597" s="2"/>
      <c r="Q597" s="2"/>
      <c r="R597" s="32"/>
      <c r="S597" s="32"/>
      <c r="T597" s="32"/>
      <c r="U597" s="32"/>
      <c r="V597" s="2"/>
      <c r="W597" s="2"/>
      <c r="X597" s="2"/>
      <c r="Y597" s="2"/>
      <c r="Z597" s="2"/>
    </row>
    <row r="598" spans="1:26" ht="13.8" x14ac:dyDescent="0.3">
      <c r="A598" s="2"/>
      <c r="B598" s="2"/>
      <c r="C598" s="10"/>
      <c r="D598" s="10"/>
      <c r="E598" s="10"/>
      <c r="F598" s="10"/>
      <c r="G598" s="69"/>
      <c r="H598" s="69"/>
      <c r="I598" s="69"/>
      <c r="J598" s="70"/>
      <c r="K598" s="69"/>
      <c r="L598" s="32"/>
      <c r="M598" s="69"/>
      <c r="N598" s="69"/>
      <c r="O598" s="69"/>
      <c r="P598" s="2"/>
      <c r="Q598" s="2"/>
      <c r="R598" s="32"/>
      <c r="S598" s="32"/>
      <c r="T598" s="32"/>
      <c r="U598" s="32"/>
      <c r="V598" s="2"/>
      <c r="W598" s="2"/>
      <c r="X598" s="2"/>
      <c r="Y598" s="2"/>
      <c r="Z598" s="2"/>
    </row>
    <row r="599" spans="1:26" ht="13.8" x14ac:dyDescent="0.3">
      <c r="A599" s="2"/>
      <c r="B599" s="2"/>
      <c r="C599" s="10"/>
      <c r="D599" s="10"/>
      <c r="E599" s="10"/>
      <c r="F599" s="10"/>
      <c r="G599" s="69"/>
      <c r="H599" s="69"/>
      <c r="I599" s="69"/>
      <c r="J599" s="70"/>
      <c r="K599" s="69"/>
      <c r="L599" s="32"/>
      <c r="M599" s="69"/>
      <c r="N599" s="69"/>
      <c r="O599" s="69"/>
      <c r="P599" s="2"/>
      <c r="Q599" s="2"/>
      <c r="R599" s="32"/>
      <c r="S599" s="32"/>
      <c r="T599" s="32"/>
      <c r="U599" s="32"/>
      <c r="V599" s="2"/>
      <c r="W599" s="2"/>
      <c r="X599" s="2"/>
      <c r="Y599" s="2"/>
      <c r="Z599" s="2"/>
    </row>
    <row r="600" spans="1:26" ht="13.8" x14ac:dyDescent="0.3">
      <c r="A600" s="2"/>
      <c r="B600" s="2"/>
      <c r="C600" s="10"/>
      <c r="D600" s="10"/>
      <c r="E600" s="10"/>
      <c r="F600" s="10"/>
      <c r="G600" s="69"/>
      <c r="H600" s="69"/>
      <c r="I600" s="69"/>
      <c r="J600" s="70"/>
      <c r="K600" s="69"/>
      <c r="L600" s="32"/>
      <c r="M600" s="69"/>
      <c r="N600" s="69"/>
      <c r="O600" s="69"/>
      <c r="P600" s="2"/>
      <c r="Q600" s="2"/>
      <c r="R600" s="32"/>
      <c r="S600" s="32"/>
      <c r="T600" s="32"/>
      <c r="U600" s="32"/>
      <c r="V600" s="2"/>
      <c r="W600" s="2"/>
      <c r="X600" s="2"/>
      <c r="Y600" s="2"/>
      <c r="Z600" s="2"/>
    </row>
    <row r="601" spans="1:26" ht="13.8" x14ac:dyDescent="0.3">
      <c r="A601" s="2"/>
      <c r="B601" s="2"/>
      <c r="C601" s="10"/>
      <c r="D601" s="10"/>
      <c r="E601" s="10"/>
      <c r="F601" s="10"/>
      <c r="G601" s="69"/>
      <c r="H601" s="69"/>
      <c r="I601" s="69"/>
      <c r="J601" s="70"/>
      <c r="K601" s="69"/>
      <c r="L601" s="32"/>
      <c r="M601" s="69"/>
      <c r="N601" s="69"/>
      <c r="O601" s="69"/>
      <c r="P601" s="2"/>
      <c r="Q601" s="2"/>
      <c r="R601" s="32"/>
      <c r="S601" s="32"/>
      <c r="T601" s="32"/>
      <c r="U601" s="32"/>
      <c r="V601" s="2"/>
      <c r="W601" s="2"/>
      <c r="X601" s="2"/>
      <c r="Y601" s="2"/>
      <c r="Z601" s="2"/>
    </row>
    <row r="602" spans="1:26" ht="13.8" x14ac:dyDescent="0.3">
      <c r="A602" s="2"/>
      <c r="B602" s="2"/>
      <c r="C602" s="10"/>
      <c r="D602" s="10"/>
      <c r="E602" s="10"/>
      <c r="F602" s="10"/>
      <c r="G602" s="69"/>
      <c r="H602" s="69"/>
      <c r="I602" s="69"/>
      <c r="J602" s="70"/>
      <c r="K602" s="69"/>
      <c r="L602" s="32"/>
      <c r="M602" s="69"/>
      <c r="N602" s="69"/>
      <c r="O602" s="69"/>
      <c r="P602" s="2"/>
      <c r="Q602" s="2"/>
      <c r="R602" s="32"/>
      <c r="S602" s="32"/>
      <c r="T602" s="32"/>
      <c r="U602" s="32"/>
      <c r="V602" s="2"/>
      <c r="W602" s="2"/>
      <c r="X602" s="2"/>
      <c r="Y602" s="2"/>
      <c r="Z602" s="2"/>
    </row>
    <row r="603" spans="1:26" ht="13.8" x14ac:dyDescent="0.3">
      <c r="A603" s="2"/>
      <c r="B603" s="2"/>
      <c r="C603" s="10"/>
      <c r="D603" s="10"/>
      <c r="E603" s="10"/>
      <c r="F603" s="10"/>
      <c r="G603" s="69"/>
      <c r="H603" s="69"/>
      <c r="I603" s="69"/>
      <c r="J603" s="70"/>
      <c r="K603" s="69"/>
      <c r="L603" s="32"/>
      <c r="M603" s="69"/>
      <c r="N603" s="69"/>
      <c r="O603" s="69"/>
      <c r="P603" s="2"/>
      <c r="Q603" s="2"/>
      <c r="R603" s="32"/>
      <c r="S603" s="32"/>
      <c r="T603" s="32"/>
      <c r="U603" s="32"/>
      <c r="V603" s="2"/>
      <c r="W603" s="2"/>
      <c r="X603" s="2"/>
      <c r="Y603" s="2"/>
      <c r="Z603" s="2"/>
    </row>
    <row r="604" spans="1:26" ht="13.8" x14ac:dyDescent="0.3">
      <c r="A604" s="2"/>
      <c r="B604" s="2"/>
      <c r="C604" s="10"/>
      <c r="D604" s="10"/>
      <c r="E604" s="10"/>
      <c r="F604" s="10"/>
      <c r="G604" s="69"/>
      <c r="H604" s="69"/>
      <c r="I604" s="69"/>
      <c r="J604" s="70"/>
      <c r="K604" s="69"/>
      <c r="L604" s="32"/>
      <c r="M604" s="69"/>
      <c r="N604" s="69"/>
      <c r="O604" s="69"/>
      <c r="P604" s="2"/>
      <c r="Q604" s="2"/>
      <c r="R604" s="32"/>
      <c r="S604" s="32"/>
      <c r="T604" s="32"/>
      <c r="U604" s="32"/>
      <c r="V604" s="2"/>
      <c r="W604" s="2"/>
      <c r="X604" s="2"/>
      <c r="Y604" s="2"/>
      <c r="Z604" s="2"/>
    </row>
    <row r="605" spans="1:26" ht="13.8" x14ac:dyDescent="0.3">
      <c r="A605" s="2"/>
      <c r="B605" s="2"/>
      <c r="C605" s="10"/>
      <c r="D605" s="10"/>
      <c r="E605" s="10"/>
      <c r="F605" s="10"/>
      <c r="G605" s="69"/>
      <c r="H605" s="69"/>
      <c r="I605" s="69"/>
      <c r="J605" s="70"/>
      <c r="K605" s="69"/>
      <c r="L605" s="32"/>
      <c r="M605" s="69"/>
      <c r="N605" s="69"/>
      <c r="O605" s="69"/>
      <c r="P605" s="2"/>
      <c r="Q605" s="2"/>
      <c r="R605" s="32"/>
      <c r="S605" s="32"/>
      <c r="T605" s="32"/>
      <c r="U605" s="32"/>
      <c r="V605" s="2"/>
      <c r="W605" s="2"/>
      <c r="X605" s="2"/>
      <c r="Y605" s="2"/>
      <c r="Z605" s="2"/>
    </row>
    <row r="606" spans="1:26" ht="13.8" x14ac:dyDescent="0.3">
      <c r="A606" s="2"/>
      <c r="B606" s="2"/>
      <c r="C606" s="10"/>
      <c r="D606" s="10"/>
      <c r="E606" s="10"/>
      <c r="F606" s="10"/>
      <c r="G606" s="69"/>
      <c r="H606" s="69"/>
      <c r="I606" s="69"/>
      <c r="J606" s="70"/>
      <c r="K606" s="69"/>
      <c r="L606" s="32"/>
      <c r="M606" s="69"/>
      <c r="N606" s="69"/>
      <c r="O606" s="69"/>
      <c r="P606" s="2"/>
      <c r="Q606" s="2"/>
      <c r="R606" s="32"/>
      <c r="S606" s="32"/>
      <c r="T606" s="32"/>
      <c r="U606" s="32"/>
      <c r="V606" s="2"/>
      <c r="W606" s="2"/>
      <c r="X606" s="2"/>
      <c r="Y606" s="2"/>
      <c r="Z606" s="2"/>
    </row>
    <row r="607" spans="1:26" ht="13.8" x14ac:dyDescent="0.3">
      <c r="A607" s="2"/>
      <c r="B607" s="2"/>
      <c r="C607" s="10"/>
      <c r="D607" s="10"/>
      <c r="E607" s="10"/>
      <c r="F607" s="10"/>
      <c r="G607" s="69"/>
      <c r="H607" s="69"/>
      <c r="I607" s="69"/>
      <c r="J607" s="70"/>
      <c r="K607" s="69"/>
      <c r="L607" s="32"/>
      <c r="M607" s="69"/>
      <c r="N607" s="69"/>
      <c r="O607" s="69"/>
      <c r="P607" s="2"/>
      <c r="Q607" s="2"/>
      <c r="R607" s="32"/>
      <c r="S607" s="32"/>
      <c r="T607" s="32"/>
      <c r="U607" s="32"/>
      <c r="V607" s="2"/>
      <c r="W607" s="2"/>
      <c r="X607" s="2"/>
      <c r="Y607" s="2"/>
      <c r="Z607" s="2"/>
    </row>
    <row r="608" spans="1:26" ht="13.8" x14ac:dyDescent="0.3">
      <c r="A608" s="2"/>
      <c r="B608" s="2"/>
      <c r="C608" s="10"/>
      <c r="D608" s="10"/>
      <c r="E608" s="10"/>
      <c r="F608" s="10"/>
      <c r="G608" s="69"/>
      <c r="H608" s="69"/>
      <c r="I608" s="69"/>
      <c r="J608" s="70"/>
      <c r="K608" s="69"/>
      <c r="L608" s="32"/>
      <c r="M608" s="69"/>
      <c r="N608" s="69"/>
      <c r="O608" s="69"/>
      <c r="P608" s="2"/>
      <c r="Q608" s="2"/>
      <c r="R608" s="32"/>
      <c r="S608" s="32"/>
      <c r="T608" s="32"/>
      <c r="U608" s="32"/>
      <c r="V608" s="2"/>
      <c r="W608" s="2"/>
      <c r="X608" s="2"/>
      <c r="Y608" s="2"/>
      <c r="Z608" s="2"/>
    </row>
    <row r="609" spans="1:26" ht="13.8" x14ac:dyDescent="0.3">
      <c r="A609" s="2"/>
      <c r="B609" s="2"/>
      <c r="C609" s="10"/>
      <c r="D609" s="10"/>
      <c r="E609" s="10"/>
      <c r="F609" s="10"/>
      <c r="G609" s="69"/>
      <c r="H609" s="69"/>
      <c r="I609" s="69"/>
      <c r="J609" s="70"/>
      <c r="K609" s="69"/>
      <c r="L609" s="32"/>
      <c r="M609" s="69"/>
      <c r="N609" s="69"/>
      <c r="O609" s="69"/>
      <c r="P609" s="2"/>
      <c r="Q609" s="2"/>
      <c r="R609" s="32"/>
      <c r="S609" s="32"/>
      <c r="T609" s="32"/>
      <c r="U609" s="32"/>
      <c r="V609" s="2"/>
      <c r="W609" s="2"/>
      <c r="X609" s="2"/>
      <c r="Y609" s="2"/>
      <c r="Z609" s="2"/>
    </row>
    <row r="610" spans="1:26" ht="13.8" x14ac:dyDescent="0.3">
      <c r="A610" s="2"/>
      <c r="B610" s="2"/>
      <c r="C610" s="10"/>
      <c r="D610" s="10"/>
      <c r="E610" s="10"/>
      <c r="F610" s="10"/>
      <c r="G610" s="69"/>
      <c r="H610" s="69"/>
      <c r="I610" s="69"/>
      <c r="J610" s="70"/>
      <c r="K610" s="69"/>
      <c r="L610" s="32"/>
      <c r="M610" s="69"/>
      <c r="N610" s="69"/>
      <c r="O610" s="69"/>
      <c r="P610" s="2"/>
      <c r="Q610" s="2"/>
      <c r="R610" s="32"/>
      <c r="S610" s="32"/>
      <c r="T610" s="32"/>
      <c r="U610" s="32"/>
      <c r="V610" s="2"/>
      <c r="W610" s="2"/>
      <c r="X610" s="2"/>
      <c r="Y610" s="2"/>
      <c r="Z610" s="2"/>
    </row>
    <row r="611" spans="1:26" ht="13.8" x14ac:dyDescent="0.3">
      <c r="A611" s="2"/>
      <c r="B611" s="2"/>
      <c r="C611" s="10"/>
      <c r="D611" s="10"/>
      <c r="E611" s="10"/>
      <c r="F611" s="10"/>
      <c r="G611" s="69"/>
      <c r="H611" s="69"/>
      <c r="I611" s="69"/>
      <c r="J611" s="70"/>
      <c r="K611" s="69"/>
      <c r="L611" s="32"/>
      <c r="M611" s="69"/>
      <c r="N611" s="69"/>
      <c r="O611" s="69"/>
      <c r="P611" s="2"/>
      <c r="Q611" s="2"/>
      <c r="R611" s="32"/>
      <c r="S611" s="32"/>
      <c r="T611" s="32"/>
      <c r="U611" s="32"/>
      <c r="V611" s="2"/>
      <c r="W611" s="2"/>
      <c r="X611" s="2"/>
      <c r="Y611" s="2"/>
      <c r="Z611" s="2"/>
    </row>
    <row r="612" spans="1:26" ht="13.8" x14ac:dyDescent="0.3">
      <c r="A612" s="2"/>
      <c r="B612" s="2"/>
      <c r="C612" s="10"/>
      <c r="D612" s="10"/>
      <c r="E612" s="10"/>
      <c r="F612" s="10"/>
      <c r="G612" s="69"/>
      <c r="H612" s="69"/>
      <c r="I612" s="69"/>
      <c r="J612" s="70"/>
      <c r="K612" s="69"/>
      <c r="L612" s="32"/>
      <c r="M612" s="69"/>
      <c r="N612" s="69"/>
      <c r="O612" s="69"/>
      <c r="P612" s="2"/>
      <c r="Q612" s="2"/>
      <c r="R612" s="32"/>
      <c r="S612" s="32"/>
      <c r="T612" s="32"/>
      <c r="U612" s="32"/>
      <c r="V612" s="2"/>
      <c r="W612" s="2"/>
      <c r="X612" s="2"/>
      <c r="Y612" s="2"/>
      <c r="Z612" s="2"/>
    </row>
    <row r="613" spans="1:26" ht="13.8" x14ac:dyDescent="0.3">
      <c r="A613" s="2"/>
      <c r="B613" s="2"/>
      <c r="C613" s="10"/>
      <c r="D613" s="10"/>
      <c r="E613" s="10"/>
      <c r="F613" s="10"/>
      <c r="G613" s="69"/>
      <c r="H613" s="69"/>
      <c r="I613" s="69"/>
      <c r="J613" s="70"/>
      <c r="K613" s="69"/>
      <c r="L613" s="32"/>
      <c r="M613" s="69"/>
      <c r="N613" s="69"/>
      <c r="O613" s="69"/>
      <c r="P613" s="2"/>
      <c r="Q613" s="2"/>
      <c r="R613" s="32"/>
      <c r="S613" s="32"/>
      <c r="T613" s="32"/>
      <c r="U613" s="32"/>
      <c r="V613" s="2"/>
      <c r="W613" s="2"/>
      <c r="X613" s="2"/>
      <c r="Y613" s="2"/>
      <c r="Z613" s="2"/>
    </row>
    <row r="614" spans="1:26" ht="13.8" x14ac:dyDescent="0.3">
      <c r="A614" s="2"/>
      <c r="B614" s="2"/>
      <c r="C614" s="10"/>
      <c r="D614" s="10"/>
      <c r="E614" s="10"/>
      <c r="F614" s="10"/>
      <c r="G614" s="69"/>
      <c r="H614" s="69"/>
      <c r="I614" s="69"/>
      <c r="J614" s="70"/>
      <c r="K614" s="69"/>
      <c r="L614" s="32"/>
      <c r="M614" s="69"/>
      <c r="N614" s="69"/>
      <c r="O614" s="69"/>
      <c r="P614" s="2"/>
      <c r="Q614" s="2"/>
      <c r="R614" s="32"/>
      <c r="S614" s="32"/>
      <c r="T614" s="32"/>
      <c r="U614" s="32"/>
      <c r="V614" s="2"/>
      <c r="W614" s="2"/>
      <c r="X614" s="2"/>
      <c r="Y614" s="2"/>
      <c r="Z614" s="2"/>
    </row>
    <row r="615" spans="1:26" ht="13.8" x14ac:dyDescent="0.3">
      <c r="A615" s="2"/>
      <c r="B615" s="2"/>
      <c r="C615" s="10"/>
      <c r="D615" s="10"/>
      <c r="E615" s="10"/>
      <c r="F615" s="10"/>
      <c r="G615" s="69"/>
      <c r="H615" s="69"/>
      <c r="I615" s="69"/>
      <c r="J615" s="70"/>
      <c r="K615" s="69"/>
      <c r="L615" s="32"/>
      <c r="M615" s="69"/>
      <c r="N615" s="69"/>
      <c r="O615" s="69"/>
      <c r="P615" s="2"/>
      <c r="Q615" s="2"/>
      <c r="R615" s="32"/>
      <c r="S615" s="32"/>
      <c r="T615" s="32"/>
      <c r="U615" s="32"/>
      <c r="V615" s="2"/>
      <c r="W615" s="2"/>
      <c r="X615" s="2"/>
      <c r="Y615" s="2"/>
      <c r="Z615" s="2"/>
    </row>
    <row r="616" spans="1:26" ht="13.8" x14ac:dyDescent="0.3">
      <c r="A616" s="2"/>
      <c r="B616" s="2"/>
      <c r="C616" s="10"/>
      <c r="D616" s="10"/>
      <c r="E616" s="10"/>
      <c r="F616" s="10"/>
      <c r="G616" s="69"/>
      <c r="H616" s="69"/>
      <c r="I616" s="69"/>
      <c r="J616" s="70"/>
      <c r="K616" s="69"/>
      <c r="L616" s="32"/>
      <c r="M616" s="69"/>
      <c r="N616" s="69"/>
      <c r="O616" s="69"/>
      <c r="P616" s="2"/>
      <c r="Q616" s="2"/>
      <c r="R616" s="32"/>
      <c r="S616" s="32"/>
      <c r="T616" s="32"/>
      <c r="U616" s="32"/>
      <c r="V616" s="2"/>
      <c r="W616" s="2"/>
      <c r="X616" s="2"/>
      <c r="Y616" s="2"/>
      <c r="Z616" s="2"/>
    </row>
    <row r="617" spans="1:26" ht="13.8" x14ac:dyDescent="0.3">
      <c r="A617" s="2"/>
      <c r="B617" s="2"/>
      <c r="C617" s="10"/>
      <c r="D617" s="10"/>
      <c r="E617" s="10"/>
      <c r="F617" s="10"/>
      <c r="G617" s="69"/>
      <c r="H617" s="69"/>
      <c r="I617" s="69"/>
      <c r="J617" s="70"/>
      <c r="K617" s="69"/>
      <c r="L617" s="32"/>
      <c r="M617" s="69"/>
      <c r="N617" s="69"/>
      <c r="O617" s="69"/>
      <c r="P617" s="2"/>
      <c r="Q617" s="2"/>
      <c r="R617" s="32"/>
      <c r="S617" s="32"/>
      <c r="T617" s="32"/>
      <c r="U617" s="32"/>
      <c r="V617" s="2"/>
      <c r="W617" s="2"/>
      <c r="X617" s="2"/>
      <c r="Y617" s="2"/>
      <c r="Z617" s="2"/>
    </row>
    <row r="618" spans="1:26" ht="13.8" x14ac:dyDescent="0.3">
      <c r="A618" s="2"/>
      <c r="B618" s="2"/>
      <c r="C618" s="10"/>
      <c r="D618" s="10"/>
      <c r="E618" s="10"/>
      <c r="F618" s="10"/>
      <c r="G618" s="69"/>
      <c r="H618" s="69"/>
      <c r="I618" s="69"/>
      <c r="J618" s="70"/>
      <c r="K618" s="69"/>
      <c r="L618" s="32"/>
      <c r="M618" s="69"/>
      <c r="N618" s="69"/>
      <c r="O618" s="69"/>
      <c r="P618" s="2"/>
      <c r="Q618" s="2"/>
      <c r="R618" s="32"/>
      <c r="S618" s="32"/>
      <c r="T618" s="32"/>
      <c r="U618" s="32"/>
      <c r="V618" s="2"/>
      <c r="W618" s="2"/>
      <c r="X618" s="2"/>
      <c r="Y618" s="2"/>
      <c r="Z618" s="2"/>
    </row>
    <row r="619" spans="1:26" ht="13.8" x14ac:dyDescent="0.3">
      <c r="A619" s="2"/>
      <c r="B619" s="2"/>
      <c r="C619" s="10"/>
      <c r="D619" s="10"/>
      <c r="E619" s="10"/>
      <c r="F619" s="10"/>
      <c r="G619" s="69"/>
      <c r="H619" s="69"/>
      <c r="I619" s="69"/>
      <c r="J619" s="70"/>
      <c r="K619" s="69"/>
      <c r="L619" s="32"/>
      <c r="M619" s="69"/>
      <c r="N619" s="69"/>
      <c r="O619" s="69"/>
      <c r="P619" s="2"/>
      <c r="Q619" s="2"/>
      <c r="R619" s="32"/>
      <c r="S619" s="32"/>
      <c r="T619" s="32"/>
      <c r="U619" s="32"/>
      <c r="V619" s="2"/>
      <c r="W619" s="2"/>
      <c r="X619" s="2"/>
      <c r="Y619" s="2"/>
      <c r="Z619" s="2"/>
    </row>
    <row r="620" spans="1:26" ht="13.8" x14ac:dyDescent="0.3">
      <c r="A620" s="2"/>
      <c r="B620" s="2"/>
      <c r="C620" s="10"/>
      <c r="D620" s="10"/>
      <c r="E620" s="10"/>
      <c r="F620" s="10"/>
      <c r="G620" s="69"/>
      <c r="H620" s="69"/>
      <c r="I620" s="69"/>
      <c r="J620" s="70"/>
      <c r="K620" s="69"/>
      <c r="L620" s="32"/>
      <c r="M620" s="69"/>
      <c r="N620" s="69"/>
      <c r="O620" s="69"/>
      <c r="P620" s="2"/>
      <c r="Q620" s="2"/>
      <c r="R620" s="32"/>
      <c r="S620" s="32"/>
      <c r="T620" s="32"/>
      <c r="U620" s="32"/>
      <c r="V620" s="2"/>
      <c r="W620" s="2"/>
      <c r="X620" s="2"/>
      <c r="Y620" s="2"/>
      <c r="Z620" s="2"/>
    </row>
    <row r="621" spans="1:26" ht="13.8" x14ac:dyDescent="0.3">
      <c r="A621" s="2"/>
      <c r="B621" s="2"/>
      <c r="C621" s="10"/>
      <c r="D621" s="10"/>
      <c r="E621" s="10"/>
      <c r="F621" s="10"/>
      <c r="G621" s="69"/>
      <c r="H621" s="69"/>
      <c r="I621" s="69"/>
      <c r="J621" s="70"/>
      <c r="K621" s="69"/>
      <c r="L621" s="32"/>
      <c r="M621" s="69"/>
      <c r="N621" s="69"/>
      <c r="O621" s="69"/>
      <c r="P621" s="2"/>
      <c r="Q621" s="2"/>
      <c r="R621" s="32"/>
      <c r="S621" s="32"/>
      <c r="T621" s="32"/>
      <c r="U621" s="32"/>
      <c r="V621" s="2"/>
      <c r="W621" s="2"/>
      <c r="X621" s="2"/>
      <c r="Y621" s="2"/>
      <c r="Z621" s="2"/>
    </row>
    <row r="622" spans="1:26" ht="13.8" x14ac:dyDescent="0.3">
      <c r="A622" s="2"/>
      <c r="B622" s="2"/>
      <c r="C622" s="10"/>
      <c r="D622" s="10"/>
      <c r="E622" s="10"/>
      <c r="F622" s="10"/>
      <c r="G622" s="69"/>
      <c r="H622" s="69"/>
      <c r="I622" s="69"/>
      <c r="J622" s="70"/>
      <c r="K622" s="69"/>
      <c r="L622" s="32"/>
      <c r="M622" s="69"/>
      <c r="N622" s="69"/>
      <c r="O622" s="69"/>
      <c r="P622" s="2"/>
      <c r="Q622" s="2"/>
      <c r="R622" s="32"/>
      <c r="S622" s="32"/>
      <c r="T622" s="32"/>
      <c r="U622" s="32"/>
      <c r="V622" s="2"/>
      <c r="W622" s="2"/>
      <c r="X622" s="2"/>
      <c r="Y622" s="2"/>
      <c r="Z622" s="2"/>
    </row>
    <row r="623" spans="1:26" ht="13.8" x14ac:dyDescent="0.3">
      <c r="A623" s="2"/>
      <c r="B623" s="2"/>
      <c r="C623" s="10"/>
      <c r="D623" s="10"/>
      <c r="E623" s="10"/>
      <c r="F623" s="10"/>
      <c r="G623" s="69"/>
      <c r="H623" s="69"/>
      <c r="I623" s="69"/>
      <c r="J623" s="70"/>
      <c r="K623" s="69"/>
      <c r="L623" s="32"/>
      <c r="M623" s="69"/>
      <c r="N623" s="69"/>
      <c r="O623" s="69"/>
      <c r="P623" s="2"/>
      <c r="Q623" s="2"/>
      <c r="R623" s="32"/>
      <c r="S623" s="32"/>
      <c r="T623" s="32"/>
      <c r="U623" s="32"/>
      <c r="V623" s="2"/>
      <c r="W623" s="2"/>
      <c r="X623" s="2"/>
      <c r="Y623" s="2"/>
      <c r="Z623" s="2"/>
    </row>
    <row r="624" spans="1:26" ht="13.8" x14ac:dyDescent="0.3">
      <c r="A624" s="2"/>
      <c r="B624" s="2"/>
      <c r="C624" s="10"/>
      <c r="D624" s="10"/>
      <c r="E624" s="10"/>
      <c r="F624" s="10"/>
      <c r="G624" s="69"/>
      <c r="H624" s="69"/>
      <c r="I624" s="69"/>
      <c r="J624" s="70"/>
      <c r="K624" s="69"/>
      <c r="L624" s="32"/>
      <c r="M624" s="69"/>
      <c r="N624" s="69"/>
      <c r="O624" s="69"/>
      <c r="P624" s="2"/>
      <c r="Q624" s="2"/>
      <c r="R624" s="32"/>
      <c r="S624" s="32"/>
      <c r="T624" s="32"/>
      <c r="U624" s="32"/>
      <c r="V624" s="2"/>
      <c r="W624" s="2"/>
      <c r="X624" s="2"/>
      <c r="Y624" s="2"/>
      <c r="Z624" s="2"/>
    </row>
    <row r="625" spans="1:26" ht="13.8" x14ac:dyDescent="0.3">
      <c r="A625" s="2"/>
      <c r="B625" s="2"/>
      <c r="C625" s="10"/>
      <c r="D625" s="10"/>
      <c r="E625" s="10"/>
      <c r="F625" s="10"/>
      <c r="G625" s="69"/>
      <c r="H625" s="69"/>
      <c r="I625" s="69"/>
      <c r="J625" s="70"/>
      <c r="K625" s="69"/>
      <c r="L625" s="32"/>
      <c r="M625" s="69"/>
      <c r="N625" s="69"/>
      <c r="O625" s="69"/>
      <c r="P625" s="2"/>
      <c r="Q625" s="2"/>
      <c r="R625" s="32"/>
      <c r="S625" s="32"/>
      <c r="T625" s="32"/>
      <c r="U625" s="32"/>
      <c r="V625" s="2"/>
      <c r="W625" s="2"/>
      <c r="X625" s="2"/>
      <c r="Y625" s="2"/>
      <c r="Z625" s="2"/>
    </row>
    <row r="626" spans="1:26" ht="13.8" x14ac:dyDescent="0.3">
      <c r="A626" s="2"/>
      <c r="B626" s="2"/>
      <c r="C626" s="10"/>
      <c r="D626" s="10"/>
      <c r="E626" s="10"/>
      <c r="F626" s="10"/>
      <c r="G626" s="69"/>
      <c r="H626" s="69"/>
      <c r="I626" s="69"/>
      <c r="J626" s="70"/>
      <c r="K626" s="69"/>
      <c r="L626" s="32"/>
      <c r="M626" s="69"/>
      <c r="N626" s="69"/>
      <c r="O626" s="69"/>
      <c r="P626" s="2"/>
      <c r="Q626" s="2"/>
      <c r="R626" s="32"/>
      <c r="S626" s="32"/>
      <c r="T626" s="32"/>
      <c r="U626" s="32"/>
      <c r="V626" s="2"/>
      <c r="W626" s="2"/>
      <c r="X626" s="2"/>
      <c r="Y626" s="2"/>
      <c r="Z626" s="2"/>
    </row>
    <row r="627" spans="1:26" ht="13.8" x14ac:dyDescent="0.3">
      <c r="A627" s="2"/>
      <c r="B627" s="2"/>
      <c r="C627" s="10"/>
      <c r="D627" s="10"/>
      <c r="E627" s="10"/>
      <c r="F627" s="10"/>
      <c r="G627" s="69"/>
      <c r="H627" s="69"/>
      <c r="I627" s="69"/>
      <c r="J627" s="70"/>
      <c r="K627" s="69"/>
      <c r="L627" s="32"/>
      <c r="M627" s="69"/>
      <c r="N627" s="69"/>
      <c r="O627" s="69"/>
      <c r="P627" s="2"/>
      <c r="Q627" s="2"/>
      <c r="R627" s="32"/>
      <c r="S627" s="32"/>
      <c r="T627" s="32"/>
      <c r="U627" s="32"/>
      <c r="V627" s="2"/>
      <c r="W627" s="2"/>
      <c r="X627" s="2"/>
      <c r="Y627" s="2"/>
      <c r="Z627" s="2"/>
    </row>
    <row r="628" spans="1:26" ht="13.8" x14ac:dyDescent="0.3">
      <c r="A628" s="2"/>
      <c r="B628" s="2"/>
      <c r="C628" s="10"/>
      <c r="D628" s="10"/>
      <c r="E628" s="10"/>
      <c r="F628" s="10"/>
      <c r="G628" s="69"/>
      <c r="H628" s="69"/>
      <c r="I628" s="69"/>
      <c r="J628" s="70"/>
      <c r="K628" s="69"/>
      <c r="L628" s="32"/>
      <c r="M628" s="69"/>
      <c r="N628" s="69"/>
      <c r="O628" s="69"/>
      <c r="P628" s="2"/>
      <c r="Q628" s="2"/>
      <c r="R628" s="32"/>
      <c r="S628" s="32"/>
      <c r="T628" s="32"/>
      <c r="U628" s="32"/>
      <c r="V628" s="2"/>
      <c r="W628" s="2"/>
      <c r="X628" s="2"/>
      <c r="Y628" s="2"/>
      <c r="Z628" s="2"/>
    </row>
    <row r="629" spans="1:26" ht="13.8" x14ac:dyDescent="0.3">
      <c r="A629" s="2"/>
      <c r="B629" s="2"/>
      <c r="C629" s="10"/>
      <c r="D629" s="10"/>
      <c r="E629" s="10"/>
      <c r="F629" s="10"/>
      <c r="G629" s="69"/>
      <c r="H629" s="69"/>
      <c r="I629" s="69"/>
      <c r="J629" s="70"/>
      <c r="K629" s="69"/>
      <c r="L629" s="32"/>
      <c r="M629" s="69"/>
      <c r="N629" s="69"/>
      <c r="O629" s="69"/>
      <c r="P629" s="2"/>
      <c r="Q629" s="2"/>
      <c r="R629" s="32"/>
      <c r="S629" s="32"/>
      <c r="T629" s="32"/>
      <c r="U629" s="32"/>
      <c r="V629" s="2"/>
      <c r="W629" s="2"/>
      <c r="X629" s="2"/>
      <c r="Y629" s="2"/>
      <c r="Z629" s="2"/>
    </row>
    <row r="630" spans="1:26" ht="13.8" x14ac:dyDescent="0.3">
      <c r="A630" s="2"/>
      <c r="B630" s="2"/>
      <c r="C630" s="10"/>
      <c r="D630" s="10"/>
      <c r="E630" s="10"/>
      <c r="F630" s="10"/>
      <c r="G630" s="69"/>
      <c r="H630" s="69"/>
      <c r="I630" s="69"/>
      <c r="J630" s="70"/>
      <c r="K630" s="69"/>
      <c r="L630" s="32"/>
      <c r="M630" s="69"/>
      <c r="N630" s="69"/>
      <c r="O630" s="69"/>
      <c r="P630" s="2"/>
      <c r="Q630" s="2"/>
      <c r="R630" s="32"/>
      <c r="S630" s="32"/>
      <c r="T630" s="32"/>
      <c r="U630" s="32"/>
      <c r="V630" s="2"/>
      <c r="W630" s="2"/>
      <c r="X630" s="2"/>
      <c r="Y630" s="2"/>
      <c r="Z630" s="2"/>
    </row>
    <row r="631" spans="1:26" ht="13.8" x14ac:dyDescent="0.3">
      <c r="A631" s="2"/>
      <c r="B631" s="2"/>
      <c r="C631" s="10"/>
      <c r="D631" s="10"/>
      <c r="E631" s="10"/>
      <c r="F631" s="10"/>
      <c r="G631" s="69"/>
      <c r="H631" s="69"/>
      <c r="I631" s="69"/>
      <c r="J631" s="70"/>
      <c r="K631" s="69"/>
      <c r="L631" s="32"/>
      <c r="M631" s="69"/>
      <c r="N631" s="69"/>
      <c r="O631" s="69"/>
      <c r="P631" s="2"/>
      <c r="Q631" s="2"/>
      <c r="R631" s="32"/>
      <c r="S631" s="32"/>
      <c r="T631" s="32"/>
      <c r="U631" s="32"/>
      <c r="V631" s="2"/>
      <c r="W631" s="2"/>
      <c r="X631" s="2"/>
      <c r="Y631" s="2"/>
      <c r="Z631" s="2"/>
    </row>
    <row r="632" spans="1:26" ht="13.8" x14ac:dyDescent="0.3">
      <c r="A632" s="2"/>
      <c r="B632" s="2"/>
      <c r="C632" s="10"/>
      <c r="D632" s="10"/>
      <c r="E632" s="10"/>
      <c r="F632" s="10"/>
      <c r="G632" s="69"/>
      <c r="H632" s="69"/>
      <c r="I632" s="69"/>
      <c r="J632" s="70"/>
      <c r="K632" s="69"/>
      <c r="L632" s="32"/>
      <c r="M632" s="69"/>
      <c r="N632" s="69"/>
      <c r="O632" s="69"/>
      <c r="P632" s="2"/>
      <c r="Q632" s="2"/>
      <c r="R632" s="32"/>
      <c r="S632" s="32"/>
      <c r="T632" s="32"/>
      <c r="U632" s="32"/>
      <c r="V632" s="2"/>
      <c r="W632" s="2"/>
      <c r="X632" s="2"/>
      <c r="Y632" s="2"/>
      <c r="Z632" s="2"/>
    </row>
    <row r="633" spans="1:26" ht="13.8" x14ac:dyDescent="0.3">
      <c r="A633" s="2"/>
      <c r="B633" s="2"/>
      <c r="C633" s="10"/>
      <c r="D633" s="10"/>
      <c r="E633" s="10"/>
      <c r="F633" s="10"/>
      <c r="G633" s="69"/>
      <c r="H633" s="69"/>
      <c r="I633" s="69"/>
      <c r="J633" s="70"/>
      <c r="K633" s="69"/>
      <c r="L633" s="32"/>
      <c r="M633" s="69"/>
      <c r="N633" s="69"/>
      <c r="O633" s="69"/>
      <c r="P633" s="2"/>
      <c r="Q633" s="2"/>
      <c r="R633" s="32"/>
      <c r="S633" s="32"/>
      <c r="T633" s="32"/>
      <c r="U633" s="32"/>
      <c r="V633" s="2"/>
      <c r="W633" s="2"/>
      <c r="X633" s="2"/>
      <c r="Y633" s="2"/>
      <c r="Z633" s="2"/>
    </row>
    <row r="634" spans="1:26" ht="13.8" x14ac:dyDescent="0.3">
      <c r="A634" s="2"/>
      <c r="B634" s="2"/>
      <c r="C634" s="10"/>
      <c r="D634" s="10"/>
      <c r="E634" s="10"/>
      <c r="F634" s="10"/>
      <c r="G634" s="69"/>
      <c r="H634" s="69"/>
      <c r="I634" s="69"/>
      <c r="J634" s="70"/>
      <c r="K634" s="69"/>
      <c r="L634" s="32"/>
      <c r="M634" s="69"/>
      <c r="N634" s="69"/>
      <c r="O634" s="69"/>
      <c r="P634" s="2"/>
      <c r="Q634" s="2"/>
      <c r="R634" s="32"/>
      <c r="S634" s="32"/>
      <c r="T634" s="32"/>
      <c r="U634" s="32"/>
      <c r="V634" s="2"/>
      <c r="W634" s="2"/>
      <c r="X634" s="2"/>
      <c r="Y634" s="2"/>
      <c r="Z634" s="2"/>
    </row>
    <row r="635" spans="1:26" ht="13.8" x14ac:dyDescent="0.3">
      <c r="A635" s="2"/>
      <c r="B635" s="2"/>
      <c r="C635" s="10"/>
      <c r="D635" s="10"/>
      <c r="E635" s="10"/>
      <c r="F635" s="10"/>
      <c r="G635" s="69"/>
      <c r="H635" s="69"/>
      <c r="I635" s="69"/>
      <c r="J635" s="70"/>
      <c r="K635" s="69"/>
      <c r="L635" s="32"/>
      <c r="M635" s="69"/>
      <c r="N635" s="69"/>
      <c r="O635" s="69"/>
      <c r="P635" s="2"/>
      <c r="Q635" s="2"/>
      <c r="R635" s="32"/>
      <c r="S635" s="32"/>
      <c r="T635" s="32"/>
      <c r="U635" s="32"/>
      <c r="V635" s="2"/>
      <c r="W635" s="2"/>
      <c r="X635" s="2"/>
      <c r="Y635" s="2"/>
      <c r="Z635" s="2"/>
    </row>
    <row r="636" spans="1:26" ht="13.8" x14ac:dyDescent="0.3">
      <c r="A636" s="2"/>
      <c r="B636" s="2"/>
      <c r="C636" s="10"/>
      <c r="D636" s="10"/>
      <c r="E636" s="10"/>
      <c r="F636" s="10"/>
      <c r="G636" s="69"/>
      <c r="H636" s="69"/>
      <c r="I636" s="69"/>
      <c r="J636" s="70"/>
      <c r="K636" s="69"/>
      <c r="L636" s="32"/>
      <c r="M636" s="69"/>
      <c r="N636" s="69"/>
      <c r="O636" s="69"/>
      <c r="P636" s="2"/>
      <c r="Q636" s="2"/>
      <c r="R636" s="32"/>
      <c r="S636" s="32"/>
      <c r="T636" s="32"/>
      <c r="U636" s="32"/>
      <c r="V636" s="2"/>
      <c r="W636" s="2"/>
      <c r="X636" s="2"/>
      <c r="Y636" s="2"/>
      <c r="Z636" s="2"/>
    </row>
    <row r="637" spans="1:26" ht="13.8" x14ac:dyDescent="0.3">
      <c r="A637" s="2"/>
      <c r="B637" s="2"/>
      <c r="C637" s="10"/>
      <c r="D637" s="10"/>
      <c r="E637" s="10"/>
      <c r="F637" s="10"/>
      <c r="G637" s="69"/>
      <c r="H637" s="69"/>
      <c r="I637" s="69"/>
      <c r="J637" s="70"/>
      <c r="K637" s="69"/>
      <c r="L637" s="32"/>
      <c r="M637" s="69"/>
      <c r="N637" s="69"/>
      <c r="O637" s="69"/>
      <c r="P637" s="2"/>
      <c r="Q637" s="2"/>
      <c r="R637" s="32"/>
      <c r="S637" s="32"/>
      <c r="T637" s="32"/>
      <c r="U637" s="32"/>
      <c r="V637" s="2"/>
      <c r="W637" s="2"/>
      <c r="X637" s="2"/>
      <c r="Y637" s="2"/>
      <c r="Z637" s="2"/>
    </row>
    <row r="638" spans="1:26" ht="13.8" x14ac:dyDescent="0.3">
      <c r="A638" s="2"/>
      <c r="B638" s="2"/>
      <c r="C638" s="10"/>
      <c r="D638" s="10"/>
      <c r="E638" s="10"/>
      <c r="F638" s="10"/>
      <c r="G638" s="69"/>
      <c r="H638" s="69"/>
      <c r="I638" s="69"/>
      <c r="J638" s="70"/>
      <c r="K638" s="69"/>
      <c r="L638" s="32"/>
      <c r="M638" s="69"/>
      <c r="N638" s="69"/>
      <c r="O638" s="69"/>
      <c r="P638" s="2"/>
      <c r="Q638" s="2"/>
      <c r="R638" s="32"/>
      <c r="S638" s="32"/>
      <c r="T638" s="32"/>
      <c r="U638" s="32"/>
      <c r="V638" s="2"/>
      <c r="W638" s="2"/>
      <c r="X638" s="2"/>
      <c r="Y638" s="2"/>
      <c r="Z638" s="2"/>
    </row>
    <row r="639" spans="1:26" ht="13.8" x14ac:dyDescent="0.3">
      <c r="A639" s="2"/>
      <c r="B639" s="2"/>
      <c r="C639" s="10"/>
      <c r="D639" s="10"/>
      <c r="E639" s="10"/>
      <c r="F639" s="10"/>
      <c r="G639" s="69"/>
      <c r="H639" s="69"/>
      <c r="I639" s="69"/>
      <c r="J639" s="70"/>
      <c r="K639" s="69"/>
      <c r="L639" s="32"/>
      <c r="M639" s="69"/>
      <c r="N639" s="69"/>
      <c r="O639" s="69"/>
      <c r="P639" s="2"/>
      <c r="Q639" s="2"/>
      <c r="R639" s="32"/>
      <c r="S639" s="32"/>
      <c r="T639" s="32"/>
      <c r="U639" s="32"/>
      <c r="V639" s="2"/>
      <c r="W639" s="2"/>
      <c r="X639" s="2"/>
      <c r="Y639" s="2"/>
      <c r="Z639" s="2"/>
    </row>
    <row r="640" spans="1:26" ht="13.8" x14ac:dyDescent="0.3">
      <c r="A640" s="2"/>
      <c r="B640" s="2"/>
      <c r="C640" s="10"/>
      <c r="D640" s="10"/>
      <c r="E640" s="10"/>
      <c r="F640" s="10"/>
      <c r="G640" s="69"/>
      <c r="H640" s="69"/>
      <c r="I640" s="69"/>
      <c r="J640" s="70"/>
      <c r="K640" s="69"/>
      <c r="L640" s="32"/>
      <c r="M640" s="69"/>
      <c r="N640" s="69"/>
      <c r="O640" s="69"/>
      <c r="P640" s="2"/>
      <c r="Q640" s="2"/>
      <c r="R640" s="32"/>
      <c r="S640" s="32"/>
      <c r="T640" s="32"/>
      <c r="U640" s="32"/>
      <c r="V640" s="2"/>
      <c r="W640" s="2"/>
      <c r="X640" s="2"/>
      <c r="Y640" s="2"/>
      <c r="Z640" s="2"/>
    </row>
    <row r="641" spans="1:26" ht="13.8" x14ac:dyDescent="0.3">
      <c r="A641" s="2"/>
      <c r="B641" s="2"/>
      <c r="C641" s="10"/>
      <c r="D641" s="10"/>
      <c r="E641" s="10"/>
      <c r="F641" s="10"/>
      <c r="G641" s="69"/>
      <c r="H641" s="69"/>
      <c r="I641" s="69"/>
      <c r="J641" s="70"/>
      <c r="K641" s="69"/>
      <c r="L641" s="32"/>
      <c r="M641" s="69"/>
      <c r="N641" s="69"/>
      <c r="O641" s="69"/>
      <c r="P641" s="2"/>
      <c r="Q641" s="2"/>
      <c r="R641" s="32"/>
      <c r="S641" s="32"/>
      <c r="T641" s="32"/>
      <c r="U641" s="32"/>
      <c r="V641" s="2"/>
      <c r="W641" s="2"/>
      <c r="X641" s="2"/>
      <c r="Y641" s="2"/>
      <c r="Z641" s="2"/>
    </row>
    <row r="642" spans="1:26" ht="13.8" x14ac:dyDescent="0.3">
      <c r="A642" s="2"/>
      <c r="B642" s="2"/>
      <c r="C642" s="10"/>
      <c r="D642" s="10"/>
      <c r="E642" s="10"/>
      <c r="F642" s="10"/>
      <c r="G642" s="69"/>
      <c r="H642" s="69"/>
      <c r="I642" s="69"/>
      <c r="J642" s="70"/>
      <c r="K642" s="69"/>
      <c r="L642" s="32"/>
      <c r="M642" s="69"/>
      <c r="N642" s="69"/>
      <c r="O642" s="69"/>
      <c r="P642" s="2"/>
      <c r="Q642" s="2"/>
      <c r="R642" s="32"/>
      <c r="S642" s="32"/>
      <c r="T642" s="32"/>
      <c r="U642" s="32"/>
      <c r="V642" s="2"/>
      <c r="W642" s="2"/>
      <c r="X642" s="2"/>
      <c r="Y642" s="2"/>
      <c r="Z642" s="2"/>
    </row>
    <row r="643" spans="1:26" ht="13.8" x14ac:dyDescent="0.3">
      <c r="A643" s="2"/>
      <c r="B643" s="2"/>
      <c r="C643" s="10"/>
      <c r="D643" s="10"/>
      <c r="E643" s="10"/>
      <c r="F643" s="10"/>
      <c r="G643" s="69"/>
      <c r="H643" s="69"/>
      <c r="I643" s="69"/>
      <c r="J643" s="70"/>
      <c r="K643" s="69"/>
      <c r="L643" s="32"/>
      <c r="M643" s="69"/>
      <c r="N643" s="69"/>
      <c r="O643" s="69"/>
      <c r="P643" s="2"/>
      <c r="Q643" s="2"/>
      <c r="R643" s="32"/>
      <c r="S643" s="32"/>
      <c r="T643" s="32"/>
      <c r="U643" s="32"/>
      <c r="V643" s="2"/>
      <c r="W643" s="2"/>
      <c r="X643" s="2"/>
      <c r="Y643" s="2"/>
      <c r="Z643" s="2"/>
    </row>
    <row r="644" spans="1:26" ht="13.8" x14ac:dyDescent="0.3">
      <c r="A644" s="2"/>
      <c r="B644" s="2"/>
      <c r="C644" s="10"/>
      <c r="D644" s="10"/>
      <c r="E644" s="10"/>
      <c r="F644" s="10"/>
      <c r="G644" s="69"/>
      <c r="H644" s="69"/>
      <c r="I644" s="69"/>
      <c r="J644" s="70"/>
      <c r="K644" s="69"/>
      <c r="L644" s="32"/>
      <c r="M644" s="69"/>
      <c r="N644" s="69"/>
      <c r="O644" s="69"/>
      <c r="P644" s="2"/>
      <c r="Q644" s="2"/>
      <c r="R644" s="32"/>
      <c r="S644" s="32"/>
      <c r="T644" s="32"/>
      <c r="U644" s="32"/>
      <c r="V644" s="2"/>
      <c r="W644" s="2"/>
      <c r="X644" s="2"/>
      <c r="Y644" s="2"/>
      <c r="Z644" s="2"/>
    </row>
    <row r="645" spans="1:26" ht="13.8" x14ac:dyDescent="0.3">
      <c r="A645" s="2"/>
      <c r="B645" s="2"/>
      <c r="C645" s="10"/>
      <c r="D645" s="10"/>
      <c r="E645" s="10"/>
      <c r="F645" s="10"/>
      <c r="G645" s="69"/>
      <c r="H645" s="69"/>
      <c r="I645" s="69"/>
      <c r="J645" s="70"/>
      <c r="K645" s="69"/>
      <c r="L645" s="32"/>
      <c r="M645" s="69"/>
      <c r="N645" s="69"/>
      <c r="O645" s="69"/>
      <c r="P645" s="2"/>
      <c r="Q645" s="2"/>
      <c r="R645" s="32"/>
      <c r="S645" s="32"/>
      <c r="T645" s="32"/>
      <c r="U645" s="32"/>
      <c r="V645" s="2"/>
      <c r="W645" s="2"/>
      <c r="X645" s="2"/>
      <c r="Y645" s="2"/>
      <c r="Z645" s="2"/>
    </row>
    <row r="646" spans="1:26" ht="13.8" x14ac:dyDescent="0.3">
      <c r="A646" s="2"/>
      <c r="B646" s="2"/>
      <c r="C646" s="10"/>
      <c r="D646" s="10"/>
      <c r="E646" s="10"/>
      <c r="F646" s="10"/>
      <c r="G646" s="69"/>
      <c r="H646" s="69"/>
      <c r="I646" s="69"/>
      <c r="J646" s="70"/>
      <c r="K646" s="69"/>
      <c r="L646" s="32"/>
      <c r="M646" s="69"/>
      <c r="N646" s="69"/>
      <c r="O646" s="69"/>
      <c r="P646" s="2"/>
      <c r="Q646" s="2"/>
      <c r="R646" s="32"/>
      <c r="S646" s="32"/>
      <c r="T646" s="32"/>
      <c r="U646" s="32"/>
      <c r="V646" s="2"/>
      <c r="W646" s="2"/>
      <c r="X646" s="2"/>
      <c r="Y646" s="2"/>
      <c r="Z646" s="2"/>
    </row>
    <row r="647" spans="1:26" ht="13.8" x14ac:dyDescent="0.3">
      <c r="A647" s="2"/>
      <c r="B647" s="2"/>
      <c r="C647" s="10"/>
      <c r="D647" s="10"/>
      <c r="E647" s="10"/>
      <c r="F647" s="10"/>
      <c r="G647" s="69"/>
      <c r="H647" s="69"/>
      <c r="I647" s="69"/>
      <c r="J647" s="70"/>
      <c r="K647" s="69"/>
      <c r="L647" s="32"/>
      <c r="M647" s="69"/>
      <c r="N647" s="69"/>
      <c r="O647" s="69"/>
      <c r="P647" s="2"/>
      <c r="Q647" s="2"/>
      <c r="R647" s="32"/>
      <c r="S647" s="32"/>
      <c r="T647" s="32"/>
      <c r="U647" s="32"/>
      <c r="V647" s="2"/>
      <c r="W647" s="2"/>
      <c r="X647" s="2"/>
      <c r="Y647" s="2"/>
      <c r="Z647" s="2"/>
    </row>
    <row r="648" spans="1:26" ht="13.8" x14ac:dyDescent="0.3">
      <c r="A648" s="2"/>
      <c r="B648" s="2"/>
      <c r="C648" s="10"/>
      <c r="D648" s="10"/>
      <c r="E648" s="10"/>
      <c r="F648" s="10"/>
      <c r="G648" s="69"/>
      <c r="H648" s="69"/>
      <c r="I648" s="69"/>
      <c r="J648" s="70"/>
      <c r="K648" s="69"/>
      <c r="L648" s="32"/>
      <c r="M648" s="69"/>
      <c r="N648" s="69"/>
      <c r="O648" s="69"/>
      <c r="P648" s="2"/>
      <c r="Q648" s="2"/>
      <c r="R648" s="32"/>
      <c r="S648" s="32"/>
      <c r="T648" s="32"/>
      <c r="U648" s="32"/>
      <c r="V648" s="2"/>
      <c r="W648" s="2"/>
      <c r="X648" s="2"/>
      <c r="Y648" s="2"/>
      <c r="Z648" s="2"/>
    </row>
    <row r="649" spans="1:26" ht="13.8" x14ac:dyDescent="0.3">
      <c r="A649" s="2"/>
      <c r="B649" s="2"/>
      <c r="C649" s="10"/>
      <c r="D649" s="10"/>
      <c r="E649" s="10"/>
      <c r="F649" s="10"/>
      <c r="G649" s="69"/>
      <c r="H649" s="69"/>
      <c r="I649" s="69"/>
      <c r="J649" s="70"/>
      <c r="K649" s="69"/>
      <c r="L649" s="32"/>
      <c r="M649" s="69"/>
      <c r="N649" s="69"/>
      <c r="O649" s="69"/>
      <c r="P649" s="2"/>
      <c r="Q649" s="2"/>
      <c r="R649" s="32"/>
      <c r="S649" s="32"/>
      <c r="T649" s="32"/>
      <c r="U649" s="32"/>
      <c r="V649" s="2"/>
      <c r="W649" s="2"/>
      <c r="X649" s="2"/>
      <c r="Y649" s="2"/>
      <c r="Z649" s="2"/>
    </row>
    <row r="650" spans="1:26" ht="13.8" x14ac:dyDescent="0.3">
      <c r="A650" s="2"/>
      <c r="B650" s="2"/>
      <c r="C650" s="10"/>
      <c r="D650" s="10"/>
      <c r="E650" s="10"/>
      <c r="F650" s="10"/>
      <c r="G650" s="69"/>
      <c r="H650" s="69"/>
      <c r="I650" s="69"/>
      <c r="J650" s="70"/>
      <c r="K650" s="69"/>
      <c r="L650" s="32"/>
      <c r="M650" s="69"/>
      <c r="N650" s="69"/>
      <c r="O650" s="69"/>
      <c r="P650" s="2"/>
      <c r="Q650" s="2"/>
      <c r="R650" s="32"/>
      <c r="S650" s="32"/>
      <c r="T650" s="32"/>
      <c r="U650" s="32"/>
      <c r="V650" s="2"/>
      <c r="W650" s="2"/>
      <c r="X650" s="2"/>
      <c r="Y650" s="2"/>
      <c r="Z650" s="2"/>
    </row>
    <row r="651" spans="1:26" ht="13.8" x14ac:dyDescent="0.3">
      <c r="A651" s="2"/>
      <c r="B651" s="2"/>
      <c r="C651" s="10"/>
      <c r="D651" s="10"/>
      <c r="E651" s="10"/>
      <c r="F651" s="10"/>
      <c r="G651" s="69"/>
      <c r="H651" s="69"/>
      <c r="I651" s="69"/>
      <c r="J651" s="70"/>
      <c r="K651" s="69"/>
      <c r="L651" s="32"/>
      <c r="M651" s="69"/>
      <c r="N651" s="69"/>
      <c r="O651" s="69"/>
      <c r="P651" s="2"/>
      <c r="Q651" s="2"/>
      <c r="R651" s="32"/>
      <c r="S651" s="32"/>
      <c r="T651" s="32"/>
      <c r="U651" s="32"/>
      <c r="V651" s="2"/>
      <c r="W651" s="2"/>
      <c r="X651" s="2"/>
      <c r="Y651" s="2"/>
      <c r="Z651" s="2"/>
    </row>
    <row r="652" spans="1:26" ht="13.8" x14ac:dyDescent="0.3">
      <c r="A652" s="2"/>
      <c r="B652" s="2"/>
      <c r="C652" s="10"/>
      <c r="D652" s="10"/>
      <c r="E652" s="10"/>
      <c r="F652" s="10"/>
      <c r="G652" s="69"/>
      <c r="H652" s="69"/>
      <c r="I652" s="69"/>
      <c r="J652" s="70"/>
      <c r="K652" s="69"/>
      <c r="L652" s="32"/>
      <c r="M652" s="69"/>
      <c r="N652" s="69"/>
      <c r="O652" s="69"/>
      <c r="P652" s="2"/>
      <c r="Q652" s="2"/>
      <c r="R652" s="32"/>
      <c r="S652" s="32"/>
      <c r="T652" s="32"/>
      <c r="U652" s="32"/>
      <c r="V652" s="2"/>
      <c r="W652" s="2"/>
      <c r="X652" s="2"/>
      <c r="Y652" s="2"/>
      <c r="Z652" s="2"/>
    </row>
    <row r="653" spans="1:26" ht="13.8" x14ac:dyDescent="0.3">
      <c r="A653" s="2"/>
      <c r="B653" s="2"/>
      <c r="C653" s="10"/>
      <c r="D653" s="10"/>
      <c r="E653" s="10"/>
      <c r="F653" s="10"/>
      <c r="G653" s="69"/>
      <c r="H653" s="69"/>
      <c r="I653" s="69"/>
      <c r="J653" s="70"/>
      <c r="K653" s="69"/>
      <c r="L653" s="32"/>
      <c r="M653" s="69"/>
      <c r="N653" s="69"/>
      <c r="O653" s="69"/>
      <c r="P653" s="2"/>
      <c r="Q653" s="2"/>
      <c r="R653" s="32"/>
      <c r="S653" s="32"/>
      <c r="T653" s="32"/>
      <c r="U653" s="32"/>
      <c r="V653" s="2"/>
      <c r="W653" s="2"/>
      <c r="X653" s="2"/>
      <c r="Y653" s="2"/>
      <c r="Z653" s="2"/>
    </row>
    <row r="654" spans="1:26" ht="13.8" x14ac:dyDescent="0.3">
      <c r="A654" s="2"/>
      <c r="B654" s="2"/>
      <c r="C654" s="10"/>
      <c r="D654" s="10"/>
      <c r="E654" s="10"/>
      <c r="F654" s="10"/>
      <c r="G654" s="69"/>
      <c r="H654" s="69"/>
      <c r="I654" s="69"/>
      <c r="J654" s="70"/>
      <c r="K654" s="69"/>
      <c r="L654" s="32"/>
      <c r="M654" s="69"/>
      <c r="N654" s="69"/>
      <c r="O654" s="69"/>
      <c r="P654" s="2"/>
      <c r="Q654" s="2"/>
      <c r="R654" s="32"/>
      <c r="S654" s="32"/>
      <c r="T654" s="32"/>
      <c r="U654" s="32"/>
      <c r="V654" s="2"/>
      <c r="W654" s="2"/>
      <c r="X654" s="2"/>
      <c r="Y654" s="2"/>
      <c r="Z654" s="2"/>
    </row>
    <row r="655" spans="1:26" ht="13.8" x14ac:dyDescent="0.3">
      <c r="A655" s="2"/>
      <c r="B655" s="2"/>
      <c r="C655" s="10"/>
      <c r="D655" s="10"/>
      <c r="E655" s="10"/>
      <c r="F655" s="10"/>
      <c r="G655" s="69"/>
      <c r="H655" s="69"/>
      <c r="I655" s="69"/>
      <c r="J655" s="70"/>
      <c r="K655" s="69"/>
      <c r="L655" s="32"/>
      <c r="M655" s="69"/>
      <c r="N655" s="69"/>
      <c r="O655" s="69"/>
      <c r="P655" s="2"/>
      <c r="Q655" s="2"/>
      <c r="R655" s="32"/>
      <c r="S655" s="32"/>
      <c r="T655" s="32"/>
      <c r="U655" s="32"/>
      <c r="V655" s="2"/>
      <c r="W655" s="2"/>
      <c r="X655" s="2"/>
      <c r="Y655" s="2"/>
      <c r="Z655" s="2"/>
    </row>
    <row r="656" spans="1:26" ht="13.8" x14ac:dyDescent="0.3">
      <c r="A656" s="2"/>
      <c r="B656" s="2"/>
      <c r="C656" s="10"/>
      <c r="D656" s="10"/>
      <c r="E656" s="10"/>
      <c r="F656" s="10"/>
      <c r="G656" s="69"/>
      <c r="H656" s="69"/>
      <c r="I656" s="69"/>
      <c r="J656" s="70"/>
      <c r="K656" s="69"/>
      <c r="L656" s="32"/>
      <c r="M656" s="69"/>
      <c r="N656" s="69"/>
      <c r="O656" s="69"/>
      <c r="P656" s="2"/>
      <c r="Q656" s="2"/>
      <c r="R656" s="32"/>
      <c r="S656" s="32"/>
      <c r="T656" s="32"/>
      <c r="U656" s="32"/>
      <c r="V656" s="2"/>
      <c r="W656" s="2"/>
      <c r="X656" s="2"/>
      <c r="Y656" s="2"/>
      <c r="Z656" s="2"/>
    </row>
    <row r="657" spans="1:26" ht="13.8" x14ac:dyDescent="0.3">
      <c r="A657" s="2"/>
      <c r="B657" s="2"/>
      <c r="C657" s="10"/>
      <c r="D657" s="10"/>
      <c r="E657" s="10"/>
      <c r="F657" s="10"/>
      <c r="G657" s="69"/>
      <c r="H657" s="69"/>
      <c r="I657" s="69"/>
      <c r="J657" s="70"/>
      <c r="K657" s="69"/>
      <c r="L657" s="32"/>
      <c r="M657" s="69"/>
      <c r="N657" s="69"/>
      <c r="O657" s="69"/>
      <c r="P657" s="2"/>
      <c r="Q657" s="2"/>
      <c r="R657" s="32"/>
      <c r="S657" s="32"/>
      <c r="T657" s="32"/>
      <c r="U657" s="32"/>
      <c r="V657" s="2"/>
      <c r="W657" s="2"/>
      <c r="X657" s="2"/>
      <c r="Y657" s="2"/>
      <c r="Z657" s="2"/>
    </row>
    <row r="658" spans="1:26" ht="13.8" x14ac:dyDescent="0.3">
      <c r="A658" s="2"/>
      <c r="B658" s="2"/>
      <c r="C658" s="10"/>
      <c r="D658" s="10"/>
      <c r="E658" s="10"/>
      <c r="F658" s="10"/>
      <c r="G658" s="69"/>
      <c r="H658" s="69"/>
      <c r="I658" s="69"/>
      <c r="J658" s="70"/>
      <c r="K658" s="69"/>
      <c r="L658" s="32"/>
      <c r="M658" s="69"/>
      <c r="N658" s="69"/>
      <c r="O658" s="69"/>
      <c r="P658" s="2"/>
      <c r="Q658" s="2"/>
      <c r="R658" s="32"/>
      <c r="S658" s="32"/>
      <c r="T658" s="32"/>
      <c r="U658" s="32"/>
      <c r="V658" s="2"/>
      <c r="W658" s="2"/>
      <c r="X658" s="2"/>
      <c r="Y658" s="2"/>
      <c r="Z658" s="2"/>
    </row>
    <row r="659" spans="1:26" ht="13.8" x14ac:dyDescent="0.3">
      <c r="A659" s="2"/>
      <c r="B659" s="2"/>
      <c r="C659" s="10"/>
      <c r="D659" s="10"/>
      <c r="E659" s="10"/>
      <c r="F659" s="10"/>
      <c r="G659" s="69"/>
      <c r="H659" s="69"/>
      <c r="I659" s="69"/>
      <c r="J659" s="70"/>
      <c r="K659" s="69"/>
      <c r="L659" s="32"/>
      <c r="M659" s="69"/>
      <c r="N659" s="69"/>
      <c r="O659" s="69"/>
      <c r="P659" s="2"/>
      <c r="Q659" s="2"/>
      <c r="R659" s="32"/>
      <c r="S659" s="32"/>
      <c r="T659" s="32"/>
      <c r="U659" s="32"/>
      <c r="V659" s="2"/>
      <c r="W659" s="2"/>
      <c r="X659" s="2"/>
      <c r="Y659" s="2"/>
      <c r="Z659" s="2"/>
    </row>
    <row r="660" spans="1:26" ht="13.8" x14ac:dyDescent="0.3">
      <c r="A660" s="2"/>
      <c r="B660" s="2"/>
      <c r="C660" s="10"/>
      <c r="D660" s="10"/>
      <c r="E660" s="10"/>
      <c r="F660" s="10"/>
      <c r="G660" s="69"/>
      <c r="H660" s="69"/>
      <c r="I660" s="69"/>
      <c r="J660" s="70"/>
      <c r="K660" s="69"/>
      <c r="L660" s="32"/>
      <c r="M660" s="69"/>
      <c r="N660" s="69"/>
      <c r="O660" s="69"/>
      <c r="P660" s="2"/>
      <c r="Q660" s="2"/>
      <c r="R660" s="32"/>
      <c r="S660" s="32"/>
      <c r="T660" s="32"/>
      <c r="U660" s="32"/>
      <c r="V660" s="2"/>
      <c r="W660" s="2"/>
      <c r="X660" s="2"/>
      <c r="Y660" s="2"/>
      <c r="Z660" s="2"/>
    </row>
    <row r="661" spans="1:26" ht="13.8" x14ac:dyDescent="0.3">
      <c r="A661" s="2"/>
      <c r="B661" s="2"/>
      <c r="C661" s="10"/>
      <c r="D661" s="10"/>
      <c r="E661" s="10"/>
      <c r="F661" s="10"/>
      <c r="G661" s="69"/>
      <c r="H661" s="69"/>
      <c r="I661" s="69"/>
      <c r="J661" s="70"/>
      <c r="K661" s="69"/>
      <c r="L661" s="32"/>
      <c r="M661" s="69"/>
      <c r="N661" s="69"/>
      <c r="O661" s="69"/>
      <c r="P661" s="2"/>
      <c r="Q661" s="2"/>
      <c r="R661" s="32"/>
      <c r="S661" s="32"/>
      <c r="T661" s="32"/>
      <c r="U661" s="32"/>
      <c r="V661" s="2"/>
      <c r="W661" s="2"/>
      <c r="X661" s="2"/>
      <c r="Y661" s="2"/>
      <c r="Z661" s="2"/>
    </row>
    <row r="662" spans="1:26" ht="13.8" x14ac:dyDescent="0.3">
      <c r="A662" s="2"/>
      <c r="B662" s="2"/>
      <c r="C662" s="10"/>
      <c r="D662" s="10"/>
      <c r="E662" s="10"/>
      <c r="F662" s="10"/>
      <c r="G662" s="69"/>
      <c r="H662" s="69"/>
      <c r="I662" s="69"/>
      <c r="J662" s="70"/>
      <c r="K662" s="69"/>
      <c r="L662" s="32"/>
      <c r="M662" s="69"/>
      <c r="N662" s="69"/>
      <c r="O662" s="69"/>
      <c r="P662" s="2"/>
      <c r="Q662" s="2"/>
      <c r="R662" s="32"/>
      <c r="S662" s="32"/>
      <c r="T662" s="32"/>
      <c r="U662" s="32"/>
      <c r="V662" s="2"/>
      <c r="W662" s="2"/>
      <c r="X662" s="2"/>
      <c r="Y662" s="2"/>
      <c r="Z662" s="2"/>
    </row>
    <row r="663" spans="1:26" ht="13.8" x14ac:dyDescent="0.3">
      <c r="A663" s="2"/>
      <c r="B663" s="2"/>
      <c r="C663" s="10"/>
      <c r="D663" s="10"/>
      <c r="E663" s="10"/>
      <c r="F663" s="10"/>
      <c r="G663" s="69"/>
      <c r="H663" s="69"/>
      <c r="I663" s="69"/>
      <c r="J663" s="70"/>
      <c r="K663" s="69"/>
      <c r="L663" s="32"/>
      <c r="M663" s="69"/>
      <c r="N663" s="69"/>
      <c r="O663" s="69"/>
      <c r="P663" s="2"/>
      <c r="Q663" s="2"/>
      <c r="R663" s="32"/>
      <c r="S663" s="32"/>
      <c r="T663" s="32"/>
      <c r="U663" s="32"/>
      <c r="V663" s="2"/>
      <c r="W663" s="2"/>
      <c r="X663" s="2"/>
      <c r="Y663" s="2"/>
      <c r="Z663" s="2"/>
    </row>
    <row r="664" spans="1:26" ht="13.8" x14ac:dyDescent="0.3">
      <c r="A664" s="2"/>
      <c r="B664" s="2"/>
      <c r="C664" s="10"/>
      <c r="D664" s="10"/>
      <c r="E664" s="10"/>
      <c r="F664" s="10"/>
      <c r="G664" s="69"/>
      <c r="H664" s="69"/>
      <c r="I664" s="69"/>
      <c r="J664" s="70"/>
      <c r="K664" s="69"/>
      <c r="L664" s="32"/>
      <c r="M664" s="69"/>
      <c r="N664" s="69"/>
      <c r="O664" s="69"/>
      <c r="P664" s="2"/>
      <c r="Q664" s="2"/>
      <c r="R664" s="32"/>
      <c r="S664" s="32"/>
      <c r="T664" s="32"/>
      <c r="U664" s="32"/>
      <c r="V664" s="2"/>
      <c r="W664" s="2"/>
      <c r="X664" s="2"/>
      <c r="Y664" s="2"/>
      <c r="Z664" s="2"/>
    </row>
    <row r="665" spans="1:26" ht="13.8" x14ac:dyDescent="0.3">
      <c r="A665" s="2"/>
      <c r="B665" s="2"/>
      <c r="C665" s="10"/>
      <c r="D665" s="10"/>
      <c r="E665" s="10"/>
      <c r="F665" s="10"/>
      <c r="G665" s="69"/>
      <c r="H665" s="69"/>
      <c r="I665" s="69"/>
      <c r="J665" s="70"/>
      <c r="K665" s="69"/>
      <c r="L665" s="32"/>
      <c r="M665" s="69"/>
      <c r="N665" s="69"/>
      <c r="O665" s="69"/>
      <c r="P665" s="2"/>
      <c r="Q665" s="2"/>
      <c r="R665" s="32"/>
      <c r="S665" s="32"/>
      <c r="T665" s="32"/>
      <c r="U665" s="32"/>
      <c r="V665" s="2"/>
      <c r="W665" s="2"/>
      <c r="X665" s="2"/>
      <c r="Y665" s="2"/>
      <c r="Z665" s="2"/>
    </row>
    <row r="666" spans="1:26" ht="13.8" x14ac:dyDescent="0.3">
      <c r="A666" s="2"/>
      <c r="B666" s="2"/>
      <c r="C666" s="10"/>
      <c r="D666" s="10"/>
      <c r="E666" s="10"/>
      <c r="F666" s="10"/>
      <c r="G666" s="69"/>
      <c r="H666" s="69"/>
      <c r="I666" s="69"/>
      <c r="J666" s="70"/>
      <c r="K666" s="69"/>
      <c r="L666" s="32"/>
      <c r="M666" s="69"/>
      <c r="N666" s="69"/>
      <c r="O666" s="69"/>
      <c r="P666" s="2"/>
      <c r="Q666" s="2"/>
      <c r="R666" s="32"/>
      <c r="S666" s="32"/>
      <c r="T666" s="32"/>
      <c r="U666" s="32"/>
      <c r="V666" s="2"/>
      <c r="W666" s="2"/>
      <c r="X666" s="2"/>
      <c r="Y666" s="2"/>
      <c r="Z666" s="2"/>
    </row>
    <row r="667" spans="1:26" ht="13.8" x14ac:dyDescent="0.3">
      <c r="A667" s="2"/>
      <c r="B667" s="2"/>
      <c r="C667" s="10"/>
      <c r="D667" s="10"/>
      <c r="E667" s="10"/>
      <c r="F667" s="10"/>
      <c r="G667" s="69"/>
      <c r="H667" s="69"/>
      <c r="I667" s="69"/>
      <c r="J667" s="70"/>
      <c r="K667" s="69"/>
      <c r="L667" s="32"/>
      <c r="M667" s="69"/>
      <c r="N667" s="69"/>
      <c r="O667" s="69"/>
      <c r="P667" s="2"/>
      <c r="Q667" s="2"/>
      <c r="R667" s="32"/>
      <c r="S667" s="32"/>
      <c r="T667" s="32"/>
      <c r="U667" s="32"/>
      <c r="V667" s="2"/>
      <c r="W667" s="2"/>
      <c r="X667" s="2"/>
      <c r="Y667" s="2"/>
      <c r="Z667" s="2"/>
    </row>
    <row r="668" spans="1:26" ht="13.8" x14ac:dyDescent="0.3">
      <c r="A668" s="2"/>
      <c r="B668" s="2"/>
      <c r="C668" s="10"/>
      <c r="D668" s="10"/>
      <c r="E668" s="10"/>
      <c r="F668" s="10"/>
      <c r="G668" s="69"/>
      <c r="H668" s="69"/>
      <c r="I668" s="69"/>
      <c r="J668" s="70"/>
      <c r="K668" s="69"/>
      <c r="L668" s="32"/>
      <c r="M668" s="69"/>
      <c r="N668" s="69"/>
      <c r="O668" s="69"/>
      <c r="P668" s="2"/>
      <c r="Q668" s="2"/>
      <c r="R668" s="32"/>
      <c r="S668" s="32"/>
      <c r="T668" s="32"/>
      <c r="U668" s="32"/>
      <c r="V668" s="2"/>
      <c r="W668" s="2"/>
      <c r="X668" s="2"/>
      <c r="Y668" s="2"/>
      <c r="Z668" s="2"/>
    </row>
    <row r="669" spans="1:26" ht="13.8" x14ac:dyDescent="0.3">
      <c r="A669" s="2"/>
      <c r="B669" s="2"/>
      <c r="C669" s="10"/>
      <c r="D669" s="10"/>
      <c r="E669" s="10"/>
      <c r="F669" s="10"/>
      <c r="G669" s="69"/>
      <c r="H669" s="69"/>
      <c r="I669" s="69"/>
      <c r="J669" s="70"/>
      <c r="K669" s="69"/>
      <c r="L669" s="32"/>
      <c r="M669" s="69"/>
      <c r="N669" s="69"/>
      <c r="O669" s="69"/>
      <c r="P669" s="2"/>
      <c r="Q669" s="2"/>
      <c r="R669" s="32"/>
      <c r="S669" s="32"/>
      <c r="T669" s="32"/>
      <c r="U669" s="32"/>
      <c r="V669" s="2"/>
      <c r="W669" s="2"/>
      <c r="X669" s="2"/>
      <c r="Y669" s="2"/>
      <c r="Z669" s="2"/>
    </row>
    <row r="670" spans="1:26" ht="13.8" x14ac:dyDescent="0.3">
      <c r="A670" s="2"/>
      <c r="B670" s="2"/>
      <c r="C670" s="10"/>
      <c r="D670" s="10"/>
      <c r="E670" s="10"/>
      <c r="F670" s="10"/>
      <c r="G670" s="69"/>
      <c r="H670" s="69"/>
      <c r="I670" s="69"/>
      <c r="J670" s="70"/>
      <c r="K670" s="69"/>
      <c r="L670" s="32"/>
      <c r="M670" s="69"/>
      <c r="N670" s="69"/>
      <c r="O670" s="69"/>
      <c r="P670" s="2"/>
      <c r="Q670" s="2"/>
      <c r="R670" s="32"/>
      <c r="S670" s="32"/>
      <c r="T670" s="32"/>
      <c r="U670" s="32"/>
      <c r="V670" s="2"/>
      <c r="W670" s="2"/>
      <c r="X670" s="2"/>
      <c r="Y670" s="2"/>
      <c r="Z670" s="2"/>
    </row>
    <row r="671" spans="1:26" ht="13.8" x14ac:dyDescent="0.3">
      <c r="A671" s="2"/>
      <c r="B671" s="2"/>
      <c r="C671" s="10"/>
      <c r="D671" s="10"/>
      <c r="E671" s="10"/>
      <c r="F671" s="10"/>
      <c r="G671" s="69"/>
      <c r="H671" s="69"/>
      <c r="I671" s="69"/>
      <c r="J671" s="70"/>
      <c r="K671" s="69"/>
      <c r="L671" s="32"/>
      <c r="M671" s="69"/>
      <c r="N671" s="69"/>
      <c r="O671" s="69"/>
      <c r="P671" s="2"/>
      <c r="Q671" s="2"/>
      <c r="R671" s="32"/>
      <c r="S671" s="32"/>
      <c r="T671" s="32"/>
      <c r="U671" s="32"/>
      <c r="V671" s="2"/>
      <c r="W671" s="2"/>
      <c r="X671" s="2"/>
      <c r="Y671" s="2"/>
      <c r="Z671" s="2"/>
    </row>
    <row r="672" spans="1:26" ht="13.8" x14ac:dyDescent="0.3">
      <c r="A672" s="2"/>
      <c r="B672" s="2"/>
      <c r="C672" s="10"/>
      <c r="D672" s="10"/>
      <c r="E672" s="10"/>
      <c r="F672" s="10"/>
      <c r="G672" s="69"/>
      <c r="H672" s="69"/>
      <c r="I672" s="69"/>
      <c r="J672" s="70"/>
      <c r="K672" s="69"/>
      <c r="L672" s="32"/>
      <c r="M672" s="69"/>
      <c r="N672" s="69"/>
      <c r="O672" s="69"/>
      <c r="P672" s="2"/>
      <c r="Q672" s="2"/>
      <c r="R672" s="32"/>
      <c r="S672" s="32"/>
      <c r="T672" s="32"/>
      <c r="U672" s="32"/>
      <c r="V672" s="2"/>
      <c r="W672" s="2"/>
      <c r="X672" s="2"/>
      <c r="Y672" s="2"/>
      <c r="Z672" s="2"/>
    </row>
    <row r="673" spans="1:26" ht="13.8" x14ac:dyDescent="0.3">
      <c r="A673" s="2"/>
      <c r="B673" s="2"/>
      <c r="C673" s="10"/>
      <c r="D673" s="10"/>
      <c r="E673" s="10"/>
      <c r="F673" s="10"/>
      <c r="G673" s="69"/>
      <c r="H673" s="69"/>
      <c r="I673" s="69"/>
      <c r="J673" s="70"/>
      <c r="K673" s="69"/>
      <c r="L673" s="32"/>
      <c r="M673" s="69"/>
      <c r="N673" s="69"/>
      <c r="O673" s="69"/>
      <c r="P673" s="2"/>
      <c r="Q673" s="2"/>
      <c r="R673" s="32"/>
      <c r="S673" s="32"/>
      <c r="T673" s="32"/>
      <c r="U673" s="32"/>
      <c r="V673" s="2"/>
      <c r="W673" s="2"/>
      <c r="X673" s="2"/>
      <c r="Y673" s="2"/>
      <c r="Z673" s="2"/>
    </row>
    <row r="674" spans="1:26" ht="13.8" x14ac:dyDescent="0.3">
      <c r="A674" s="2"/>
      <c r="B674" s="2"/>
      <c r="C674" s="10"/>
      <c r="D674" s="10"/>
      <c r="E674" s="10"/>
      <c r="F674" s="10"/>
      <c r="G674" s="69"/>
      <c r="H674" s="69"/>
      <c r="I674" s="69"/>
      <c r="J674" s="70"/>
      <c r="K674" s="69"/>
      <c r="L674" s="32"/>
      <c r="M674" s="69"/>
      <c r="N674" s="69"/>
      <c r="O674" s="69"/>
      <c r="P674" s="2"/>
      <c r="Q674" s="2"/>
      <c r="R674" s="32"/>
      <c r="S674" s="32"/>
      <c r="T674" s="32"/>
      <c r="U674" s="32"/>
      <c r="V674" s="2"/>
      <c r="W674" s="2"/>
      <c r="X674" s="2"/>
      <c r="Y674" s="2"/>
      <c r="Z674" s="2"/>
    </row>
    <row r="675" spans="1:26" ht="13.8" x14ac:dyDescent="0.3">
      <c r="A675" s="2"/>
      <c r="B675" s="2"/>
      <c r="C675" s="10"/>
      <c r="D675" s="10"/>
      <c r="E675" s="10"/>
      <c r="F675" s="10"/>
      <c r="G675" s="69"/>
      <c r="H675" s="69"/>
      <c r="I675" s="69"/>
      <c r="J675" s="70"/>
      <c r="K675" s="69"/>
      <c r="L675" s="32"/>
      <c r="M675" s="69"/>
      <c r="N675" s="69"/>
      <c r="O675" s="69"/>
      <c r="P675" s="2"/>
      <c r="Q675" s="2"/>
      <c r="R675" s="32"/>
      <c r="S675" s="32"/>
      <c r="T675" s="32"/>
      <c r="U675" s="32"/>
      <c r="V675" s="2"/>
      <c r="W675" s="2"/>
      <c r="X675" s="2"/>
      <c r="Y675" s="2"/>
      <c r="Z675" s="2"/>
    </row>
    <row r="676" spans="1:26" ht="13.8" x14ac:dyDescent="0.3">
      <c r="A676" s="2"/>
      <c r="B676" s="2"/>
      <c r="C676" s="10"/>
      <c r="D676" s="10"/>
      <c r="E676" s="10"/>
      <c r="F676" s="10"/>
      <c r="G676" s="69"/>
      <c r="H676" s="69"/>
      <c r="I676" s="69"/>
      <c r="J676" s="70"/>
      <c r="K676" s="69"/>
      <c r="L676" s="32"/>
      <c r="M676" s="69"/>
      <c r="N676" s="69"/>
      <c r="O676" s="69"/>
      <c r="P676" s="2"/>
      <c r="Q676" s="2"/>
      <c r="R676" s="32"/>
      <c r="S676" s="32"/>
      <c r="T676" s="32"/>
      <c r="U676" s="32"/>
      <c r="V676" s="2"/>
      <c r="W676" s="2"/>
      <c r="X676" s="2"/>
      <c r="Y676" s="2"/>
      <c r="Z676" s="2"/>
    </row>
    <row r="677" spans="1:26" ht="13.8" x14ac:dyDescent="0.3">
      <c r="A677" s="2"/>
      <c r="B677" s="2"/>
      <c r="C677" s="10"/>
      <c r="D677" s="10"/>
      <c r="E677" s="10"/>
      <c r="F677" s="10"/>
      <c r="G677" s="69"/>
      <c r="H677" s="69"/>
      <c r="I677" s="69"/>
      <c r="J677" s="70"/>
      <c r="K677" s="69"/>
      <c r="L677" s="32"/>
      <c r="M677" s="69"/>
      <c r="N677" s="69"/>
      <c r="O677" s="69"/>
      <c r="P677" s="2"/>
      <c r="Q677" s="2"/>
      <c r="R677" s="32"/>
      <c r="S677" s="32"/>
      <c r="T677" s="32"/>
      <c r="U677" s="32"/>
      <c r="V677" s="2"/>
      <c r="W677" s="2"/>
      <c r="X677" s="2"/>
      <c r="Y677" s="2"/>
      <c r="Z677" s="2"/>
    </row>
    <row r="678" spans="1:26" ht="13.8" x14ac:dyDescent="0.3">
      <c r="A678" s="2"/>
      <c r="B678" s="2"/>
      <c r="C678" s="10"/>
      <c r="D678" s="10"/>
      <c r="E678" s="10"/>
      <c r="F678" s="10"/>
      <c r="G678" s="69"/>
      <c r="H678" s="69"/>
      <c r="I678" s="69"/>
      <c r="J678" s="70"/>
      <c r="K678" s="69"/>
      <c r="L678" s="32"/>
      <c r="M678" s="69"/>
      <c r="N678" s="69"/>
      <c r="O678" s="69"/>
      <c r="P678" s="2"/>
      <c r="Q678" s="2"/>
      <c r="R678" s="32"/>
      <c r="S678" s="32"/>
      <c r="T678" s="32"/>
      <c r="U678" s="32"/>
      <c r="V678" s="2"/>
      <c r="W678" s="2"/>
      <c r="X678" s="2"/>
      <c r="Y678" s="2"/>
      <c r="Z678" s="2"/>
    </row>
    <row r="679" spans="1:26" ht="13.8" x14ac:dyDescent="0.3">
      <c r="A679" s="2"/>
      <c r="B679" s="2"/>
      <c r="C679" s="10"/>
      <c r="D679" s="10"/>
      <c r="E679" s="10"/>
      <c r="F679" s="10"/>
      <c r="G679" s="69"/>
      <c r="H679" s="69"/>
      <c r="I679" s="69"/>
      <c r="J679" s="70"/>
      <c r="K679" s="69"/>
      <c r="L679" s="32"/>
      <c r="M679" s="69"/>
      <c r="N679" s="69"/>
      <c r="O679" s="69"/>
      <c r="P679" s="2"/>
      <c r="Q679" s="2"/>
      <c r="R679" s="32"/>
      <c r="S679" s="32"/>
      <c r="T679" s="32"/>
      <c r="U679" s="32"/>
      <c r="V679" s="2"/>
      <c r="W679" s="2"/>
      <c r="X679" s="2"/>
      <c r="Y679" s="2"/>
      <c r="Z679" s="2"/>
    </row>
    <row r="680" spans="1:26" ht="13.8" x14ac:dyDescent="0.3">
      <c r="A680" s="2"/>
      <c r="B680" s="2"/>
      <c r="C680" s="10"/>
      <c r="D680" s="10"/>
      <c r="E680" s="10"/>
      <c r="F680" s="10"/>
      <c r="G680" s="69"/>
      <c r="H680" s="69"/>
      <c r="I680" s="69"/>
      <c r="J680" s="70"/>
      <c r="K680" s="69"/>
      <c r="L680" s="32"/>
      <c r="M680" s="69"/>
      <c r="N680" s="69"/>
      <c r="O680" s="69"/>
      <c r="P680" s="2"/>
      <c r="Q680" s="2"/>
      <c r="R680" s="32"/>
      <c r="S680" s="32"/>
      <c r="T680" s="32"/>
      <c r="U680" s="32"/>
      <c r="V680" s="2"/>
      <c r="W680" s="2"/>
      <c r="X680" s="2"/>
      <c r="Y680" s="2"/>
      <c r="Z680" s="2"/>
    </row>
    <row r="681" spans="1:26" ht="13.8" x14ac:dyDescent="0.3">
      <c r="A681" s="2"/>
      <c r="B681" s="2"/>
      <c r="C681" s="10"/>
      <c r="D681" s="10"/>
      <c r="E681" s="10"/>
      <c r="F681" s="10"/>
      <c r="G681" s="69"/>
      <c r="H681" s="69"/>
      <c r="I681" s="69"/>
      <c r="J681" s="70"/>
      <c r="K681" s="69"/>
      <c r="L681" s="32"/>
      <c r="M681" s="69"/>
      <c r="N681" s="69"/>
      <c r="O681" s="69"/>
      <c r="P681" s="2"/>
      <c r="Q681" s="2"/>
      <c r="R681" s="32"/>
      <c r="S681" s="32"/>
      <c r="T681" s="32"/>
      <c r="U681" s="32"/>
      <c r="V681" s="2"/>
      <c r="W681" s="2"/>
      <c r="X681" s="2"/>
      <c r="Y681" s="2"/>
      <c r="Z681" s="2"/>
    </row>
    <row r="682" spans="1:26" ht="13.8" x14ac:dyDescent="0.3">
      <c r="A682" s="2"/>
      <c r="B682" s="2"/>
      <c r="C682" s="10"/>
      <c r="D682" s="10"/>
      <c r="E682" s="10"/>
      <c r="F682" s="10"/>
      <c r="G682" s="69"/>
      <c r="H682" s="69"/>
      <c r="I682" s="69"/>
      <c r="J682" s="70"/>
      <c r="K682" s="69"/>
      <c r="L682" s="32"/>
      <c r="M682" s="69"/>
      <c r="N682" s="69"/>
      <c r="O682" s="69"/>
      <c r="P682" s="2"/>
      <c r="Q682" s="2"/>
      <c r="R682" s="32"/>
      <c r="S682" s="32"/>
      <c r="T682" s="32"/>
      <c r="U682" s="32"/>
      <c r="V682" s="2"/>
      <c r="W682" s="2"/>
      <c r="X682" s="2"/>
      <c r="Y682" s="2"/>
      <c r="Z682" s="2"/>
    </row>
    <row r="683" spans="1:26" ht="13.8" x14ac:dyDescent="0.3">
      <c r="A683" s="2"/>
      <c r="B683" s="2"/>
      <c r="C683" s="10"/>
      <c r="D683" s="10"/>
      <c r="E683" s="10"/>
      <c r="F683" s="10"/>
      <c r="G683" s="69"/>
      <c r="H683" s="69"/>
      <c r="I683" s="69"/>
      <c r="J683" s="70"/>
      <c r="K683" s="69"/>
      <c r="L683" s="32"/>
      <c r="M683" s="69"/>
      <c r="N683" s="69"/>
      <c r="O683" s="69"/>
      <c r="P683" s="2"/>
      <c r="Q683" s="2"/>
      <c r="R683" s="32"/>
      <c r="S683" s="32"/>
      <c r="T683" s="32"/>
      <c r="U683" s="32"/>
      <c r="V683" s="2"/>
      <c r="W683" s="2"/>
      <c r="X683" s="2"/>
      <c r="Y683" s="2"/>
      <c r="Z683" s="2"/>
    </row>
    <row r="684" spans="1:26" ht="13.8" x14ac:dyDescent="0.3">
      <c r="A684" s="2"/>
      <c r="B684" s="2"/>
      <c r="C684" s="10"/>
      <c r="D684" s="10"/>
      <c r="E684" s="10"/>
      <c r="F684" s="10"/>
      <c r="G684" s="69"/>
      <c r="H684" s="69"/>
      <c r="I684" s="69"/>
      <c r="J684" s="70"/>
      <c r="K684" s="69"/>
      <c r="L684" s="32"/>
      <c r="M684" s="69"/>
      <c r="N684" s="69"/>
      <c r="O684" s="69"/>
      <c r="P684" s="2"/>
      <c r="Q684" s="2"/>
      <c r="R684" s="32"/>
      <c r="S684" s="32"/>
      <c r="T684" s="32"/>
      <c r="U684" s="32"/>
      <c r="V684" s="2"/>
      <c r="W684" s="2"/>
      <c r="X684" s="2"/>
      <c r="Y684" s="2"/>
      <c r="Z684" s="2"/>
    </row>
    <row r="685" spans="1:26" ht="13.8" x14ac:dyDescent="0.3">
      <c r="A685" s="2"/>
      <c r="B685" s="2"/>
      <c r="C685" s="10"/>
      <c r="D685" s="10"/>
      <c r="E685" s="10"/>
      <c r="F685" s="10"/>
      <c r="G685" s="69"/>
      <c r="H685" s="69"/>
      <c r="I685" s="69"/>
      <c r="J685" s="70"/>
      <c r="K685" s="69"/>
      <c r="L685" s="32"/>
      <c r="M685" s="69"/>
      <c r="N685" s="69"/>
      <c r="O685" s="69"/>
      <c r="P685" s="2"/>
      <c r="Q685" s="2"/>
      <c r="R685" s="32"/>
      <c r="S685" s="32"/>
      <c r="T685" s="32"/>
      <c r="U685" s="32"/>
      <c r="V685" s="2"/>
      <c r="W685" s="2"/>
      <c r="X685" s="2"/>
      <c r="Y685" s="2"/>
      <c r="Z685" s="2"/>
    </row>
    <row r="686" spans="1:26" ht="13.8" x14ac:dyDescent="0.3">
      <c r="A686" s="2"/>
      <c r="B686" s="2"/>
      <c r="C686" s="10"/>
      <c r="D686" s="10"/>
      <c r="E686" s="10"/>
      <c r="F686" s="10"/>
      <c r="G686" s="69"/>
      <c r="H686" s="69"/>
      <c r="I686" s="69"/>
      <c r="J686" s="70"/>
      <c r="K686" s="69"/>
      <c r="L686" s="32"/>
      <c r="M686" s="69"/>
      <c r="N686" s="69"/>
      <c r="O686" s="69"/>
      <c r="P686" s="2"/>
      <c r="Q686" s="2"/>
      <c r="R686" s="32"/>
      <c r="S686" s="32"/>
      <c r="T686" s="32"/>
      <c r="U686" s="32"/>
      <c r="V686" s="2"/>
      <c r="W686" s="2"/>
      <c r="X686" s="2"/>
      <c r="Y686" s="2"/>
      <c r="Z686" s="2"/>
    </row>
    <row r="687" spans="1:26" ht="13.8" x14ac:dyDescent="0.3">
      <c r="A687" s="2"/>
      <c r="B687" s="2"/>
      <c r="C687" s="10"/>
      <c r="D687" s="10"/>
      <c r="E687" s="10"/>
      <c r="F687" s="10"/>
      <c r="G687" s="69"/>
      <c r="H687" s="69"/>
      <c r="I687" s="69"/>
      <c r="J687" s="70"/>
      <c r="K687" s="69"/>
      <c r="L687" s="32"/>
      <c r="M687" s="69"/>
      <c r="N687" s="69"/>
      <c r="O687" s="69"/>
      <c r="P687" s="2"/>
      <c r="Q687" s="2"/>
      <c r="R687" s="32"/>
      <c r="S687" s="32"/>
      <c r="T687" s="32"/>
      <c r="U687" s="32"/>
      <c r="V687" s="2"/>
      <c r="W687" s="2"/>
      <c r="X687" s="2"/>
      <c r="Y687" s="2"/>
      <c r="Z687" s="2"/>
    </row>
    <row r="688" spans="1:26" ht="13.8" x14ac:dyDescent="0.3">
      <c r="A688" s="2"/>
      <c r="B688" s="2"/>
      <c r="C688" s="10"/>
      <c r="D688" s="10"/>
      <c r="E688" s="10"/>
      <c r="F688" s="10"/>
      <c r="G688" s="69"/>
      <c r="H688" s="69"/>
      <c r="I688" s="69"/>
      <c r="J688" s="70"/>
      <c r="K688" s="69"/>
      <c r="L688" s="32"/>
      <c r="M688" s="69"/>
      <c r="N688" s="69"/>
      <c r="O688" s="69"/>
      <c r="P688" s="2"/>
      <c r="Q688" s="2"/>
      <c r="R688" s="32"/>
      <c r="S688" s="32"/>
      <c r="T688" s="32"/>
      <c r="U688" s="32"/>
      <c r="V688" s="2"/>
      <c r="W688" s="2"/>
      <c r="X688" s="2"/>
      <c r="Y688" s="2"/>
      <c r="Z688" s="2"/>
    </row>
    <row r="689" spans="1:26" ht="13.8" x14ac:dyDescent="0.3">
      <c r="A689" s="2"/>
      <c r="B689" s="2"/>
      <c r="C689" s="10"/>
      <c r="D689" s="10"/>
      <c r="E689" s="10"/>
      <c r="F689" s="10"/>
      <c r="G689" s="69"/>
      <c r="H689" s="69"/>
      <c r="I689" s="69"/>
      <c r="J689" s="70"/>
      <c r="K689" s="69"/>
      <c r="L689" s="32"/>
      <c r="M689" s="69"/>
      <c r="N689" s="69"/>
      <c r="O689" s="69"/>
      <c r="P689" s="2"/>
      <c r="Q689" s="2"/>
      <c r="R689" s="32"/>
      <c r="S689" s="32"/>
      <c r="T689" s="32"/>
      <c r="U689" s="32"/>
      <c r="V689" s="2"/>
      <c r="W689" s="2"/>
      <c r="X689" s="2"/>
      <c r="Y689" s="2"/>
      <c r="Z689" s="2"/>
    </row>
    <row r="690" spans="1:26" ht="13.8" x14ac:dyDescent="0.3">
      <c r="A690" s="2"/>
      <c r="B690" s="2"/>
      <c r="C690" s="10"/>
      <c r="D690" s="10"/>
      <c r="E690" s="10"/>
      <c r="F690" s="10"/>
      <c r="G690" s="69"/>
      <c r="H690" s="69"/>
      <c r="I690" s="69"/>
      <c r="J690" s="70"/>
      <c r="K690" s="69"/>
      <c r="L690" s="32"/>
      <c r="M690" s="69"/>
      <c r="N690" s="69"/>
      <c r="O690" s="69"/>
      <c r="P690" s="2"/>
      <c r="Q690" s="2"/>
      <c r="R690" s="32"/>
      <c r="S690" s="32"/>
      <c r="T690" s="32"/>
      <c r="U690" s="32"/>
      <c r="V690" s="2"/>
      <c r="W690" s="2"/>
      <c r="X690" s="2"/>
      <c r="Y690" s="2"/>
      <c r="Z690" s="2"/>
    </row>
    <row r="691" spans="1:26" ht="13.8" x14ac:dyDescent="0.3">
      <c r="A691" s="2"/>
      <c r="B691" s="2"/>
      <c r="C691" s="10"/>
      <c r="D691" s="10"/>
      <c r="E691" s="10"/>
      <c r="F691" s="10"/>
      <c r="G691" s="69"/>
      <c r="H691" s="69"/>
      <c r="I691" s="69"/>
      <c r="J691" s="70"/>
      <c r="K691" s="69"/>
      <c r="L691" s="32"/>
      <c r="M691" s="69"/>
      <c r="N691" s="69"/>
      <c r="O691" s="69"/>
      <c r="P691" s="2"/>
      <c r="Q691" s="2"/>
      <c r="R691" s="32"/>
      <c r="S691" s="32"/>
      <c r="T691" s="32"/>
      <c r="U691" s="32"/>
      <c r="V691" s="2"/>
      <c r="W691" s="2"/>
      <c r="X691" s="2"/>
      <c r="Y691" s="2"/>
      <c r="Z691" s="2"/>
    </row>
    <row r="692" spans="1:26" ht="13.8" x14ac:dyDescent="0.3">
      <c r="A692" s="2"/>
      <c r="B692" s="2"/>
      <c r="C692" s="10"/>
      <c r="D692" s="10"/>
      <c r="E692" s="10"/>
      <c r="F692" s="10"/>
      <c r="G692" s="69"/>
      <c r="H692" s="69"/>
      <c r="I692" s="69"/>
      <c r="J692" s="70"/>
      <c r="K692" s="69"/>
      <c r="L692" s="32"/>
      <c r="M692" s="69"/>
      <c r="N692" s="69"/>
      <c r="O692" s="69"/>
      <c r="P692" s="2"/>
      <c r="Q692" s="2"/>
      <c r="R692" s="32"/>
      <c r="S692" s="32"/>
      <c r="T692" s="32"/>
      <c r="U692" s="32"/>
      <c r="V692" s="2"/>
      <c r="W692" s="2"/>
      <c r="X692" s="2"/>
      <c r="Y692" s="2"/>
      <c r="Z692" s="2"/>
    </row>
    <row r="693" spans="1:26" ht="13.8" x14ac:dyDescent="0.3">
      <c r="A693" s="2"/>
      <c r="B693" s="2"/>
      <c r="C693" s="10"/>
      <c r="D693" s="10"/>
      <c r="E693" s="10"/>
      <c r="F693" s="10"/>
      <c r="G693" s="69"/>
      <c r="H693" s="69"/>
      <c r="I693" s="69"/>
      <c r="J693" s="70"/>
      <c r="K693" s="69"/>
      <c r="L693" s="32"/>
      <c r="M693" s="69"/>
      <c r="N693" s="69"/>
      <c r="O693" s="69"/>
      <c r="P693" s="2"/>
      <c r="Q693" s="2"/>
      <c r="R693" s="32"/>
      <c r="S693" s="32"/>
      <c r="T693" s="32"/>
      <c r="U693" s="32"/>
      <c r="V693" s="2"/>
      <c r="W693" s="2"/>
      <c r="X693" s="2"/>
      <c r="Y693" s="2"/>
      <c r="Z693" s="2"/>
    </row>
    <row r="694" spans="1:26" ht="13.8" x14ac:dyDescent="0.3">
      <c r="A694" s="2"/>
      <c r="B694" s="2"/>
      <c r="C694" s="10"/>
      <c r="D694" s="10"/>
      <c r="E694" s="10"/>
      <c r="F694" s="10"/>
      <c r="G694" s="69"/>
      <c r="H694" s="69"/>
      <c r="I694" s="69"/>
      <c r="J694" s="70"/>
      <c r="K694" s="69"/>
      <c r="L694" s="32"/>
      <c r="M694" s="69"/>
      <c r="N694" s="69"/>
      <c r="O694" s="69"/>
      <c r="P694" s="2"/>
      <c r="Q694" s="2"/>
      <c r="R694" s="32"/>
      <c r="S694" s="32"/>
      <c r="T694" s="32"/>
      <c r="U694" s="32"/>
      <c r="V694" s="2"/>
      <c r="W694" s="2"/>
      <c r="X694" s="2"/>
      <c r="Y694" s="2"/>
      <c r="Z694" s="2"/>
    </row>
    <row r="695" spans="1:26" ht="13.8" x14ac:dyDescent="0.3">
      <c r="A695" s="2"/>
      <c r="B695" s="2"/>
      <c r="C695" s="10"/>
      <c r="D695" s="10"/>
      <c r="E695" s="10"/>
      <c r="F695" s="10"/>
      <c r="G695" s="69"/>
      <c r="H695" s="69"/>
      <c r="I695" s="69"/>
      <c r="J695" s="70"/>
      <c r="K695" s="69"/>
      <c r="L695" s="32"/>
      <c r="M695" s="69"/>
      <c r="N695" s="69"/>
      <c r="O695" s="69"/>
      <c r="P695" s="2"/>
      <c r="Q695" s="2"/>
      <c r="R695" s="32"/>
      <c r="S695" s="32"/>
      <c r="T695" s="32"/>
      <c r="U695" s="32"/>
      <c r="V695" s="2"/>
      <c r="W695" s="2"/>
      <c r="X695" s="2"/>
      <c r="Y695" s="2"/>
      <c r="Z695" s="2"/>
    </row>
    <row r="696" spans="1:26" ht="13.8" x14ac:dyDescent="0.3">
      <c r="A696" s="2"/>
      <c r="B696" s="2"/>
      <c r="C696" s="10"/>
      <c r="D696" s="10"/>
      <c r="E696" s="10"/>
      <c r="F696" s="10"/>
      <c r="G696" s="69"/>
      <c r="H696" s="69"/>
      <c r="I696" s="69"/>
      <c r="J696" s="70"/>
      <c r="K696" s="69"/>
      <c r="L696" s="32"/>
      <c r="M696" s="69"/>
      <c r="N696" s="69"/>
      <c r="O696" s="69"/>
      <c r="P696" s="2"/>
      <c r="Q696" s="2"/>
      <c r="R696" s="32"/>
      <c r="S696" s="32"/>
      <c r="T696" s="32"/>
      <c r="U696" s="32"/>
      <c r="V696" s="2"/>
      <c r="W696" s="2"/>
      <c r="X696" s="2"/>
      <c r="Y696" s="2"/>
      <c r="Z696" s="2"/>
    </row>
    <row r="697" spans="1:26" ht="13.8" x14ac:dyDescent="0.3">
      <c r="A697" s="2"/>
      <c r="B697" s="2"/>
      <c r="C697" s="10"/>
      <c r="D697" s="10"/>
      <c r="E697" s="10"/>
      <c r="F697" s="10"/>
      <c r="G697" s="69"/>
      <c r="H697" s="69"/>
      <c r="I697" s="69"/>
      <c r="J697" s="70"/>
      <c r="K697" s="69"/>
      <c r="L697" s="32"/>
      <c r="M697" s="69"/>
      <c r="N697" s="69"/>
      <c r="O697" s="69"/>
      <c r="P697" s="2"/>
      <c r="Q697" s="2"/>
      <c r="R697" s="32"/>
      <c r="S697" s="32"/>
      <c r="T697" s="32"/>
      <c r="U697" s="32"/>
      <c r="V697" s="2"/>
      <c r="W697" s="2"/>
      <c r="X697" s="2"/>
      <c r="Y697" s="2"/>
      <c r="Z697" s="2"/>
    </row>
    <row r="698" spans="1:26" ht="13.8" x14ac:dyDescent="0.3">
      <c r="A698" s="2"/>
      <c r="B698" s="2"/>
      <c r="C698" s="10"/>
      <c r="D698" s="10"/>
      <c r="E698" s="10"/>
      <c r="F698" s="10"/>
      <c r="G698" s="69"/>
      <c r="H698" s="69"/>
      <c r="I698" s="69"/>
      <c r="J698" s="70"/>
      <c r="K698" s="69"/>
      <c r="L698" s="32"/>
      <c r="M698" s="69"/>
      <c r="N698" s="69"/>
      <c r="O698" s="69"/>
      <c r="P698" s="2"/>
      <c r="Q698" s="2"/>
      <c r="R698" s="32"/>
      <c r="S698" s="32"/>
      <c r="T698" s="32"/>
      <c r="U698" s="32"/>
      <c r="V698" s="2"/>
      <c r="W698" s="2"/>
      <c r="X698" s="2"/>
      <c r="Y698" s="2"/>
      <c r="Z698" s="2"/>
    </row>
    <row r="699" spans="1:26" ht="13.8" x14ac:dyDescent="0.3">
      <c r="A699" s="2"/>
      <c r="B699" s="2"/>
      <c r="C699" s="10"/>
      <c r="D699" s="10"/>
      <c r="E699" s="10"/>
      <c r="F699" s="10"/>
      <c r="G699" s="69"/>
      <c r="H699" s="69"/>
      <c r="I699" s="69"/>
      <c r="J699" s="70"/>
      <c r="K699" s="69"/>
      <c r="L699" s="32"/>
      <c r="M699" s="69"/>
      <c r="N699" s="69"/>
      <c r="O699" s="69"/>
      <c r="P699" s="2"/>
      <c r="Q699" s="2"/>
      <c r="R699" s="32"/>
      <c r="S699" s="32"/>
      <c r="T699" s="32"/>
      <c r="U699" s="32"/>
      <c r="V699" s="2"/>
      <c r="W699" s="2"/>
      <c r="X699" s="2"/>
      <c r="Y699" s="2"/>
      <c r="Z699" s="2"/>
    </row>
    <row r="700" spans="1:26" ht="13.8" x14ac:dyDescent="0.3">
      <c r="A700" s="2"/>
      <c r="B700" s="2"/>
      <c r="C700" s="10"/>
      <c r="D700" s="10"/>
      <c r="E700" s="10"/>
      <c r="F700" s="10"/>
      <c r="G700" s="69"/>
      <c r="H700" s="69"/>
      <c r="I700" s="69"/>
      <c r="J700" s="70"/>
      <c r="K700" s="69"/>
      <c r="L700" s="32"/>
      <c r="M700" s="69"/>
      <c r="N700" s="69"/>
      <c r="O700" s="69"/>
      <c r="P700" s="2"/>
      <c r="Q700" s="2"/>
      <c r="R700" s="32"/>
      <c r="S700" s="32"/>
      <c r="T700" s="32"/>
      <c r="U700" s="32"/>
      <c r="V700" s="2"/>
      <c r="W700" s="2"/>
      <c r="X700" s="2"/>
      <c r="Y700" s="2"/>
      <c r="Z700" s="2"/>
    </row>
    <row r="701" spans="1:26" ht="13.8" x14ac:dyDescent="0.3">
      <c r="A701" s="2"/>
      <c r="B701" s="2"/>
      <c r="C701" s="10"/>
      <c r="D701" s="10"/>
      <c r="E701" s="10"/>
      <c r="F701" s="10"/>
      <c r="G701" s="69"/>
      <c r="H701" s="69"/>
      <c r="I701" s="69"/>
      <c r="J701" s="70"/>
      <c r="K701" s="69"/>
      <c r="L701" s="32"/>
      <c r="M701" s="69"/>
      <c r="N701" s="69"/>
      <c r="O701" s="69"/>
      <c r="P701" s="2"/>
      <c r="Q701" s="2"/>
      <c r="R701" s="32"/>
      <c r="S701" s="32"/>
      <c r="T701" s="32"/>
      <c r="U701" s="32"/>
      <c r="V701" s="2"/>
      <c r="W701" s="2"/>
      <c r="X701" s="2"/>
      <c r="Y701" s="2"/>
      <c r="Z701" s="2"/>
    </row>
    <row r="702" spans="1:26" ht="13.8" x14ac:dyDescent="0.3">
      <c r="A702" s="2"/>
      <c r="B702" s="2"/>
      <c r="C702" s="10"/>
      <c r="D702" s="10"/>
      <c r="E702" s="10"/>
      <c r="F702" s="10"/>
      <c r="G702" s="69"/>
      <c r="H702" s="69"/>
      <c r="I702" s="69"/>
      <c r="J702" s="70"/>
      <c r="K702" s="69"/>
      <c r="L702" s="32"/>
      <c r="M702" s="69"/>
      <c r="N702" s="69"/>
      <c r="O702" s="69"/>
      <c r="P702" s="2"/>
      <c r="Q702" s="2"/>
      <c r="R702" s="32"/>
      <c r="S702" s="32"/>
      <c r="T702" s="32"/>
      <c r="U702" s="32"/>
      <c r="V702" s="2"/>
      <c r="W702" s="2"/>
      <c r="X702" s="2"/>
      <c r="Y702" s="2"/>
      <c r="Z702" s="2"/>
    </row>
    <row r="703" spans="1:26" ht="13.8" x14ac:dyDescent="0.3">
      <c r="A703" s="2"/>
      <c r="B703" s="2"/>
      <c r="C703" s="10"/>
      <c r="D703" s="10"/>
      <c r="E703" s="10"/>
      <c r="F703" s="10"/>
      <c r="G703" s="69"/>
      <c r="H703" s="69"/>
      <c r="I703" s="69"/>
      <c r="J703" s="70"/>
      <c r="K703" s="69"/>
      <c r="L703" s="32"/>
      <c r="M703" s="69"/>
      <c r="N703" s="69"/>
      <c r="O703" s="69"/>
      <c r="P703" s="2"/>
      <c r="Q703" s="2"/>
      <c r="R703" s="32"/>
      <c r="S703" s="32"/>
      <c r="T703" s="32"/>
      <c r="U703" s="32"/>
      <c r="V703" s="2"/>
      <c r="W703" s="2"/>
      <c r="X703" s="2"/>
      <c r="Y703" s="2"/>
      <c r="Z703" s="2"/>
    </row>
    <row r="704" spans="1:26" ht="13.8" x14ac:dyDescent="0.3">
      <c r="A704" s="2"/>
      <c r="B704" s="2"/>
      <c r="C704" s="10"/>
      <c r="D704" s="10"/>
      <c r="E704" s="10"/>
      <c r="F704" s="10"/>
      <c r="G704" s="69"/>
      <c r="H704" s="69"/>
      <c r="I704" s="69"/>
      <c r="J704" s="70"/>
      <c r="K704" s="69"/>
      <c r="L704" s="32"/>
      <c r="M704" s="69"/>
      <c r="N704" s="69"/>
      <c r="O704" s="69"/>
      <c r="P704" s="2"/>
      <c r="Q704" s="2"/>
      <c r="R704" s="32"/>
      <c r="S704" s="32"/>
      <c r="T704" s="32"/>
      <c r="U704" s="32"/>
      <c r="V704" s="2"/>
      <c r="W704" s="2"/>
      <c r="X704" s="2"/>
      <c r="Y704" s="2"/>
      <c r="Z704" s="2"/>
    </row>
    <row r="705" spans="1:26" ht="13.8" x14ac:dyDescent="0.3">
      <c r="A705" s="2"/>
      <c r="B705" s="2"/>
      <c r="C705" s="10"/>
      <c r="D705" s="10"/>
      <c r="E705" s="10"/>
      <c r="F705" s="10"/>
      <c r="G705" s="69"/>
      <c r="H705" s="69"/>
      <c r="I705" s="69"/>
      <c r="J705" s="70"/>
      <c r="K705" s="69"/>
      <c r="L705" s="32"/>
      <c r="M705" s="69"/>
      <c r="N705" s="69"/>
      <c r="O705" s="69"/>
      <c r="P705" s="2"/>
      <c r="Q705" s="2"/>
      <c r="R705" s="32"/>
      <c r="S705" s="32"/>
      <c r="T705" s="32"/>
      <c r="U705" s="32"/>
      <c r="V705" s="2"/>
      <c r="W705" s="2"/>
      <c r="X705" s="2"/>
      <c r="Y705" s="2"/>
      <c r="Z705" s="2"/>
    </row>
    <row r="706" spans="1:26" ht="13.8" x14ac:dyDescent="0.3">
      <c r="A706" s="2"/>
      <c r="B706" s="2"/>
      <c r="C706" s="10"/>
      <c r="D706" s="10"/>
      <c r="E706" s="10"/>
      <c r="F706" s="10"/>
      <c r="G706" s="69"/>
      <c r="H706" s="69"/>
      <c r="I706" s="69"/>
      <c r="J706" s="70"/>
      <c r="K706" s="69"/>
      <c r="L706" s="32"/>
      <c r="M706" s="69"/>
      <c r="N706" s="69"/>
      <c r="O706" s="69"/>
      <c r="P706" s="2"/>
      <c r="Q706" s="2"/>
      <c r="R706" s="32"/>
      <c r="S706" s="32"/>
      <c r="T706" s="32"/>
      <c r="U706" s="32"/>
      <c r="V706" s="2"/>
      <c r="W706" s="2"/>
      <c r="X706" s="2"/>
      <c r="Y706" s="2"/>
      <c r="Z706" s="2"/>
    </row>
    <row r="707" spans="1:26" ht="13.8" x14ac:dyDescent="0.3">
      <c r="A707" s="2"/>
      <c r="B707" s="2"/>
      <c r="C707" s="10"/>
      <c r="D707" s="10"/>
      <c r="E707" s="10"/>
      <c r="F707" s="10"/>
      <c r="G707" s="69"/>
      <c r="H707" s="69"/>
      <c r="I707" s="69"/>
      <c r="J707" s="70"/>
      <c r="K707" s="69"/>
      <c r="L707" s="32"/>
      <c r="M707" s="69"/>
      <c r="N707" s="69"/>
      <c r="O707" s="69"/>
      <c r="P707" s="2"/>
      <c r="Q707" s="2"/>
      <c r="R707" s="32"/>
      <c r="S707" s="32"/>
      <c r="T707" s="32"/>
      <c r="U707" s="32"/>
      <c r="V707" s="2"/>
      <c r="W707" s="2"/>
      <c r="X707" s="2"/>
      <c r="Y707" s="2"/>
      <c r="Z707" s="2"/>
    </row>
    <row r="708" spans="1:26" ht="13.8" x14ac:dyDescent="0.3">
      <c r="A708" s="2"/>
      <c r="B708" s="2"/>
      <c r="C708" s="10"/>
      <c r="D708" s="10"/>
      <c r="E708" s="10"/>
      <c r="F708" s="10"/>
      <c r="G708" s="69"/>
      <c r="H708" s="69"/>
      <c r="I708" s="69"/>
      <c r="J708" s="70"/>
      <c r="K708" s="69"/>
      <c r="L708" s="32"/>
      <c r="M708" s="69"/>
      <c r="N708" s="69"/>
      <c r="O708" s="69"/>
      <c r="P708" s="2"/>
      <c r="Q708" s="2"/>
      <c r="R708" s="32"/>
      <c r="S708" s="32"/>
      <c r="T708" s="32"/>
      <c r="U708" s="32"/>
      <c r="V708" s="2"/>
      <c r="W708" s="2"/>
      <c r="X708" s="2"/>
      <c r="Y708" s="2"/>
      <c r="Z708" s="2"/>
    </row>
    <row r="709" spans="1:26" ht="13.8" x14ac:dyDescent="0.3">
      <c r="A709" s="2"/>
      <c r="B709" s="2"/>
      <c r="C709" s="10"/>
      <c r="D709" s="10"/>
      <c r="E709" s="10"/>
      <c r="F709" s="10"/>
      <c r="G709" s="69"/>
      <c r="H709" s="69"/>
      <c r="I709" s="69"/>
      <c r="J709" s="70"/>
      <c r="K709" s="69"/>
      <c r="L709" s="32"/>
      <c r="M709" s="69"/>
      <c r="N709" s="69"/>
      <c r="O709" s="69"/>
      <c r="P709" s="2"/>
      <c r="Q709" s="2"/>
      <c r="R709" s="32"/>
      <c r="S709" s="32"/>
      <c r="T709" s="32"/>
      <c r="U709" s="32"/>
      <c r="V709" s="2"/>
      <c r="W709" s="2"/>
      <c r="X709" s="2"/>
      <c r="Y709" s="2"/>
      <c r="Z709" s="2"/>
    </row>
    <row r="710" spans="1:26" ht="13.8" x14ac:dyDescent="0.3">
      <c r="A710" s="2"/>
      <c r="B710" s="2"/>
      <c r="C710" s="10"/>
      <c r="D710" s="10"/>
      <c r="E710" s="10"/>
      <c r="F710" s="10"/>
      <c r="G710" s="69"/>
      <c r="H710" s="69"/>
      <c r="I710" s="69"/>
      <c r="J710" s="70"/>
      <c r="K710" s="69"/>
      <c r="L710" s="32"/>
      <c r="M710" s="69"/>
      <c r="N710" s="69"/>
      <c r="O710" s="69"/>
      <c r="P710" s="2"/>
      <c r="Q710" s="2"/>
      <c r="R710" s="32"/>
      <c r="S710" s="32"/>
      <c r="T710" s="32"/>
      <c r="U710" s="32"/>
      <c r="V710" s="2"/>
      <c r="W710" s="2"/>
      <c r="X710" s="2"/>
      <c r="Y710" s="2"/>
      <c r="Z710" s="2"/>
    </row>
    <row r="711" spans="1:26" ht="13.8" x14ac:dyDescent="0.3">
      <c r="A711" s="2"/>
      <c r="B711" s="2"/>
      <c r="C711" s="10"/>
      <c r="D711" s="10"/>
      <c r="E711" s="10"/>
      <c r="F711" s="10"/>
      <c r="G711" s="69"/>
      <c r="H711" s="69"/>
      <c r="I711" s="69"/>
      <c r="J711" s="70"/>
      <c r="K711" s="69"/>
      <c r="L711" s="32"/>
      <c r="M711" s="69"/>
      <c r="N711" s="69"/>
      <c r="O711" s="69"/>
      <c r="P711" s="2"/>
      <c r="Q711" s="2"/>
      <c r="R711" s="32"/>
      <c r="S711" s="32"/>
      <c r="T711" s="32"/>
      <c r="U711" s="32"/>
      <c r="V711" s="2"/>
      <c r="W711" s="2"/>
      <c r="X711" s="2"/>
      <c r="Y711" s="2"/>
      <c r="Z711" s="2"/>
    </row>
    <row r="712" spans="1:26" ht="13.8" x14ac:dyDescent="0.3">
      <c r="A712" s="2"/>
      <c r="B712" s="2"/>
      <c r="C712" s="10"/>
      <c r="D712" s="10"/>
      <c r="E712" s="10"/>
      <c r="F712" s="10"/>
      <c r="G712" s="69"/>
      <c r="H712" s="69"/>
      <c r="I712" s="69"/>
      <c r="J712" s="70"/>
      <c r="K712" s="69"/>
      <c r="L712" s="32"/>
      <c r="M712" s="69"/>
      <c r="N712" s="69"/>
      <c r="O712" s="69"/>
      <c r="P712" s="2"/>
      <c r="Q712" s="2"/>
      <c r="R712" s="32"/>
      <c r="S712" s="32"/>
      <c r="T712" s="32"/>
      <c r="U712" s="32"/>
      <c r="V712" s="2"/>
      <c r="W712" s="2"/>
      <c r="X712" s="2"/>
      <c r="Y712" s="2"/>
      <c r="Z712" s="2"/>
    </row>
    <row r="713" spans="1:26" ht="13.8" x14ac:dyDescent="0.3">
      <c r="A713" s="2"/>
      <c r="B713" s="2"/>
      <c r="C713" s="10"/>
      <c r="D713" s="10"/>
      <c r="E713" s="10"/>
      <c r="F713" s="10"/>
      <c r="G713" s="69"/>
      <c r="H713" s="69"/>
      <c r="I713" s="69"/>
      <c r="J713" s="70"/>
      <c r="K713" s="69"/>
      <c r="L713" s="32"/>
      <c r="M713" s="69"/>
      <c r="N713" s="69"/>
      <c r="O713" s="69"/>
      <c r="P713" s="2"/>
      <c r="Q713" s="2"/>
      <c r="R713" s="32"/>
      <c r="S713" s="32"/>
      <c r="T713" s="32"/>
      <c r="U713" s="32"/>
      <c r="V713" s="2"/>
      <c r="W713" s="2"/>
      <c r="X713" s="2"/>
      <c r="Y713" s="2"/>
      <c r="Z713" s="2"/>
    </row>
    <row r="714" spans="1:26" ht="13.8" x14ac:dyDescent="0.3">
      <c r="A714" s="2"/>
      <c r="B714" s="2"/>
      <c r="C714" s="10"/>
      <c r="D714" s="10"/>
      <c r="E714" s="10"/>
      <c r="F714" s="10"/>
      <c r="G714" s="69"/>
      <c r="H714" s="69"/>
      <c r="I714" s="69"/>
      <c r="J714" s="70"/>
      <c r="K714" s="69"/>
      <c r="L714" s="32"/>
      <c r="M714" s="69"/>
      <c r="N714" s="69"/>
      <c r="O714" s="69"/>
      <c r="P714" s="2"/>
      <c r="Q714" s="2"/>
      <c r="R714" s="32"/>
      <c r="S714" s="32"/>
      <c r="T714" s="32"/>
      <c r="U714" s="32"/>
      <c r="V714" s="2"/>
      <c r="W714" s="2"/>
      <c r="X714" s="2"/>
      <c r="Y714" s="2"/>
      <c r="Z714" s="2"/>
    </row>
    <row r="715" spans="1:26" ht="13.8" x14ac:dyDescent="0.3">
      <c r="A715" s="2"/>
      <c r="B715" s="2"/>
      <c r="C715" s="10"/>
      <c r="D715" s="10"/>
      <c r="E715" s="10"/>
      <c r="F715" s="10"/>
      <c r="G715" s="69"/>
      <c r="H715" s="69"/>
      <c r="I715" s="69"/>
      <c r="J715" s="70"/>
      <c r="K715" s="69"/>
      <c r="L715" s="32"/>
      <c r="M715" s="69"/>
      <c r="N715" s="69"/>
      <c r="O715" s="69"/>
      <c r="P715" s="2"/>
      <c r="Q715" s="2"/>
      <c r="R715" s="32"/>
      <c r="S715" s="32"/>
      <c r="T715" s="32"/>
      <c r="U715" s="32"/>
      <c r="V715" s="2"/>
      <c r="W715" s="2"/>
      <c r="X715" s="2"/>
      <c r="Y715" s="2"/>
      <c r="Z715" s="2"/>
    </row>
    <row r="716" spans="1:26" ht="13.8" x14ac:dyDescent="0.3">
      <c r="A716" s="2"/>
      <c r="B716" s="2"/>
      <c r="C716" s="10"/>
      <c r="D716" s="10"/>
      <c r="E716" s="10"/>
      <c r="F716" s="10"/>
      <c r="G716" s="69"/>
      <c r="H716" s="69"/>
      <c r="I716" s="69"/>
      <c r="J716" s="70"/>
      <c r="K716" s="69"/>
      <c r="L716" s="32"/>
      <c r="M716" s="69"/>
      <c r="N716" s="69"/>
      <c r="O716" s="69"/>
      <c r="P716" s="2"/>
      <c r="Q716" s="2"/>
      <c r="R716" s="32"/>
      <c r="S716" s="32"/>
      <c r="T716" s="32"/>
      <c r="U716" s="32"/>
      <c r="V716" s="2"/>
      <c r="W716" s="2"/>
      <c r="X716" s="2"/>
      <c r="Y716" s="2"/>
      <c r="Z716" s="2"/>
    </row>
    <row r="717" spans="1:26" ht="13.8" x14ac:dyDescent="0.3">
      <c r="A717" s="2"/>
      <c r="B717" s="2"/>
      <c r="C717" s="10"/>
      <c r="D717" s="10"/>
      <c r="E717" s="10"/>
      <c r="F717" s="10"/>
      <c r="G717" s="69"/>
      <c r="H717" s="69"/>
      <c r="I717" s="69"/>
      <c r="J717" s="70"/>
      <c r="K717" s="69"/>
      <c r="L717" s="32"/>
      <c r="M717" s="69"/>
      <c r="N717" s="69"/>
      <c r="O717" s="69"/>
      <c r="P717" s="2"/>
      <c r="Q717" s="2"/>
      <c r="R717" s="32"/>
      <c r="S717" s="32"/>
      <c r="T717" s="32"/>
      <c r="U717" s="32"/>
      <c r="V717" s="2"/>
      <c r="W717" s="2"/>
      <c r="X717" s="2"/>
      <c r="Y717" s="2"/>
      <c r="Z717" s="2"/>
    </row>
    <row r="718" spans="1:26" ht="13.8" x14ac:dyDescent="0.3">
      <c r="A718" s="2"/>
      <c r="B718" s="2"/>
      <c r="C718" s="10"/>
      <c r="D718" s="10"/>
      <c r="E718" s="10"/>
      <c r="F718" s="10"/>
      <c r="G718" s="69"/>
      <c r="H718" s="69"/>
      <c r="I718" s="69"/>
      <c r="J718" s="70"/>
      <c r="K718" s="69"/>
      <c r="L718" s="32"/>
      <c r="M718" s="69"/>
      <c r="N718" s="69"/>
      <c r="O718" s="69"/>
      <c r="P718" s="2"/>
      <c r="Q718" s="2"/>
      <c r="R718" s="32"/>
      <c r="S718" s="32"/>
      <c r="T718" s="32"/>
      <c r="U718" s="32"/>
      <c r="V718" s="2"/>
      <c r="W718" s="2"/>
      <c r="X718" s="2"/>
      <c r="Y718" s="2"/>
      <c r="Z718" s="2"/>
    </row>
    <row r="719" spans="1:26" ht="13.8" x14ac:dyDescent="0.3">
      <c r="A719" s="2"/>
      <c r="B719" s="2"/>
      <c r="C719" s="10"/>
      <c r="D719" s="10"/>
      <c r="E719" s="10"/>
      <c r="F719" s="10"/>
      <c r="G719" s="69"/>
      <c r="H719" s="69"/>
      <c r="I719" s="69"/>
      <c r="J719" s="70"/>
      <c r="K719" s="69"/>
      <c r="L719" s="32"/>
      <c r="M719" s="69"/>
      <c r="N719" s="69"/>
      <c r="O719" s="69"/>
      <c r="P719" s="2"/>
      <c r="Q719" s="2"/>
      <c r="R719" s="32"/>
      <c r="S719" s="32"/>
      <c r="T719" s="32"/>
      <c r="U719" s="32"/>
      <c r="V719" s="2"/>
      <c r="W719" s="2"/>
      <c r="X719" s="2"/>
      <c r="Y719" s="2"/>
      <c r="Z719" s="2"/>
    </row>
    <row r="720" spans="1:26" ht="13.8" x14ac:dyDescent="0.3">
      <c r="A720" s="2"/>
      <c r="B720" s="2"/>
      <c r="C720" s="10"/>
      <c r="D720" s="10"/>
      <c r="E720" s="10"/>
      <c r="F720" s="10"/>
      <c r="G720" s="69"/>
      <c r="H720" s="69"/>
      <c r="I720" s="69"/>
      <c r="J720" s="70"/>
      <c r="K720" s="69"/>
      <c r="L720" s="32"/>
      <c r="M720" s="69"/>
      <c r="N720" s="69"/>
      <c r="O720" s="69"/>
      <c r="P720" s="2"/>
      <c r="Q720" s="2"/>
      <c r="R720" s="32"/>
      <c r="S720" s="32"/>
      <c r="T720" s="32"/>
      <c r="U720" s="32"/>
      <c r="V720" s="2"/>
      <c r="W720" s="2"/>
      <c r="X720" s="2"/>
      <c r="Y720" s="2"/>
      <c r="Z720" s="2"/>
    </row>
    <row r="721" spans="1:26" ht="13.8" x14ac:dyDescent="0.3">
      <c r="A721" s="2"/>
      <c r="B721" s="2"/>
      <c r="C721" s="10"/>
      <c r="D721" s="10"/>
      <c r="E721" s="10"/>
      <c r="F721" s="10"/>
      <c r="G721" s="69"/>
      <c r="H721" s="69"/>
      <c r="I721" s="69"/>
      <c r="J721" s="70"/>
      <c r="K721" s="69"/>
      <c r="L721" s="32"/>
      <c r="M721" s="69"/>
      <c r="N721" s="69"/>
      <c r="O721" s="69"/>
      <c r="P721" s="2"/>
      <c r="Q721" s="2"/>
      <c r="R721" s="32"/>
      <c r="S721" s="32"/>
      <c r="T721" s="32"/>
      <c r="U721" s="32"/>
      <c r="V721" s="2"/>
      <c r="W721" s="2"/>
      <c r="X721" s="2"/>
      <c r="Y721" s="2"/>
      <c r="Z721" s="2"/>
    </row>
    <row r="722" spans="1:26" ht="13.8" x14ac:dyDescent="0.3">
      <c r="A722" s="2"/>
      <c r="B722" s="2"/>
      <c r="C722" s="10"/>
      <c r="D722" s="10"/>
      <c r="E722" s="10"/>
      <c r="F722" s="10"/>
      <c r="G722" s="69"/>
      <c r="H722" s="69"/>
      <c r="I722" s="69"/>
      <c r="J722" s="70"/>
      <c r="K722" s="69"/>
      <c r="L722" s="32"/>
      <c r="M722" s="69"/>
      <c r="N722" s="69"/>
      <c r="O722" s="69"/>
      <c r="P722" s="2"/>
      <c r="Q722" s="2"/>
      <c r="R722" s="32"/>
      <c r="S722" s="32"/>
      <c r="T722" s="32"/>
      <c r="U722" s="32"/>
      <c r="V722" s="2"/>
      <c r="W722" s="2"/>
      <c r="X722" s="2"/>
      <c r="Y722" s="2"/>
      <c r="Z722" s="2"/>
    </row>
    <row r="723" spans="1:26" ht="13.8" x14ac:dyDescent="0.3">
      <c r="A723" s="2"/>
      <c r="B723" s="2"/>
      <c r="C723" s="10"/>
      <c r="D723" s="10"/>
      <c r="E723" s="10"/>
      <c r="F723" s="10"/>
      <c r="G723" s="69"/>
      <c r="H723" s="69"/>
      <c r="I723" s="69"/>
      <c r="J723" s="70"/>
      <c r="K723" s="69"/>
      <c r="L723" s="32"/>
      <c r="M723" s="69"/>
      <c r="N723" s="69"/>
      <c r="O723" s="69"/>
      <c r="P723" s="2"/>
      <c r="Q723" s="2"/>
      <c r="R723" s="32"/>
      <c r="S723" s="32"/>
      <c r="T723" s="32"/>
      <c r="U723" s="32"/>
      <c r="V723" s="2"/>
      <c r="W723" s="2"/>
      <c r="X723" s="2"/>
      <c r="Y723" s="2"/>
      <c r="Z723" s="2"/>
    </row>
    <row r="724" spans="1:26" ht="13.8" x14ac:dyDescent="0.3">
      <c r="A724" s="2"/>
      <c r="B724" s="2"/>
      <c r="C724" s="10"/>
      <c r="D724" s="10"/>
      <c r="E724" s="10"/>
      <c r="F724" s="10"/>
      <c r="G724" s="69"/>
      <c r="H724" s="69"/>
      <c r="I724" s="69"/>
      <c r="J724" s="70"/>
      <c r="K724" s="69"/>
      <c r="L724" s="32"/>
      <c r="M724" s="69"/>
      <c r="N724" s="69"/>
      <c r="O724" s="69"/>
      <c r="P724" s="2"/>
      <c r="Q724" s="2"/>
      <c r="R724" s="32"/>
      <c r="S724" s="32"/>
      <c r="T724" s="32"/>
      <c r="U724" s="32"/>
      <c r="V724" s="2"/>
      <c r="W724" s="2"/>
      <c r="X724" s="2"/>
      <c r="Y724" s="2"/>
      <c r="Z724" s="2"/>
    </row>
    <row r="725" spans="1:26" ht="13.8" x14ac:dyDescent="0.3">
      <c r="A725" s="2"/>
      <c r="B725" s="2"/>
      <c r="C725" s="10"/>
      <c r="D725" s="10"/>
      <c r="E725" s="10"/>
      <c r="F725" s="10"/>
      <c r="G725" s="69"/>
      <c r="H725" s="69"/>
      <c r="I725" s="69"/>
      <c r="J725" s="70"/>
      <c r="K725" s="69"/>
      <c r="L725" s="32"/>
      <c r="M725" s="69"/>
      <c r="N725" s="69"/>
      <c r="O725" s="69"/>
      <c r="P725" s="2"/>
      <c r="Q725" s="2"/>
      <c r="R725" s="32"/>
      <c r="S725" s="32"/>
      <c r="T725" s="32"/>
      <c r="U725" s="32"/>
      <c r="V725" s="2"/>
      <c r="W725" s="2"/>
      <c r="X725" s="2"/>
      <c r="Y725" s="2"/>
      <c r="Z725" s="2"/>
    </row>
    <row r="726" spans="1:26" ht="13.8" x14ac:dyDescent="0.3">
      <c r="A726" s="2"/>
      <c r="B726" s="2"/>
      <c r="C726" s="10"/>
      <c r="D726" s="10"/>
      <c r="E726" s="10"/>
      <c r="F726" s="10"/>
      <c r="G726" s="69"/>
      <c r="H726" s="69"/>
      <c r="I726" s="69"/>
      <c r="J726" s="70"/>
      <c r="K726" s="69"/>
      <c r="L726" s="32"/>
      <c r="M726" s="69"/>
      <c r="N726" s="69"/>
      <c r="O726" s="69"/>
      <c r="P726" s="2"/>
      <c r="Q726" s="2"/>
      <c r="R726" s="32"/>
      <c r="S726" s="32"/>
      <c r="T726" s="32"/>
      <c r="U726" s="32"/>
      <c r="V726" s="2"/>
      <c r="W726" s="2"/>
      <c r="X726" s="2"/>
      <c r="Y726" s="2"/>
      <c r="Z726" s="2"/>
    </row>
    <row r="727" spans="1:26" ht="13.8" x14ac:dyDescent="0.3">
      <c r="A727" s="2"/>
      <c r="B727" s="2"/>
      <c r="C727" s="10"/>
      <c r="D727" s="10"/>
      <c r="E727" s="10"/>
      <c r="F727" s="10"/>
      <c r="G727" s="69"/>
      <c r="H727" s="69"/>
      <c r="I727" s="69"/>
      <c r="J727" s="70"/>
      <c r="K727" s="69"/>
      <c r="L727" s="32"/>
      <c r="M727" s="69"/>
      <c r="N727" s="69"/>
      <c r="O727" s="69"/>
      <c r="P727" s="2"/>
      <c r="Q727" s="2"/>
      <c r="R727" s="32"/>
      <c r="S727" s="32"/>
      <c r="T727" s="32"/>
      <c r="U727" s="32"/>
      <c r="V727" s="2"/>
      <c r="W727" s="2"/>
      <c r="X727" s="2"/>
      <c r="Y727" s="2"/>
      <c r="Z727" s="2"/>
    </row>
    <row r="728" spans="1:26" ht="13.8" x14ac:dyDescent="0.3">
      <c r="A728" s="2"/>
      <c r="B728" s="2"/>
      <c r="C728" s="10"/>
      <c r="D728" s="10"/>
      <c r="E728" s="10"/>
      <c r="F728" s="10"/>
      <c r="G728" s="69"/>
      <c r="H728" s="69"/>
      <c r="I728" s="69"/>
      <c r="J728" s="70"/>
      <c r="K728" s="69"/>
      <c r="L728" s="32"/>
      <c r="M728" s="69"/>
      <c r="N728" s="69"/>
      <c r="O728" s="69"/>
      <c r="P728" s="2"/>
      <c r="Q728" s="2"/>
      <c r="R728" s="32"/>
      <c r="S728" s="32"/>
      <c r="T728" s="32"/>
      <c r="U728" s="32"/>
      <c r="V728" s="2"/>
      <c r="W728" s="2"/>
      <c r="X728" s="2"/>
      <c r="Y728" s="2"/>
      <c r="Z728" s="2"/>
    </row>
    <row r="729" spans="1:26" ht="13.8" x14ac:dyDescent="0.3">
      <c r="A729" s="2"/>
      <c r="B729" s="2"/>
      <c r="C729" s="10"/>
      <c r="D729" s="10"/>
      <c r="E729" s="10"/>
      <c r="F729" s="10"/>
      <c r="G729" s="69"/>
      <c r="H729" s="69"/>
      <c r="I729" s="69"/>
      <c r="J729" s="70"/>
      <c r="K729" s="69"/>
      <c r="L729" s="32"/>
      <c r="M729" s="69"/>
      <c r="N729" s="69"/>
      <c r="O729" s="69"/>
      <c r="P729" s="2"/>
      <c r="Q729" s="2"/>
      <c r="R729" s="32"/>
      <c r="S729" s="32"/>
      <c r="T729" s="32"/>
      <c r="U729" s="32"/>
      <c r="V729" s="2"/>
      <c r="W729" s="2"/>
      <c r="X729" s="2"/>
      <c r="Y729" s="2"/>
      <c r="Z729" s="2"/>
    </row>
    <row r="730" spans="1:26" ht="13.8" x14ac:dyDescent="0.3">
      <c r="A730" s="2"/>
      <c r="B730" s="2"/>
      <c r="C730" s="10"/>
      <c r="D730" s="10"/>
      <c r="E730" s="10"/>
      <c r="F730" s="10"/>
      <c r="G730" s="69"/>
      <c r="H730" s="69"/>
      <c r="I730" s="69"/>
      <c r="J730" s="70"/>
      <c r="K730" s="69"/>
      <c r="L730" s="32"/>
      <c r="M730" s="69"/>
      <c r="N730" s="69"/>
      <c r="O730" s="69"/>
      <c r="P730" s="2"/>
      <c r="Q730" s="2"/>
      <c r="R730" s="32"/>
      <c r="S730" s="32"/>
      <c r="T730" s="32"/>
      <c r="U730" s="32"/>
      <c r="V730" s="2"/>
      <c r="W730" s="2"/>
      <c r="X730" s="2"/>
      <c r="Y730" s="2"/>
      <c r="Z730" s="2"/>
    </row>
    <row r="731" spans="1:26" ht="13.8" x14ac:dyDescent="0.3">
      <c r="A731" s="2"/>
      <c r="B731" s="2"/>
      <c r="C731" s="10"/>
      <c r="D731" s="10"/>
      <c r="E731" s="10"/>
      <c r="F731" s="10"/>
      <c r="G731" s="69"/>
      <c r="H731" s="69"/>
      <c r="I731" s="69"/>
      <c r="J731" s="70"/>
      <c r="K731" s="69"/>
      <c r="L731" s="32"/>
      <c r="M731" s="69"/>
      <c r="N731" s="69"/>
      <c r="O731" s="69"/>
      <c r="P731" s="2"/>
      <c r="Q731" s="2"/>
      <c r="R731" s="32"/>
      <c r="S731" s="32"/>
      <c r="T731" s="32"/>
      <c r="U731" s="32"/>
      <c r="V731" s="2"/>
      <c r="W731" s="2"/>
      <c r="X731" s="2"/>
      <c r="Y731" s="2"/>
      <c r="Z731" s="2"/>
    </row>
    <row r="732" spans="1:26" ht="13.8" x14ac:dyDescent="0.3">
      <c r="A732" s="2"/>
      <c r="B732" s="2"/>
      <c r="C732" s="10"/>
      <c r="D732" s="10"/>
      <c r="E732" s="10"/>
      <c r="F732" s="10"/>
      <c r="G732" s="69"/>
      <c r="H732" s="69"/>
      <c r="I732" s="69"/>
      <c r="J732" s="70"/>
      <c r="K732" s="69"/>
      <c r="L732" s="32"/>
      <c r="M732" s="69"/>
      <c r="N732" s="69"/>
      <c r="O732" s="69"/>
      <c r="P732" s="2"/>
      <c r="Q732" s="2"/>
      <c r="R732" s="32"/>
      <c r="S732" s="32"/>
      <c r="T732" s="32"/>
      <c r="U732" s="32"/>
      <c r="V732" s="2"/>
      <c r="W732" s="2"/>
      <c r="X732" s="2"/>
      <c r="Y732" s="2"/>
      <c r="Z732" s="2"/>
    </row>
    <row r="733" spans="1:26" ht="13.8" x14ac:dyDescent="0.3">
      <c r="A733" s="2"/>
      <c r="B733" s="2"/>
      <c r="C733" s="10"/>
      <c r="D733" s="10"/>
      <c r="E733" s="10"/>
      <c r="F733" s="10"/>
      <c r="G733" s="69"/>
      <c r="H733" s="69"/>
      <c r="I733" s="69"/>
      <c r="J733" s="70"/>
      <c r="K733" s="69"/>
      <c r="L733" s="32"/>
      <c r="M733" s="69"/>
      <c r="N733" s="69"/>
      <c r="O733" s="69"/>
      <c r="P733" s="2"/>
      <c r="Q733" s="2"/>
      <c r="R733" s="32"/>
      <c r="S733" s="32"/>
      <c r="T733" s="32"/>
      <c r="U733" s="32"/>
      <c r="V733" s="2"/>
      <c r="W733" s="2"/>
      <c r="X733" s="2"/>
      <c r="Y733" s="2"/>
      <c r="Z733" s="2"/>
    </row>
    <row r="734" spans="1:26" ht="13.8" x14ac:dyDescent="0.3">
      <c r="A734" s="2"/>
      <c r="B734" s="2"/>
      <c r="C734" s="10"/>
      <c r="D734" s="10"/>
      <c r="E734" s="10"/>
      <c r="F734" s="10"/>
      <c r="G734" s="69"/>
      <c r="H734" s="69"/>
      <c r="I734" s="69"/>
      <c r="J734" s="70"/>
      <c r="K734" s="69"/>
      <c r="L734" s="32"/>
      <c r="M734" s="69"/>
      <c r="N734" s="69"/>
      <c r="O734" s="69"/>
      <c r="P734" s="2"/>
      <c r="Q734" s="2"/>
      <c r="R734" s="32"/>
      <c r="S734" s="32"/>
      <c r="T734" s="32"/>
      <c r="U734" s="32"/>
      <c r="V734" s="2"/>
      <c r="W734" s="2"/>
      <c r="X734" s="2"/>
      <c r="Y734" s="2"/>
      <c r="Z734" s="2"/>
    </row>
    <row r="735" spans="1:26" ht="13.8" x14ac:dyDescent="0.3">
      <c r="A735" s="2"/>
      <c r="B735" s="2"/>
      <c r="C735" s="10"/>
      <c r="D735" s="10"/>
      <c r="E735" s="10"/>
      <c r="F735" s="10"/>
      <c r="G735" s="69"/>
      <c r="H735" s="69"/>
      <c r="I735" s="69"/>
      <c r="J735" s="70"/>
      <c r="K735" s="69"/>
      <c r="L735" s="32"/>
      <c r="M735" s="69"/>
      <c r="N735" s="69"/>
      <c r="O735" s="69"/>
      <c r="P735" s="2"/>
      <c r="Q735" s="2"/>
      <c r="R735" s="32"/>
      <c r="S735" s="32"/>
      <c r="T735" s="32"/>
      <c r="U735" s="32"/>
      <c r="V735" s="2"/>
      <c r="W735" s="2"/>
      <c r="X735" s="2"/>
      <c r="Y735" s="2"/>
      <c r="Z735" s="2"/>
    </row>
    <row r="736" spans="1:26" ht="13.8" x14ac:dyDescent="0.3">
      <c r="A736" s="2"/>
      <c r="B736" s="2"/>
      <c r="C736" s="10"/>
      <c r="D736" s="10"/>
      <c r="E736" s="10"/>
      <c r="F736" s="10"/>
      <c r="G736" s="69"/>
      <c r="H736" s="69"/>
      <c r="I736" s="69"/>
      <c r="J736" s="70"/>
      <c r="K736" s="69"/>
      <c r="L736" s="32"/>
      <c r="M736" s="69"/>
      <c r="N736" s="69"/>
      <c r="O736" s="69"/>
      <c r="P736" s="2"/>
      <c r="Q736" s="2"/>
      <c r="R736" s="32"/>
      <c r="S736" s="32"/>
      <c r="T736" s="32"/>
      <c r="U736" s="32"/>
      <c r="V736" s="2"/>
      <c r="W736" s="2"/>
      <c r="X736" s="2"/>
      <c r="Y736" s="2"/>
      <c r="Z736" s="2"/>
    </row>
    <row r="737" spans="1:26" ht="13.8" x14ac:dyDescent="0.3">
      <c r="A737" s="2"/>
      <c r="B737" s="2"/>
      <c r="C737" s="10"/>
      <c r="D737" s="10"/>
      <c r="E737" s="10"/>
      <c r="F737" s="10"/>
      <c r="G737" s="69"/>
      <c r="H737" s="69"/>
      <c r="I737" s="69"/>
      <c r="J737" s="70"/>
      <c r="K737" s="69"/>
      <c r="L737" s="32"/>
      <c r="M737" s="69"/>
      <c r="N737" s="69"/>
      <c r="O737" s="69"/>
      <c r="P737" s="2"/>
      <c r="Q737" s="2"/>
      <c r="R737" s="32"/>
      <c r="S737" s="32"/>
      <c r="T737" s="32"/>
      <c r="U737" s="32"/>
      <c r="V737" s="2"/>
      <c r="W737" s="2"/>
      <c r="X737" s="2"/>
      <c r="Y737" s="2"/>
      <c r="Z737" s="2"/>
    </row>
    <row r="738" spans="1:26" ht="13.8" x14ac:dyDescent="0.3">
      <c r="A738" s="2"/>
      <c r="B738" s="2"/>
      <c r="C738" s="10"/>
      <c r="D738" s="10"/>
      <c r="E738" s="10"/>
      <c r="F738" s="10"/>
      <c r="G738" s="69"/>
      <c r="H738" s="69"/>
      <c r="I738" s="69"/>
      <c r="J738" s="70"/>
      <c r="K738" s="69"/>
      <c r="L738" s="32"/>
      <c r="M738" s="69"/>
      <c r="N738" s="69"/>
      <c r="O738" s="69"/>
      <c r="P738" s="2"/>
      <c r="Q738" s="2"/>
      <c r="R738" s="32"/>
      <c r="S738" s="32"/>
      <c r="T738" s="32"/>
      <c r="U738" s="32"/>
      <c r="V738" s="2"/>
      <c r="W738" s="2"/>
      <c r="X738" s="2"/>
      <c r="Y738" s="2"/>
      <c r="Z738" s="2"/>
    </row>
    <row r="739" spans="1:26" ht="13.8" x14ac:dyDescent="0.3">
      <c r="A739" s="2"/>
      <c r="B739" s="2"/>
      <c r="C739" s="10"/>
      <c r="D739" s="10"/>
      <c r="E739" s="10"/>
      <c r="F739" s="10"/>
      <c r="G739" s="69"/>
      <c r="H739" s="69"/>
      <c r="I739" s="69"/>
      <c r="J739" s="70"/>
      <c r="K739" s="69"/>
      <c r="L739" s="32"/>
      <c r="M739" s="69"/>
      <c r="N739" s="69"/>
      <c r="O739" s="69"/>
      <c r="P739" s="2"/>
      <c r="Q739" s="2"/>
      <c r="R739" s="32"/>
      <c r="S739" s="32"/>
      <c r="T739" s="32"/>
      <c r="U739" s="32"/>
      <c r="V739" s="2"/>
      <c r="W739" s="2"/>
      <c r="X739" s="2"/>
      <c r="Y739" s="2"/>
      <c r="Z739" s="2"/>
    </row>
    <row r="740" spans="1:26" ht="13.8" x14ac:dyDescent="0.3">
      <c r="A740" s="2"/>
      <c r="B740" s="2"/>
      <c r="C740" s="10"/>
      <c r="D740" s="10"/>
      <c r="E740" s="10"/>
      <c r="F740" s="10"/>
      <c r="G740" s="69"/>
      <c r="H740" s="69"/>
      <c r="I740" s="69"/>
      <c r="J740" s="70"/>
      <c r="K740" s="69"/>
      <c r="L740" s="32"/>
      <c r="M740" s="69"/>
      <c r="N740" s="69"/>
      <c r="O740" s="69"/>
      <c r="P740" s="2"/>
      <c r="Q740" s="2"/>
      <c r="R740" s="32"/>
      <c r="S740" s="32"/>
      <c r="T740" s="32"/>
      <c r="U740" s="32"/>
      <c r="V740" s="2"/>
      <c r="W740" s="2"/>
      <c r="X740" s="2"/>
      <c r="Y740" s="2"/>
      <c r="Z740" s="2"/>
    </row>
    <row r="741" spans="1:26" ht="13.8" x14ac:dyDescent="0.3">
      <c r="A741" s="2"/>
      <c r="B741" s="2"/>
      <c r="C741" s="10"/>
      <c r="D741" s="10"/>
      <c r="E741" s="10"/>
      <c r="F741" s="10"/>
      <c r="G741" s="69"/>
      <c r="H741" s="69"/>
      <c r="I741" s="69"/>
      <c r="J741" s="70"/>
      <c r="K741" s="69"/>
      <c r="L741" s="32"/>
      <c r="M741" s="69"/>
      <c r="N741" s="69"/>
      <c r="O741" s="69"/>
      <c r="P741" s="2"/>
      <c r="Q741" s="2"/>
      <c r="R741" s="32"/>
      <c r="S741" s="32"/>
      <c r="T741" s="32"/>
      <c r="U741" s="32"/>
      <c r="V741" s="2"/>
      <c r="W741" s="2"/>
      <c r="X741" s="2"/>
      <c r="Y741" s="2"/>
      <c r="Z741" s="2"/>
    </row>
    <row r="742" spans="1:26" ht="13.8" x14ac:dyDescent="0.3">
      <c r="A742" s="2"/>
      <c r="B742" s="2"/>
      <c r="C742" s="10"/>
      <c r="D742" s="10"/>
      <c r="E742" s="10"/>
      <c r="F742" s="10"/>
      <c r="G742" s="69"/>
      <c r="H742" s="69"/>
      <c r="I742" s="69"/>
      <c r="J742" s="70"/>
      <c r="K742" s="69"/>
      <c r="L742" s="32"/>
      <c r="M742" s="69"/>
      <c r="N742" s="69"/>
      <c r="O742" s="69"/>
      <c r="P742" s="2"/>
      <c r="Q742" s="2"/>
      <c r="R742" s="32"/>
      <c r="S742" s="32"/>
      <c r="T742" s="32"/>
      <c r="U742" s="32"/>
      <c r="V742" s="2"/>
      <c r="W742" s="2"/>
      <c r="X742" s="2"/>
      <c r="Y742" s="2"/>
      <c r="Z742" s="2"/>
    </row>
    <row r="743" spans="1:26" ht="13.8" x14ac:dyDescent="0.3">
      <c r="A743" s="2"/>
      <c r="B743" s="2"/>
      <c r="C743" s="10"/>
      <c r="D743" s="10"/>
      <c r="E743" s="10"/>
      <c r="F743" s="10"/>
      <c r="G743" s="69"/>
      <c r="H743" s="69"/>
      <c r="I743" s="69"/>
      <c r="J743" s="70"/>
      <c r="K743" s="69"/>
      <c r="L743" s="32"/>
      <c r="M743" s="69"/>
      <c r="N743" s="69"/>
      <c r="O743" s="69"/>
      <c r="P743" s="2"/>
      <c r="Q743" s="2"/>
      <c r="R743" s="32"/>
      <c r="S743" s="32"/>
      <c r="T743" s="32"/>
      <c r="U743" s="32"/>
      <c r="V743" s="2"/>
      <c r="W743" s="2"/>
      <c r="X743" s="2"/>
      <c r="Y743" s="2"/>
      <c r="Z743" s="2"/>
    </row>
    <row r="744" spans="1:26" ht="13.8" x14ac:dyDescent="0.3">
      <c r="A744" s="2"/>
      <c r="B744" s="2"/>
      <c r="C744" s="10"/>
      <c r="D744" s="10"/>
      <c r="E744" s="10"/>
      <c r="F744" s="10"/>
      <c r="G744" s="69"/>
      <c r="H744" s="69"/>
      <c r="I744" s="69"/>
      <c r="J744" s="70"/>
      <c r="K744" s="69"/>
      <c r="L744" s="32"/>
      <c r="M744" s="69"/>
      <c r="N744" s="69"/>
      <c r="O744" s="69"/>
      <c r="P744" s="2"/>
      <c r="Q744" s="2"/>
      <c r="R744" s="32"/>
      <c r="S744" s="32"/>
      <c r="T744" s="32"/>
      <c r="U744" s="32"/>
      <c r="V744" s="2"/>
      <c r="W744" s="2"/>
      <c r="X744" s="2"/>
      <c r="Y744" s="2"/>
      <c r="Z744" s="2"/>
    </row>
    <row r="745" spans="1:26" ht="13.8" x14ac:dyDescent="0.3">
      <c r="A745" s="2"/>
      <c r="B745" s="2"/>
      <c r="C745" s="10"/>
      <c r="D745" s="10"/>
      <c r="E745" s="10"/>
      <c r="F745" s="10"/>
      <c r="G745" s="69"/>
      <c r="H745" s="69"/>
      <c r="I745" s="69"/>
      <c r="J745" s="70"/>
      <c r="K745" s="69"/>
      <c r="L745" s="32"/>
      <c r="M745" s="69"/>
      <c r="N745" s="69"/>
      <c r="O745" s="69"/>
      <c r="P745" s="2"/>
      <c r="Q745" s="2"/>
      <c r="R745" s="32"/>
      <c r="S745" s="32"/>
      <c r="T745" s="32"/>
      <c r="U745" s="32"/>
      <c r="V745" s="2"/>
      <c r="W745" s="2"/>
      <c r="X745" s="2"/>
      <c r="Y745" s="2"/>
      <c r="Z745" s="2"/>
    </row>
    <row r="746" spans="1:26" ht="13.8" x14ac:dyDescent="0.3">
      <c r="A746" s="2"/>
      <c r="B746" s="2"/>
      <c r="C746" s="10"/>
      <c r="D746" s="10"/>
      <c r="E746" s="10"/>
      <c r="F746" s="10"/>
      <c r="G746" s="69"/>
      <c r="H746" s="69"/>
      <c r="I746" s="69"/>
      <c r="J746" s="70"/>
      <c r="K746" s="69"/>
      <c r="L746" s="32"/>
      <c r="M746" s="69"/>
      <c r="N746" s="69"/>
      <c r="O746" s="69"/>
      <c r="P746" s="2"/>
      <c r="Q746" s="2"/>
      <c r="R746" s="32"/>
      <c r="S746" s="32"/>
      <c r="T746" s="32"/>
      <c r="U746" s="32"/>
      <c r="V746" s="2"/>
      <c r="W746" s="2"/>
      <c r="X746" s="2"/>
      <c r="Y746" s="2"/>
      <c r="Z746" s="2"/>
    </row>
    <row r="747" spans="1:26" ht="13.8" x14ac:dyDescent="0.3">
      <c r="A747" s="2"/>
      <c r="B747" s="2"/>
      <c r="C747" s="10"/>
      <c r="D747" s="10"/>
      <c r="E747" s="10"/>
      <c r="F747" s="10"/>
      <c r="G747" s="69"/>
      <c r="H747" s="69"/>
      <c r="I747" s="69"/>
      <c r="J747" s="70"/>
      <c r="K747" s="69"/>
      <c r="L747" s="32"/>
      <c r="M747" s="69"/>
      <c r="N747" s="69"/>
      <c r="O747" s="69"/>
      <c r="P747" s="2"/>
      <c r="Q747" s="2"/>
      <c r="R747" s="32"/>
      <c r="S747" s="32"/>
      <c r="T747" s="32"/>
      <c r="U747" s="32"/>
      <c r="V747" s="2"/>
      <c r="W747" s="2"/>
      <c r="X747" s="2"/>
      <c r="Y747" s="2"/>
      <c r="Z747" s="2"/>
    </row>
    <row r="748" spans="1:26" ht="13.8" x14ac:dyDescent="0.3">
      <c r="A748" s="2"/>
      <c r="B748" s="2"/>
      <c r="C748" s="10"/>
      <c r="D748" s="10"/>
      <c r="E748" s="10"/>
      <c r="F748" s="10"/>
      <c r="G748" s="69"/>
      <c r="H748" s="69"/>
      <c r="I748" s="69"/>
      <c r="J748" s="70"/>
      <c r="K748" s="69"/>
      <c r="L748" s="32"/>
      <c r="M748" s="69"/>
      <c r="N748" s="69"/>
      <c r="O748" s="69"/>
      <c r="P748" s="2"/>
      <c r="Q748" s="2"/>
      <c r="R748" s="32"/>
      <c r="S748" s="32"/>
      <c r="T748" s="32"/>
      <c r="U748" s="32"/>
      <c r="V748" s="2"/>
      <c r="W748" s="2"/>
      <c r="X748" s="2"/>
      <c r="Y748" s="2"/>
      <c r="Z748" s="2"/>
    </row>
    <row r="749" spans="1:26" ht="13.8" x14ac:dyDescent="0.3">
      <c r="A749" s="2"/>
      <c r="B749" s="2"/>
      <c r="C749" s="10"/>
      <c r="D749" s="10"/>
      <c r="E749" s="10"/>
      <c r="F749" s="10"/>
      <c r="G749" s="69"/>
      <c r="H749" s="69"/>
      <c r="I749" s="69"/>
      <c r="J749" s="70"/>
      <c r="K749" s="69"/>
      <c r="L749" s="32"/>
      <c r="M749" s="69"/>
      <c r="N749" s="69"/>
      <c r="O749" s="69"/>
      <c r="P749" s="2"/>
      <c r="Q749" s="2"/>
      <c r="R749" s="32"/>
      <c r="S749" s="32"/>
      <c r="T749" s="32"/>
      <c r="U749" s="32"/>
      <c r="V749" s="2"/>
      <c r="W749" s="2"/>
      <c r="X749" s="2"/>
      <c r="Y749" s="2"/>
      <c r="Z749" s="2"/>
    </row>
    <row r="750" spans="1:26" ht="13.8" x14ac:dyDescent="0.3">
      <c r="A750" s="2"/>
      <c r="B750" s="2"/>
      <c r="C750" s="10"/>
      <c r="D750" s="10"/>
      <c r="E750" s="10"/>
      <c r="F750" s="10"/>
      <c r="G750" s="69"/>
      <c r="H750" s="69"/>
      <c r="I750" s="69"/>
      <c r="J750" s="70"/>
      <c r="K750" s="69"/>
      <c r="L750" s="32"/>
      <c r="M750" s="69"/>
      <c r="N750" s="69"/>
      <c r="O750" s="69"/>
      <c r="P750" s="2"/>
      <c r="Q750" s="2"/>
      <c r="R750" s="32"/>
      <c r="S750" s="32"/>
      <c r="T750" s="32"/>
      <c r="U750" s="32"/>
      <c r="V750" s="2"/>
      <c r="W750" s="2"/>
      <c r="X750" s="2"/>
      <c r="Y750" s="2"/>
      <c r="Z750" s="2"/>
    </row>
    <row r="751" spans="1:26" ht="13.8" x14ac:dyDescent="0.3">
      <c r="A751" s="2"/>
      <c r="B751" s="2"/>
      <c r="C751" s="10"/>
      <c r="D751" s="10"/>
      <c r="E751" s="10"/>
      <c r="F751" s="10"/>
      <c r="G751" s="69"/>
      <c r="H751" s="69"/>
      <c r="I751" s="69"/>
      <c r="J751" s="70"/>
      <c r="K751" s="69"/>
      <c r="L751" s="32"/>
      <c r="M751" s="69"/>
      <c r="N751" s="69"/>
      <c r="O751" s="69"/>
      <c r="P751" s="2"/>
      <c r="Q751" s="2"/>
      <c r="R751" s="32"/>
      <c r="S751" s="32"/>
      <c r="T751" s="32"/>
      <c r="U751" s="32"/>
      <c r="V751" s="2"/>
      <c r="W751" s="2"/>
      <c r="X751" s="2"/>
      <c r="Y751" s="2"/>
      <c r="Z751" s="2"/>
    </row>
    <row r="752" spans="1:26" ht="13.8" x14ac:dyDescent="0.3">
      <c r="A752" s="2"/>
      <c r="B752" s="2"/>
      <c r="C752" s="10"/>
      <c r="D752" s="10"/>
      <c r="E752" s="10"/>
      <c r="F752" s="10"/>
      <c r="G752" s="69"/>
      <c r="H752" s="69"/>
      <c r="I752" s="69"/>
      <c r="J752" s="70"/>
      <c r="K752" s="69"/>
      <c r="L752" s="32"/>
      <c r="M752" s="69"/>
      <c r="N752" s="69"/>
      <c r="O752" s="69"/>
      <c r="P752" s="2"/>
      <c r="Q752" s="2"/>
      <c r="R752" s="32"/>
      <c r="S752" s="32"/>
      <c r="T752" s="32"/>
      <c r="U752" s="32"/>
      <c r="V752" s="2"/>
      <c r="W752" s="2"/>
      <c r="X752" s="2"/>
      <c r="Y752" s="2"/>
      <c r="Z752" s="2"/>
    </row>
    <row r="753" spans="1:26" ht="13.8" x14ac:dyDescent="0.3">
      <c r="A753" s="2"/>
      <c r="B753" s="2"/>
      <c r="C753" s="10"/>
      <c r="D753" s="10"/>
      <c r="E753" s="10"/>
      <c r="F753" s="10"/>
      <c r="G753" s="69"/>
      <c r="H753" s="69"/>
      <c r="I753" s="69"/>
      <c r="J753" s="70"/>
      <c r="K753" s="69"/>
      <c r="L753" s="32"/>
      <c r="M753" s="69"/>
      <c r="N753" s="69"/>
      <c r="O753" s="69"/>
      <c r="P753" s="2"/>
      <c r="Q753" s="2"/>
      <c r="R753" s="32"/>
      <c r="S753" s="32"/>
      <c r="T753" s="32"/>
      <c r="U753" s="32"/>
      <c r="V753" s="2"/>
      <c r="W753" s="2"/>
      <c r="X753" s="2"/>
      <c r="Y753" s="2"/>
      <c r="Z753" s="2"/>
    </row>
    <row r="754" spans="1:26" ht="13.8" x14ac:dyDescent="0.3">
      <c r="A754" s="2"/>
      <c r="B754" s="2"/>
      <c r="C754" s="10"/>
      <c r="D754" s="10"/>
      <c r="E754" s="10"/>
      <c r="F754" s="10"/>
      <c r="G754" s="69"/>
      <c r="H754" s="69"/>
      <c r="I754" s="69"/>
      <c r="J754" s="70"/>
      <c r="K754" s="69"/>
      <c r="L754" s="32"/>
      <c r="M754" s="69"/>
      <c r="N754" s="69"/>
      <c r="O754" s="69"/>
      <c r="P754" s="2"/>
      <c r="Q754" s="2"/>
      <c r="R754" s="32"/>
      <c r="S754" s="32"/>
      <c r="T754" s="32"/>
      <c r="U754" s="32"/>
      <c r="V754" s="2"/>
      <c r="W754" s="2"/>
      <c r="X754" s="2"/>
      <c r="Y754" s="2"/>
      <c r="Z754" s="2"/>
    </row>
    <row r="755" spans="1:26" ht="13.8" x14ac:dyDescent="0.3">
      <c r="A755" s="2"/>
      <c r="B755" s="2"/>
      <c r="C755" s="10"/>
      <c r="D755" s="10"/>
      <c r="E755" s="10"/>
      <c r="F755" s="10"/>
      <c r="G755" s="69"/>
      <c r="H755" s="69"/>
      <c r="I755" s="69"/>
      <c r="J755" s="70"/>
      <c r="K755" s="69"/>
      <c r="L755" s="32"/>
      <c r="M755" s="69"/>
      <c r="N755" s="69"/>
      <c r="O755" s="69"/>
      <c r="P755" s="2"/>
      <c r="Q755" s="2"/>
      <c r="R755" s="32"/>
      <c r="S755" s="32"/>
      <c r="T755" s="32"/>
      <c r="U755" s="32"/>
      <c r="V755" s="2"/>
      <c r="W755" s="2"/>
      <c r="X755" s="2"/>
      <c r="Y755" s="2"/>
      <c r="Z755" s="2"/>
    </row>
    <row r="756" spans="1:26" ht="13.8" x14ac:dyDescent="0.3">
      <c r="A756" s="2"/>
      <c r="B756" s="2"/>
      <c r="C756" s="10"/>
      <c r="D756" s="10"/>
      <c r="E756" s="10"/>
      <c r="F756" s="10"/>
      <c r="G756" s="69"/>
      <c r="H756" s="69"/>
      <c r="I756" s="69"/>
      <c r="J756" s="70"/>
      <c r="K756" s="69"/>
      <c r="L756" s="32"/>
      <c r="M756" s="69"/>
      <c r="N756" s="69"/>
      <c r="O756" s="69"/>
      <c r="P756" s="2"/>
      <c r="Q756" s="2"/>
      <c r="R756" s="32"/>
      <c r="S756" s="32"/>
      <c r="T756" s="32"/>
      <c r="U756" s="32"/>
      <c r="V756" s="2"/>
      <c r="W756" s="2"/>
      <c r="X756" s="2"/>
      <c r="Y756" s="2"/>
      <c r="Z756" s="2"/>
    </row>
    <row r="757" spans="1:26" ht="13.8" x14ac:dyDescent="0.3">
      <c r="A757" s="2"/>
      <c r="B757" s="2"/>
      <c r="C757" s="10"/>
      <c r="D757" s="10"/>
      <c r="E757" s="10"/>
      <c r="F757" s="10"/>
      <c r="G757" s="69"/>
      <c r="H757" s="69"/>
      <c r="I757" s="69"/>
      <c r="J757" s="70"/>
      <c r="K757" s="69"/>
      <c r="L757" s="32"/>
      <c r="M757" s="69"/>
      <c r="N757" s="69"/>
      <c r="O757" s="69"/>
      <c r="P757" s="2"/>
      <c r="Q757" s="2"/>
      <c r="R757" s="32"/>
      <c r="S757" s="32"/>
      <c r="T757" s="32"/>
      <c r="U757" s="32"/>
      <c r="V757" s="2"/>
      <c r="W757" s="2"/>
      <c r="X757" s="2"/>
      <c r="Y757" s="2"/>
      <c r="Z757" s="2"/>
    </row>
    <row r="758" spans="1:26" ht="13.8" x14ac:dyDescent="0.3">
      <c r="A758" s="2"/>
      <c r="B758" s="2"/>
      <c r="C758" s="10"/>
      <c r="D758" s="10"/>
      <c r="E758" s="10"/>
      <c r="F758" s="10"/>
      <c r="G758" s="69"/>
      <c r="H758" s="69"/>
      <c r="I758" s="69"/>
      <c r="J758" s="70"/>
      <c r="K758" s="69"/>
      <c r="L758" s="32"/>
      <c r="M758" s="69"/>
      <c r="N758" s="69"/>
      <c r="O758" s="69"/>
      <c r="P758" s="2"/>
      <c r="Q758" s="2"/>
      <c r="R758" s="32"/>
      <c r="S758" s="32"/>
      <c r="T758" s="32"/>
      <c r="U758" s="32"/>
      <c r="V758" s="2"/>
      <c r="W758" s="2"/>
      <c r="X758" s="2"/>
      <c r="Y758" s="2"/>
      <c r="Z758" s="2"/>
    </row>
    <row r="759" spans="1:26" ht="13.8" x14ac:dyDescent="0.3">
      <c r="A759" s="2"/>
      <c r="B759" s="2"/>
      <c r="C759" s="10"/>
      <c r="D759" s="10"/>
      <c r="E759" s="10"/>
      <c r="F759" s="10"/>
      <c r="G759" s="69"/>
      <c r="H759" s="69"/>
      <c r="I759" s="69"/>
      <c r="J759" s="70"/>
      <c r="K759" s="69"/>
      <c r="L759" s="32"/>
      <c r="M759" s="69"/>
      <c r="N759" s="69"/>
      <c r="O759" s="69"/>
      <c r="P759" s="2"/>
      <c r="Q759" s="2"/>
      <c r="R759" s="32"/>
      <c r="S759" s="32"/>
      <c r="T759" s="32"/>
      <c r="U759" s="32"/>
      <c r="V759" s="2"/>
      <c r="W759" s="2"/>
      <c r="X759" s="2"/>
      <c r="Y759" s="2"/>
      <c r="Z759" s="2"/>
    </row>
    <row r="760" spans="1:26" ht="13.8" x14ac:dyDescent="0.3">
      <c r="A760" s="2"/>
      <c r="B760" s="2"/>
      <c r="C760" s="10"/>
      <c r="D760" s="10"/>
      <c r="E760" s="10"/>
      <c r="F760" s="10"/>
      <c r="G760" s="69"/>
      <c r="H760" s="69"/>
      <c r="I760" s="69"/>
      <c r="J760" s="70"/>
      <c r="K760" s="69"/>
      <c r="L760" s="32"/>
      <c r="M760" s="69"/>
      <c r="N760" s="69"/>
      <c r="O760" s="69"/>
      <c r="P760" s="2"/>
      <c r="Q760" s="2"/>
      <c r="R760" s="32"/>
      <c r="S760" s="32"/>
      <c r="T760" s="32"/>
      <c r="U760" s="32"/>
      <c r="V760" s="2"/>
      <c r="W760" s="2"/>
      <c r="X760" s="2"/>
      <c r="Y760" s="2"/>
      <c r="Z760" s="2"/>
    </row>
    <row r="761" spans="1:26" ht="13.8" x14ac:dyDescent="0.3">
      <c r="A761" s="2"/>
      <c r="B761" s="2"/>
      <c r="C761" s="10"/>
      <c r="D761" s="10"/>
      <c r="E761" s="10"/>
      <c r="F761" s="10"/>
      <c r="G761" s="69"/>
      <c r="H761" s="69"/>
      <c r="I761" s="69"/>
      <c r="J761" s="70"/>
      <c r="K761" s="69"/>
      <c r="L761" s="32"/>
      <c r="M761" s="69"/>
      <c r="N761" s="69"/>
      <c r="O761" s="69"/>
      <c r="P761" s="2"/>
      <c r="Q761" s="2"/>
      <c r="R761" s="32"/>
      <c r="S761" s="32"/>
      <c r="T761" s="32"/>
      <c r="U761" s="32"/>
      <c r="V761" s="2"/>
      <c r="W761" s="2"/>
      <c r="X761" s="2"/>
      <c r="Y761" s="2"/>
      <c r="Z761" s="2"/>
    </row>
    <row r="762" spans="1:26" ht="13.8" x14ac:dyDescent="0.3">
      <c r="A762" s="2"/>
      <c r="B762" s="2"/>
      <c r="C762" s="10"/>
      <c r="D762" s="10"/>
      <c r="E762" s="10"/>
      <c r="F762" s="10"/>
      <c r="G762" s="69"/>
      <c r="H762" s="69"/>
      <c r="I762" s="69"/>
      <c r="J762" s="70"/>
      <c r="K762" s="69"/>
      <c r="L762" s="32"/>
      <c r="M762" s="69"/>
      <c r="N762" s="69"/>
      <c r="O762" s="69"/>
      <c r="P762" s="2"/>
      <c r="Q762" s="2"/>
      <c r="R762" s="32"/>
      <c r="S762" s="32"/>
      <c r="T762" s="32"/>
      <c r="U762" s="32"/>
      <c r="V762" s="2"/>
      <c r="W762" s="2"/>
      <c r="X762" s="2"/>
      <c r="Y762" s="2"/>
      <c r="Z762" s="2"/>
    </row>
    <row r="763" spans="1:26" ht="13.8" x14ac:dyDescent="0.3">
      <c r="A763" s="2"/>
      <c r="B763" s="2"/>
      <c r="C763" s="10"/>
      <c r="D763" s="10"/>
      <c r="E763" s="10"/>
      <c r="F763" s="10"/>
      <c r="G763" s="69"/>
      <c r="H763" s="69"/>
      <c r="I763" s="69"/>
      <c r="J763" s="70"/>
      <c r="K763" s="69"/>
      <c r="L763" s="32"/>
      <c r="M763" s="69"/>
      <c r="N763" s="69"/>
      <c r="O763" s="69"/>
      <c r="P763" s="2"/>
      <c r="Q763" s="2"/>
      <c r="R763" s="32"/>
      <c r="S763" s="32"/>
      <c r="T763" s="32"/>
      <c r="U763" s="32"/>
      <c r="V763" s="2"/>
      <c r="W763" s="2"/>
      <c r="X763" s="2"/>
      <c r="Y763" s="2"/>
      <c r="Z763" s="2"/>
    </row>
    <row r="764" spans="1:26" ht="13.8" x14ac:dyDescent="0.3">
      <c r="A764" s="2"/>
      <c r="B764" s="2"/>
      <c r="C764" s="10"/>
      <c r="D764" s="10"/>
      <c r="E764" s="10"/>
      <c r="F764" s="10"/>
      <c r="G764" s="69"/>
      <c r="H764" s="69"/>
      <c r="I764" s="69"/>
      <c r="J764" s="70"/>
      <c r="K764" s="69"/>
      <c r="L764" s="32"/>
      <c r="M764" s="69"/>
      <c r="N764" s="69"/>
      <c r="O764" s="69"/>
      <c r="P764" s="2"/>
      <c r="Q764" s="2"/>
      <c r="R764" s="32"/>
      <c r="S764" s="32"/>
      <c r="T764" s="32"/>
      <c r="U764" s="32"/>
      <c r="V764" s="2"/>
      <c r="W764" s="2"/>
      <c r="X764" s="2"/>
      <c r="Y764" s="2"/>
      <c r="Z764" s="2"/>
    </row>
    <row r="765" spans="1:26" ht="13.8" x14ac:dyDescent="0.3">
      <c r="A765" s="2"/>
      <c r="B765" s="2"/>
      <c r="C765" s="10"/>
      <c r="D765" s="10"/>
      <c r="E765" s="10"/>
      <c r="F765" s="10"/>
      <c r="G765" s="69"/>
      <c r="H765" s="69"/>
      <c r="I765" s="69"/>
      <c r="J765" s="70"/>
      <c r="K765" s="69"/>
      <c r="L765" s="32"/>
      <c r="M765" s="69"/>
      <c r="N765" s="69"/>
      <c r="O765" s="69"/>
      <c r="P765" s="2"/>
      <c r="Q765" s="2"/>
      <c r="R765" s="32"/>
      <c r="S765" s="32"/>
      <c r="T765" s="32"/>
      <c r="U765" s="32"/>
      <c r="V765" s="2"/>
      <c r="W765" s="2"/>
      <c r="X765" s="2"/>
      <c r="Y765" s="2"/>
      <c r="Z765" s="2"/>
    </row>
    <row r="766" spans="1:26" ht="13.8" x14ac:dyDescent="0.3">
      <c r="A766" s="2"/>
      <c r="B766" s="2"/>
      <c r="C766" s="10"/>
      <c r="D766" s="10"/>
      <c r="E766" s="10"/>
      <c r="F766" s="10"/>
      <c r="G766" s="69"/>
      <c r="H766" s="69"/>
      <c r="I766" s="69"/>
      <c r="J766" s="70"/>
      <c r="K766" s="69"/>
      <c r="L766" s="32"/>
      <c r="M766" s="69"/>
      <c r="N766" s="69"/>
      <c r="O766" s="69"/>
      <c r="P766" s="2"/>
      <c r="Q766" s="2"/>
      <c r="R766" s="32"/>
      <c r="S766" s="32"/>
      <c r="T766" s="32"/>
      <c r="U766" s="32"/>
      <c r="V766" s="2"/>
      <c r="W766" s="2"/>
      <c r="X766" s="2"/>
      <c r="Y766" s="2"/>
      <c r="Z766" s="2"/>
    </row>
    <row r="767" spans="1:26" ht="13.8" x14ac:dyDescent="0.3">
      <c r="A767" s="2"/>
      <c r="B767" s="2"/>
      <c r="C767" s="10"/>
      <c r="D767" s="10"/>
      <c r="E767" s="10"/>
      <c r="F767" s="10"/>
      <c r="G767" s="69"/>
      <c r="H767" s="69"/>
      <c r="I767" s="69"/>
      <c r="J767" s="70"/>
      <c r="K767" s="69"/>
      <c r="L767" s="32"/>
      <c r="M767" s="69"/>
      <c r="N767" s="69"/>
      <c r="O767" s="69"/>
      <c r="P767" s="2"/>
      <c r="Q767" s="2"/>
      <c r="R767" s="32"/>
      <c r="S767" s="32"/>
      <c r="T767" s="32"/>
      <c r="U767" s="32"/>
      <c r="V767" s="2"/>
      <c r="W767" s="2"/>
      <c r="X767" s="2"/>
      <c r="Y767" s="2"/>
      <c r="Z767" s="2"/>
    </row>
    <row r="768" spans="1:26" ht="13.8" x14ac:dyDescent="0.3">
      <c r="A768" s="2"/>
      <c r="B768" s="2"/>
      <c r="C768" s="10"/>
      <c r="D768" s="10"/>
      <c r="E768" s="10"/>
      <c r="F768" s="10"/>
      <c r="G768" s="69"/>
      <c r="H768" s="69"/>
      <c r="I768" s="69"/>
      <c r="J768" s="70"/>
      <c r="K768" s="69"/>
      <c r="L768" s="32"/>
      <c r="M768" s="69"/>
      <c r="N768" s="69"/>
      <c r="O768" s="69"/>
      <c r="P768" s="2"/>
      <c r="Q768" s="2"/>
      <c r="R768" s="32"/>
      <c r="S768" s="32"/>
      <c r="T768" s="32"/>
      <c r="U768" s="32"/>
      <c r="V768" s="2"/>
      <c r="W768" s="2"/>
      <c r="X768" s="2"/>
      <c r="Y768" s="2"/>
      <c r="Z768" s="2"/>
    </row>
    <row r="769" spans="1:26" ht="13.8" x14ac:dyDescent="0.3">
      <c r="A769" s="2"/>
      <c r="B769" s="2"/>
      <c r="C769" s="10"/>
      <c r="D769" s="10"/>
      <c r="E769" s="10"/>
      <c r="F769" s="10"/>
      <c r="G769" s="69"/>
      <c r="H769" s="69"/>
      <c r="I769" s="69"/>
      <c r="J769" s="70"/>
      <c r="K769" s="69"/>
      <c r="L769" s="32"/>
      <c r="M769" s="69"/>
      <c r="N769" s="69"/>
      <c r="O769" s="69"/>
      <c r="P769" s="2"/>
      <c r="Q769" s="2"/>
      <c r="R769" s="32"/>
      <c r="S769" s="32"/>
      <c r="T769" s="32"/>
      <c r="U769" s="32"/>
      <c r="V769" s="2"/>
      <c r="W769" s="2"/>
      <c r="X769" s="2"/>
      <c r="Y769" s="2"/>
      <c r="Z769" s="2"/>
    </row>
    <row r="770" spans="1:26" ht="13.8" x14ac:dyDescent="0.3">
      <c r="A770" s="2"/>
      <c r="B770" s="2"/>
      <c r="C770" s="10"/>
      <c r="D770" s="10"/>
      <c r="E770" s="10"/>
      <c r="F770" s="10"/>
      <c r="G770" s="69"/>
      <c r="H770" s="69"/>
      <c r="I770" s="69"/>
      <c r="J770" s="70"/>
      <c r="K770" s="69"/>
      <c r="L770" s="32"/>
      <c r="M770" s="69"/>
      <c r="N770" s="69"/>
      <c r="O770" s="69"/>
      <c r="P770" s="2"/>
      <c r="Q770" s="2"/>
      <c r="R770" s="32"/>
      <c r="S770" s="32"/>
      <c r="T770" s="32"/>
      <c r="U770" s="32"/>
      <c r="V770" s="2"/>
      <c r="W770" s="2"/>
      <c r="X770" s="2"/>
      <c r="Y770" s="2"/>
      <c r="Z770" s="2"/>
    </row>
    <row r="771" spans="1:26" ht="13.8" x14ac:dyDescent="0.3">
      <c r="A771" s="2"/>
      <c r="B771" s="2"/>
      <c r="C771" s="10"/>
      <c r="D771" s="10"/>
      <c r="E771" s="10"/>
      <c r="F771" s="10"/>
      <c r="G771" s="69"/>
      <c r="H771" s="69"/>
      <c r="I771" s="69"/>
      <c r="J771" s="70"/>
      <c r="K771" s="69"/>
      <c r="L771" s="32"/>
      <c r="M771" s="69"/>
      <c r="N771" s="69"/>
      <c r="O771" s="69"/>
      <c r="P771" s="2"/>
      <c r="Q771" s="2"/>
      <c r="R771" s="32"/>
      <c r="S771" s="32"/>
      <c r="T771" s="32"/>
      <c r="U771" s="32"/>
      <c r="V771" s="2"/>
      <c r="W771" s="2"/>
      <c r="X771" s="2"/>
      <c r="Y771" s="2"/>
      <c r="Z771" s="2"/>
    </row>
    <row r="772" spans="1:26" ht="13.8" x14ac:dyDescent="0.3">
      <c r="A772" s="2"/>
      <c r="B772" s="2"/>
      <c r="C772" s="10"/>
      <c r="D772" s="10"/>
      <c r="E772" s="10"/>
      <c r="F772" s="10"/>
      <c r="G772" s="69"/>
      <c r="H772" s="69"/>
      <c r="I772" s="69"/>
      <c r="J772" s="70"/>
      <c r="K772" s="69"/>
      <c r="L772" s="32"/>
      <c r="M772" s="69"/>
      <c r="N772" s="69"/>
      <c r="O772" s="69"/>
      <c r="P772" s="2"/>
      <c r="Q772" s="2"/>
      <c r="R772" s="32"/>
      <c r="S772" s="32"/>
      <c r="T772" s="32"/>
      <c r="U772" s="32"/>
      <c r="V772" s="2"/>
      <c r="W772" s="2"/>
      <c r="X772" s="2"/>
      <c r="Y772" s="2"/>
      <c r="Z772" s="2"/>
    </row>
    <row r="773" spans="1:26" ht="13.8" x14ac:dyDescent="0.3">
      <c r="A773" s="2"/>
      <c r="B773" s="2"/>
      <c r="C773" s="10"/>
      <c r="D773" s="10"/>
      <c r="E773" s="10"/>
      <c r="F773" s="10"/>
      <c r="G773" s="69"/>
      <c r="H773" s="69"/>
      <c r="I773" s="69"/>
      <c r="J773" s="70"/>
      <c r="K773" s="69"/>
      <c r="L773" s="32"/>
      <c r="M773" s="69"/>
      <c r="N773" s="69"/>
      <c r="O773" s="69"/>
      <c r="P773" s="2"/>
      <c r="Q773" s="2"/>
      <c r="R773" s="32"/>
      <c r="S773" s="32"/>
      <c r="T773" s="32"/>
      <c r="U773" s="32"/>
      <c r="V773" s="2"/>
      <c r="W773" s="2"/>
      <c r="X773" s="2"/>
      <c r="Y773" s="2"/>
      <c r="Z773" s="2"/>
    </row>
    <row r="774" spans="1:26" ht="13.8" x14ac:dyDescent="0.3">
      <c r="A774" s="2"/>
      <c r="B774" s="2"/>
      <c r="C774" s="10"/>
      <c r="D774" s="10"/>
      <c r="E774" s="10"/>
      <c r="F774" s="10"/>
      <c r="G774" s="69"/>
      <c r="H774" s="69"/>
      <c r="I774" s="69"/>
      <c r="J774" s="70"/>
      <c r="K774" s="69"/>
      <c r="L774" s="32"/>
      <c r="M774" s="69"/>
      <c r="N774" s="69"/>
      <c r="O774" s="69"/>
      <c r="P774" s="2"/>
      <c r="Q774" s="2"/>
      <c r="R774" s="32"/>
      <c r="S774" s="32"/>
      <c r="T774" s="32"/>
      <c r="U774" s="32"/>
      <c r="V774" s="2"/>
      <c r="W774" s="2"/>
      <c r="X774" s="2"/>
      <c r="Y774" s="2"/>
      <c r="Z774" s="2"/>
    </row>
    <row r="775" spans="1:26" ht="13.8" x14ac:dyDescent="0.3">
      <c r="A775" s="2"/>
      <c r="B775" s="2"/>
      <c r="C775" s="10"/>
      <c r="D775" s="10"/>
      <c r="E775" s="10"/>
      <c r="F775" s="10"/>
      <c r="G775" s="69"/>
      <c r="H775" s="69"/>
      <c r="I775" s="69"/>
      <c r="J775" s="70"/>
      <c r="K775" s="69"/>
      <c r="L775" s="32"/>
      <c r="M775" s="69"/>
      <c r="N775" s="69"/>
      <c r="O775" s="69"/>
      <c r="P775" s="2"/>
      <c r="Q775" s="2"/>
      <c r="R775" s="32"/>
      <c r="S775" s="32"/>
      <c r="T775" s="32"/>
      <c r="U775" s="32"/>
      <c r="V775" s="2"/>
      <c r="W775" s="2"/>
      <c r="X775" s="2"/>
      <c r="Y775" s="2"/>
      <c r="Z775" s="2"/>
    </row>
    <row r="776" spans="1:26" ht="13.8" x14ac:dyDescent="0.3">
      <c r="A776" s="2"/>
      <c r="B776" s="2"/>
      <c r="C776" s="10"/>
      <c r="D776" s="10"/>
      <c r="E776" s="10"/>
      <c r="F776" s="10"/>
      <c r="G776" s="69"/>
      <c r="H776" s="69"/>
      <c r="I776" s="69"/>
      <c r="J776" s="70"/>
      <c r="K776" s="69"/>
      <c r="L776" s="32"/>
      <c r="M776" s="69"/>
      <c r="N776" s="69"/>
      <c r="O776" s="69"/>
      <c r="P776" s="2"/>
      <c r="Q776" s="2"/>
      <c r="R776" s="32"/>
      <c r="S776" s="32"/>
      <c r="T776" s="32"/>
      <c r="U776" s="32"/>
      <c r="V776" s="2"/>
      <c r="W776" s="2"/>
      <c r="X776" s="2"/>
      <c r="Y776" s="2"/>
      <c r="Z776" s="2"/>
    </row>
    <row r="777" spans="1:26" ht="13.8" x14ac:dyDescent="0.3">
      <c r="A777" s="2"/>
      <c r="B777" s="2"/>
      <c r="C777" s="10"/>
      <c r="D777" s="10"/>
      <c r="E777" s="10"/>
      <c r="F777" s="10"/>
      <c r="G777" s="69"/>
      <c r="H777" s="69"/>
      <c r="I777" s="69"/>
      <c r="J777" s="70"/>
      <c r="K777" s="69"/>
      <c r="L777" s="32"/>
      <c r="M777" s="69"/>
      <c r="N777" s="69"/>
      <c r="O777" s="69"/>
      <c r="P777" s="2"/>
      <c r="Q777" s="2"/>
      <c r="R777" s="32"/>
      <c r="S777" s="32"/>
      <c r="T777" s="32"/>
      <c r="U777" s="32"/>
      <c r="V777" s="2"/>
      <c r="W777" s="2"/>
      <c r="X777" s="2"/>
      <c r="Y777" s="2"/>
      <c r="Z777" s="2"/>
    </row>
    <row r="778" spans="1:26" ht="13.8" x14ac:dyDescent="0.3">
      <c r="A778" s="2"/>
      <c r="B778" s="2"/>
      <c r="C778" s="10"/>
      <c r="D778" s="10"/>
      <c r="E778" s="10"/>
      <c r="F778" s="10"/>
      <c r="G778" s="69"/>
      <c r="H778" s="69"/>
      <c r="I778" s="69"/>
      <c r="J778" s="70"/>
      <c r="K778" s="69"/>
      <c r="L778" s="32"/>
      <c r="M778" s="69"/>
      <c r="N778" s="69"/>
      <c r="O778" s="69"/>
      <c r="P778" s="2"/>
      <c r="Q778" s="2"/>
      <c r="R778" s="32"/>
      <c r="S778" s="32"/>
      <c r="T778" s="32"/>
      <c r="U778" s="32"/>
      <c r="V778" s="2"/>
      <c r="W778" s="2"/>
      <c r="X778" s="2"/>
      <c r="Y778" s="2"/>
      <c r="Z778" s="2"/>
    </row>
    <row r="779" spans="1:26" ht="13.8" x14ac:dyDescent="0.3">
      <c r="A779" s="2"/>
      <c r="B779" s="2"/>
      <c r="C779" s="10"/>
      <c r="D779" s="10"/>
      <c r="E779" s="10"/>
      <c r="F779" s="10"/>
      <c r="G779" s="69"/>
      <c r="H779" s="69"/>
      <c r="I779" s="69"/>
      <c r="J779" s="70"/>
      <c r="K779" s="69"/>
      <c r="L779" s="32"/>
      <c r="M779" s="69"/>
      <c r="N779" s="69"/>
      <c r="O779" s="69"/>
      <c r="P779" s="2"/>
      <c r="Q779" s="2"/>
      <c r="R779" s="32"/>
      <c r="S779" s="32"/>
      <c r="T779" s="32"/>
      <c r="U779" s="32"/>
      <c r="V779" s="2"/>
      <c r="W779" s="2"/>
      <c r="X779" s="2"/>
      <c r="Y779" s="2"/>
      <c r="Z779" s="2"/>
    </row>
    <row r="780" spans="1:26" ht="13.8" x14ac:dyDescent="0.3">
      <c r="A780" s="2"/>
      <c r="B780" s="2"/>
      <c r="C780" s="10"/>
      <c r="D780" s="10"/>
      <c r="E780" s="10"/>
      <c r="F780" s="10"/>
      <c r="G780" s="69"/>
      <c r="H780" s="69"/>
      <c r="I780" s="69"/>
      <c r="J780" s="70"/>
      <c r="K780" s="69"/>
      <c r="L780" s="32"/>
      <c r="M780" s="69"/>
      <c r="N780" s="69"/>
      <c r="O780" s="69"/>
      <c r="P780" s="2"/>
      <c r="Q780" s="2"/>
      <c r="R780" s="32"/>
      <c r="S780" s="32"/>
      <c r="T780" s="32"/>
      <c r="U780" s="32"/>
      <c r="V780" s="2"/>
      <c r="W780" s="2"/>
      <c r="X780" s="2"/>
      <c r="Y780" s="2"/>
      <c r="Z780" s="2"/>
    </row>
    <row r="781" spans="1:26" ht="13.8" x14ac:dyDescent="0.3">
      <c r="A781" s="2"/>
      <c r="B781" s="2"/>
      <c r="C781" s="10"/>
      <c r="D781" s="10"/>
      <c r="E781" s="10"/>
      <c r="F781" s="10"/>
      <c r="G781" s="69"/>
      <c r="H781" s="69"/>
      <c r="I781" s="69"/>
      <c r="J781" s="70"/>
      <c r="K781" s="69"/>
      <c r="L781" s="32"/>
      <c r="M781" s="69"/>
      <c r="N781" s="69"/>
      <c r="O781" s="69"/>
      <c r="P781" s="2"/>
      <c r="Q781" s="2"/>
      <c r="R781" s="32"/>
      <c r="S781" s="32"/>
      <c r="T781" s="32"/>
      <c r="U781" s="32"/>
      <c r="V781" s="2"/>
      <c r="W781" s="2"/>
      <c r="X781" s="2"/>
      <c r="Y781" s="2"/>
      <c r="Z781" s="2"/>
    </row>
    <row r="782" spans="1:26" ht="13.8" x14ac:dyDescent="0.3">
      <c r="A782" s="2"/>
      <c r="B782" s="2"/>
      <c r="C782" s="10"/>
      <c r="D782" s="10"/>
      <c r="E782" s="10"/>
      <c r="F782" s="10"/>
      <c r="G782" s="69"/>
      <c r="H782" s="69"/>
      <c r="I782" s="69"/>
      <c r="J782" s="70"/>
      <c r="K782" s="69"/>
      <c r="L782" s="32"/>
      <c r="M782" s="69"/>
      <c r="N782" s="69"/>
      <c r="O782" s="69"/>
      <c r="P782" s="2"/>
      <c r="Q782" s="2"/>
      <c r="R782" s="32"/>
      <c r="S782" s="32"/>
      <c r="T782" s="32"/>
      <c r="U782" s="32"/>
      <c r="V782" s="2"/>
      <c r="W782" s="2"/>
      <c r="X782" s="2"/>
      <c r="Y782" s="2"/>
      <c r="Z782" s="2"/>
    </row>
    <row r="783" spans="1:26" ht="13.8" x14ac:dyDescent="0.3">
      <c r="A783" s="2"/>
      <c r="B783" s="2"/>
      <c r="C783" s="10"/>
      <c r="D783" s="10"/>
      <c r="E783" s="10"/>
      <c r="F783" s="10"/>
      <c r="G783" s="69"/>
      <c r="H783" s="69"/>
      <c r="I783" s="69"/>
      <c r="J783" s="70"/>
      <c r="K783" s="69"/>
      <c r="L783" s="32"/>
      <c r="M783" s="69"/>
      <c r="N783" s="69"/>
      <c r="O783" s="69"/>
      <c r="P783" s="2"/>
      <c r="Q783" s="2"/>
      <c r="R783" s="32"/>
      <c r="S783" s="32"/>
      <c r="T783" s="32"/>
      <c r="U783" s="32"/>
      <c r="V783" s="2"/>
      <c r="W783" s="2"/>
      <c r="X783" s="2"/>
      <c r="Y783" s="2"/>
      <c r="Z783" s="2"/>
    </row>
    <row r="784" spans="1:26" ht="13.8" x14ac:dyDescent="0.3">
      <c r="A784" s="2"/>
      <c r="B784" s="2"/>
      <c r="C784" s="10"/>
      <c r="D784" s="10"/>
      <c r="E784" s="10"/>
      <c r="F784" s="10"/>
      <c r="G784" s="69"/>
      <c r="H784" s="69"/>
      <c r="I784" s="69"/>
      <c r="J784" s="70"/>
      <c r="K784" s="69"/>
      <c r="L784" s="32"/>
      <c r="M784" s="69"/>
      <c r="N784" s="69"/>
      <c r="O784" s="69"/>
      <c r="P784" s="2"/>
      <c r="Q784" s="2"/>
      <c r="R784" s="32"/>
      <c r="S784" s="32"/>
      <c r="T784" s="32"/>
      <c r="U784" s="32"/>
      <c r="V784" s="2"/>
      <c r="W784" s="2"/>
      <c r="X784" s="2"/>
      <c r="Y784" s="2"/>
      <c r="Z784" s="2"/>
    </row>
    <row r="785" spans="1:26" ht="13.8" x14ac:dyDescent="0.3">
      <c r="A785" s="2"/>
      <c r="B785" s="2"/>
      <c r="C785" s="10"/>
      <c r="D785" s="10"/>
      <c r="E785" s="10"/>
      <c r="F785" s="10"/>
      <c r="G785" s="69"/>
      <c r="H785" s="69"/>
      <c r="I785" s="69"/>
      <c r="J785" s="70"/>
      <c r="K785" s="69"/>
      <c r="L785" s="32"/>
      <c r="M785" s="69"/>
      <c r="N785" s="69"/>
      <c r="O785" s="69"/>
      <c r="P785" s="2"/>
      <c r="Q785" s="2"/>
      <c r="R785" s="32"/>
      <c r="S785" s="32"/>
      <c r="T785" s="32"/>
      <c r="U785" s="32"/>
      <c r="V785" s="2"/>
      <c r="W785" s="2"/>
      <c r="X785" s="2"/>
      <c r="Y785" s="2"/>
      <c r="Z785" s="2"/>
    </row>
    <row r="786" spans="1:26" ht="13.8" x14ac:dyDescent="0.3">
      <c r="A786" s="2"/>
      <c r="B786" s="2"/>
      <c r="C786" s="10"/>
      <c r="D786" s="10"/>
      <c r="E786" s="10"/>
      <c r="F786" s="10"/>
      <c r="G786" s="69"/>
      <c r="H786" s="69"/>
      <c r="I786" s="69"/>
      <c r="J786" s="70"/>
      <c r="K786" s="69"/>
      <c r="L786" s="32"/>
      <c r="M786" s="69"/>
      <c r="N786" s="69"/>
      <c r="O786" s="69"/>
      <c r="P786" s="2"/>
      <c r="Q786" s="2"/>
      <c r="R786" s="32"/>
      <c r="S786" s="32"/>
      <c r="T786" s="32"/>
      <c r="U786" s="32"/>
      <c r="V786" s="2"/>
      <c r="W786" s="2"/>
      <c r="X786" s="2"/>
      <c r="Y786" s="2"/>
      <c r="Z786" s="2"/>
    </row>
    <row r="787" spans="1:26" ht="13.8" x14ac:dyDescent="0.3">
      <c r="A787" s="2"/>
      <c r="B787" s="2"/>
      <c r="C787" s="10"/>
      <c r="D787" s="10"/>
      <c r="E787" s="10"/>
      <c r="F787" s="10"/>
      <c r="G787" s="69"/>
      <c r="H787" s="69"/>
      <c r="I787" s="69"/>
      <c r="J787" s="70"/>
      <c r="K787" s="69"/>
      <c r="L787" s="32"/>
      <c r="M787" s="69"/>
      <c r="N787" s="69"/>
      <c r="O787" s="69"/>
      <c r="P787" s="2"/>
      <c r="Q787" s="2"/>
      <c r="R787" s="32"/>
      <c r="S787" s="32"/>
      <c r="T787" s="32"/>
      <c r="U787" s="32"/>
      <c r="V787" s="2"/>
      <c r="W787" s="2"/>
      <c r="X787" s="2"/>
      <c r="Y787" s="2"/>
      <c r="Z787" s="2"/>
    </row>
    <row r="788" spans="1:26" ht="13.8" x14ac:dyDescent="0.3">
      <c r="A788" s="2"/>
      <c r="B788" s="2"/>
      <c r="C788" s="10"/>
      <c r="D788" s="10"/>
      <c r="E788" s="10"/>
      <c r="F788" s="10"/>
      <c r="G788" s="69"/>
      <c r="H788" s="69"/>
      <c r="I788" s="69"/>
      <c r="J788" s="70"/>
      <c r="K788" s="69"/>
      <c r="L788" s="32"/>
      <c r="M788" s="69"/>
      <c r="N788" s="69"/>
      <c r="O788" s="69"/>
      <c r="P788" s="2"/>
      <c r="Q788" s="2"/>
      <c r="R788" s="32"/>
      <c r="S788" s="32"/>
      <c r="T788" s="32"/>
      <c r="U788" s="32"/>
      <c r="V788" s="2"/>
      <c r="W788" s="2"/>
      <c r="X788" s="2"/>
      <c r="Y788" s="2"/>
      <c r="Z788" s="2"/>
    </row>
    <row r="789" spans="1:26" ht="13.8" x14ac:dyDescent="0.3">
      <c r="A789" s="2"/>
      <c r="B789" s="2"/>
      <c r="C789" s="10"/>
      <c r="D789" s="10"/>
      <c r="E789" s="10"/>
      <c r="F789" s="10"/>
      <c r="G789" s="69"/>
      <c r="H789" s="69"/>
      <c r="I789" s="69"/>
      <c r="J789" s="70"/>
      <c r="K789" s="69"/>
      <c r="L789" s="32"/>
      <c r="M789" s="69"/>
      <c r="N789" s="69"/>
      <c r="O789" s="69"/>
      <c r="P789" s="2"/>
      <c r="Q789" s="2"/>
      <c r="R789" s="32"/>
      <c r="S789" s="32"/>
      <c r="T789" s="32"/>
      <c r="U789" s="32"/>
      <c r="V789" s="2"/>
      <c r="W789" s="2"/>
      <c r="X789" s="2"/>
      <c r="Y789" s="2"/>
      <c r="Z789" s="2"/>
    </row>
    <row r="790" spans="1:26" ht="13.8" x14ac:dyDescent="0.3">
      <c r="A790" s="2"/>
      <c r="B790" s="2"/>
      <c r="C790" s="10"/>
      <c r="D790" s="10"/>
      <c r="E790" s="10"/>
      <c r="F790" s="10"/>
      <c r="G790" s="69"/>
      <c r="H790" s="69"/>
      <c r="I790" s="69"/>
      <c r="J790" s="70"/>
      <c r="K790" s="69"/>
      <c r="L790" s="32"/>
      <c r="M790" s="69"/>
      <c r="N790" s="69"/>
      <c r="O790" s="69"/>
      <c r="P790" s="2"/>
      <c r="Q790" s="2"/>
      <c r="R790" s="32"/>
      <c r="S790" s="32"/>
      <c r="T790" s="32"/>
      <c r="U790" s="32"/>
      <c r="V790" s="2"/>
      <c r="W790" s="2"/>
      <c r="X790" s="2"/>
      <c r="Y790" s="2"/>
      <c r="Z790" s="2"/>
    </row>
    <row r="791" spans="1:26" ht="13.8" x14ac:dyDescent="0.3">
      <c r="A791" s="2"/>
      <c r="B791" s="2"/>
      <c r="C791" s="10"/>
      <c r="D791" s="10"/>
      <c r="E791" s="10"/>
      <c r="F791" s="10"/>
      <c r="G791" s="69"/>
      <c r="H791" s="69"/>
      <c r="I791" s="69"/>
      <c r="J791" s="70"/>
      <c r="K791" s="69"/>
      <c r="L791" s="32"/>
      <c r="M791" s="69"/>
      <c r="N791" s="69"/>
      <c r="O791" s="69"/>
      <c r="P791" s="2"/>
      <c r="Q791" s="2"/>
      <c r="R791" s="32"/>
      <c r="S791" s="32"/>
      <c r="T791" s="32"/>
      <c r="U791" s="32"/>
      <c r="V791" s="2"/>
      <c r="W791" s="2"/>
      <c r="X791" s="2"/>
      <c r="Y791" s="2"/>
      <c r="Z791" s="2"/>
    </row>
    <row r="792" spans="1:26" ht="13.8" x14ac:dyDescent="0.3">
      <c r="A792" s="2"/>
      <c r="B792" s="2"/>
      <c r="C792" s="10"/>
      <c r="D792" s="10"/>
      <c r="E792" s="10"/>
      <c r="F792" s="10"/>
      <c r="G792" s="69"/>
      <c r="H792" s="69"/>
      <c r="I792" s="69"/>
      <c r="J792" s="70"/>
      <c r="K792" s="69"/>
      <c r="L792" s="32"/>
      <c r="M792" s="69"/>
      <c r="N792" s="69"/>
      <c r="O792" s="69"/>
      <c r="P792" s="2"/>
      <c r="Q792" s="2"/>
      <c r="R792" s="32"/>
      <c r="S792" s="32"/>
      <c r="T792" s="32"/>
      <c r="U792" s="32"/>
      <c r="V792" s="2"/>
      <c r="W792" s="2"/>
      <c r="X792" s="2"/>
      <c r="Y792" s="2"/>
      <c r="Z792" s="2"/>
    </row>
    <row r="793" spans="1:26" ht="13.8" x14ac:dyDescent="0.3">
      <c r="A793" s="2"/>
      <c r="B793" s="2"/>
      <c r="C793" s="10"/>
      <c r="D793" s="10"/>
      <c r="E793" s="10"/>
      <c r="F793" s="10"/>
      <c r="G793" s="69"/>
      <c r="H793" s="69"/>
      <c r="I793" s="69"/>
      <c r="J793" s="70"/>
      <c r="K793" s="69"/>
      <c r="L793" s="32"/>
      <c r="M793" s="69"/>
      <c r="N793" s="69"/>
      <c r="O793" s="69"/>
      <c r="P793" s="2"/>
      <c r="Q793" s="2"/>
      <c r="R793" s="32"/>
      <c r="S793" s="32"/>
      <c r="T793" s="32"/>
      <c r="U793" s="32"/>
      <c r="V793" s="2"/>
      <c r="W793" s="2"/>
      <c r="X793" s="2"/>
      <c r="Y793" s="2"/>
      <c r="Z793" s="2"/>
    </row>
    <row r="794" spans="1:26" ht="13.8" x14ac:dyDescent="0.3">
      <c r="A794" s="2"/>
      <c r="B794" s="2"/>
      <c r="C794" s="10"/>
      <c r="D794" s="10"/>
      <c r="E794" s="10"/>
      <c r="F794" s="10"/>
      <c r="G794" s="69"/>
      <c r="H794" s="69"/>
      <c r="I794" s="69"/>
      <c r="J794" s="70"/>
      <c r="K794" s="69"/>
      <c r="L794" s="32"/>
      <c r="M794" s="69"/>
      <c r="N794" s="69"/>
      <c r="O794" s="69"/>
      <c r="P794" s="2"/>
      <c r="Q794" s="2"/>
      <c r="R794" s="32"/>
      <c r="S794" s="32"/>
      <c r="T794" s="32"/>
      <c r="U794" s="32"/>
      <c r="V794" s="2"/>
      <c r="W794" s="2"/>
      <c r="X794" s="2"/>
      <c r="Y794" s="2"/>
      <c r="Z794" s="2"/>
    </row>
    <row r="795" spans="1:26" ht="13.8" x14ac:dyDescent="0.3">
      <c r="A795" s="2"/>
      <c r="B795" s="2"/>
      <c r="C795" s="10"/>
      <c r="D795" s="10"/>
      <c r="E795" s="10"/>
      <c r="F795" s="10"/>
      <c r="G795" s="69"/>
      <c r="H795" s="69"/>
      <c r="I795" s="69"/>
      <c r="J795" s="70"/>
      <c r="K795" s="69"/>
      <c r="L795" s="32"/>
      <c r="M795" s="69"/>
      <c r="N795" s="69"/>
      <c r="O795" s="69"/>
      <c r="P795" s="2"/>
      <c r="Q795" s="2"/>
      <c r="R795" s="32"/>
      <c r="S795" s="32"/>
      <c r="T795" s="32"/>
      <c r="U795" s="32"/>
      <c r="V795" s="2"/>
      <c r="W795" s="2"/>
      <c r="X795" s="2"/>
      <c r="Y795" s="2"/>
      <c r="Z795" s="2"/>
    </row>
    <row r="796" spans="1:26" ht="13.8" x14ac:dyDescent="0.3">
      <c r="A796" s="2"/>
      <c r="B796" s="2"/>
      <c r="C796" s="10"/>
      <c r="D796" s="10"/>
      <c r="E796" s="10"/>
      <c r="F796" s="10"/>
      <c r="G796" s="69"/>
      <c r="H796" s="69"/>
      <c r="I796" s="69"/>
      <c r="J796" s="70"/>
      <c r="K796" s="69"/>
      <c r="L796" s="32"/>
      <c r="M796" s="69"/>
      <c r="N796" s="69"/>
      <c r="O796" s="69"/>
      <c r="P796" s="2"/>
      <c r="Q796" s="2"/>
      <c r="R796" s="32"/>
      <c r="S796" s="32"/>
      <c r="T796" s="32"/>
      <c r="U796" s="32"/>
      <c r="V796" s="2"/>
      <c r="W796" s="2"/>
      <c r="X796" s="2"/>
      <c r="Y796" s="2"/>
      <c r="Z796" s="2"/>
    </row>
    <row r="797" spans="1:26" ht="13.8" x14ac:dyDescent="0.3">
      <c r="A797" s="2"/>
      <c r="B797" s="2"/>
      <c r="C797" s="10"/>
      <c r="D797" s="10"/>
      <c r="E797" s="10"/>
      <c r="F797" s="10"/>
      <c r="G797" s="69"/>
      <c r="H797" s="69"/>
      <c r="I797" s="69"/>
      <c r="J797" s="70"/>
      <c r="K797" s="69"/>
      <c r="L797" s="32"/>
      <c r="M797" s="69"/>
      <c r="N797" s="69"/>
      <c r="O797" s="69"/>
      <c r="P797" s="2"/>
      <c r="Q797" s="2"/>
      <c r="R797" s="32"/>
      <c r="S797" s="32"/>
      <c r="T797" s="32"/>
      <c r="U797" s="32"/>
      <c r="V797" s="2"/>
      <c r="W797" s="2"/>
      <c r="X797" s="2"/>
      <c r="Y797" s="2"/>
      <c r="Z797" s="2"/>
    </row>
    <row r="798" spans="1:26" ht="13.8" x14ac:dyDescent="0.3">
      <c r="A798" s="2"/>
      <c r="B798" s="2"/>
      <c r="C798" s="10"/>
      <c r="D798" s="10"/>
      <c r="E798" s="10"/>
      <c r="F798" s="10"/>
      <c r="G798" s="69"/>
      <c r="H798" s="69"/>
      <c r="I798" s="69"/>
      <c r="J798" s="70"/>
      <c r="K798" s="69"/>
      <c r="L798" s="32"/>
      <c r="M798" s="69"/>
      <c r="N798" s="69"/>
      <c r="O798" s="69"/>
      <c r="P798" s="2"/>
      <c r="Q798" s="2"/>
      <c r="R798" s="32"/>
      <c r="S798" s="32"/>
      <c r="T798" s="32"/>
      <c r="U798" s="32"/>
      <c r="V798" s="2"/>
      <c r="W798" s="2"/>
      <c r="X798" s="2"/>
      <c r="Y798" s="2"/>
      <c r="Z798" s="2"/>
    </row>
    <row r="799" spans="1:26" ht="13.8" x14ac:dyDescent="0.3">
      <c r="A799" s="2"/>
      <c r="B799" s="2"/>
      <c r="C799" s="10"/>
      <c r="D799" s="10"/>
      <c r="E799" s="10"/>
      <c r="F799" s="10"/>
      <c r="G799" s="69"/>
      <c r="H799" s="69"/>
      <c r="I799" s="69"/>
      <c r="J799" s="70"/>
      <c r="K799" s="69"/>
      <c r="L799" s="32"/>
      <c r="M799" s="69"/>
      <c r="N799" s="69"/>
      <c r="O799" s="69"/>
      <c r="P799" s="2"/>
      <c r="Q799" s="2"/>
      <c r="R799" s="32"/>
      <c r="S799" s="32"/>
      <c r="T799" s="32"/>
      <c r="U799" s="32"/>
      <c r="V799" s="2"/>
      <c r="W799" s="2"/>
      <c r="X799" s="2"/>
      <c r="Y799" s="2"/>
      <c r="Z799" s="2"/>
    </row>
    <row r="800" spans="1:26" ht="13.8" x14ac:dyDescent="0.3">
      <c r="A800" s="2"/>
      <c r="B800" s="2"/>
      <c r="C800" s="10"/>
      <c r="D800" s="10"/>
      <c r="E800" s="10"/>
      <c r="F800" s="10"/>
      <c r="G800" s="69"/>
      <c r="H800" s="69"/>
      <c r="I800" s="69"/>
      <c r="J800" s="70"/>
      <c r="K800" s="69"/>
      <c r="L800" s="32"/>
      <c r="M800" s="69"/>
      <c r="N800" s="69"/>
      <c r="O800" s="69"/>
      <c r="P800" s="2"/>
      <c r="Q800" s="2"/>
      <c r="R800" s="32"/>
      <c r="S800" s="32"/>
      <c r="T800" s="32"/>
      <c r="U800" s="32"/>
      <c r="V800" s="2"/>
      <c r="W800" s="2"/>
      <c r="X800" s="2"/>
      <c r="Y800" s="2"/>
      <c r="Z800" s="2"/>
    </row>
    <row r="801" spans="1:26" ht="13.8" x14ac:dyDescent="0.3">
      <c r="A801" s="2"/>
      <c r="B801" s="2"/>
      <c r="C801" s="10"/>
      <c r="D801" s="10"/>
      <c r="E801" s="10"/>
      <c r="F801" s="10"/>
      <c r="G801" s="69"/>
      <c r="H801" s="69"/>
      <c r="I801" s="69"/>
      <c r="J801" s="70"/>
      <c r="K801" s="69"/>
      <c r="L801" s="32"/>
      <c r="M801" s="69"/>
      <c r="N801" s="69"/>
      <c r="O801" s="69"/>
      <c r="P801" s="2"/>
      <c r="Q801" s="2"/>
      <c r="R801" s="32"/>
      <c r="S801" s="32"/>
      <c r="T801" s="32"/>
      <c r="U801" s="32"/>
      <c r="V801" s="2"/>
      <c r="W801" s="2"/>
      <c r="X801" s="2"/>
      <c r="Y801" s="2"/>
      <c r="Z801" s="2"/>
    </row>
    <row r="802" spans="1:26" ht="13.8" x14ac:dyDescent="0.3">
      <c r="A802" s="2"/>
      <c r="B802" s="2"/>
      <c r="C802" s="10"/>
      <c r="D802" s="10"/>
      <c r="E802" s="10"/>
      <c r="F802" s="10"/>
      <c r="G802" s="69"/>
      <c r="H802" s="69"/>
      <c r="I802" s="69"/>
      <c r="J802" s="70"/>
      <c r="K802" s="69"/>
      <c r="L802" s="32"/>
      <c r="M802" s="69"/>
      <c r="N802" s="69"/>
      <c r="O802" s="69"/>
      <c r="P802" s="2"/>
      <c r="Q802" s="2"/>
      <c r="R802" s="32"/>
      <c r="S802" s="32"/>
      <c r="T802" s="32"/>
      <c r="U802" s="32"/>
      <c r="V802" s="2"/>
      <c r="W802" s="2"/>
      <c r="X802" s="2"/>
      <c r="Y802" s="2"/>
      <c r="Z802" s="2"/>
    </row>
    <row r="803" spans="1:26" ht="13.8" x14ac:dyDescent="0.3">
      <c r="A803" s="2"/>
      <c r="B803" s="2"/>
      <c r="C803" s="10"/>
      <c r="D803" s="10"/>
      <c r="E803" s="10"/>
      <c r="F803" s="10"/>
      <c r="G803" s="69"/>
      <c r="H803" s="69"/>
      <c r="I803" s="69"/>
      <c r="J803" s="70"/>
      <c r="K803" s="69"/>
      <c r="L803" s="32"/>
      <c r="M803" s="69"/>
      <c r="N803" s="69"/>
      <c r="O803" s="69"/>
      <c r="P803" s="2"/>
      <c r="Q803" s="2"/>
      <c r="R803" s="32"/>
      <c r="S803" s="32"/>
      <c r="T803" s="32"/>
      <c r="U803" s="32"/>
      <c r="V803" s="2"/>
      <c r="W803" s="2"/>
      <c r="X803" s="2"/>
      <c r="Y803" s="2"/>
      <c r="Z803" s="2"/>
    </row>
    <row r="804" spans="1:26" ht="13.8" x14ac:dyDescent="0.3">
      <c r="A804" s="2"/>
      <c r="B804" s="2"/>
      <c r="C804" s="10"/>
      <c r="D804" s="10"/>
      <c r="E804" s="10"/>
      <c r="F804" s="10"/>
      <c r="G804" s="69"/>
      <c r="H804" s="69"/>
      <c r="I804" s="69"/>
      <c r="J804" s="70"/>
      <c r="K804" s="69"/>
      <c r="L804" s="32"/>
      <c r="M804" s="69"/>
      <c r="N804" s="69"/>
      <c r="O804" s="69"/>
      <c r="P804" s="2"/>
      <c r="Q804" s="2"/>
      <c r="R804" s="32"/>
      <c r="S804" s="32"/>
      <c r="T804" s="32"/>
      <c r="U804" s="32"/>
      <c r="V804" s="2"/>
      <c r="W804" s="2"/>
      <c r="X804" s="2"/>
      <c r="Y804" s="2"/>
      <c r="Z804" s="2"/>
    </row>
    <row r="805" spans="1:26" ht="13.8" x14ac:dyDescent="0.3">
      <c r="A805" s="2"/>
      <c r="B805" s="2"/>
      <c r="C805" s="10"/>
      <c r="D805" s="10"/>
      <c r="E805" s="10"/>
      <c r="F805" s="10"/>
      <c r="G805" s="69"/>
      <c r="H805" s="69"/>
      <c r="I805" s="69"/>
      <c r="J805" s="70"/>
      <c r="K805" s="69"/>
      <c r="L805" s="32"/>
      <c r="M805" s="69"/>
      <c r="N805" s="69"/>
      <c r="O805" s="69"/>
      <c r="P805" s="2"/>
      <c r="Q805" s="2"/>
      <c r="R805" s="32"/>
      <c r="S805" s="32"/>
      <c r="T805" s="32"/>
      <c r="U805" s="32"/>
      <c r="V805" s="2"/>
      <c r="W805" s="2"/>
      <c r="X805" s="2"/>
      <c r="Y805" s="2"/>
      <c r="Z805" s="2"/>
    </row>
    <row r="806" spans="1:26" ht="13.8" x14ac:dyDescent="0.3">
      <c r="A806" s="2"/>
      <c r="B806" s="2"/>
      <c r="C806" s="10"/>
      <c r="D806" s="10"/>
      <c r="E806" s="10"/>
      <c r="F806" s="10"/>
      <c r="G806" s="69"/>
      <c r="H806" s="69"/>
      <c r="I806" s="69"/>
      <c r="J806" s="70"/>
      <c r="K806" s="69"/>
      <c r="L806" s="32"/>
      <c r="M806" s="69"/>
      <c r="N806" s="69"/>
      <c r="O806" s="69"/>
      <c r="P806" s="2"/>
      <c r="Q806" s="2"/>
      <c r="R806" s="32"/>
      <c r="S806" s="32"/>
      <c r="T806" s="32"/>
      <c r="U806" s="32"/>
      <c r="V806" s="2"/>
      <c r="W806" s="2"/>
      <c r="X806" s="2"/>
      <c r="Y806" s="2"/>
      <c r="Z806" s="2"/>
    </row>
    <row r="807" spans="1:26" ht="13.8" x14ac:dyDescent="0.3">
      <c r="A807" s="2"/>
      <c r="B807" s="2"/>
      <c r="C807" s="10"/>
      <c r="D807" s="10"/>
      <c r="E807" s="10"/>
      <c r="F807" s="10"/>
      <c r="G807" s="69"/>
      <c r="H807" s="69"/>
      <c r="I807" s="69"/>
      <c r="J807" s="70"/>
      <c r="K807" s="69"/>
      <c r="L807" s="32"/>
      <c r="M807" s="69"/>
      <c r="N807" s="69"/>
      <c r="O807" s="69"/>
      <c r="P807" s="2"/>
      <c r="Q807" s="2"/>
      <c r="R807" s="32"/>
      <c r="S807" s="32"/>
      <c r="T807" s="32"/>
      <c r="U807" s="32"/>
      <c r="V807" s="2"/>
      <c r="W807" s="2"/>
      <c r="X807" s="2"/>
      <c r="Y807" s="2"/>
      <c r="Z807" s="2"/>
    </row>
    <row r="808" spans="1:26" ht="13.8" x14ac:dyDescent="0.3">
      <c r="A808" s="2"/>
      <c r="B808" s="2"/>
      <c r="C808" s="10"/>
      <c r="D808" s="10"/>
      <c r="E808" s="10"/>
      <c r="F808" s="10"/>
      <c r="G808" s="69"/>
      <c r="H808" s="69"/>
      <c r="I808" s="69"/>
      <c r="J808" s="70"/>
      <c r="K808" s="69"/>
      <c r="L808" s="32"/>
      <c r="M808" s="69"/>
      <c r="N808" s="69"/>
      <c r="O808" s="69"/>
      <c r="P808" s="2"/>
      <c r="Q808" s="2"/>
      <c r="R808" s="32"/>
      <c r="S808" s="32"/>
      <c r="T808" s="32"/>
      <c r="U808" s="32"/>
      <c r="V808" s="2"/>
      <c r="W808" s="2"/>
      <c r="X808" s="2"/>
      <c r="Y808" s="2"/>
      <c r="Z808" s="2"/>
    </row>
    <row r="809" spans="1:26" ht="13.8" x14ac:dyDescent="0.3">
      <c r="A809" s="2"/>
      <c r="B809" s="2"/>
      <c r="C809" s="10"/>
      <c r="D809" s="10"/>
      <c r="E809" s="10"/>
      <c r="F809" s="10"/>
      <c r="G809" s="69"/>
      <c r="H809" s="69"/>
      <c r="I809" s="69"/>
      <c r="J809" s="70"/>
      <c r="K809" s="69"/>
      <c r="L809" s="32"/>
      <c r="M809" s="69"/>
      <c r="N809" s="69"/>
      <c r="O809" s="69"/>
      <c r="P809" s="2"/>
      <c r="Q809" s="2"/>
      <c r="R809" s="32"/>
      <c r="S809" s="32"/>
      <c r="T809" s="32"/>
      <c r="U809" s="32"/>
      <c r="V809" s="2"/>
      <c r="W809" s="2"/>
      <c r="X809" s="2"/>
      <c r="Y809" s="2"/>
      <c r="Z809" s="2"/>
    </row>
    <row r="810" spans="1:26" ht="13.8" x14ac:dyDescent="0.3">
      <c r="A810" s="2"/>
      <c r="B810" s="2"/>
      <c r="C810" s="10"/>
      <c r="D810" s="10"/>
      <c r="E810" s="10"/>
      <c r="F810" s="10"/>
      <c r="G810" s="69"/>
      <c r="H810" s="69"/>
      <c r="I810" s="69"/>
      <c r="J810" s="70"/>
      <c r="K810" s="69"/>
      <c r="L810" s="32"/>
      <c r="M810" s="69"/>
      <c r="N810" s="69"/>
      <c r="O810" s="69"/>
      <c r="P810" s="2"/>
      <c r="Q810" s="2"/>
      <c r="R810" s="32"/>
      <c r="S810" s="32"/>
      <c r="T810" s="32"/>
      <c r="U810" s="32"/>
      <c r="V810" s="2"/>
      <c r="W810" s="2"/>
      <c r="X810" s="2"/>
      <c r="Y810" s="2"/>
      <c r="Z810" s="2"/>
    </row>
    <row r="811" spans="1:26" ht="13.8" x14ac:dyDescent="0.3">
      <c r="A811" s="2"/>
      <c r="B811" s="2"/>
      <c r="C811" s="10"/>
      <c r="D811" s="10"/>
      <c r="E811" s="10"/>
      <c r="F811" s="10"/>
      <c r="G811" s="69"/>
      <c r="H811" s="69"/>
      <c r="I811" s="69"/>
      <c r="J811" s="70"/>
      <c r="K811" s="69"/>
      <c r="L811" s="32"/>
      <c r="M811" s="69"/>
      <c r="N811" s="69"/>
      <c r="O811" s="69"/>
      <c r="P811" s="2"/>
      <c r="Q811" s="2"/>
      <c r="R811" s="32"/>
      <c r="S811" s="32"/>
      <c r="T811" s="32"/>
      <c r="U811" s="32"/>
      <c r="V811" s="2"/>
      <c r="W811" s="2"/>
      <c r="X811" s="2"/>
      <c r="Y811" s="2"/>
      <c r="Z811" s="2"/>
    </row>
    <row r="812" spans="1:26" ht="13.8" x14ac:dyDescent="0.3">
      <c r="A812" s="2"/>
      <c r="B812" s="2"/>
      <c r="C812" s="10"/>
      <c r="D812" s="10"/>
      <c r="E812" s="10"/>
      <c r="F812" s="10"/>
      <c r="G812" s="69"/>
      <c r="H812" s="69"/>
      <c r="I812" s="69"/>
      <c r="J812" s="70"/>
      <c r="K812" s="69"/>
      <c r="L812" s="32"/>
      <c r="M812" s="69"/>
      <c r="N812" s="69"/>
      <c r="O812" s="69"/>
      <c r="P812" s="2"/>
      <c r="Q812" s="2"/>
      <c r="R812" s="32"/>
      <c r="S812" s="32"/>
      <c r="T812" s="32"/>
      <c r="U812" s="32"/>
      <c r="V812" s="2"/>
      <c r="W812" s="2"/>
      <c r="X812" s="2"/>
      <c r="Y812" s="2"/>
      <c r="Z812" s="2"/>
    </row>
    <row r="813" spans="1:26" ht="13.8" x14ac:dyDescent="0.3">
      <c r="A813" s="2"/>
      <c r="B813" s="2"/>
      <c r="C813" s="10"/>
      <c r="D813" s="10"/>
      <c r="E813" s="10"/>
      <c r="F813" s="10"/>
      <c r="G813" s="69"/>
      <c r="H813" s="69"/>
      <c r="I813" s="69"/>
      <c r="J813" s="70"/>
      <c r="K813" s="69"/>
      <c r="L813" s="32"/>
      <c r="M813" s="69"/>
      <c r="N813" s="69"/>
      <c r="O813" s="69"/>
      <c r="P813" s="2"/>
      <c r="Q813" s="2"/>
      <c r="R813" s="32"/>
      <c r="S813" s="32"/>
      <c r="T813" s="32"/>
      <c r="U813" s="32"/>
      <c r="V813" s="2"/>
      <c r="W813" s="2"/>
      <c r="X813" s="2"/>
      <c r="Y813" s="2"/>
      <c r="Z813" s="2"/>
    </row>
    <row r="814" spans="1:26" ht="13.8" x14ac:dyDescent="0.3">
      <c r="A814" s="2"/>
      <c r="B814" s="2"/>
      <c r="C814" s="10"/>
      <c r="D814" s="10"/>
      <c r="E814" s="10"/>
      <c r="F814" s="10"/>
      <c r="G814" s="69"/>
      <c r="H814" s="69"/>
      <c r="I814" s="69"/>
      <c r="J814" s="70"/>
      <c r="K814" s="69"/>
      <c r="L814" s="32"/>
      <c r="M814" s="69"/>
      <c r="N814" s="69"/>
      <c r="O814" s="69"/>
      <c r="P814" s="2"/>
      <c r="Q814" s="2"/>
      <c r="R814" s="32"/>
      <c r="S814" s="32"/>
      <c r="T814" s="32"/>
      <c r="U814" s="32"/>
      <c r="V814" s="2"/>
      <c r="W814" s="2"/>
      <c r="X814" s="2"/>
      <c r="Y814" s="2"/>
      <c r="Z814" s="2"/>
    </row>
    <row r="815" spans="1:26" ht="13.8" x14ac:dyDescent="0.3">
      <c r="A815" s="2"/>
      <c r="B815" s="2"/>
      <c r="C815" s="10"/>
      <c r="D815" s="10"/>
      <c r="E815" s="10"/>
      <c r="F815" s="10"/>
      <c r="G815" s="69"/>
      <c r="H815" s="69"/>
      <c r="I815" s="69"/>
      <c r="J815" s="70"/>
      <c r="K815" s="69"/>
      <c r="L815" s="32"/>
      <c r="M815" s="69"/>
      <c r="N815" s="69"/>
      <c r="O815" s="69"/>
      <c r="P815" s="2"/>
      <c r="Q815" s="2"/>
      <c r="R815" s="32"/>
      <c r="S815" s="32"/>
      <c r="T815" s="32"/>
      <c r="U815" s="32"/>
      <c r="V815" s="2"/>
      <c r="W815" s="2"/>
      <c r="X815" s="2"/>
      <c r="Y815" s="2"/>
      <c r="Z815" s="2"/>
    </row>
    <row r="816" spans="1:26" ht="13.8" x14ac:dyDescent="0.3">
      <c r="A816" s="2"/>
      <c r="B816" s="2"/>
      <c r="C816" s="10"/>
      <c r="D816" s="10"/>
      <c r="E816" s="10"/>
      <c r="F816" s="10"/>
      <c r="G816" s="69"/>
      <c r="H816" s="69"/>
      <c r="I816" s="69"/>
      <c r="J816" s="70"/>
      <c r="K816" s="69"/>
      <c r="L816" s="32"/>
      <c r="M816" s="69"/>
      <c r="N816" s="69"/>
      <c r="O816" s="69"/>
      <c r="P816" s="2"/>
      <c r="Q816" s="2"/>
      <c r="R816" s="32"/>
      <c r="S816" s="32"/>
      <c r="T816" s="32"/>
      <c r="U816" s="32"/>
      <c r="V816" s="2"/>
      <c r="W816" s="2"/>
      <c r="X816" s="2"/>
      <c r="Y816" s="2"/>
      <c r="Z816" s="2"/>
    </row>
    <row r="817" spans="1:26" ht="13.8" x14ac:dyDescent="0.3">
      <c r="A817" s="2"/>
      <c r="B817" s="2"/>
      <c r="C817" s="10"/>
      <c r="D817" s="10"/>
      <c r="E817" s="10"/>
      <c r="F817" s="10"/>
      <c r="G817" s="69"/>
      <c r="H817" s="69"/>
      <c r="I817" s="69"/>
      <c r="J817" s="70"/>
      <c r="K817" s="69"/>
      <c r="L817" s="32"/>
      <c r="M817" s="69"/>
      <c r="N817" s="69"/>
      <c r="O817" s="69"/>
      <c r="P817" s="2"/>
      <c r="Q817" s="2"/>
      <c r="R817" s="32"/>
      <c r="S817" s="32"/>
      <c r="T817" s="32"/>
      <c r="U817" s="32"/>
      <c r="V817" s="2"/>
      <c r="W817" s="2"/>
      <c r="X817" s="2"/>
      <c r="Y817" s="2"/>
      <c r="Z817" s="2"/>
    </row>
    <row r="818" spans="1:26" ht="13.8" x14ac:dyDescent="0.3">
      <c r="A818" s="2"/>
      <c r="B818" s="2"/>
      <c r="C818" s="10"/>
      <c r="D818" s="10"/>
      <c r="E818" s="10"/>
      <c r="F818" s="10"/>
      <c r="G818" s="69"/>
      <c r="H818" s="69"/>
      <c r="I818" s="69"/>
      <c r="J818" s="70"/>
      <c r="K818" s="69"/>
      <c r="L818" s="32"/>
      <c r="M818" s="69"/>
      <c r="N818" s="69"/>
      <c r="O818" s="69"/>
      <c r="P818" s="2"/>
      <c r="Q818" s="2"/>
      <c r="R818" s="32"/>
      <c r="S818" s="32"/>
      <c r="T818" s="32"/>
      <c r="U818" s="32"/>
      <c r="V818" s="2"/>
      <c r="W818" s="2"/>
      <c r="X818" s="2"/>
      <c r="Y818" s="2"/>
      <c r="Z818" s="2"/>
    </row>
    <row r="819" spans="1:26" ht="13.8" x14ac:dyDescent="0.3">
      <c r="A819" s="2"/>
      <c r="B819" s="2"/>
      <c r="C819" s="10"/>
      <c r="D819" s="10"/>
      <c r="E819" s="10"/>
      <c r="F819" s="10"/>
      <c r="G819" s="69"/>
      <c r="H819" s="69"/>
      <c r="I819" s="69"/>
      <c r="J819" s="70"/>
      <c r="K819" s="69"/>
      <c r="L819" s="32"/>
      <c r="M819" s="69"/>
      <c r="N819" s="69"/>
      <c r="O819" s="69"/>
      <c r="P819" s="2"/>
      <c r="Q819" s="2"/>
      <c r="R819" s="32"/>
      <c r="S819" s="32"/>
      <c r="T819" s="32"/>
      <c r="U819" s="32"/>
      <c r="V819" s="2"/>
      <c r="W819" s="2"/>
      <c r="X819" s="2"/>
      <c r="Y819" s="2"/>
      <c r="Z819" s="2"/>
    </row>
    <row r="820" spans="1:26" ht="13.8" x14ac:dyDescent="0.3">
      <c r="A820" s="2"/>
      <c r="B820" s="2"/>
      <c r="C820" s="10"/>
      <c r="D820" s="10"/>
      <c r="E820" s="10"/>
      <c r="F820" s="10"/>
      <c r="G820" s="69"/>
      <c r="H820" s="69"/>
      <c r="I820" s="69"/>
      <c r="J820" s="70"/>
      <c r="K820" s="69"/>
      <c r="L820" s="32"/>
      <c r="M820" s="69"/>
      <c r="N820" s="69"/>
      <c r="O820" s="69"/>
      <c r="P820" s="2"/>
      <c r="Q820" s="2"/>
      <c r="R820" s="32"/>
      <c r="S820" s="32"/>
      <c r="T820" s="32"/>
      <c r="U820" s="32"/>
      <c r="V820" s="2"/>
      <c r="W820" s="2"/>
      <c r="X820" s="2"/>
      <c r="Y820" s="2"/>
      <c r="Z820" s="2"/>
    </row>
    <row r="821" spans="1:26" ht="13.8" x14ac:dyDescent="0.3">
      <c r="A821" s="2"/>
      <c r="B821" s="2"/>
      <c r="C821" s="10"/>
      <c r="D821" s="10"/>
      <c r="E821" s="10"/>
      <c r="F821" s="10"/>
      <c r="G821" s="69"/>
      <c r="H821" s="69"/>
      <c r="I821" s="69"/>
      <c r="J821" s="70"/>
      <c r="K821" s="69"/>
      <c r="L821" s="32"/>
      <c r="M821" s="69"/>
      <c r="N821" s="69"/>
      <c r="O821" s="69"/>
      <c r="P821" s="2"/>
      <c r="Q821" s="2"/>
      <c r="R821" s="32"/>
      <c r="S821" s="32"/>
      <c r="T821" s="32"/>
      <c r="U821" s="32"/>
      <c r="V821" s="2"/>
      <c r="W821" s="2"/>
      <c r="X821" s="2"/>
      <c r="Y821" s="2"/>
      <c r="Z821" s="2"/>
    </row>
    <row r="822" spans="1:26" ht="13.8" x14ac:dyDescent="0.3">
      <c r="A822" s="2"/>
      <c r="B822" s="2"/>
      <c r="C822" s="10"/>
      <c r="D822" s="10"/>
      <c r="E822" s="10"/>
      <c r="F822" s="10"/>
      <c r="G822" s="69"/>
      <c r="H822" s="69"/>
      <c r="I822" s="69"/>
      <c r="J822" s="70"/>
      <c r="K822" s="69"/>
      <c r="L822" s="32"/>
      <c r="M822" s="69"/>
      <c r="N822" s="69"/>
      <c r="O822" s="69"/>
      <c r="P822" s="2"/>
      <c r="Q822" s="2"/>
      <c r="R822" s="32"/>
      <c r="S822" s="32"/>
      <c r="T822" s="32"/>
      <c r="U822" s="32"/>
      <c r="V822" s="2"/>
      <c r="W822" s="2"/>
      <c r="X822" s="2"/>
      <c r="Y822" s="2"/>
      <c r="Z822" s="2"/>
    </row>
    <row r="823" spans="1:26" ht="13.8" x14ac:dyDescent="0.3">
      <c r="A823" s="2"/>
      <c r="B823" s="2"/>
      <c r="C823" s="10"/>
      <c r="D823" s="10"/>
      <c r="E823" s="10"/>
      <c r="F823" s="10"/>
      <c r="G823" s="69"/>
      <c r="H823" s="69"/>
      <c r="I823" s="69"/>
      <c r="J823" s="70"/>
      <c r="K823" s="69"/>
      <c r="L823" s="32"/>
      <c r="M823" s="69"/>
      <c r="N823" s="69"/>
      <c r="O823" s="69"/>
      <c r="P823" s="2"/>
      <c r="Q823" s="2"/>
      <c r="R823" s="32"/>
      <c r="S823" s="32"/>
      <c r="T823" s="32"/>
      <c r="U823" s="32"/>
      <c r="V823" s="2"/>
      <c r="W823" s="2"/>
      <c r="X823" s="2"/>
      <c r="Y823" s="2"/>
      <c r="Z823" s="2"/>
    </row>
    <row r="824" spans="1:26" ht="13.8" x14ac:dyDescent="0.3">
      <c r="A824" s="2"/>
      <c r="B824" s="2"/>
      <c r="C824" s="10"/>
      <c r="D824" s="10"/>
      <c r="E824" s="10"/>
      <c r="F824" s="10"/>
      <c r="G824" s="69"/>
      <c r="H824" s="69"/>
      <c r="I824" s="69"/>
      <c r="J824" s="70"/>
      <c r="K824" s="69"/>
      <c r="L824" s="32"/>
      <c r="M824" s="69"/>
      <c r="N824" s="69"/>
      <c r="O824" s="69"/>
      <c r="P824" s="2"/>
      <c r="Q824" s="2"/>
      <c r="R824" s="32"/>
      <c r="S824" s="32"/>
      <c r="T824" s="32"/>
      <c r="U824" s="32"/>
      <c r="V824" s="2"/>
      <c r="W824" s="2"/>
      <c r="X824" s="2"/>
      <c r="Y824" s="2"/>
      <c r="Z824" s="2"/>
    </row>
    <row r="825" spans="1:26" ht="13.8" x14ac:dyDescent="0.3">
      <c r="A825" s="2"/>
      <c r="B825" s="2"/>
      <c r="C825" s="10"/>
      <c r="D825" s="10"/>
      <c r="E825" s="10"/>
      <c r="F825" s="10"/>
      <c r="G825" s="69"/>
      <c r="H825" s="69"/>
      <c r="I825" s="69"/>
      <c r="J825" s="70"/>
      <c r="K825" s="69"/>
      <c r="L825" s="32"/>
      <c r="M825" s="69"/>
      <c r="N825" s="69"/>
      <c r="O825" s="69"/>
      <c r="P825" s="2"/>
      <c r="Q825" s="2"/>
      <c r="R825" s="32"/>
      <c r="S825" s="32"/>
      <c r="T825" s="32"/>
      <c r="U825" s="32"/>
      <c r="V825" s="2"/>
      <c r="W825" s="2"/>
      <c r="X825" s="2"/>
      <c r="Y825" s="2"/>
      <c r="Z825" s="2"/>
    </row>
    <row r="826" spans="1:26" ht="13.8" x14ac:dyDescent="0.3">
      <c r="A826" s="2"/>
      <c r="B826" s="2"/>
      <c r="C826" s="10"/>
      <c r="D826" s="10"/>
      <c r="E826" s="10"/>
      <c r="F826" s="10"/>
      <c r="G826" s="69"/>
      <c r="H826" s="69"/>
      <c r="I826" s="69"/>
      <c r="J826" s="70"/>
      <c r="K826" s="69"/>
      <c r="L826" s="32"/>
      <c r="M826" s="69"/>
      <c r="N826" s="69"/>
      <c r="O826" s="69"/>
      <c r="P826" s="2"/>
      <c r="Q826" s="2"/>
      <c r="R826" s="32"/>
      <c r="S826" s="32"/>
      <c r="T826" s="32"/>
      <c r="U826" s="32"/>
      <c r="V826" s="2"/>
      <c r="W826" s="2"/>
      <c r="X826" s="2"/>
      <c r="Y826" s="2"/>
      <c r="Z826" s="2"/>
    </row>
    <row r="827" spans="1:26" ht="13.8" x14ac:dyDescent="0.3">
      <c r="A827" s="2"/>
      <c r="B827" s="2"/>
      <c r="C827" s="10"/>
      <c r="D827" s="10"/>
      <c r="E827" s="10"/>
      <c r="F827" s="10"/>
      <c r="G827" s="69"/>
      <c r="H827" s="69"/>
      <c r="I827" s="69"/>
      <c r="J827" s="70"/>
      <c r="K827" s="69"/>
      <c r="L827" s="32"/>
      <c r="M827" s="69"/>
      <c r="N827" s="69"/>
      <c r="O827" s="69"/>
      <c r="P827" s="2"/>
      <c r="Q827" s="2"/>
      <c r="R827" s="32"/>
      <c r="S827" s="32"/>
      <c r="T827" s="32"/>
      <c r="U827" s="32"/>
      <c r="V827" s="2"/>
      <c r="W827" s="2"/>
      <c r="X827" s="2"/>
      <c r="Y827" s="2"/>
      <c r="Z827" s="2"/>
    </row>
    <row r="828" spans="1:26" ht="13.8" x14ac:dyDescent="0.3">
      <c r="A828" s="2"/>
      <c r="B828" s="2"/>
      <c r="C828" s="10"/>
      <c r="D828" s="10"/>
      <c r="E828" s="10"/>
      <c r="F828" s="10"/>
      <c r="G828" s="69"/>
      <c r="H828" s="69"/>
      <c r="I828" s="69"/>
      <c r="J828" s="70"/>
      <c r="K828" s="69"/>
      <c r="L828" s="32"/>
      <c r="M828" s="69"/>
      <c r="N828" s="69"/>
      <c r="O828" s="69"/>
      <c r="P828" s="2"/>
      <c r="Q828" s="2"/>
      <c r="R828" s="32"/>
      <c r="S828" s="32"/>
      <c r="T828" s="32"/>
      <c r="U828" s="32"/>
      <c r="V828" s="2"/>
      <c r="W828" s="2"/>
      <c r="X828" s="2"/>
      <c r="Y828" s="2"/>
      <c r="Z828" s="2"/>
    </row>
    <row r="829" spans="1:26" ht="13.8" x14ac:dyDescent="0.3">
      <c r="A829" s="2"/>
      <c r="B829" s="2"/>
      <c r="C829" s="10"/>
      <c r="D829" s="10"/>
      <c r="E829" s="10"/>
      <c r="F829" s="10"/>
      <c r="G829" s="69"/>
      <c r="H829" s="69"/>
      <c r="I829" s="69"/>
      <c r="J829" s="70"/>
      <c r="K829" s="69"/>
      <c r="L829" s="32"/>
      <c r="M829" s="69"/>
      <c r="N829" s="69"/>
      <c r="O829" s="69"/>
      <c r="P829" s="2"/>
      <c r="Q829" s="2"/>
      <c r="R829" s="32"/>
      <c r="S829" s="32"/>
      <c r="T829" s="32"/>
      <c r="U829" s="32"/>
      <c r="V829" s="2"/>
      <c r="W829" s="2"/>
      <c r="X829" s="2"/>
      <c r="Y829" s="2"/>
      <c r="Z829" s="2"/>
    </row>
    <row r="830" spans="1:26" ht="13.8" x14ac:dyDescent="0.3">
      <c r="A830" s="2"/>
      <c r="B830" s="2"/>
      <c r="C830" s="10"/>
      <c r="D830" s="10"/>
      <c r="E830" s="10"/>
      <c r="F830" s="10"/>
      <c r="G830" s="69"/>
      <c r="H830" s="69"/>
      <c r="I830" s="69"/>
      <c r="J830" s="70"/>
      <c r="K830" s="69"/>
      <c r="L830" s="32"/>
      <c r="M830" s="69"/>
      <c r="N830" s="69"/>
      <c r="O830" s="69"/>
      <c r="P830" s="2"/>
      <c r="Q830" s="2"/>
      <c r="R830" s="32"/>
      <c r="S830" s="32"/>
      <c r="T830" s="32"/>
      <c r="U830" s="32"/>
      <c r="V830" s="2"/>
      <c r="W830" s="2"/>
      <c r="X830" s="2"/>
      <c r="Y830" s="2"/>
      <c r="Z830" s="2"/>
    </row>
    <row r="831" spans="1:26" ht="13.8" x14ac:dyDescent="0.3">
      <c r="A831" s="2"/>
      <c r="B831" s="2"/>
      <c r="C831" s="10"/>
      <c r="D831" s="10"/>
      <c r="E831" s="10"/>
      <c r="F831" s="10"/>
      <c r="G831" s="69"/>
      <c r="H831" s="69"/>
      <c r="I831" s="69"/>
      <c r="J831" s="70"/>
      <c r="K831" s="69"/>
      <c r="L831" s="32"/>
      <c r="M831" s="69"/>
      <c r="N831" s="69"/>
      <c r="O831" s="69"/>
      <c r="P831" s="2"/>
      <c r="Q831" s="2"/>
      <c r="R831" s="32"/>
      <c r="S831" s="32"/>
      <c r="T831" s="32"/>
      <c r="U831" s="32"/>
      <c r="V831" s="2"/>
      <c r="W831" s="2"/>
      <c r="X831" s="2"/>
      <c r="Y831" s="2"/>
      <c r="Z831" s="2"/>
    </row>
    <row r="832" spans="1:26" ht="13.8" x14ac:dyDescent="0.3">
      <c r="A832" s="2"/>
      <c r="B832" s="2"/>
      <c r="C832" s="10"/>
      <c r="D832" s="10"/>
      <c r="E832" s="10"/>
      <c r="F832" s="10"/>
      <c r="G832" s="69"/>
      <c r="H832" s="69"/>
      <c r="I832" s="69"/>
      <c r="J832" s="70"/>
      <c r="K832" s="69"/>
      <c r="L832" s="32"/>
      <c r="M832" s="69"/>
      <c r="N832" s="69"/>
      <c r="O832" s="69"/>
      <c r="P832" s="2"/>
      <c r="Q832" s="2"/>
      <c r="R832" s="32"/>
      <c r="S832" s="32"/>
      <c r="T832" s="32"/>
      <c r="U832" s="32"/>
      <c r="V832" s="2"/>
      <c r="W832" s="2"/>
      <c r="X832" s="2"/>
      <c r="Y832" s="2"/>
      <c r="Z832" s="2"/>
    </row>
    <row r="833" spans="1:26" ht="13.8" x14ac:dyDescent="0.3">
      <c r="A833" s="2"/>
      <c r="B833" s="2"/>
      <c r="C833" s="10"/>
      <c r="D833" s="10"/>
      <c r="E833" s="10"/>
      <c r="F833" s="10"/>
      <c r="G833" s="69"/>
      <c r="H833" s="69"/>
      <c r="I833" s="69"/>
      <c r="J833" s="70"/>
      <c r="K833" s="69"/>
      <c r="L833" s="32"/>
      <c r="M833" s="69"/>
      <c r="N833" s="69"/>
      <c r="O833" s="69"/>
      <c r="P833" s="2"/>
      <c r="Q833" s="2"/>
      <c r="R833" s="32"/>
      <c r="S833" s="32"/>
      <c r="T833" s="32"/>
      <c r="U833" s="32"/>
      <c r="V833" s="2"/>
      <c r="W833" s="2"/>
      <c r="X833" s="2"/>
      <c r="Y833" s="2"/>
      <c r="Z833" s="2"/>
    </row>
    <row r="834" spans="1:26" ht="13.8" x14ac:dyDescent="0.3">
      <c r="A834" s="2"/>
      <c r="B834" s="2"/>
      <c r="C834" s="10"/>
      <c r="D834" s="10"/>
      <c r="E834" s="10"/>
      <c r="F834" s="10"/>
      <c r="G834" s="69"/>
      <c r="H834" s="69"/>
      <c r="I834" s="69"/>
      <c r="J834" s="70"/>
      <c r="K834" s="69"/>
      <c r="L834" s="32"/>
      <c r="M834" s="69"/>
      <c r="N834" s="69"/>
      <c r="O834" s="69"/>
      <c r="P834" s="2"/>
      <c r="Q834" s="2"/>
      <c r="R834" s="32"/>
      <c r="S834" s="32"/>
      <c r="T834" s="32"/>
      <c r="U834" s="32"/>
      <c r="V834" s="2"/>
      <c r="W834" s="2"/>
      <c r="X834" s="2"/>
      <c r="Y834" s="2"/>
      <c r="Z834" s="2"/>
    </row>
    <row r="835" spans="1:26" ht="13.8" x14ac:dyDescent="0.3">
      <c r="A835" s="2"/>
      <c r="B835" s="2"/>
      <c r="C835" s="10"/>
      <c r="D835" s="10"/>
      <c r="E835" s="10"/>
      <c r="F835" s="10"/>
      <c r="G835" s="69"/>
      <c r="H835" s="69"/>
      <c r="I835" s="69"/>
      <c r="J835" s="70"/>
      <c r="K835" s="69"/>
      <c r="L835" s="32"/>
      <c r="M835" s="69"/>
      <c r="N835" s="69"/>
      <c r="O835" s="69"/>
      <c r="P835" s="2"/>
      <c r="Q835" s="2"/>
      <c r="R835" s="32"/>
      <c r="S835" s="32"/>
      <c r="T835" s="32"/>
      <c r="U835" s="32"/>
      <c r="V835" s="2"/>
      <c r="W835" s="2"/>
      <c r="X835" s="2"/>
      <c r="Y835" s="2"/>
      <c r="Z835" s="2"/>
    </row>
    <row r="836" spans="1:26" ht="13.8" x14ac:dyDescent="0.3">
      <c r="A836" s="2"/>
      <c r="B836" s="2"/>
      <c r="C836" s="10"/>
      <c r="D836" s="10"/>
      <c r="E836" s="10"/>
      <c r="F836" s="10"/>
      <c r="G836" s="69"/>
      <c r="H836" s="69"/>
      <c r="I836" s="69"/>
      <c r="J836" s="70"/>
      <c r="K836" s="69"/>
      <c r="L836" s="32"/>
      <c r="M836" s="69"/>
      <c r="N836" s="69"/>
      <c r="O836" s="69"/>
      <c r="P836" s="2"/>
      <c r="Q836" s="2"/>
      <c r="R836" s="32"/>
      <c r="S836" s="32"/>
      <c r="T836" s="32"/>
      <c r="U836" s="32"/>
      <c r="V836" s="2"/>
      <c r="W836" s="2"/>
      <c r="X836" s="2"/>
      <c r="Y836" s="2"/>
      <c r="Z836" s="2"/>
    </row>
    <row r="837" spans="1:26" ht="13.8" x14ac:dyDescent="0.3">
      <c r="A837" s="2"/>
      <c r="B837" s="2"/>
      <c r="C837" s="10"/>
      <c r="D837" s="10"/>
      <c r="E837" s="10"/>
      <c r="F837" s="10"/>
      <c r="G837" s="69"/>
      <c r="H837" s="69"/>
      <c r="I837" s="69"/>
      <c r="J837" s="70"/>
      <c r="K837" s="69"/>
      <c r="L837" s="32"/>
      <c r="M837" s="69"/>
      <c r="N837" s="69"/>
      <c r="O837" s="69"/>
      <c r="P837" s="2"/>
      <c r="Q837" s="2"/>
      <c r="R837" s="32"/>
      <c r="S837" s="32"/>
      <c r="T837" s="32"/>
      <c r="U837" s="32"/>
      <c r="V837" s="2"/>
      <c r="W837" s="2"/>
      <c r="X837" s="2"/>
      <c r="Y837" s="2"/>
      <c r="Z837" s="2"/>
    </row>
    <row r="838" spans="1:26" ht="13.8" x14ac:dyDescent="0.3">
      <c r="A838" s="2"/>
      <c r="B838" s="2"/>
      <c r="C838" s="10"/>
      <c r="D838" s="10"/>
      <c r="E838" s="10"/>
      <c r="F838" s="10"/>
      <c r="G838" s="69"/>
      <c r="H838" s="69"/>
      <c r="I838" s="69"/>
      <c r="J838" s="70"/>
      <c r="K838" s="69"/>
      <c r="L838" s="32"/>
      <c r="M838" s="69"/>
      <c r="N838" s="69"/>
      <c r="O838" s="69"/>
      <c r="P838" s="2"/>
      <c r="Q838" s="2"/>
      <c r="R838" s="32"/>
      <c r="S838" s="32"/>
      <c r="T838" s="32"/>
      <c r="U838" s="32"/>
      <c r="V838" s="2"/>
      <c r="W838" s="2"/>
      <c r="X838" s="2"/>
      <c r="Y838" s="2"/>
      <c r="Z838" s="2"/>
    </row>
    <row r="839" spans="1:26" ht="13.8" x14ac:dyDescent="0.3">
      <c r="A839" s="2"/>
      <c r="B839" s="2"/>
      <c r="C839" s="10"/>
      <c r="D839" s="10"/>
      <c r="E839" s="10"/>
      <c r="F839" s="10"/>
      <c r="G839" s="69"/>
      <c r="H839" s="69"/>
      <c r="I839" s="69"/>
      <c r="J839" s="70"/>
      <c r="K839" s="69"/>
      <c r="L839" s="32"/>
      <c r="M839" s="69"/>
      <c r="N839" s="69"/>
      <c r="O839" s="69"/>
      <c r="P839" s="2"/>
      <c r="Q839" s="2"/>
      <c r="R839" s="32"/>
      <c r="S839" s="32"/>
      <c r="T839" s="32"/>
      <c r="U839" s="32"/>
      <c r="V839" s="2"/>
      <c r="W839" s="2"/>
      <c r="X839" s="2"/>
      <c r="Y839" s="2"/>
      <c r="Z839" s="2"/>
    </row>
    <row r="840" spans="1:26" ht="13.8" x14ac:dyDescent="0.3">
      <c r="A840" s="2"/>
      <c r="B840" s="2"/>
      <c r="C840" s="10"/>
      <c r="D840" s="10"/>
      <c r="E840" s="10"/>
      <c r="F840" s="10"/>
      <c r="G840" s="69"/>
      <c r="H840" s="69"/>
      <c r="I840" s="69"/>
      <c r="J840" s="70"/>
      <c r="K840" s="69"/>
      <c r="L840" s="32"/>
      <c r="M840" s="69"/>
      <c r="N840" s="69"/>
      <c r="O840" s="69"/>
      <c r="P840" s="2"/>
      <c r="Q840" s="2"/>
      <c r="R840" s="32"/>
      <c r="S840" s="32"/>
      <c r="T840" s="32"/>
      <c r="U840" s="32"/>
      <c r="V840" s="2"/>
      <c r="W840" s="2"/>
      <c r="X840" s="2"/>
      <c r="Y840" s="2"/>
      <c r="Z840" s="2"/>
    </row>
    <row r="841" spans="1:26" ht="13.8" x14ac:dyDescent="0.3">
      <c r="A841" s="2"/>
      <c r="B841" s="2"/>
      <c r="C841" s="10"/>
      <c r="D841" s="10"/>
      <c r="E841" s="10"/>
      <c r="F841" s="10"/>
      <c r="G841" s="69"/>
      <c r="H841" s="69"/>
      <c r="I841" s="69"/>
      <c r="J841" s="70"/>
      <c r="K841" s="69"/>
      <c r="L841" s="32"/>
      <c r="M841" s="69"/>
      <c r="N841" s="69"/>
      <c r="O841" s="69"/>
      <c r="P841" s="2"/>
      <c r="Q841" s="2"/>
      <c r="R841" s="32"/>
      <c r="S841" s="32"/>
      <c r="T841" s="32"/>
      <c r="U841" s="32"/>
      <c r="V841" s="2"/>
      <c r="W841" s="2"/>
      <c r="X841" s="2"/>
      <c r="Y841" s="2"/>
      <c r="Z841" s="2"/>
    </row>
    <row r="842" spans="1:26" ht="13.8" x14ac:dyDescent="0.3">
      <c r="A842" s="2"/>
      <c r="B842" s="2"/>
      <c r="C842" s="10"/>
      <c r="D842" s="10"/>
      <c r="E842" s="10"/>
      <c r="F842" s="10"/>
      <c r="G842" s="69"/>
      <c r="H842" s="69"/>
      <c r="I842" s="69"/>
      <c r="J842" s="70"/>
      <c r="K842" s="69"/>
      <c r="L842" s="32"/>
      <c r="M842" s="69"/>
      <c r="N842" s="69"/>
      <c r="O842" s="69"/>
      <c r="P842" s="2"/>
      <c r="Q842" s="2"/>
      <c r="R842" s="32"/>
      <c r="S842" s="32"/>
      <c r="T842" s="32"/>
      <c r="U842" s="32"/>
      <c r="V842" s="2"/>
      <c r="W842" s="2"/>
      <c r="X842" s="2"/>
      <c r="Y842" s="2"/>
      <c r="Z842" s="2"/>
    </row>
    <row r="843" spans="1:26" ht="13.8" x14ac:dyDescent="0.3">
      <c r="A843" s="2"/>
      <c r="B843" s="2"/>
      <c r="C843" s="10"/>
      <c r="D843" s="10"/>
      <c r="E843" s="10"/>
      <c r="F843" s="10"/>
      <c r="G843" s="69"/>
      <c r="H843" s="69"/>
      <c r="I843" s="69"/>
      <c r="J843" s="70"/>
      <c r="K843" s="69"/>
      <c r="L843" s="32"/>
      <c r="M843" s="69"/>
      <c r="N843" s="69"/>
      <c r="O843" s="69"/>
      <c r="P843" s="2"/>
      <c r="Q843" s="2"/>
      <c r="R843" s="32"/>
      <c r="S843" s="32"/>
      <c r="T843" s="32"/>
      <c r="U843" s="32"/>
      <c r="V843" s="2"/>
      <c r="W843" s="2"/>
      <c r="X843" s="2"/>
      <c r="Y843" s="2"/>
      <c r="Z843" s="2"/>
    </row>
    <row r="844" spans="1:26" ht="13.8" x14ac:dyDescent="0.3">
      <c r="A844" s="2"/>
      <c r="B844" s="2"/>
      <c r="C844" s="10"/>
      <c r="D844" s="10"/>
      <c r="E844" s="10"/>
      <c r="F844" s="10"/>
      <c r="G844" s="69"/>
      <c r="H844" s="69"/>
      <c r="I844" s="69"/>
      <c r="J844" s="70"/>
      <c r="K844" s="69"/>
      <c r="L844" s="32"/>
      <c r="M844" s="69"/>
      <c r="N844" s="69"/>
      <c r="O844" s="69"/>
      <c r="P844" s="2"/>
      <c r="Q844" s="2"/>
      <c r="R844" s="32"/>
      <c r="S844" s="32"/>
      <c r="T844" s="32"/>
      <c r="U844" s="32"/>
      <c r="V844" s="2"/>
      <c r="W844" s="2"/>
      <c r="X844" s="2"/>
      <c r="Y844" s="2"/>
      <c r="Z844" s="2"/>
    </row>
    <row r="845" spans="1:26" ht="13.8" x14ac:dyDescent="0.3">
      <c r="A845" s="2"/>
      <c r="B845" s="2"/>
      <c r="C845" s="10"/>
      <c r="D845" s="10"/>
      <c r="E845" s="10"/>
      <c r="F845" s="10"/>
      <c r="G845" s="69"/>
      <c r="H845" s="69"/>
      <c r="I845" s="69"/>
      <c r="J845" s="70"/>
      <c r="K845" s="69"/>
      <c r="L845" s="32"/>
      <c r="M845" s="69"/>
      <c r="N845" s="69"/>
      <c r="O845" s="69"/>
      <c r="P845" s="2"/>
      <c r="Q845" s="2"/>
      <c r="R845" s="32"/>
      <c r="S845" s="32"/>
      <c r="T845" s="32"/>
      <c r="U845" s="32"/>
      <c r="V845" s="2"/>
      <c r="W845" s="2"/>
      <c r="X845" s="2"/>
      <c r="Y845" s="2"/>
      <c r="Z845" s="2"/>
    </row>
    <row r="846" spans="1:26" ht="13.8" x14ac:dyDescent="0.3">
      <c r="A846" s="2"/>
      <c r="B846" s="2"/>
      <c r="C846" s="10"/>
      <c r="D846" s="10"/>
      <c r="E846" s="10"/>
      <c r="F846" s="10"/>
      <c r="G846" s="69"/>
      <c r="H846" s="69"/>
      <c r="I846" s="69"/>
      <c r="J846" s="70"/>
      <c r="K846" s="69"/>
      <c r="L846" s="32"/>
      <c r="M846" s="69"/>
      <c r="N846" s="69"/>
      <c r="O846" s="69"/>
      <c r="P846" s="2"/>
      <c r="Q846" s="2"/>
      <c r="R846" s="32"/>
      <c r="S846" s="32"/>
      <c r="T846" s="32"/>
      <c r="U846" s="32"/>
      <c r="V846" s="2"/>
      <c r="W846" s="2"/>
      <c r="X846" s="2"/>
      <c r="Y846" s="2"/>
      <c r="Z846" s="2"/>
    </row>
    <row r="847" spans="1:26" ht="13.8" x14ac:dyDescent="0.3">
      <c r="A847" s="2"/>
      <c r="B847" s="2"/>
      <c r="C847" s="10"/>
      <c r="D847" s="10"/>
      <c r="E847" s="10"/>
      <c r="F847" s="10"/>
      <c r="G847" s="69"/>
      <c r="H847" s="69"/>
      <c r="I847" s="69"/>
      <c r="J847" s="70"/>
      <c r="K847" s="69"/>
      <c r="L847" s="32"/>
      <c r="M847" s="69"/>
      <c r="N847" s="69"/>
      <c r="O847" s="69"/>
      <c r="P847" s="2"/>
      <c r="Q847" s="2"/>
      <c r="R847" s="32"/>
      <c r="S847" s="32"/>
      <c r="T847" s="32"/>
      <c r="U847" s="32"/>
      <c r="V847" s="2"/>
      <c r="W847" s="2"/>
      <c r="X847" s="2"/>
      <c r="Y847" s="2"/>
      <c r="Z847" s="2"/>
    </row>
    <row r="848" spans="1:26" ht="13.8" x14ac:dyDescent="0.3">
      <c r="A848" s="2"/>
      <c r="B848" s="2"/>
      <c r="C848" s="10"/>
      <c r="D848" s="10"/>
      <c r="E848" s="10"/>
      <c r="F848" s="10"/>
      <c r="G848" s="69"/>
      <c r="H848" s="69"/>
      <c r="I848" s="69"/>
      <c r="J848" s="70"/>
      <c r="K848" s="69"/>
      <c r="L848" s="32"/>
      <c r="M848" s="69"/>
      <c r="N848" s="69"/>
      <c r="O848" s="69"/>
      <c r="P848" s="2"/>
      <c r="Q848" s="2"/>
      <c r="R848" s="32"/>
      <c r="S848" s="32"/>
      <c r="T848" s="32"/>
      <c r="U848" s="32"/>
      <c r="V848" s="2"/>
      <c r="W848" s="2"/>
      <c r="X848" s="2"/>
      <c r="Y848" s="2"/>
      <c r="Z848" s="2"/>
    </row>
    <row r="849" spans="1:26" ht="13.8" x14ac:dyDescent="0.3">
      <c r="A849" s="2"/>
      <c r="B849" s="2"/>
      <c r="C849" s="10"/>
      <c r="D849" s="10"/>
      <c r="E849" s="10"/>
      <c r="F849" s="10"/>
      <c r="G849" s="69"/>
      <c r="H849" s="69"/>
      <c r="I849" s="69"/>
      <c r="J849" s="70"/>
      <c r="K849" s="69"/>
      <c r="L849" s="32"/>
      <c r="M849" s="69"/>
      <c r="N849" s="69"/>
      <c r="O849" s="69"/>
      <c r="P849" s="2"/>
      <c r="Q849" s="2"/>
      <c r="R849" s="32"/>
      <c r="S849" s="32"/>
      <c r="T849" s="32"/>
      <c r="U849" s="32"/>
      <c r="V849" s="2"/>
      <c r="W849" s="2"/>
      <c r="X849" s="2"/>
      <c r="Y849" s="2"/>
      <c r="Z849" s="2"/>
    </row>
    <row r="850" spans="1:26" ht="13.8" x14ac:dyDescent="0.3">
      <c r="A850" s="2"/>
      <c r="B850" s="2"/>
      <c r="C850" s="10"/>
      <c r="D850" s="10"/>
      <c r="E850" s="10"/>
      <c r="F850" s="10"/>
      <c r="G850" s="69"/>
      <c r="H850" s="69"/>
      <c r="I850" s="69"/>
      <c r="J850" s="70"/>
      <c r="K850" s="69"/>
      <c r="L850" s="32"/>
      <c r="M850" s="69"/>
      <c r="N850" s="69"/>
      <c r="O850" s="69"/>
      <c r="P850" s="2"/>
      <c r="Q850" s="2"/>
      <c r="R850" s="32"/>
      <c r="S850" s="32"/>
      <c r="T850" s="32"/>
      <c r="U850" s="32"/>
      <c r="V850" s="2"/>
      <c r="W850" s="2"/>
      <c r="X850" s="2"/>
      <c r="Y850" s="2"/>
      <c r="Z850" s="2"/>
    </row>
    <row r="851" spans="1:26" ht="13.8" x14ac:dyDescent="0.3">
      <c r="A851" s="2"/>
      <c r="B851" s="2"/>
      <c r="C851" s="10"/>
      <c r="D851" s="10"/>
      <c r="E851" s="10"/>
      <c r="F851" s="10"/>
      <c r="G851" s="69"/>
      <c r="H851" s="69"/>
      <c r="I851" s="69"/>
      <c r="J851" s="70"/>
      <c r="K851" s="69"/>
      <c r="L851" s="32"/>
      <c r="M851" s="69"/>
      <c r="N851" s="69"/>
      <c r="O851" s="69"/>
      <c r="P851" s="2"/>
      <c r="Q851" s="2"/>
      <c r="R851" s="32"/>
      <c r="S851" s="32"/>
      <c r="T851" s="32"/>
      <c r="U851" s="32"/>
      <c r="V851" s="2"/>
      <c r="W851" s="2"/>
      <c r="X851" s="2"/>
      <c r="Y851" s="2"/>
      <c r="Z851" s="2"/>
    </row>
    <row r="852" spans="1:26" ht="13.8" x14ac:dyDescent="0.3">
      <c r="A852" s="2"/>
      <c r="B852" s="2"/>
      <c r="C852" s="10"/>
      <c r="D852" s="10"/>
      <c r="E852" s="10"/>
      <c r="F852" s="10"/>
      <c r="G852" s="69"/>
      <c r="H852" s="69"/>
      <c r="I852" s="69"/>
      <c r="J852" s="70"/>
      <c r="K852" s="69"/>
      <c r="L852" s="32"/>
      <c r="M852" s="69"/>
      <c r="N852" s="69"/>
      <c r="O852" s="69"/>
      <c r="P852" s="2"/>
      <c r="Q852" s="2"/>
      <c r="R852" s="32"/>
      <c r="S852" s="32"/>
      <c r="T852" s="32"/>
      <c r="U852" s="32"/>
      <c r="V852" s="2"/>
      <c r="W852" s="2"/>
      <c r="X852" s="2"/>
      <c r="Y852" s="2"/>
      <c r="Z852" s="2"/>
    </row>
    <row r="853" spans="1:26" ht="13.8" x14ac:dyDescent="0.3">
      <c r="A853" s="2"/>
      <c r="B853" s="2"/>
      <c r="C853" s="10"/>
      <c r="D853" s="10"/>
      <c r="E853" s="10"/>
      <c r="F853" s="10"/>
      <c r="G853" s="69"/>
      <c r="H853" s="69"/>
      <c r="I853" s="69"/>
      <c r="J853" s="70"/>
      <c r="K853" s="69"/>
      <c r="L853" s="32"/>
      <c r="M853" s="69"/>
      <c r="N853" s="69"/>
      <c r="O853" s="69"/>
      <c r="P853" s="2"/>
      <c r="Q853" s="2"/>
      <c r="R853" s="32"/>
      <c r="S853" s="32"/>
      <c r="T853" s="32"/>
      <c r="U853" s="32"/>
      <c r="V853" s="2"/>
      <c r="W853" s="2"/>
      <c r="X853" s="2"/>
      <c r="Y853" s="2"/>
      <c r="Z853" s="2"/>
    </row>
    <row r="854" spans="1:26" ht="13.8" x14ac:dyDescent="0.3">
      <c r="A854" s="2"/>
      <c r="B854" s="2"/>
      <c r="C854" s="10"/>
      <c r="D854" s="10"/>
      <c r="E854" s="10"/>
      <c r="F854" s="10"/>
      <c r="G854" s="69"/>
      <c r="H854" s="69"/>
      <c r="I854" s="69"/>
      <c r="J854" s="70"/>
      <c r="K854" s="69"/>
      <c r="L854" s="32"/>
      <c r="M854" s="69"/>
      <c r="N854" s="69"/>
      <c r="O854" s="69"/>
      <c r="P854" s="2"/>
      <c r="Q854" s="2"/>
      <c r="R854" s="32"/>
      <c r="S854" s="32"/>
      <c r="T854" s="32"/>
      <c r="U854" s="32"/>
      <c r="V854" s="2"/>
      <c r="W854" s="2"/>
      <c r="X854" s="2"/>
      <c r="Y854" s="2"/>
      <c r="Z854" s="2"/>
    </row>
    <row r="855" spans="1:26" ht="13.8" x14ac:dyDescent="0.3">
      <c r="A855" s="2"/>
      <c r="B855" s="2"/>
      <c r="C855" s="10"/>
      <c r="D855" s="10"/>
      <c r="E855" s="10"/>
      <c r="F855" s="10"/>
      <c r="G855" s="69"/>
      <c r="H855" s="69"/>
      <c r="I855" s="69"/>
      <c r="J855" s="70"/>
      <c r="K855" s="69"/>
      <c r="L855" s="32"/>
      <c r="M855" s="69"/>
      <c r="N855" s="69"/>
      <c r="O855" s="69"/>
      <c r="P855" s="2"/>
      <c r="Q855" s="2"/>
      <c r="R855" s="32"/>
      <c r="S855" s="32"/>
      <c r="T855" s="32"/>
      <c r="U855" s="32"/>
      <c r="V855" s="2"/>
      <c r="W855" s="2"/>
      <c r="X855" s="2"/>
      <c r="Y855" s="2"/>
      <c r="Z855" s="2"/>
    </row>
    <row r="856" spans="1:26" ht="13.8" x14ac:dyDescent="0.3">
      <c r="A856" s="2"/>
      <c r="B856" s="2"/>
      <c r="C856" s="10"/>
      <c r="D856" s="10"/>
      <c r="E856" s="10"/>
      <c r="F856" s="10"/>
      <c r="G856" s="69"/>
      <c r="H856" s="69"/>
      <c r="I856" s="69"/>
      <c r="J856" s="70"/>
      <c r="K856" s="69"/>
      <c r="L856" s="32"/>
      <c r="M856" s="69"/>
      <c r="N856" s="69"/>
      <c r="O856" s="69"/>
      <c r="P856" s="2"/>
      <c r="Q856" s="2"/>
      <c r="R856" s="32"/>
      <c r="S856" s="32"/>
      <c r="T856" s="32"/>
      <c r="U856" s="32"/>
      <c r="V856" s="2"/>
      <c r="W856" s="2"/>
      <c r="X856" s="2"/>
      <c r="Y856" s="2"/>
      <c r="Z856" s="2"/>
    </row>
    <row r="857" spans="1:26" ht="13.8" x14ac:dyDescent="0.3">
      <c r="A857" s="2"/>
      <c r="B857" s="2"/>
      <c r="C857" s="10"/>
      <c r="D857" s="10"/>
      <c r="E857" s="10"/>
      <c r="F857" s="10"/>
      <c r="G857" s="69"/>
      <c r="H857" s="69"/>
      <c r="I857" s="69"/>
      <c r="J857" s="70"/>
      <c r="K857" s="69"/>
      <c r="L857" s="32"/>
      <c r="M857" s="69"/>
      <c r="N857" s="69"/>
      <c r="O857" s="69"/>
      <c r="P857" s="2"/>
      <c r="Q857" s="2"/>
      <c r="R857" s="32"/>
      <c r="S857" s="32"/>
      <c r="T857" s="32"/>
      <c r="U857" s="32"/>
      <c r="V857" s="2"/>
      <c r="W857" s="2"/>
      <c r="X857" s="2"/>
      <c r="Y857" s="2"/>
      <c r="Z857" s="2"/>
    </row>
    <row r="858" spans="1:26" ht="13.8" x14ac:dyDescent="0.3">
      <c r="A858" s="2"/>
      <c r="B858" s="2"/>
      <c r="C858" s="10"/>
      <c r="D858" s="10"/>
      <c r="E858" s="10"/>
      <c r="F858" s="10"/>
      <c r="G858" s="69"/>
      <c r="H858" s="69"/>
      <c r="I858" s="69"/>
      <c r="J858" s="70"/>
      <c r="K858" s="69"/>
      <c r="L858" s="32"/>
      <c r="M858" s="69"/>
      <c r="N858" s="69"/>
      <c r="O858" s="69"/>
      <c r="P858" s="2"/>
      <c r="Q858" s="2"/>
      <c r="R858" s="32"/>
      <c r="S858" s="32"/>
      <c r="T858" s="32"/>
      <c r="U858" s="32"/>
      <c r="V858" s="2"/>
      <c r="W858" s="2"/>
      <c r="X858" s="2"/>
      <c r="Y858" s="2"/>
      <c r="Z858" s="2"/>
    </row>
    <row r="859" spans="1:26" ht="13.8" x14ac:dyDescent="0.3">
      <c r="A859" s="2"/>
      <c r="B859" s="2"/>
      <c r="C859" s="10"/>
      <c r="D859" s="10"/>
      <c r="E859" s="10"/>
      <c r="F859" s="10"/>
      <c r="G859" s="69"/>
      <c r="H859" s="69"/>
      <c r="I859" s="69"/>
      <c r="J859" s="70"/>
      <c r="K859" s="69"/>
      <c r="L859" s="32"/>
      <c r="M859" s="69"/>
      <c r="N859" s="69"/>
      <c r="O859" s="69"/>
      <c r="P859" s="2"/>
      <c r="Q859" s="2"/>
      <c r="R859" s="32"/>
      <c r="S859" s="32"/>
      <c r="T859" s="32"/>
      <c r="U859" s="32"/>
      <c r="V859" s="2"/>
      <c r="W859" s="2"/>
      <c r="X859" s="2"/>
      <c r="Y859" s="2"/>
      <c r="Z859" s="2"/>
    </row>
    <row r="860" spans="1:26" ht="13.8" x14ac:dyDescent="0.3">
      <c r="A860" s="2"/>
      <c r="B860" s="2"/>
      <c r="C860" s="10"/>
      <c r="D860" s="10"/>
      <c r="E860" s="10"/>
      <c r="F860" s="10"/>
      <c r="G860" s="69"/>
      <c r="H860" s="69"/>
      <c r="I860" s="69"/>
      <c r="J860" s="70"/>
      <c r="K860" s="69"/>
      <c r="L860" s="32"/>
      <c r="M860" s="69"/>
      <c r="N860" s="69"/>
      <c r="O860" s="69"/>
      <c r="P860" s="2"/>
      <c r="Q860" s="2"/>
      <c r="R860" s="32"/>
      <c r="S860" s="32"/>
      <c r="T860" s="32"/>
      <c r="U860" s="32"/>
      <c r="V860" s="2"/>
      <c r="W860" s="2"/>
      <c r="X860" s="2"/>
      <c r="Y860" s="2"/>
      <c r="Z860" s="2"/>
    </row>
    <row r="861" spans="1:26" ht="13.8" x14ac:dyDescent="0.3">
      <c r="A861" s="2"/>
      <c r="B861" s="2"/>
      <c r="C861" s="10"/>
      <c r="D861" s="10"/>
      <c r="E861" s="10"/>
      <c r="F861" s="10"/>
      <c r="G861" s="69"/>
      <c r="H861" s="69"/>
      <c r="I861" s="69"/>
      <c r="J861" s="70"/>
      <c r="K861" s="69"/>
      <c r="L861" s="32"/>
      <c r="M861" s="69"/>
      <c r="N861" s="69"/>
      <c r="O861" s="69"/>
      <c r="P861" s="2"/>
      <c r="Q861" s="2"/>
      <c r="R861" s="32"/>
      <c r="S861" s="32"/>
      <c r="T861" s="32"/>
      <c r="U861" s="32"/>
      <c r="V861" s="2"/>
      <c r="W861" s="2"/>
      <c r="X861" s="2"/>
      <c r="Y861" s="2"/>
      <c r="Z861" s="2"/>
    </row>
    <row r="862" spans="1:26" ht="13.8" x14ac:dyDescent="0.3">
      <c r="A862" s="2"/>
      <c r="B862" s="2"/>
      <c r="C862" s="10"/>
      <c r="D862" s="10"/>
      <c r="E862" s="10"/>
      <c r="F862" s="10"/>
      <c r="G862" s="69"/>
      <c r="H862" s="69"/>
      <c r="I862" s="69"/>
      <c r="J862" s="70"/>
      <c r="K862" s="69"/>
      <c r="L862" s="32"/>
      <c r="M862" s="69"/>
      <c r="N862" s="69"/>
      <c r="O862" s="69"/>
      <c r="P862" s="2"/>
      <c r="Q862" s="2"/>
      <c r="R862" s="32"/>
      <c r="S862" s="32"/>
      <c r="T862" s="32"/>
      <c r="U862" s="32"/>
      <c r="V862" s="2"/>
      <c r="W862" s="2"/>
      <c r="X862" s="2"/>
      <c r="Y862" s="2"/>
      <c r="Z862" s="2"/>
    </row>
    <row r="863" spans="1:26" ht="13.8" x14ac:dyDescent="0.3">
      <c r="A863" s="2"/>
      <c r="B863" s="2"/>
      <c r="C863" s="10"/>
      <c r="D863" s="10"/>
      <c r="E863" s="10"/>
      <c r="F863" s="10"/>
      <c r="G863" s="69"/>
      <c r="H863" s="69"/>
      <c r="I863" s="69"/>
      <c r="J863" s="70"/>
      <c r="K863" s="69"/>
      <c r="L863" s="32"/>
      <c r="M863" s="69"/>
      <c r="N863" s="69"/>
      <c r="O863" s="69"/>
      <c r="P863" s="2"/>
      <c r="Q863" s="2"/>
      <c r="R863" s="32"/>
      <c r="S863" s="32"/>
      <c r="T863" s="32"/>
      <c r="U863" s="32"/>
      <c r="V863" s="2"/>
      <c r="W863" s="2"/>
      <c r="X863" s="2"/>
      <c r="Y863" s="2"/>
      <c r="Z863" s="2"/>
    </row>
    <row r="864" spans="1:26" ht="13.8" x14ac:dyDescent="0.3">
      <c r="A864" s="2"/>
      <c r="B864" s="2"/>
      <c r="C864" s="10"/>
      <c r="D864" s="10"/>
      <c r="E864" s="10"/>
      <c r="F864" s="10"/>
      <c r="G864" s="69"/>
      <c r="H864" s="69"/>
      <c r="I864" s="69"/>
      <c r="J864" s="70"/>
      <c r="K864" s="69"/>
      <c r="L864" s="32"/>
      <c r="M864" s="69"/>
      <c r="N864" s="69"/>
      <c r="O864" s="69"/>
      <c r="P864" s="2"/>
      <c r="Q864" s="2"/>
      <c r="R864" s="32"/>
      <c r="S864" s="32"/>
      <c r="T864" s="32"/>
      <c r="U864" s="32"/>
      <c r="V864" s="2"/>
      <c r="W864" s="2"/>
      <c r="X864" s="2"/>
      <c r="Y864" s="2"/>
      <c r="Z864" s="2"/>
    </row>
    <row r="865" spans="1:26" ht="13.8" x14ac:dyDescent="0.3">
      <c r="A865" s="2"/>
      <c r="B865" s="2"/>
      <c r="C865" s="10"/>
      <c r="D865" s="10"/>
      <c r="E865" s="10"/>
      <c r="F865" s="10"/>
      <c r="G865" s="69"/>
      <c r="H865" s="69"/>
      <c r="I865" s="69"/>
      <c r="J865" s="70"/>
      <c r="K865" s="69"/>
      <c r="L865" s="32"/>
      <c r="M865" s="69"/>
      <c r="N865" s="69"/>
      <c r="O865" s="69"/>
      <c r="P865" s="2"/>
      <c r="Q865" s="2"/>
      <c r="R865" s="32"/>
      <c r="S865" s="32"/>
      <c r="T865" s="32"/>
      <c r="U865" s="32"/>
      <c r="V865" s="2"/>
      <c r="W865" s="2"/>
      <c r="X865" s="2"/>
      <c r="Y865" s="2"/>
      <c r="Z865" s="2"/>
    </row>
    <row r="866" spans="1:26" ht="13.8" x14ac:dyDescent="0.3">
      <c r="A866" s="2"/>
      <c r="B866" s="2"/>
      <c r="C866" s="10"/>
      <c r="D866" s="10"/>
      <c r="E866" s="10"/>
      <c r="F866" s="10"/>
      <c r="G866" s="69"/>
      <c r="H866" s="69"/>
      <c r="I866" s="69"/>
      <c r="J866" s="70"/>
      <c r="K866" s="69"/>
      <c r="L866" s="32"/>
      <c r="M866" s="69"/>
      <c r="N866" s="69"/>
      <c r="O866" s="69"/>
      <c r="P866" s="2"/>
      <c r="Q866" s="2"/>
      <c r="R866" s="32"/>
      <c r="S866" s="32"/>
      <c r="T866" s="32"/>
      <c r="U866" s="32"/>
      <c r="V866" s="2"/>
      <c r="W866" s="2"/>
      <c r="X866" s="2"/>
      <c r="Y866" s="2"/>
      <c r="Z866" s="2"/>
    </row>
    <row r="867" spans="1:26" ht="13.8" x14ac:dyDescent="0.3">
      <c r="A867" s="2"/>
      <c r="B867" s="2"/>
      <c r="C867" s="10"/>
      <c r="D867" s="10"/>
      <c r="E867" s="10"/>
      <c r="F867" s="10"/>
      <c r="G867" s="69"/>
      <c r="H867" s="69"/>
      <c r="I867" s="69"/>
      <c r="J867" s="70"/>
      <c r="K867" s="69"/>
      <c r="L867" s="32"/>
      <c r="M867" s="69"/>
      <c r="N867" s="69"/>
      <c r="O867" s="69"/>
      <c r="P867" s="2"/>
      <c r="Q867" s="2"/>
      <c r="R867" s="32"/>
      <c r="S867" s="32"/>
      <c r="T867" s="32"/>
      <c r="U867" s="32"/>
      <c r="V867" s="2"/>
      <c r="W867" s="2"/>
      <c r="X867" s="2"/>
      <c r="Y867" s="2"/>
      <c r="Z867" s="2"/>
    </row>
    <row r="868" spans="1:26" ht="13.8" x14ac:dyDescent="0.3">
      <c r="A868" s="2"/>
      <c r="B868" s="2"/>
      <c r="C868" s="10"/>
      <c r="D868" s="10"/>
      <c r="E868" s="10"/>
      <c r="F868" s="10"/>
      <c r="G868" s="69"/>
      <c r="H868" s="69"/>
      <c r="I868" s="69"/>
      <c r="J868" s="70"/>
      <c r="K868" s="69"/>
      <c r="L868" s="32"/>
      <c r="M868" s="69"/>
      <c r="N868" s="69"/>
      <c r="O868" s="69"/>
      <c r="P868" s="2"/>
      <c r="Q868" s="2"/>
      <c r="R868" s="32"/>
      <c r="S868" s="32"/>
      <c r="T868" s="32"/>
      <c r="U868" s="32"/>
      <c r="V868" s="2"/>
      <c r="W868" s="2"/>
      <c r="X868" s="2"/>
      <c r="Y868" s="2"/>
      <c r="Z868" s="2"/>
    </row>
    <row r="869" spans="1:26" ht="13.8" x14ac:dyDescent="0.3">
      <c r="A869" s="2"/>
      <c r="B869" s="2"/>
      <c r="C869" s="10"/>
      <c r="D869" s="10"/>
      <c r="E869" s="10"/>
      <c r="F869" s="10"/>
      <c r="G869" s="69"/>
      <c r="H869" s="69"/>
      <c r="I869" s="69"/>
      <c r="J869" s="70"/>
      <c r="K869" s="69"/>
      <c r="L869" s="32"/>
      <c r="M869" s="69"/>
      <c r="N869" s="69"/>
      <c r="O869" s="69"/>
      <c r="P869" s="2"/>
      <c r="Q869" s="2"/>
      <c r="R869" s="32"/>
      <c r="S869" s="32"/>
      <c r="T869" s="32"/>
      <c r="U869" s="32"/>
      <c r="V869" s="2"/>
      <c r="W869" s="2"/>
      <c r="X869" s="2"/>
      <c r="Y869" s="2"/>
      <c r="Z869" s="2"/>
    </row>
    <row r="870" spans="1:26" ht="13.8" x14ac:dyDescent="0.3">
      <c r="A870" s="2"/>
      <c r="B870" s="2"/>
      <c r="C870" s="10"/>
      <c r="D870" s="10"/>
      <c r="E870" s="10"/>
      <c r="F870" s="10"/>
      <c r="G870" s="69"/>
      <c r="H870" s="69"/>
      <c r="I870" s="69"/>
      <c r="J870" s="70"/>
      <c r="K870" s="69"/>
      <c r="L870" s="32"/>
      <c r="M870" s="69"/>
      <c r="N870" s="69"/>
      <c r="O870" s="69"/>
      <c r="P870" s="2"/>
      <c r="Q870" s="2"/>
      <c r="R870" s="32"/>
      <c r="S870" s="32"/>
      <c r="T870" s="32"/>
      <c r="U870" s="32"/>
      <c r="V870" s="2"/>
      <c r="W870" s="2"/>
      <c r="X870" s="2"/>
      <c r="Y870" s="2"/>
      <c r="Z870" s="2"/>
    </row>
    <row r="871" spans="1:26" ht="13.8" x14ac:dyDescent="0.3">
      <c r="A871" s="2"/>
      <c r="B871" s="2"/>
      <c r="C871" s="10"/>
      <c r="D871" s="10"/>
      <c r="E871" s="10"/>
      <c r="F871" s="10"/>
      <c r="G871" s="69"/>
      <c r="H871" s="69"/>
      <c r="I871" s="69"/>
      <c r="J871" s="70"/>
      <c r="K871" s="69"/>
      <c r="L871" s="32"/>
      <c r="M871" s="69"/>
      <c r="N871" s="69"/>
      <c r="O871" s="69"/>
      <c r="P871" s="2"/>
      <c r="Q871" s="2"/>
      <c r="R871" s="32"/>
      <c r="S871" s="32"/>
      <c r="T871" s="32"/>
      <c r="U871" s="32"/>
      <c r="V871" s="2"/>
      <c r="W871" s="2"/>
      <c r="X871" s="2"/>
      <c r="Y871" s="2"/>
      <c r="Z871" s="2"/>
    </row>
    <row r="872" spans="1:26" ht="13.8" x14ac:dyDescent="0.3">
      <c r="A872" s="2"/>
      <c r="B872" s="2"/>
      <c r="C872" s="10"/>
      <c r="D872" s="10"/>
      <c r="E872" s="10"/>
      <c r="F872" s="10"/>
      <c r="G872" s="69"/>
      <c r="H872" s="69"/>
      <c r="I872" s="69"/>
      <c r="J872" s="70"/>
      <c r="K872" s="69"/>
      <c r="L872" s="32"/>
      <c r="M872" s="69"/>
      <c r="N872" s="69"/>
      <c r="O872" s="69"/>
      <c r="P872" s="2"/>
      <c r="Q872" s="2"/>
      <c r="R872" s="32"/>
      <c r="S872" s="32"/>
      <c r="T872" s="32"/>
      <c r="U872" s="32"/>
      <c r="V872" s="2"/>
      <c r="W872" s="2"/>
      <c r="X872" s="2"/>
      <c r="Y872" s="2"/>
      <c r="Z872" s="2"/>
    </row>
    <row r="873" spans="1:26" ht="13.8" x14ac:dyDescent="0.3">
      <c r="A873" s="2"/>
      <c r="B873" s="2"/>
      <c r="C873" s="10"/>
      <c r="D873" s="10"/>
      <c r="E873" s="10"/>
      <c r="F873" s="10"/>
      <c r="G873" s="69"/>
      <c r="H873" s="69"/>
      <c r="I873" s="69"/>
      <c r="J873" s="70"/>
      <c r="K873" s="69"/>
      <c r="L873" s="32"/>
      <c r="M873" s="69"/>
      <c r="N873" s="69"/>
      <c r="O873" s="69"/>
      <c r="P873" s="2"/>
      <c r="Q873" s="2"/>
      <c r="R873" s="32"/>
      <c r="S873" s="32"/>
      <c r="T873" s="32"/>
      <c r="U873" s="32"/>
      <c r="V873" s="2"/>
      <c r="W873" s="2"/>
      <c r="X873" s="2"/>
      <c r="Y873" s="2"/>
      <c r="Z873" s="2"/>
    </row>
    <row r="874" spans="1:26" ht="13.8" x14ac:dyDescent="0.3">
      <c r="A874" s="2"/>
      <c r="B874" s="2"/>
      <c r="C874" s="10"/>
      <c r="D874" s="10"/>
      <c r="E874" s="10"/>
      <c r="F874" s="10"/>
      <c r="G874" s="69"/>
      <c r="H874" s="69"/>
      <c r="I874" s="69"/>
      <c r="J874" s="70"/>
      <c r="K874" s="69"/>
      <c r="L874" s="32"/>
      <c r="M874" s="69"/>
      <c r="N874" s="69"/>
      <c r="O874" s="69"/>
      <c r="P874" s="2"/>
      <c r="Q874" s="2"/>
      <c r="R874" s="32"/>
      <c r="S874" s="32"/>
      <c r="T874" s="32"/>
      <c r="U874" s="32"/>
      <c r="V874" s="2"/>
      <c r="W874" s="2"/>
      <c r="X874" s="2"/>
      <c r="Y874" s="2"/>
      <c r="Z874" s="2"/>
    </row>
    <row r="875" spans="1:26" ht="13.8" x14ac:dyDescent="0.3">
      <c r="A875" s="2"/>
      <c r="B875" s="2"/>
      <c r="C875" s="10"/>
      <c r="D875" s="10"/>
      <c r="E875" s="10"/>
      <c r="F875" s="10"/>
      <c r="G875" s="69"/>
      <c r="H875" s="69"/>
      <c r="I875" s="69"/>
      <c r="J875" s="70"/>
      <c r="K875" s="69"/>
      <c r="L875" s="32"/>
      <c r="M875" s="69"/>
      <c r="N875" s="69"/>
      <c r="O875" s="69"/>
      <c r="P875" s="2"/>
      <c r="Q875" s="2"/>
      <c r="R875" s="32"/>
      <c r="S875" s="32"/>
      <c r="T875" s="32"/>
      <c r="U875" s="32"/>
      <c r="V875" s="2"/>
      <c r="W875" s="2"/>
      <c r="X875" s="2"/>
      <c r="Y875" s="2"/>
      <c r="Z875" s="2"/>
    </row>
    <row r="876" spans="1:26" ht="13.8" x14ac:dyDescent="0.3">
      <c r="A876" s="2"/>
      <c r="B876" s="2"/>
      <c r="C876" s="10"/>
      <c r="D876" s="10"/>
      <c r="E876" s="10"/>
      <c r="F876" s="10"/>
      <c r="G876" s="69"/>
      <c r="H876" s="69"/>
      <c r="I876" s="69"/>
      <c r="J876" s="70"/>
      <c r="K876" s="69"/>
      <c r="L876" s="32"/>
      <c r="M876" s="69"/>
      <c r="N876" s="69"/>
      <c r="O876" s="69"/>
      <c r="P876" s="2"/>
      <c r="Q876" s="2"/>
      <c r="R876" s="32"/>
      <c r="S876" s="32"/>
      <c r="T876" s="32"/>
      <c r="U876" s="32"/>
      <c r="V876" s="2"/>
      <c r="W876" s="2"/>
      <c r="X876" s="2"/>
      <c r="Y876" s="2"/>
      <c r="Z876" s="2"/>
    </row>
    <row r="877" spans="1:26" ht="13.8" x14ac:dyDescent="0.3">
      <c r="A877" s="2"/>
      <c r="B877" s="2"/>
      <c r="C877" s="10"/>
      <c r="D877" s="10"/>
      <c r="E877" s="10"/>
      <c r="F877" s="10"/>
      <c r="G877" s="69"/>
      <c r="H877" s="69"/>
      <c r="I877" s="69"/>
      <c r="J877" s="70"/>
      <c r="K877" s="69"/>
      <c r="L877" s="32"/>
      <c r="M877" s="69"/>
      <c r="N877" s="69"/>
      <c r="O877" s="69"/>
      <c r="P877" s="2"/>
      <c r="Q877" s="2"/>
      <c r="R877" s="32"/>
      <c r="S877" s="32"/>
      <c r="T877" s="32"/>
      <c r="U877" s="32"/>
      <c r="V877" s="2"/>
      <c r="W877" s="2"/>
      <c r="X877" s="2"/>
      <c r="Y877" s="2"/>
      <c r="Z877" s="2"/>
    </row>
    <row r="878" spans="1:26" ht="13.8" x14ac:dyDescent="0.3">
      <c r="A878" s="2"/>
      <c r="B878" s="2"/>
      <c r="C878" s="10"/>
      <c r="D878" s="10"/>
      <c r="E878" s="10"/>
      <c r="F878" s="10"/>
      <c r="G878" s="69"/>
      <c r="H878" s="69"/>
      <c r="I878" s="69"/>
      <c r="J878" s="70"/>
      <c r="K878" s="69"/>
      <c r="L878" s="32"/>
      <c r="M878" s="69"/>
      <c r="N878" s="69"/>
      <c r="O878" s="69"/>
      <c r="P878" s="2"/>
      <c r="Q878" s="2"/>
      <c r="R878" s="32"/>
      <c r="S878" s="32"/>
      <c r="T878" s="32"/>
      <c r="U878" s="32"/>
      <c r="V878" s="2"/>
      <c r="W878" s="2"/>
      <c r="X878" s="2"/>
      <c r="Y878" s="2"/>
      <c r="Z878" s="2"/>
    </row>
    <row r="879" spans="1:26" ht="13.8" x14ac:dyDescent="0.3">
      <c r="A879" s="2"/>
      <c r="B879" s="2"/>
      <c r="C879" s="10"/>
      <c r="D879" s="10"/>
      <c r="E879" s="10"/>
      <c r="F879" s="10"/>
      <c r="G879" s="69"/>
      <c r="H879" s="69"/>
      <c r="I879" s="69"/>
      <c r="J879" s="70"/>
      <c r="K879" s="69"/>
      <c r="L879" s="32"/>
      <c r="M879" s="69"/>
      <c r="N879" s="69"/>
      <c r="O879" s="69"/>
      <c r="P879" s="2"/>
      <c r="Q879" s="2"/>
      <c r="R879" s="32"/>
      <c r="S879" s="32"/>
      <c r="T879" s="32"/>
      <c r="U879" s="32"/>
      <c r="V879" s="2"/>
      <c r="W879" s="2"/>
      <c r="X879" s="2"/>
      <c r="Y879" s="2"/>
      <c r="Z879" s="2"/>
    </row>
    <row r="880" spans="1:26" ht="13.8" x14ac:dyDescent="0.3">
      <c r="A880" s="2"/>
      <c r="B880" s="2"/>
      <c r="C880" s="10"/>
      <c r="D880" s="10"/>
      <c r="E880" s="10"/>
      <c r="F880" s="10"/>
      <c r="G880" s="69"/>
      <c r="H880" s="69"/>
      <c r="I880" s="69"/>
      <c r="J880" s="70"/>
      <c r="K880" s="69"/>
      <c r="L880" s="32"/>
      <c r="M880" s="69"/>
      <c r="N880" s="69"/>
      <c r="O880" s="69"/>
      <c r="P880" s="2"/>
      <c r="Q880" s="2"/>
      <c r="R880" s="32"/>
      <c r="S880" s="32"/>
      <c r="T880" s="32"/>
      <c r="U880" s="32"/>
      <c r="V880" s="2"/>
      <c r="W880" s="2"/>
      <c r="X880" s="2"/>
      <c r="Y880" s="2"/>
      <c r="Z880" s="2"/>
    </row>
    <row r="881" spans="1:26" ht="13.8" x14ac:dyDescent="0.3">
      <c r="A881" s="2"/>
      <c r="B881" s="2"/>
      <c r="C881" s="10"/>
      <c r="D881" s="10"/>
      <c r="E881" s="10"/>
      <c r="F881" s="10"/>
      <c r="G881" s="69"/>
      <c r="H881" s="69"/>
      <c r="I881" s="69"/>
      <c r="J881" s="70"/>
      <c r="K881" s="69"/>
      <c r="L881" s="32"/>
      <c r="M881" s="69"/>
      <c r="N881" s="69"/>
      <c r="O881" s="69"/>
      <c r="P881" s="2"/>
      <c r="Q881" s="2"/>
      <c r="R881" s="32"/>
      <c r="S881" s="32"/>
      <c r="T881" s="32"/>
      <c r="U881" s="32"/>
      <c r="V881" s="2"/>
      <c r="W881" s="2"/>
      <c r="X881" s="2"/>
      <c r="Y881" s="2"/>
      <c r="Z881" s="2"/>
    </row>
    <row r="882" spans="1:26" ht="13.8" x14ac:dyDescent="0.3">
      <c r="A882" s="2"/>
      <c r="B882" s="2"/>
      <c r="C882" s="10"/>
      <c r="D882" s="10"/>
      <c r="E882" s="10"/>
      <c r="F882" s="10"/>
      <c r="G882" s="69"/>
      <c r="H882" s="69"/>
      <c r="I882" s="69"/>
      <c r="J882" s="70"/>
      <c r="K882" s="69"/>
      <c r="L882" s="32"/>
      <c r="M882" s="69"/>
      <c r="N882" s="69"/>
      <c r="O882" s="69"/>
      <c r="P882" s="2"/>
      <c r="Q882" s="2"/>
      <c r="R882" s="32"/>
      <c r="S882" s="32"/>
      <c r="T882" s="32"/>
      <c r="U882" s="32"/>
      <c r="V882" s="2"/>
      <c r="W882" s="2"/>
      <c r="X882" s="2"/>
      <c r="Y882" s="2"/>
      <c r="Z882" s="2"/>
    </row>
    <row r="883" spans="1:26" ht="13.8" x14ac:dyDescent="0.3">
      <c r="A883" s="2"/>
      <c r="B883" s="2"/>
      <c r="C883" s="10"/>
      <c r="D883" s="10"/>
      <c r="E883" s="10"/>
      <c r="F883" s="10"/>
      <c r="G883" s="69"/>
      <c r="H883" s="69"/>
      <c r="I883" s="69"/>
      <c r="J883" s="70"/>
      <c r="K883" s="69"/>
      <c r="L883" s="32"/>
      <c r="M883" s="69"/>
      <c r="N883" s="69"/>
      <c r="O883" s="69"/>
      <c r="P883" s="2"/>
      <c r="Q883" s="2"/>
      <c r="R883" s="32"/>
      <c r="S883" s="32"/>
      <c r="T883" s="32"/>
      <c r="U883" s="32"/>
      <c r="V883" s="2"/>
      <c r="W883" s="2"/>
      <c r="X883" s="2"/>
      <c r="Y883" s="2"/>
      <c r="Z883" s="2"/>
    </row>
    <row r="884" spans="1:26" ht="13.8" x14ac:dyDescent="0.3">
      <c r="A884" s="2"/>
      <c r="B884" s="2"/>
      <c r="C884" s="10"/>
      <c r="D884" s="10"/>
      <c r="E884" s="10"/>
      <c r="F884" s="10"/>
      <c r="G884" s="69"/>
      <c r="H884" s="69"/>
      <c r="I884" s="69"/>
      <c r="J884" s="70"/>
      <c r="K884" s="69"/>
      <c r="L884" s="32"/>
      <c r="M884" s="69"/>
      <c r="N884" s="69"/>
      <c r="O884" s="69"/>
      <c r="P884" s="2"/>
      <c r="Q884" s="2"/>
      <c r="R884" s="32"/>
      <c r="S884" s="32"/>
      <c r="T884" s="32"/>
      <c r="U884" s="32"/>
      <c r="V884" s="2"/>
      <c r="W884" s="2"/>
      <c r="X884" s="2"/>
      <c r="Y884" s="2"/>
      <c r="Z884" s="2"/>
    </row>
    <row r="885" spans="1:26" ht="13.8" x14ac:dyDescent="0.3">
      <c r="A885" s="2"/>
      <c r="B885" s="2"/>
      <c r="C885" s="10"/>
      <c r="D885" s="10"/>
      <c r="E885" s="10"/>
      <c r="F885" s="10"/>
      <c r="G885" s="69"/>
      <c r="H885" s="69"/>
      <c r="I885" s="69"/>
      <c r="J885" s="70"/>
      <c r="K885" s="69"/>
      <c r="L885" s="32"/>
      <c r="M885" s="69"/>
      <c r="N885" s="69"/>
      <c r="O885" s="69"/>
      <c r="P885" s="2"/>
      <c r="Q885" s="2"/>
      <c r="R885" s="32"/>
      <c r="S885" s="32"/>
      <c r="T885" s="32"/>
      <c r="U885" s="32"/>
      <c r="V885" s="2"/>
      <c r="W885" s="2"/>
      <c r="X885" s="2"/>
      <c r="Y885" s="2"/>
      <c r="Z885" s="2"/>
    </row>
    <row r="886" spans="1:26" ht="13.8" x14ac:dyDescent="0.3">
      <c r="A886" s="2"/>
      <c r="B886" s="2"/>
      <c r="C886" s="10"/>
      <c r="D886" s="10"/>
      <c r="E886" s="10"/>
      <c r="F886" s="10"/>
      <c r="G886" s="69"/>
      <c r="H886" s="69"/>
      <c r="I886" s="69"/>
      <c r="J886" s="70"/>
      <c r="K886" s="69"/>
      <c r="L886" s="32"/>
      <c r="M886" s="69"/>
      <c r="N886" s="69"/>
      <c r="O886" s="69"/>
      <c r="P886" s="2"/>
      <c r="Q886" s="2"/>
      <c r="R886" s="32"/>
      <c r="S886" s="32"/>
      <c r="T886" s="32"/>
      <c r="U886" s="32"/>
      <c r="V886" s="2"/>
      <c r="W886" s="2"/>
      <c r="X886" s="2"/>
      <c r="Y886" s="2"/>
      <c r="Z886" s="2"/>
    </row>
    <row r="887" spans="1:26" ht="13.8" x14ac:dyDescent="0.3">
      <c r="A887" s="2"/>
      <c r="B887" s="2"/>
      <c r="C887" s="10"/>
      <c r="D887" s="10"/>
      <c r="E887" s="10"/>
      <c r="F887" s="10"/>
      <c r="G887" s="69"/>
      <c r="H887" s="69"/>
      <c r="I887" s="69"/>
      <c r="J887" s="70"/>
      <c r="K887" s="69"/>
      <c r="L887" s="32"/>
      <c r="M887" s="69"/>
      <c r="N887" s="69"/>
      <c r="O887" s="69"/>
      <c r="P887" s="2"/>
      <c r="Q887" s="2"/>
      <c r="R887" s="32"/>
      <c r="S887" s="32"/>
      <c r="T887" s="32"/>
      <c r="U887" s="32"/>
      <c r="V887" s="2"/>
      <c r="W887" s="2"/>
      <c r="X887" s="2"/>
      <c r="Y887" s="2"/>
      <c r="Z887" s="2"/>
    </row>
    <row r="888" spans="1:26" ht="13.8" x14ac:dyDescent="0.3">
      <c r="A888" s="2"/>
      <c r="B888" s="2"/>
      <c r="C888" s="10"/>
      <c r="D888" s="10"/>
      <c r="E888" s="10"/>
      <c r="F888" s="10"/>
      <c r="G888" s="69"/>
      <c r="H888" s="69"/>
      <c r="I888" s="69"/>
      <c r="J888" s="70"/>
      <c r="K888" s="69"/>
      <c r="L888" s="32"/>
      <c r="M888" s="69"/>
      <c r="N888" s="69"/>
      <c r="O888" s="69"/>
      <c r="P888" s="2"/>
      <c r="Q888" s="2"/>
      <c r="R888" s="32"/>
      <c r="S888" s="32"/>
      <c r="T888" s="32"/>
      <c r="U888" s="32"/>
      <c r="V888" s="2"/>
      <c r="W888" s="2"/>
      <c r="X888" s="2"/>
      <c r="Y888" s="2"/>
      <c r="Z888" s="2"/>
    </row>
    <row r="889" spans="1:26" ht="13.8" x14ac:dyDescent="0.3">
      <c r="A889" s="2"/>
      <c r="B889" s="2"/>
      <c r="C889" s="10"/>
      <c r="D889" s="10"/>
      <c r="E889" s="10"/>
      <c r="F889" s="10"/>
      <c r="G889" s="69"/>
      <c r="H889" s="69"/>
      <c r="I889" s="69"/>
      <c r="J889" s="70"/>
      <c r="K889" s="69"/>
      <c r="L889" s="32"/>
      <c r="M889" s="69"/>
      <c r="N889" s="69"/>
      <c r="O889" s="69"/>
      <c r="P889" s="2"/>
      <c r="Q889" s="2"/>
      <c r="R889" s="32"/>
      <c r="S889" s="32"/>
      <c r="T889" s="32"/>
      <c r="U889" s="32"/>
      <c r="V889" s="2"/>
      <c r="W889" s="2"/>
      <c r="X889" s="2"/>
      <c r="Y889" s="2"/>
      <c r="Z889" s="2"/>
    </row>
    <row r="890" spans="1:26" ht="13.8" x14ac:dyDescent="0.3">
      <c r="A890" s="2"/>
      <c r="B890" s="2"/>
      <c r="C890" s="10"/>
      <c r="D890" s="10"/>
      <c r="E890" s="10"/>
      <c r="F890" s="10"/>
      <c r="G890" s="69"/>
      <c r="H890" s="69"/>
      <c r="I890" s="69"/>
      <c r="J890" s="70"/>
      <c r="K890" s="69"/>
      <c r="L890" s="32"/>
      <c r="M890" s="69"/>
      <c r="N890" s="69"/>
      <c r="O890" s="69"/>
      <c r="P890" s="2"/>
      <c r="Q890" s="2"/>
      <c r="R890" s="32"/>
      <c r="S890" s="32"/>
      <c r="T890" s="32"/>
      <c r="U890" s="32"/>
      <c r="V890" s="2"/>
      <c r="W890" s="2"/>
      <c r="X890" s="2"/>
      <c r="Y890" s="2"/>
      <c r="Z890" s="2"/>
    </row>
    <row r="891" spans="1:26" ht="13.8" x14ac:dyDescent="0.3">
      <c r="A891" s="2"/>
      <c r="B891" s="2"/>
      <c r="C891" s="10"/>
      <c r="D891" s="10"/>
      <c r="E891" s="10"/>
      <c r="F891" s="10"/>
      <c r="G891" s="69"/>
      <c r="H891" s="69"/>
      <c r="I891" s="69"/>
      <c r="J891" s="70"/>
      <c r="K891" s="69"/>
      <c r="L891" s="32"/>
      <c r="M891" s="69"/>
      <c r="N891" s="69"/>
      <c r="O891" s="69"/>
      <c r="P891" s="2"/>
      <c r="Q891" s="2"/>
      <c r="R891" s="32"/>
      <c r="S891" s="32"/>
      <c r="T891" s="32"/>
      <c r="U891" s="32"/>
      <c r="V891" s="2"/>
      <c r="W891" s="2"/>
      <c r="X891" s="2"/>
      <c r="Y891" s="2"/>
      <c r="Z891" s="2"/>
    </row>
    <row r="892" spans="1:26" ht="13.8" x14ac:dyDescent="0.3">
      <c r="A892" s="2"/>
      <c r="B892" s="2"/>
      <c r="C892" s="10"/>
      <c r="D892" s="10"/>
      <c r="E892" s="10"/>
      <c r="F892" s="10"/>
      <c r="G892" s="69"/>
      <c r="H892" s="69"/>
      <c r="I892" s="69"/>
      <c r="J892" s="70"/>
      <c r="K892" s="69"/>
      <c r="L892" s="32"/>
      <c r="M892" s="69"/>
      <c r="N892" s="69"/>
      <c r="O892" s="69"/>
      <c r="P892" s="2"/>
      <c r="Q892" s="2"/>
      <c r="R892" s="32"/>
      <c r="S892" s="32"/>
      <c r="T892" s="32"/>
      <c r="U892" s="32"/>
      <c r="V892" s="2"/>
      <c r="W892" s="2"/>
      <c r="X892" s="2"/>
      <c r="Y892" s="2"/>
      <c r="Z892" s="2"/>
    </row>
    <row r="893" spans="1:26" ht="13.8" x14ac:dyDescent="0.3">
      <c r="A893" s="2"/>
      <c r="B893" s="2"/>
      <c r="C893" s="10"/>
      <c r="D893" s="10"/>
      <c r="E893" s="10"/>
      <c r="F893" s="10"/>
      <c r="G893" s="69"/>
      <c r="H893" s="69"/>
      <c r="I893" s="69"/>
      <c r="J893" s="70"/>
      <c r="K893" s="69"/>
      <c r="L893" s="32"/>
      <c r="M893" s="69"/>
      <c r="N893" s="69"/>
      <c r="O893" s="69"/>
      <c r="P893" s="2"/>
      <c r="Q893" s="2"/>
      <c r="R893" s="32"/>
      <c r="S893" s="32"/>
      <c r="T893" s="32"/>
      <c r="U893" s="32"/>
      <c r="V893" s="2"/>
      <c r="W893" s="2"/>
      <c r="X893" s="2"/>
      <c r="Y893" s="2"/>
      <c r="Z893" s="2"/>
    </row>
    <row r="894" spans="1:26" ht="13.8" x14ac:dyDescent="0.3">
      <c r="A894" s="2"/>
      <c r="B894" s="2"/>
      <c r="C894" s="10"/>
      <c r="D894" s="10"/>
      <c r="E894" s="10"/>
      <c r="F894" s="10"/>
      <c r="G894" s="69"/>
      <c r="H894" s="69"/>
      <c r="I894" s="69"/>
      <c r="J894" s="70"/>
      <c r="K894" s="69"/>
      <c r="L894" s="32"/>
      <c r="M894" s="69"/>
      <c r="N894" s="69"/>
      <c r="O894" s="69"/>
      <c r="P894" s="2"/>
      <c r="Q894" s="2"/>
      <c r="R894" s="32"/>
      <c r="S894" s="32"/>
      <c r="T894" s="32"/>
      <c r="U894" s="32"/>
      <c r="V894" s="2"/>
      <c r="W894" s="2"/>
      <c r="X894" s="2"/>
      <c r="Y894" s="2"/>
      <c r="Z894" s="2"/>
    </row>
    <row r="895" spans="1:26" ht="13.8" x14ac:dyDescent="0.3">
      <c r="A895" s="2"/>
      <c r="B895" s="2"/>
      <c r="C895" s="10"/>
      <c r="D895" s="10"/>
      <c r="E895" s="10"/>
      <c r="F895" s="10"/>
      <c r="G895" s="69"/>
      <c r="H895" s="69"/>
      <c r="I895" s="69"/>
      <c r="J895" s="70"/>
      <c r="K895" s="69"/>
      <c r="L895" s="32"/>
      <c r="M895" s="69"/>
      <c r="N895" s="69"/>
      <c r="O895" s="69"/>
      <c r="P895" s="2"/>
      <c r="Q895" s="2"/>
      <c r="R895" s="32"/>
      <c r="S895" s="32"/>
      <c r="T895" s="32"/>
      <c r="U895" s="32"/>
      <c r="V895" s="2"/>
      <c r="W895" s="2"/>
      <c r="X895" s="2"/>
      <c r="Y895" s="2"/>
      <c r="Z895" s="2"/>
    </row>
    <row r="896" spans="1:26" ht="13.8" x14ac:dyDescent="0.3">
      <c r="A896" s="2"/>
      <c r="B896" s="2"/>
      <c r="C896" s="10"/>
      <c r="D896" s="10"/>
      <c r="E896" s="10"/>
      <c r="F896" s="10"/>
      <c r="G896" s="69"/>
      <c r="H896" s="69"/>
      <c r="I896" s="69"/>
      <c r="J896" s="70"/>
      <c r="K896" s="69"/>
      <c r="L896" s="32"/>
      <c r="M896" s="69"/>
      <c r="N896" s="69"/>
      <c r="O896" s="69"/>
      <c r="P896" s="2"/>
      <c r="Q896" s="2"/>
      <c r="R896" s="32"/>
      <c r="S896" s="32"/>
      <c r="T896" s="32"/>
      <c r="U896" s="32"/>
      <c r="V896" s="2"/>
      <c r="W896" s="2"/>
      <c r="X896" s="2"/>
      <c r="Y896" s="2"/>
      <c r="Z896" s="2"/>
    </row>
    <row r="897" spans="1:26" ht="13.8" x14ac:dyDescent="0.3">
      <c r="A897" s="2"/>
      <c r="B897" s="2"/>
      <c r="C897" s="10"/>
      <c r="D897" s="10"/>
      <c r="E897" s="10"/>
      <c r="F897" s="10"/>
      <c r="G897" s="69"/>
      <c r="H897" s="69"/>
      <c r="I897" s="69"/>
      <c r="J897" s="70"/>
      <c r="K897" s="69"/>
      <c r="L897" s="32"/>
      <c r="M897" s="69"/>
      <c r="N897" s="69"/>
      <c r="O897" s="69"/>
      <c r="P897" s="2"/>
      <c r="Q897" s="2"/>
      <c r="R897" s="32"/>
      <c r="S897" s="32"/>
      <c r="T897" s="32"/>
      <c r="U897" s="32"/>
      <c r="V897" s="2"/>
      <c r="W897" s="2"/>
      <c r="X897" s="2"/>
      <c r="Y897" s="2"/>
      <c r="Z897" s="2"/>
    </row>
    <row r="898" spans="1:26" ht="13.8" x14ac:dyDescent="0.3">
      <c r="A898" s="2"/>
      <c r="B898" s="2"/>
      <c r="C898" s="10"/>
      <c r="D898" s="10"/>
      <c r="E898" s="10"/>
      <c r="F898" s="10"/>
      <c r="G898" s="69"/>
      <c r="H898" s="69"/>
      <c r="I898" s="69"/>
      <c r="J898" s="70"/>
      <c r="K898" s="69"/>
      <c r="L898" s="32"/>
      <c r="M898" s="69"/>
      <c r="N898" s="69"/>
      <c r="O898" s="69"/>
      <c r="P898" s="2"/>
      <c r="Q898" s="2"/>
      <c r="R898" s="32"/>
      <c r="S898" s="32"/>
      <c r="T898" s="32"/>
      <c r="U898" s="32"/>
      <c r="V898" s="2"/>
      <c r="W898" s="2"/>
      <c r="X898" s="2"/>
      <c r="Y898" s="2"/>
      <c r="Z898" s="2"/>
    </row>
    <row r="899" spans="1:26" ht="13.8" x14ac:dyDescent="0.3">
      <c r="A899" s="2"/>
      <c r="B899" s="2"/>
      <c r="C899" s="10"/>
      <c r="D899" s="10"/>
      <c r="E899" s="10"/>
      <c r="F899" s="10"/>
      <c r="G899" s="69"/>
      <c r="H899" s="69"/>
      <c r="I899" s="69"/>
      <c r="J899" s="70"/>
      <c r="K899" s="69"/>
      <c r="L899" s="32"/>
      <c r="M899" s="69"/>
      <c r="N899" s="69"/>
      <c r="O899" s="69"/>
      <c r="P899" s="2"/>
      <c r="Q899" s="2"/>
      <c r="R899" s="32"/>
      <c r="S899" s="32"/>
      <c r="T899" s="32"/>
      <c r="U899" s="32"/>
      <c r="V899" s="2"/>
      <c r="W899" s="2"/>
      <c r="X899" s="2"/>
      <c r="Y899" s="2"/>
      <c r="Z899" s="2"/>
    </row>
    <row r="900" spans="1:26" ht="13.8" x14ac:dyDescent="0.3">
      <c r="A900" s="2"/>
      <c r="B900" s="2"/>
      <c r="C900" s="10"/>
      <c r="D900" s="10"/>
      <c r="E900" s="10"/>
      <c r="F900" s="10"/>
      <c r="G900" s="69"/>
      <c r="H900" s="69"/>
      <c r="I900" s="69"/>
      <c r="J900" s="70"/>
      <c r="K900" s="69"/>
      <c r="L900" s="32"/>
      <c r="M900" s="69"/>
      <c r="N900" s="69"/>
      <c r="O900" s="69"/>
      <c r="P900" s="2"/>
      <c r="Q900" s="2"/>
      <c r="R900" s="32"/>
      <c r="S900" s="32"/>
      <c r="T900" s="32"/>
      <c r="U900" s="32"/>
      <c r="V900" s="2"/>
      <c r="W900" s="2"/>
      <c r="X900" s="2"/>
      <c r="Y900" s="2"/>
      <c r="Z900" s="2"/>
    </row>
    <row r="901" spans="1:26" ht="13.8" x14ac:dyDescent="0.3">
      <c r="A901" s="2"/>
      <c r="B901" s="2"/>
      <c r="C901" s="10"/>
      <c r="D901" s="10"/>
      <c r="E901" s="10"/>
      <c r="F901" s="10"/>
      <c r="G901" s="69"/>
      <c r="H901" s="69"/>
      <c r="I901" s="69"/>
      <c r="J901" s="70"/>
      <c r="K901" s="69"/>
      <c r="L901" s="32"/>
      <c r="M901" s="69"/>
      <c r="N901" s="69"/>
      <c r="O901" s="69"/>
      <c r="P901" s="2"/>
      <c r="Q901" s="2"/>
      <c r="R901" s="32"/>
      <c r="S901" s="32"/>
      <c r="T901" s="32"/>
      <c r="U901" s="32"/>
      <c r="V901" s="2"/>
      <c r="W901" s="2"/>
      <c r="X901" s="2"/>
      <c r="Y901" s="2"/>
      <c r="Z901" s="2"/>
    </row>
    <row r="902" spans="1:26" ht="13.8" x14ac:dyDescent="0.3">
      <c r="A902" s="2"/>
      <c r="B902" s="2"/>
      <c r="C902" s="10"/>
      <c r="D902" s="10"/>
      <c r="E902" s="10"/>
      <c r="F902" s="10"/>
      <c r="G902" s="69"/>
      <c r="H902" s="69"/>
      <c r="I902" s="69"/>
      <c r="J902" s="70"/>
      <c r="K902" s="69"/>
      <c r="L902" s="32"/>
      <c r="M902" s="69"/>
      <c r="N902" s="69"/>
      <c r="O902" s="69"/>
      <c r="P902" s="2"/>
      <c r="Q902" s="2"/>
      <c r="R902" s="32"/>
      <c r="S902" s="32"/>
      <c r="T902" s="32"/>
      <c r="U902" s="32"/>
      <c r="V902" s="2"/>
      <c r="W902" s="2"/>
      <c r="X902" s="2"/>
      <c r="Y902" s="2"/>
      <c r="Z902" s="2"/>
    </row>
    <row r="903" spans="1:26" ht="13.8" x14ac:dyDescent="0.3">
      <c r="A903" s="2"/>
      <c r="B903" s="2"/>
      <c r="C903" s="10"/>
      <c r="D903" s="10"/>
      <c r="E903" s="10"/>
      <c r="F903" s="10"/>
      <c r="G903" s="69"/>
      <c r="H903" s="69"/>
      <c r="I903" s="69"/>
      <c r="J903" s="70"/>
      <c r="K903" s="69"/>
      <c r="L903" s="32"/>
      <c r="M903" s="69"/>
      <c r="N903" s="69"/>
      <c r="O903" s="69"/>
      <c r="P903" s="2"/>
      <c r="Q903" s="2"/>
      <c r="R903" s="32"/>
      <c r="S903" s="32"/>
      <c r="T903" s="32"/>
      <c r="U903" s="32"/>
      <c r="V903" s="2"/>
      <c r="W903" s="2"/>
      <c r="X903" s="2"/>
      <c r="Y903" s="2"/>
      <c r="Z903" s="2"/>
    </row>
    <row r="904" spans="1:26" ht="13.8" x14ac:dyDescent="0.3">
      <c r="A904" s="2"/>
      <c r="B904" s="2"/>
      <c r="C904" s="10"/>
      <c r="D904" s="10"/>
      <c r="E904" s="10"/>
      <c r="F904" s="10"/>
      <c r="G904" s="69"/>
      <c r="H904" s="69"/>
      <c r="I904" s="69"/>
      <c r="J904" s="70"/>
      <c r="K904" s="69"/>
      <c r="L904" s="32"/>
      <c r="M904" s="69"/>
      <c r="N904" s="69"/>
      <c r="O904" s="69"/>
      <c r="P904" s="2"/>
      <c r="Q904" s="2"/>
      <c r="R904" s="32"/>
      <c r="S904" s="32"/>
      <c r="T904" s="32"/>
      <c r="U904" s="32"/>
      <c r="V904" s="2"/>
      <c r="W904" s="2"/>
      <c r="X904" s="2"/>
      <c r="Y904" s="2"/>
      <c r="Z904" s="2"/>
    </row>
    <row r="905" spans="1:26" ht="13.8" x14ac:dyDescent="0.3">
      <c r="A905" s="2"/>
      <c r="B905" s="2"/>
      <c r="C905" s="10"/>
      <c r="D905" s="10"/>
      <c r="E905" s="10"/>
      <c r="F905" s="10"/>
      <c r="G905" s="69"/>
      <c r="H905" s="69"/>
      <c r="I905" s="69"/>
      <c r="J905" s="70"/>
      <c r="K905" s="69"/>
      <c r="L905" s="32"/>
      <c r="M905" s="69"/>
      <c r="N905" s="69"/>
      <c r="O905" s="69"/>
      <c r="P905" s="2"/>
      <c r="Q905" s="2"/>
      <c r="R905" s="32"/>
      <c r="S905" s="32"/>
      <c r="T905" s="32"/>
      <c r="U905" s="32"/>
      <c r="V905" s="2"/>
      <c r="W905" s="2"/>
      <c r="X905" s="2"/>
      <c r="Y905" s="2"/>
      <c r="Z905" s="2"/>
    </row>
    <row r="906" spans="1:26" ht="13.8" x14ac:dyDescent="0.3">
      <c r="A906" s="2"/>
      <c r="B906" s="2"/>
      <c r="C906" s="10"/>
      <c r="D906" s="10"/>
      <c r="E906" s="10"/>
      <c r="F906" s="10"/>
      <c r="G906" s="69"/>
      <c r="H906" s="69"/>
      <c r="I906" s="69"/>
      <c r="J906" s="70"/>
      <c r="K906" s="69"/>
      <c r="L906" s="32"/>
      <c r="M906" s="69"/>
      <c r="N906" s="69"/>
      <c r="O906" s="69"/>
      <c r="P906" s="2"/>
      <c r="Q906" s="2"/>
      <c r="R906" s="32"/>
      <c r="S906" s="32"/>
      <c r="T906" s="32"/>
      <c r="U906" s="32"/>
      <c r="V906" s="2"/>
      <c r="W906" s="2"/>
      <c r="X906" s="2"/>
      <c r="Y906" s="2"/>
      <c r="Z906" s="2"/>
    </row>
    <row r="907" spans="1:26" ht="13.8" x14ac:dyDescent="0.3">
      <c r="A907" s="2"/>
      <c r="B907" s="2"/>
      <c r="C907" s="10"/>
      <c r="D907" s="10"/>
      <c r="E907" s="10"/>
      <c r="F907" s="10"/>
      <c r="G907" s="69"/>
      <c r="H907" s="69"/>
      <c r="I907" s="69"/>
      <c r="J907" s="70"/>
      <c r="K907" s="69"/>
      <c r="L907" s="32"/>
      <c r="M907" s="69"/>
      <c r="N907" s="69"/>
      <c r="O907" s="69"/>
      <c r="P907" s="2"/>
      <c r="Q907" s="2"/>
      <c r="R907" s="32"/>
      <c r="S907" s="32"/>
      <c r="T907" s="32"/>
      <c r="U907" s="32"/>
      <c r="V907" s="2"/>
      <c r="W907" s="2"/>
      <c r="X907" s="2"/>
      <c r="Y907" s="2"/>
      <c r="Z907" s="2"/>
    </row>
    <row r="908" spans="1:26" ht="13.8" x14ac:dyDescent="0.3">
      <c r="A908" s="2"/>
      <c r="B908" s="2"/>
      <c r="C908" s="10"/>
      <c r="D908" s="10"/>
      <c r="E908" s="10"/>
      <c r="F908" s="10"/>
      <c r="G908" s="69"/>
      <c r="H908" s="69"/>
      <c r="I908" s="69"/>
      <c r="J908" s="70"/>
      <c r="K908" s="69"/>
      <c r="L908" s="32"/>
      <c r="M908" s="69"/>
      <c r="N908" s="69"/>
      <c r="O908" s="69"/>
      <c r="P908" s="2"/>
      <c r="Q908" s="2"/>
      <c r="R908" s="32"/>
      <c r="S908" s="32"/>
      <c r="T908" s="32"/>
      <c r="U908" s="32"/>
      <c r="V908" s="2"/>
      <c r="W908" s="2"/>
      <c r="X908" s="2"/>
      <c r="Y908" s="2"/>
      <c r="Z908" s="2"/>
    </row>
    <row r="909" spans="1:26" ht="13.8" x14ac:dyDescent="0.3">
      <c r="A909" s="2"/>
      <c r="B909" s="2"/>
      <c r="C909" s="10"/>
      <c r="D909" s="10"/>
      <c r="E909" s="10"/>
      <c r="F909" s="10"/>
      <c r="G909" s="69"/>
      <c r="H909" s="69"/>
      <c r="I909" s="69"/>
      <c r="J909" s="70"/>
      <c r="K909" s="69"/>
      <c r="L909" s="32"/>
      <c r="M909" s="69"/>
      <c r="N909" s="69"/>
      <c r="O909" s="69"/>
      <c r="P909" s="2"/>
      <c r="Q909" s="2"/>
      <c r="R909" s="32"/>
      <c r="S909" s="32"/>
      <c r="T909" s="32"/>
      <c r="U909" s="32"/>
      <c r="V909" s="2"/>
      <c r="W909" s="2"/>
      <c r="X909" s="2"/>
      <c r="Y909" s="2"/>
      <c r="Z909" s="2"/>
    </row>
    <row r="910" spans="1:26" ht="13.8" x14ac:dyDescent="0.3">
      <c r="A910" s="2"/>
      <c r="B910" s="2"/>
      <c r="C910" s="10"/>
      <c r="D910" s="10"/>
      <c r="E910" s="10"/>
      <c r="F910" s="10"/>
      <c r="G910" s="69"/>
      <c r="H910" s="69"/>
      <c r="I910" s="69"/>
      <c r="J910" s="70"/>
      <c r="K910" s="69"/>
      <c r="L910" s="32"/>
      <c r="M910" s="69"/>
      <c r="N910" s="69"/>
      <c r="O910" s="69"/>
      <c r="P910" s="2"/>
      <c r="Q910" s="2"/>
      <c r="R910" s="32"/>
      <c r="S910" s="32"/>
      <c r="T910" s="32"/>
      <c r="U910" s="32"/>
      <c r="V910" s="2"/>
      <c r="W910" s="2"/>
      <c r="X910" s="2"/>
      <c r="Y910" s="2"/>
      <c r="Z910" s="2"/>
    </row>
    <row r="911" spans="1:26" ht="13.8" x14ac:dyDescent="0.3">
      <c r="A911" s="2"/>
      <c r="B911" s="2"/>
      <c r="C911" s="10"/>
      <c r="D911" s="10"/>
      <c r="E911" s="10"/>
      <c r="F911" s="10"/>
      <c r="G911" s="69"/>
      <c r="H911" s="69"/>
      <c r="I911" s="69"/>
      <c r="J911" s="70"/>
      <c r="K911" s="69"/>
      <c r="L911" s="32"/>
      <c r="M911" s="69"/>
      <c r="N911" s="69"/>
      <c r="O911" s="69"/>
      <c r="P911" s="2"/>
      <c r="Q911" s="2"/>
      <c r="R911" s="32"/>
      <c r="S911" s="32"/>
      <c r="T911" s="32"/>
      <c r="U911" s="32"/>
      <c r="V911" s="2"/>
      <c r="W911" s="2"/>
      <c r="X911" s="2"/>
      <c r="Y911" s="2"/>
      <c r="Z911" s="2"/>
    </row>
    <row r="912" spans="1:26" ht="13.8" x14ac:dyDescent="0.3">
      <c r="A912" s="2"/>
      <c r="B912" s="2"/>
      <c r="C912" s="10"/>
      <c r="D912" s="10"/>
      <c r="E912" s="10"/>
      <c r="F912" s="10"/>
      <c r="G912" s="69"/>
      <c r="H912" s="69"/>
      <c r="I912" s="69"/>
      <c r="J912" s="70"/>
      <c r="K912" s="69"/>
      <c r="L912" s="32"/>
      <c r="M912" s="69"/>
      <c r="N912" s="69"/>
      <c r="O912" s="69"/>
      <c r="P912" s="2"/>
      <c r="Q912" s="2"/>
      <c r="R912" s="32"/>
      <c r="S912" s="32"/>
      <c r="T912" s="32"/>
      <c r="U912" s="32"/>
      <c r="V912" s="2"/>
      <c r="W912" s="2"/>
      <c r="X912" s="2"/>
      <c r="Y912" s="2"/>
      <c r="Z912" s="2"/>
    </row>
    <row r="913" spans="1:26" ht="13.8" x14ac:dyDescent="0.3">
      <c r="A913" s="2"/>
      <c r="B913" s="2"/>
      <c r="C913" s="10"/>
      <c r="D913" s="10"/>
      <c r="E913" s="10"/>
      <c r="F913" s="10"/>
      <c r="G913" s="69"/>
      <c r="H913" s="69"/>
      <c r="I913" s="69"/>
      <c r="J913" s="70"/>
      <c r="K913" s="69"/>
      <c r="L913" s="32"/>
      <c r="M913" s="69"/>
      <c r="N913" s="69"/>
      <c r="O913" s="69"/>
      <c r="P913" s="2"/>
      <c r="Q913" s="2"/>
      <c r="R913" s="32"/>
      <c r="S913" s="32"/>
      <c r="T913" s="32"/>
      <c r="U913" s="32"/>
      <c r="V913" s="2"/>
      <c r="W913" s="2"/>
      <c r="X913" s="2"/>
      <c r="Y913" s="2"/>
      <c r="Z913" s="2"/>
    </row>
    <row r="914" spans="1:26" ht="13.8" x14ac:dyDescent="0.3">
      <c r="A914" s="2"/>
      <c r="B914" s="2"/>
      <c r="C914" s="10"/>
      <c r="D914" s="10"/>
      <c r="E914" s="10"/>
      <c r="F914" s="10"/>
      <c r="G914" s="69"/>
      <c r="H914" s="69"/>
      <c r="I914" s="69"/>
      <c r="J914" s="70"/>
      <c r="K914" s="69"/>
      <c r="L914" s="32"/>
      <c r="M914" s="69"/>
      <c r="N914" s="69"/>
      <c r="O914" s="69"/>
      <c r="P914" s="2"/>
      <c r="Q914" s="2"/>
      <c r="R914" s="32"/>
      <c r="S914" s="32"/>
      <c r="T914" s="32"/>
      <c r="U914" s="32"/>
      <c r="V914" s="2"/>
      <c r="W914" s="2"/>
      <c r="X914" s="2"/>
      <c r="Y914" s="2"/>
      <c r="Z914" s="2"/>
    </row>
    <row r="915" spans="1:26" ht="13.8" x14ac:dyDescent="0.3">
      <c r="A915" s="2"/>
      <c r="B915" s="2"/>
      <c r="C915" s="10"/>
      <c r="D915" s="10"/>
      <c r="E915" s="10"/>
      <c r="F915" s="10"/>
      <c r="G915" s="69"/>
      <c r="H915" s="69"/>
      <c r="I915" s="69"/>
      <c r="J915" s="70"/>
      <c r="K915" s="69"/>
      <c r="L915" s="32"/>
      <c r="M915" s="69"/>
      <c r="N915" s="69"/>
      <c r="O915" s="69"/>
      <c r="P915" s="2"/>
      <c r="Q915" s="2"/>
      <c r="R915" s="32"/>
      <c r="S915" s="32"/>
      <c r="T915" s="32"/>
      <c r="U915" s="32"/>
      <c r="V915" s="2"/>
      <c r="W915" s="2"/>
      <c r="X915" s="2"/>
      <c r="Y915" s="2"/>
      <c r="Z915" s="2"/>
    </row>
    <row r="916" spans="1:26" ht="13.8" x14ac:dyDescent="0.3">
      <c r="A916" s="2"/>
      <c r="B916" s="2"/>
      <c r="C916" s="10"/>
      <c r="D916" s="10"/>
      <c r="E916" s="10"/>
      <c r="F916" s="10"/>
      <c r="G916" s="69"/>
      <c r="H916" s="69"/>
      <c r="I916" s="69"/>
      <c r="J916" s="70"/>
      <c r="K916" s="69"/>
      <c r="L916" s="32"/>
      <c r="M916" s="69"/>
      <c r="N916" s="69"/>
      <c r="O916" s="69"/>
      <c r="P916" s="2"/>
      <c r="Q916" s="2"/>
      <c r="R916" s="32"/>
      <c r="S916" s="32"/>
      <c r="T916" s="32"/>
      <c r="U916" s="32"/>
      <c r="V916" s="2"/>
      <c r="W916" s="2"/>
      <c r="X916" s="2"/>
      <c r="Y916" s="2"/>
      <c r="Z916" s="2"/>
    </row>
    <row r="917" spans="1:26" ht="13.8" x14ac:dyDescent="0.3">
      <c r="A917" s="2"/>
      <c r="B917" s="2"/>
      <c r="C917" s="10"/>
      <c r="D917" s="10"/>
      <c r="E917" s="10"/>
      <c r="F917" s="10"/>
      <c r="G917" s="69"/>
      <c r="H917" s="69"/>
      <c r="I917" s="69"/>
      <c r="J917" s="70"/>
      <c r="K917" s="69"/>
      <c r="L917" s="32"/>
      <c r="M917" s="69"/>
      <c r="N917" s="69"/>
      <c r="O917" s="69"/>
      <c r="P917" s="2"/>
      <c r="Q917" s="2"/>
      <c r="R917" s="32"/>
      <c r="S917" s="32"/>
      <c r="T917" s="32"/>
      <c r="U917" s="32"/>
      <c r="V917" s="2"/>
      <c r="W917" s="2"/>
      <c r="X917" s="2"/>
      <c r="Y917" s="2"/>
      <c r="Z917" s="2"/>
    </row>
    <row r="918" spans="1:26" ht="13.8" x14ac:dyDescent="0.3">
      <c r="A918" s="2"/>
      <c r="B918" s="2"/>
      <c r="C918" s="10"/>
      <c r="D918" s="10"/>
      <c r="E918" s="10"/>
      <c r="F918" s="10"/>
      <c r="G918" s="69"/>
      <c r="H918" s="69"/>
      <c r="I918" s="69"/>
      <c r="J918" s="70"/>
      <c r="K918" s="69"/>
      <c r="L918" s="32"/>
      <c r="M918" s="69"/>
      <c r="N918" s="69"/>
      <c r="O918" s="69"/>
      <c r="P918" s="2"/>
      <c r="Q918" s="2"/>
      <c r="R918" s="32"/>
      <c r="S918" s="32"/>
      <c r="T918" s="32"/>
      <c r="U918" s="32"/>
      <c r="V918" s="2"/>
      <c r="W918" s="2"/>
      <c r="X918" s="2"/>
      <c r="Y918" s="2"/>
      <c r="Z918" s="2"/>
    </row>
    <row r="919" spans="1:26" ht="13.8" x14ac:dyDescent="0.3">
      <c r="A919" s="2"/>
      <c r="B919" s="2"/>
      <c r="C919" s="10"/>
      <c r="D919" s="10"/>
      <c r="E919" s="10"/>
      <c r="F919" s="10"/>
      <c r="G919" s="69"/>
      <c r="H919" s="69"/>
      <c r="I919" s="69"/>
      <c r="J919" s="70"/>
      <c r="K919" s="69"/>
      <c r="L919" s="32"/>
      <c r="M919" s="69"/>
      <c r="N919" s="69"/>
      <c r="O919" s="69"/>
      <c r="P919" s="2"/>
      <c r="Q919" s="2"/>
      <c r="R919" s="32"/>
      <c r="S919" s="32"/>
      <c r="T919" s="32"/>
      <c r="U919" s="32"/>
      <c r="V919" s="2"/>
      <c r="W919" s="2"/>
      <c r="X919" s="2"/>
      <c r="Y919" s="2"/>
      <c r="Z919" s="2"/>
    </row>
    <row r="920" spans="1:26" ht="13.8" x14ac:dyDescent="0.3">
      <c r="A920" s="2"/>
      <c r="B920" s="2"/>
      <c r="C920" s="10"/>
      <c r="D920" s="10"/>
      <c r="E920" s="10"/>
      <c r="F920" s="10"/>
      <c r="G920" s="69"/>
      <c r="H920" s="69"/>
      <c r="I920" s="69"/>
      <c r="J920" s="70"/>
      <c r="K920" s="69"/>
      <c r="L920" s="32"/>
      <c r="M920" s="69"/>
      <c r="N920" s="69"/>
      <c r="O920" s="69"/>
      <c r="P920" s="2"/>
      <c r="Q920" s="2"/>
      <c r="R920" s="32"/>
      <c r="S920" s="32"/>
      <c r="T920" s="32"/>
      <c r="U920" s="32"/>
      <c r="V920" s="2"/>
      <c r="W920" s="2"/>
      <c r="X920" s="2"/>
      <c r="Y920" s="2"/>
      <c r="Z920" s="2"/>
    </row>
    <row r="921" spans="1:26" ht="13.8" x14ac:dyDescent="0.3">
      <c r="A921" s="2"/>
      <c r="B921" s="2"/>
      <c r="C921" s="10"/>
      <c r="D921" s="10"/>
      <c r="E921" s="10"/>
      <c r="F921" s="10"/>
      <c r="G921" s="69"/>
      <c r="H921" s="69"/>
      <c r="I921" s="69"/>
      <c r="J921" s="70"/>
      <c r="K921" s="69"/>
      <c r="L921" s="32"/>
      <c r="M921" s="69"/>
      <c r="N921" s="69"/>
      <c r="O921" s="69"/>
      <c r="P921" s="2"/>
      <c r="Q921" s="2"/>
      <c r="R921" s="32"/>
      <c r="S921" s="32"/>
      <c r="T921" s="32"/>
      <c r="U921" s="32"/>
      <c r="V921" s="2"/>
      <c r="W921" s="2"/>
      <c r="X921" s="2"/>
      <c r="Y921" s="2"/>
      <c r="Z921" s="2"/>
    </row>
    <row r="922" spans="1:26" ht="13.8" x14ac:dyDescent="0.3">
      <c r="A922" s="2"/>
      <c r="B922" s="2"/>
      <c r="C922" s="10"/>
      <c r="D922" s="10"/>
      <c r="E922" s="10"/>
      <c r="F922" s="10"/>
      <c r="G922" s="69"/>
      <c r="H922" s="69"/>
      <c r="I922" s="69"/>
      <c r="J922" s="70"/>
      <c r="K922" s="69"/>
      <c r="L922" s="32"/>
      <c r="M922" s="69"/>
      <c r="N922" s="69"/>
      <c r="O922" s="69"/>
      <c r="P922" s="2"/>
      <c r="Q922" s="2"/>
      <c r="R922" s="32"/>
      <c r="S922" s="32"/>
      <c r="T922" s="32"/>
      <c r="U922" s="32"/>
      <c r="V922" s="2"/>
      <c r="W922" s="2"/>
      <c r="X922" s="2"/>
      <c r="Y922" s="2"/>
      <c r="Z922" s="2"/>
    </row>
    <row r="923" spans="1:26" ht="13.8" x14ac:dyDescent="0.3">
      <c r="A923" s="2"/>
      <c r="B923" s="2"/>
      <c r="C923" s="10"/>
      <c r="D923" s="10"/>
      <c r="E923" s="10"/>
      <c r="F923" s="10"/>
      <c r="G923" s="69"/>
      <c r="H923" s="69"/>
      <c r="I923" s="69"/>
      <c r="J923" s="70"/>
      <c r="K923" s="69"/>
      <c r="L923" s="32"/>
      <c r="M923" s="69"/>
      <c r="N923" s="69"/>
      <c r="O923" s="69"/>
      <c r="P923" s="2"/>
      <c r="Q923" s="2"/>
      <c r="R923" s="32"/>
      <c r="S923" s="32"/>
      <c r="T923" s="32"/>
      <c r="U923" s="32"/>
      <c r="V923" s="2"/>
      <c r="W923" s="2"/>
      <c r="X923" s="2"/>
      <c r="Y923" s="2"/>
      <c r="Z923" s="2"/>
    </row>
    <row r="924" spans="1:26" ht="13.8" x14ac:dyDescent="0.3">
      <c r="A924" s="2"/>
      <c r="B924" s="2"/>
      <c r="C924" s="10"/>
      <c r="D924" s="10"/>
      <c r="E924" s="10"/>
      <c r="F924" s="10"/>
      <c r="G924" s="69"/>
      <c r="H924" s="69"/>
      <c r="I924" s="69"/>
      <c r="J924" s="70"/>
      <c r="K924" s="69"/>
      <c r="L924" s="32"/>
      <c r="M924" s="69"/>
      <c r="N924" s="69"/>
      <c r="O924" s="69"/>
      <c r="P924" s="2"/>
      <c r="Q924" s="2"/>
      <c r="R924" s="32"/>
      <c r="S924" s="32"/>
      <c r="T924" s="32"/>
      <c r="U924" s="32"/>
      <c r="V924" s="2"/>
      <c r="W924" s="2"/>
      <c r="X924" s="2"/>
      <c r="Y924" s="2"/>
      <c r="Z924" s="2"/>
    </row>
    <row r="925" spans="1:26" ht="13.8" x14ac:dyDescent="0.3">
      <c r="A925" s="2"/>
      <c r="B925" s="2"/>
      <c r="C925" s="10"/>
      <c r="D925" s="10"/>
      <c r="E925" s="10"/>
      <c r="F925" s="10"/>
      <c r="G925" s="69"/>
      <c r="H925" s="69"/>
      <c r="I925" s="69"/>
      <c r="J925" s="70"/>
      <c r="K925" s="69"/>
      <c r="L925" s="32"/>
      <c r="M925" s="69"/>
      <c r="N925" s="69"/>
      <c r="O925" s="69"/>
      <c r="P925" s="2"/>
      <c r="Q925" s="2"/>
      <c r="R925" s="32"/>
      <c r="S925" s="32"/>
      <c r="T925" s="32"/>
      <c r="U925" s="32"/>
      <c r="V925" s="2"/>
      <c r="W925" s="2"/>
      <c r="X925" s="2"/>
      <c r="Y925" s="2"/>
      <c r="Z925" s="2"/>
    </row>
    <row r="926" spans="1:26" ht="13.8" x14ac:dyDescent="0.3">
      <c r="A926" s="2"/>
      <c r="B926" s="2"/>
      <c r="C926" s="10"/>
      <c r="D926" s="10"/>
      <c r="E926" s="10"/>
      <c r="F926" s="10"/>
      <c r="G926" s="69"/>
      <c r="H926" s="69"/>
      <c r="I926" s="69"/>
      <c r="J926" s="70"/>
      <c r="K926" s="69"/>
      <c r="L926" s="32"/>
      <c r="M926" s="69"/>
      <c r="N926" s="69"/>
      <c r="O926" s="69"/>
      <c r="P926" s="2"/>
      <c r="Q926" s="2"/>
      <c r="R926" s="32"/>
      <c r="S926" s="32"/>
      <c r="T926" s="32"/>
      <c r="U926" s="32"/>
      <c r="V926" s="2"/>
      <c r="W926" s="2"/>
      <c r="X926" s="2"/>
      <c r="Y926" s="2"/>
      <c r="Z926" s="2"/>
    </row>
    <row r="927" spans="1:26" ht="13.8" x14ac:dyDescent="0.3">
      <c r="A927" s="2"/>
      <c r="B927" s="2"/>
      <c r="C927" s="10"/>
      <c r="D927" s="10"/>
      <c r="E927" s="10"/>
      <c r="F927" s="10"/>
      <c r="G927" s="69"/>
      <c r="H927" s="69"/>
      <c r="I927" s="69"/>
      <c r="J927" s="70"/>
      <c r="K927" s="69"/>
      <c r="L927" s="32"/>
      <c r="M927" s="69"/>
      <c r="N927" s="69"/>
      <c r="O927" s="69"/>
      <c r="P927" s="2"/>
      <c r="Q927" s="2"/>
      <c r="R927" s="32"/>
      <c r="S927" s="32"/>
      <c r="T927" s="32"/>
      <c r="U927" s="32"/>
      <c r="V927" s="2"/>
      <c r="W927" s="2"/>
      <c r="X927" s="2"/>
      <c r="Y927" s="2"/>
      <c r="Z927" s="2"/>
    </row>
    <row r="928" spans="1:26" ht="13.8" x14ac:dyDescent="0.3">
      <c r="A928" s="2"/>
      <c r="B928" s="2"/>
      <c r="C928" s="10"/>
      <c r="D928" s="10"/>
      <c r="E928" s="10"/>
      <c r="F928" s="10"/>
      <c r="G928" s="69"/>
      <c r="H928" s="69"/>
      <c r="I928" s="69"/>
      <c r="J928" s="70"/>
      <c r="K928" s="69"/>
      <c r="L928" s="32"/>
      <c r="M928" s="69"/>
      <c r="N928" s="69"/>
      <c r="O928" s="69"/>
      <c r="P928" s="2"/>
      <c r="Q928" s="2"/>
      <c r="R928" s="32"/>
      <c r="S928" s="32"/>
      <c r="T928" s="32"/>
      <c r="U928" s="32"/>
      <c r="V928" s="2"/>
      <c r="W928" s="2"/>
      <c r="X928" s="2"/>
      <c r="Y928" s="2"/>
      <c r="Z928" s="2"/>
    </row>
    <row r="929" spans="1:26" ht="13.8" x14ac:dyDescent="0.3">
      <c r="A929" s="2"/>
      <c r="B929" s="2"/>
      <c r="C929" s="10"/>
      <c r="D929" s="10"/>
      <c r="E929" s="10"/>
      <c r="F929" s="10"/>
      <c r="G929" s="69"/>
      <c r="H929" s="69"/>
      <c r="I929" s="69"/>
      <c r="J929" s="70"/>
      <c r="K929" s="69"/>
      <c r="L929" s="32"/>
      <c r="M929" s="69"/>
      <c r="N929" s="69"/>
      <c r="O929" s="69"/>
      <c r="P929" s="2"/>
      <c r="Q929" s="2"/>
      <c r="R929" s="32"/>
      <c r="S929" s="32"/>
      <c r="T929" s="32"/>
      <c r="U929" s="32"/>
      <c r="V929" s="2"/>
      <c r="W929" s="2"/>
      <c r="X929" s="2"/>
      <c r="Y929" s="2"/>
      <c r="Z929" s="2"/>
    </row>
    <row r="930" spans="1:26" ht="13.8" x14ac:dyDescent="0.3">
      <c r="A930" s="2"/>
      <c r="B930" s="2"/>
      <c r="C930" s="10"/>
      <c r="D930" s="10"/>
      <c r="E930" s="10"/>
      <c r="F930" s="10"/>
      <c r="G930" s="69"/>
      <c r="H930" s="69"/>
      <c r="I930" s="69"/>
      <c r="J930" s="70"/>
      <c r="K930" s="69"/>
      <c r="L930" s="32"/>
      <c r="M930" s="69"/>
      <c r="N930" s="69"/>
      <c r="O930" s="69"/>
      <c r="P930" s="2"/>
      <c r="Q930" s="2"/>
      <c r="R930" s="32"/>
      <c r="S930" s="32"/>
      <c r="T930" s="32"/>
      <c r="U930" s="32"/>
      <c r="V930" s="2"/>
      <c r="W930" s="2"/>
      <c r="X930" s="2"/>
      <c r="Y930" s="2"/>
      <c r="Z930" s="2"/>
    </row>
    <row r="931" spans="1:26" ht="13.8" x14ac:dyDescent="0.3">
      <c r="A931" s="2"/>
      <c r="B931" s="2"/>
      <c r="C931" s="10"/>
      <c r="D931" s="10"/>
      <c r="E931" s="10"/>
      <c r="F931" s="10"/>
      <c r="G931" s="69"/>
      <c r="H931" s="69"/>
      <c r="I931" s="69"/>
      <c r="J931" s="70"/>
      <c r="K931" s="69"/>
      <c r="L931" s="32"/>
      <c r="M931" s="69"/>
      <c r="N931" s="69"/>
      <c r="O931" s="69"/>
      <c r="P931" s="2"/>
      <c r="Q931" s="2"/>
      <c r="R931" s="32"/>
      <c r="S931" s="32"/>
      <c r="T931" s="32"/>
      <c r="U931" s="32"/>
      <c r="V931" s="2"/>
      <c r="W931" s="2"/>
      <c r="X931" s="2"/>
      <c r="Y931" s="2"/>
      <c r="Z931" s="2"/>
    </row>
    <row r="932" spans="1:26" ht="13.8" x14ac:dyDescent="0.3">
      <c r="A932" s="2"/>
      <c r="B932" s="2"/>
      <c r="C932" s="10"/>
      <c r="D932" s="10"/>
      <c r="E932" s="10"/>
      <c r="F932" s="10"/>
      <c r="G932" s="69"/>
      <c r="H932" s="69"/>
      <c r="I932" s="69"/>
      <c r="J932" s="70"/>
      <c r="K932" s="69"/>
      <c r="L932" s="32"/>
      <c r="M932" s="69"/>
      <c r="N932" s="69"/>
      <c r="O932" s="69"/>
      <c r="P932" s="2"/>
      <c r="Q932" s="2"/>
      <c r="R932" s="32"/>
      <c r="S932" s="32"/>
      <c r="T932" s="32"/>
      <c r="U932" s="32"/>
      <c r="V932" s="2"/>
      <c r="W932" s="2"/>
      <c r="X932" s="2"/>
      <c r="Y932" s="2"/>
      <c r="Z932" s="2"/>
    </row>
    <row r="933" spans="1:26" ht="13.8" x14ac:dyDescent="0.3">
      <c r="A933" s="2"/>
      <c r="B933" s="2"/>
      <c r="C933" s="10"/>
      <c r="D933" s="10"/>
      <c r="E933" s="10"/>
      <c r="F933" s="10"/>
      <c r="G933" s="69"/>
      <c r="H933" s="69"/>
      <c r="I933" s="69"/>
      <c r="J933" s="70"/>
      <c r="K933" s="69"/>
      <c r="L933" s="32"/>
      <c r="M933" s="69"/>
      <c r="N933" s="69"/>
      <c r="O933" s="69"/>
      <c r="P933" s="2"/>
      <c r="Q933" s="2"/>
      <c r="R933" s="32"/>
      <c r="S933" s="32"/>
      <c r="T933" s="32"/>
      <c r="U933" s="32"/>
      <c r="V933" s="2"/>
      <c r="W933" s="2"/>
      <c r="X933" s="2"/>
      <c r="Y933" s="2"/>
      <c r="Z933" s="2"/>
    </row>
    <row r="934" spans="1:26" ht="13.8" x14ac:dyDescent="0.3">
      <c r="A934" s="2"/>
      <c r="B934" s="2"/>
      <c r="C934" s="10"/>
      <c r="D934" s="10"/>
      <c r="E934" s="10"/>
      <c r="F934" s="10"/>
      <c r="G934" s="69"/>
      <c r="H934" s="69"/>
      <c r="I934" s="69"/>
      <c r="J934" s="70"/>
      <c r="K934" s="69"/>
      <c r="L934" s="32"/>
      <c r="M934" s="69"/>
      <c r="N934" s="69"/>
      <c r="O934" s="69"/>
      <c r="P934" s="2"/>
      <c r="Q934" s="2"/>
      <c r="R934" s="32"/>
      <c r="S934" s="32"/>
      <c r="T934" s="32"/>
      <c r="U934" s="32"/>
      <c r="V934" s="2"/>
      <c r="W934" s="2"/>
      <c r="X934" s="2"/>
      <c r="Y934" s="2"/>
      <c r="Z934" s="2"/>
    </row>
    <row r="935" spans="1:26" ht="13.8" x14ac:dyDescent="0.3">
      <c r="A935" s="2"/>
      <c r="B935" s="2"/>
      <c r="C935" s="10"/>
      <c r="D935" s="10"/>
      <c r="E935" s="10"/>
      <c r="F935" s="10"/>
      <c r="G935" s="69"/>
      <c r="H935" s="69"/>
      <c r="I935" s="69"/>
      <c r="J935" s="70"/>
      <c r="K935" s="69"/>
      <c r="L935" s="32"/>
      <c r="M935" s="69"/>
      <c r="N935" s="69"/>
      <c r="O935" s="69"/>
      <c r="P935" s="2"/>
      <c r="Q935" s="2"/>
      <c r="R935" s="32"/>
      <c r="S935" s="32"/>
      <c r="T935" s="32"/>
      <c r="U935" s="32"/>
      <c r="V935" s="2"/>
      <c r="W935" s="2"/>
      <c r="X935" s="2"/>
      <c r="Y935" s="2"/>
      <c r="Z935" s="2"/>
    </row>
    <row r="936" spans="1:26" ht="13.8" x14ac:dyDescent="0.3">
      <c r="A936" s="2"/>
      <c r="B936" s="2"/>
      <c r="C936" s="10"/>
      <c r="D936" s="10"/>
      <c r="E936" s="10"/>
      <c r="F936" s="10"/>
      <c r="G936" s="69"/>
      <c r="H936" s="69"/>
      <c r="I936" s="69"/>
      <c r="J936" s="70"/>
      <c r="K936" s="69"/>
      <c r="L936" s="32"/>
      <c r="M936" s="69"/>
      <c r="N936" s="69"/>
      <c r="O936" s="69"/>
      <c r="P936" s="2"/>
      <c r="Q936" s="2"/>
      <c r="R936" s="32"/>
      <c r="S936" s="32"/>
      <c r="T936" s="32"/>
      <c r="U936" s="32"/>
      <c r="V936" s="2"/>
      <c r="W936" s="2"/>
      <c r="X936" s="2"/>
      <c r="Y936" s="2"/>
      <c r="Z936" s="2"/>
    </row>
    <row r="937" spans="1:26" ht="13.8" x14ac:dyDescent="0.3">
      <c r="A937" s="2"/>
      <c r="B937" s="2"/>
      <c r="C937" s="10"/>
      <c r="D937" s="10"/>
      <c r="E937" s="10"/>
      <c r="F937" s="10"/>
      <c r="G937" s="69"/>
      <c r="H937" s="69"/>
      <c r="I937" s="69"/>
      <c r="J937" s="70"/>
      <c r="K937" s="69"/>
      <c r="L937" s="32"/>
      <c r="M937" s="69"/>
      <c r="N937" s="69"/>
      <c r="O937" s="69"/>
      <c r="P937" s="2"/>
      <c r="Q937" s="2"/>
      <c r="R937" s="32"/>
      <c r="S937" s="32"/>
      <c r="T937" s="32"/>
      <c r="U937" s="32"/>
      <c r="V937" s="2"/>
      <c r="W937" s="2"/>
      <c r="X937" s="2"/>
      <c r="Y937" s="2"/>
      <c r="Z937" s="2"/>
    </row>
    <row r="938" spans="1:26" ht="13.8" x14ac:dyDescent="0.3">
      <c r="A938" s="2"/>
      <c r="B938" s="2"/>
      <c r="C938" s="10"/>
      <c r="D938" s="10"/>
      <c r="E938" s="10"/>
      <c r="F938" s="10"/>
      <c r="G938" s="69"/>
      <c r="H938" s="69"/>
      <c r="I938" s="69"/>
      <c r="J938" s="70"/>
      <c r="K938" s="69"/>
      <c r="L938" s="32"/>
      <c r="M938" s="69"/>
      <c r="N938" s="69"/>
      <c r="O938" s="69"/>
      <c r="P938" s="2"/>
      <c r="Q938" s="2"/>
      <c r="R938" s="32"/>
      <c r="S938" s="32"/>
      <c r="T938" s="32"/>
      <c r="U938" s="32"/>
      <c r="V938" s="2"/>
      <c r="W938" s="2"/>
      <c r="X938" s="2"/>
      <c r="Y938" s="2"/>
      <c r="Z938" s="2"/>
    </row>
    <row r="939" spans="1:26" ht="13.8" x14ac:dyDescent="0.3">
      <c r="A939" s="2"/>
      <c r="B939" s="2"/>
      <c r="C939" s="10"/>
      <c r="D939" s="10"/>
      <c r="E939" s="10"/>
      <c r="F939" s="10"/>
      <c r="G939" s="69"/>
      <c r="H939" s="69"/>
      <c r="I939" s="69"/>
      <c r="J939" s="70"/>
      <c r="K939" s="69"/>
      <c r="L939" s="32"/>
      <c r="M939" s="69"/>
      <c r="N939" s="69"/>
      <c r="O939" s="69"/>
      <c r="P939" s="2"/>
      <c r="Q939" s="2"/>
      <c r="R939" s="32"/>
      <c r="S939" s="32"/>
      <c r="T939" s="32"/>
      <c r="U939" s="32"/>
      <c r="V939" s="2"/>
      <c r="W939" s="2"/>
      <c r="X939" s="2"/>
      <c r="Y939" s="2"/>
      <c r="Z939" s="2"/>
    </row>
    <row r="940" spans="1:26" ht="13.8" x14ac:dyDescent="0.3">
      <c r="A940" s="2"/>
      <c r="B940" s="2"/>
      <c r="C940" s="10"/>
      <c r="D940" s="10"/>
      <c r="E940" s="10"/>
      <c r="F940" s="10"/>
      <c r="G940" s="69"/>
      <c r="H940" s="69"/>
      <c r="I940" s="69"/>
      <c r="J940" s="70"/>
      <c r="K940" s="69"/>
      <c r="L940" s="32"/>
      <c r="M940" s="69"/>
      <c r="N940" s="69"/>
      <c r="O940" s="69"/>
      <c r="P940" s="2"/>
      <c r="Q940" s="2"/>
      <c r="R940" s="32"/>
      <c r="S940" s="32"/>
      <c r="T940" s="32"/>
      <c r="U940" s="32"/>
      <c r="V940" s="2"/>
      <c r="W940" s="2"/>
      <c r="X940" s="2"/>
      <c r="Y940" s="2"/>
      <c r="Z940" s="2"/>
    </row>
    <row r="941" spans="1:26" ht="13.8" x14ac:dyDescent="0.3">
      <c r="A941" s="2"/>
      <c r="B941" s="2"/>
      <c r="C941" s="10"/>
      <c r="D941" s="10"/>
      <c r="E941" s="10"/>
      <c r="F941" s="10"/>
      <c r="G941" s="69"/>
      <c r="H941" s="69"/>
      <c r="I941" s="69"/>
      <c r="J941" s="70"/>
      <c r="K941" s="69"/>
      <c r="L941" s="32"/>
      <c r="M941" s="69"/>
      <c r="N941" s="69"/>
      <c r="O941" s="69"/>
      <c r="P941" s="2"/>
      <c r="Q941" s="2"/>
      <c r="R941" s="32"/>
      <c r="S941" s="32"/>
      <c r="T941" s="32"/>
      <c r="U941" s="32"/>
      <c r="V941" s="2"/>
      <c r="W941" s="2"/>
      <c r="X941" s="2"/>
      <c r="Y941" s="2"/>
      <c r="Z941" s="2"/>
    </row>
    <row r="942" spans="1:26" ht="13.8" x14ac:dyDescent="0.3">
      <c r="A942" s="2"/>
      <c r="B942" s="2"/>
      <c r="C942" s="10"/>
      <c r="D942" s="10"/>
      <c r="E942" s="10"/>
      <c r="F942" s="10"/>
      <c r="G942" s="69"/>
      <c r="H942" s="69"/>
      <c r="I942" s="69"/>
      <c r="J942" s="70"/>
      <c r="K942" s="69"/>
      <c r="L942" s="32"/>
      <c r="M942" s="69"/>
      <c r="N942" s="69"/>
      <c r="O942" s="69"/>
      <c r="P942" s="2"/>
      <c r="Q942" s="2"/>
      <c r="R942" s="32"/>
      <c r="S942" s="32"/>
      <c r="T942" s="32"/>
      <c r="U942" s="32"/>
      <c r="V942" s="2"/>
      <c r="W942" s="2"/>
      <c r="X942" s="2"/>
      <c r="Y942" s="2"/>
      <c r="Z942" s="2"/>
    </row>
    <row r="943" spans="1:26" ht="13.8" x14ac:dyDescent="0.3">
      <c r="A943" s="2"/>
      <c r="B943" s="2"/>
      <c r="C943" s="10"/>
      <c r="D943" s="10"/>
      <c r="E943" s="10"/>
      <c r="F943" s="10"/>
      <c r="G943" s="69"/>
      <c r="H943" s="69"/>
      <c r="I943" s="69"/>
      <c r="J943" s="70"/>
      <c r="K943" s="69"/>
      <c r="L943" s="32"/>
      <c r="M943" s="69"/>
      <c r="N943" s="69"/>
      <c r="O943" s="69"/>
      <c r="P943" s="2"/>
      <c r="Q943" s="2"/>
      <c r="R943" s="32"/>
      <c r="S943" s="32"/>
      <c r="T943" s="32"/>
      <c r="U943" s="32"/>
      <c r="V943" s="2"/>
      <c r="W943" s="2"/>
      <c r="X943" s="2"/>
      <c r="Y943" s="2"/>
      <c r="Z943" s="2"/>
    </row>
    <row r="944" spans="1:26" ht="13.8" x14ac:dyDescent="0.3">
      <c r="A944" s="2"/>
      <c r="B944" s="2"/>
      <c r="C944" s="10"/>
      <c r="D944" s="10"/>
      <c r="E944" s="10"/>
      <c r="F944" s="10"/>
      <c r="G944" s="69"/>
      <c r="H944" s="69"/>
      <c r="I944" s="69"/>
      <c r="J944" s="70"/>
      <c r="K944" s="69"/>
      <c r="L944" s="32"/>
      <c r="M944" s="69"/>
      <c r="N944" s="69"/>
      <c r="O944" s="69"/>
      <c r="P944" s="2"/>
      <c r="Q944" s="2"/>
      <c r="R944" s="32"/>
      <c r="S944" s="32"/>
      <c r="T944" s="32"/>
      <c r="U944" s="32"/>
      <c r="V944" s="2"/>
      <c r="W944" s="2"/>
      <c r="X944" s="2"/>
      <c r="Y944" s="2"/>
      <c r="Z944" s="2"/>
    </row>
    <row r="945" spans="1:26" ht="13.8" x14ac:dyDescent="0.3">
      <c r="A945" s="2"/>
      <c r="B945" s="2"/>
      <c r="C945" s="10"/>
      <c r="D945" s="10"/>
      <c r="E945" s="10"/>
      <c r="F945" s="10"/>
      <c r="G945" s="69"/>
      <c r="H945" s="69"/>
      <c r="I945" s="69"/>
      <c r="J945" s="70"/>
      <c r="K945" s="69"/>
      <c r="L945" s="32"/>
      <c r="M945" s="69"/>
      <c r="N945" s="69"/>
      <c r="O945" s="69"/>
      <c r="P945" s="2"/>
      <c r="Q945" s="2"/>
      <c r="R945" s="32"/>
      <c r="S945" s="32"/>
      <c r="T945" s="32"/>
      <c r="U945" s="32"/>
      <c r="V945" s="2"/>
      <c r="W945" s="2"/>
      <c r="X945" s="2"/>
      <c r="Y945" s="2"/>
      <c r="Z945" s="2"/>
    </row>
    <row r="946" spans="1:26" ht="13.8" x14ac:dyDescent="0.3">
      <c r="A946" s="2"/>
      <c r="B946" s="2"/>
      <c r="C946" s="10"/>
      <c r="D946" s="10"/>
      <c r="E946" s="10"/>
      <c r="F946" s="10"/>
      <c r="G946" s="69"/>
      <c r="H946" s="69"/>
      <c r="I946" s="69"/>
      <c r="J946" s="70"/>
      <c r="K946" s="69"/>
      <c r="L946" s="32"/>
      <c r="M946" s="69"/>
      <c r="N946" s="69"/>
      <c r="O946" s="69"/>
      <c r="P946" s="2"/>
      <c r="Q946" s="2"/>
      <c r="R946" s="32"/>
      <c r="S946" s="32"/>
      <c r="T946" s="32"/>
      <c r="U946" s="32"/>
      <c r="V946" s="2"/>
      <c r="W946" s="2"/>
      <c r="X946" s="2"/>
      <c r="Y946" s="2"/>
      <c r="Z946" s="2"/>
    </row>
    <row r="947" spans="1:26" ht="13.8" x14ac:dyDescent="0.3">
      <c r="A947" s="2"/>
      <c r="B947" s="2"/>
      <c r="C947" s="10"/>
      <c r="D947" s="10"/>
      <c r="E947" s="10"/>
      <c r="F947" s="10"/>
      <c r="G947" s="69"/>
      <c r="H947" s="69"/>
      <c r="I947" s="69"/>
      <c r="J947" s="70"/>
      <c r="K947" s="69"/>
      <c r="L947" s="32"/>
      <c r="M947" s="69"/>
      <c r="N947" s="69"/>
      <c r="O947" s="69"/>
      <c r="P947" s="2"/>
      <c r="Q947" s="2"/>
      <c r="R947" s="32"/>
      <c r="S947" s="32"/>
      <c r="T947" s="32"/>
      <c r="U947" s="32"/>
      <c r="V947" s="2"/>
      <c r="W947" s="2"/>
      <c r="X947" s="2"/>
      <c r="Y947" s="2"/>
      <c r="Z947" s="2"/>
    </row>
    <row r="948" spans="1:26" ht="13.8" x14ac:dyDescent="0.3">
      <c r="A948" s="2"/>
      <c r="B948" s="2"/>
      <c r="C948" s="10"/>
      <c r="D948" s="10"/>
      <c r="E948" s="10"/>
      <c r="F948" s="10"/>
      <c r="G948" s="69"/>
      <c r="H948" s="69"/>
      <c r="I948" s="69"/>
      <c r="J948" s="70"/>
      <c r="K948" s="69"/>
      <c r="L948" s="32"/>
      <c r="M948" s="69"/>
      <c r="N948" s="69"/>
      <c r="O948" s="69"/>
      <c r="P948" s="2"/>
      <c r="Q948" s="2"/>
      <c r="R948" s="32"/>
      <c r="S948" s="32"/>
      <c r="T948" s="32"/>
      <c r="U948" s="32"/>
      <c r="V948" s="2"/>
      <c r="W948" s="2"/>
      <c r="X948" s="2"/>
      <c r="Y948" s="2"/>
      <c r="Z948" s="2"/>
    </row>
    <row r="949" spans="1:26" ht="13.8" x14ac:dyDescent="0.3">
      <c r="A949" s="2"/>
      <c r="B949" s="2"/>
      <c r="C949" s="10"/>
      <c r="D949" s="10"/>
      <c r="E949" s="10"/>
      <c r="F949" s="10"/>
      <c r="G949" s="69"/>
      <c r="H949" s="69"/>
      <c r="I949" s="69"/>
      <c r="J949" s="70"/>
      <c r="K949" s="69"/>
      <c r="L949" s="32"/>
      <c r="M949" s="69"/>
      <c r="N949" s="69"/>
      <c r="O949" s="69"/>
      <c r="P949" s="2"/>
      <c r="Q949" s="2"/>
      <c r="R949" s="32"/>
      <c r="S949" s="32"/>
      <c r="T949" s="32"/>
      <c r="U949" s="32"/>
      <c r="V949" s="2"/>
      <c r="W949" s="2"/>
      <c r="X949" s="2"/>
      <c r="Y949" s="2"/>
      <c r="Z949" s="2"/>
    </row>
    <row r="950" spans="1:26" ht="13.8" x14ac:dyDescent="0.3">
      <c r="A950" s="2"/>
      <c r="B950" s="2"/>
      <c r="C950" s="10"/>
      <c r="D950" s="10"/>
      <c r="E950" s="10"/>
      <c r="F950" s="10"/>
      <c r="G950" s="69"/>
      <c r="H950" s="69"/>
      <c r="I950" s="69"/>
      <c r="J950" s="70"/>
      <c r="K950" s="69"/>
      <c r="L950" s="32"/>
      <c r="M950" s="69"/>
      <c r="N950" s="69"/>
      <c r="O950" s="69"/>
      <c r="P950" s="2"/>
      <c r="Q950" s="2"/>
      <c r="R950" s="32"/>
      <c r="S950" s="32"/>
      <c r="T950" s="32"/>
      <c r="U950" s="32"/>
      <c r="V950" s="2"/>
      <c r="W950" s="2"/>
      <c r="X950" s="2"/>
      <c r="Y950" s="2"/>
      <c r="Z950" s="2"/>
    </row>
    <row r="951" spans="1:26" ht="13.8" x14ac:dyDescent="0.3">
      <c r="A951" s="2"/>
      <c r="B951" s="2"/>
      <c r="C951" s="10"/>
      <c r="D951" s="10"/>
      <c r="E951" s="10"/>
      <c r="F951" s="10"/>
      <c r="G951" s="69"/>
      <c r="H951" s="69"/>
      <c r="I951" s="69"/>
      <c r="J951" s="70"/>
      <c r="K951" s="69"/>
      <c r="L951" s="32"/>
      <c r="M951" s="69"/>
      <c r="N951" s="69"/>
      <c r="O951" s="69"/>
      <c r="P951" s="2"/>
      <c r="Q951" s="2"/>
      <c r="R951" s="32"/>
      <c r="S951" s="32"/>
      <c r="T951" s="32"/>
      <c r="U951" s="32"/>
      <c r="V951" s="2"/>
      <c r="W951" s="2"/>
      <c r="X951" s="2"/>
      <c r="Y951" s="2"/>
      <c r="Z951" s="2"/>
    </row>
    <row r="952" spans="1:26" ht="13.8" x14ac:dyDescent="0.3">
      <c r="A952" s="2"/>
      <c r="B952" s="2"/>
      <c r="C952" s="10"/>
      <c r="D952" s="10"/>
      <c r="E952" s="10"/>
      <c r="F952" s="10"/>
      <c r="G952" s="69"/>
      <c r="H952" s="69"/>
      <c r="I952" s="69"/>
      <c r="J952" s="70"/>
      <c r="K952" s="69"/>
      <c r="L952" s="32"/>
      <c r="M952" s="69"/>
      <c r="N952" s="69"/>
      <c r="O952" s="69"/>
      <c r="P952" s="2"/>
      <c r="Q952" s="2"/>
      <c r="R952" s="32"/>
      <c r="S952" s="32"/>
      <c r="T952" s="32"/>
      <c r="U952" s="32"/>
      <c r="V952" s="2"/>
      <c r="W952" s="2"/>
      <c r="X952" s="2"/>
      <c r="Y952" s="2"/>
      <c r="Z952" s="2"/>
    </row>
    <row r="953" spans="1:26" ht="13.8" x14ac:dyDescent="0.3">
      <c r="A953" s="2"/>
      <c r="B953" s="2"/>
      <c r="C953" s="10"/>
      <c r="D953" s="10"/>
      <c r="E953" s="10"/>
      <c r="F953" s="10"/>
      <c r="G953" s="69"/>
      <c r="H953" s="69"/>
      <c r="I953" s="69"/>
      <c r="J953" s="70"/>
      <c r="K953" s="69"/>
      <c r="L953" s="32"/>
      <c r="M953" s="69"/>
      <c r="N953" s="69"/>
      <c r="O953" s="69"/>
      <c r="P953" s="2"/>
      <c r="Q953" s="2"/>
      <c r="R953" s="32"/>
      <c r="S953" s="32"/>
      <c r="T953" s="32"/>
      <c r="U953" s="32"/>
      <c r="V953" s="2"/>
      <c r="W953" s="2"/>
      <c r="X953" s="2"/>
      <c r="Y953" s="2"/>
      <c r="Z953" s="2"/>
    </row>
    <row r="954" spans="1:26" ht="13.8" x14ac:dyDescent="0.3">
      <c r="A954" s="2"/>
      <c r="B954" s="2"/>
      <c r="C954" s="10"/>
      <c r="D954" s="10"/>
      <c r="E954" s="10"/>
      <c r="F954" s="10"/>
      <c r="G954" s="69"/>
      <c r="H954" s="69"/>
      <c r="I954" s="69"/>
      <c r="J954" s="70"/>
      <c r="K954" s="69"/>
      <c r="L954" s="32"/>
      <c r="M954" s="69"/>
      <c r="N954" s="69"/>
      <c r="O954" s="69"/>
      <c r="P954" s="2"/>
      <c r="Q954" s="2"/>
      <c r="R954" s="32"/>
      <c r="S954" s="32"/>
      <c r="T954" s="32"/>
      <c r="U954" s="32"/>
      <c r="V954" s="2"/>
      <c r="W954" s="2"/>
      <c r="X954" s="2"/>
      <c r="Y954" s="2"/>
      <c r="Z954" s="2"/>
    </row>
    <row r="955" spans="1:26" ht="13.8" x14ac:dyDescent="0.3">
      <c r="A955" s="2"/>
      <c r="B955" s="2"/>
      <c r="C955" s="10"/>
      <c r="D955" s="10"/>
      <c r="E955" s="10"/>
      <c r="F955" s="10"/>
      <c r="G955" s="69"/>
      <c r="H955" s="69"/>
      <c r="I955" s="69"/>
      <c r="J955" s="70"/>
      <c r="K955" s="69"/>
      <c r="L955" s="32"/>
      <c r="M955" s="69"/>
      <c r="N955" s="69"/>
      <c r="O955" s="69"/>
      <c r="P955" s="2"/>
      <c r="Q955" s="2"/>
      <c r="R955" s="32"/>
      <c r="S955" s="32"/>
      <c r="T955" s="32"/>
      <c r="U955" s="32"/>
      <c r="V955" s="2"/>
      <c r="W955" s="2"/>
      <c r="X955" s="2"/>
      <c r="Y955" s="2"/>
      <c r="Z955" s="2"/>
    </row>
    <row r="956" spans="1:26" ht="13.8" x14ac:dyDescent="0.3">
      <c r="A956" s="2"/>
      <c r="B956" s="2"/>
      <c r="C956" s="10"/>
      <c r="D956" s="10"/>
      <c r="E956" s="10"/>
      <c r="F956" s="10"/>
      <c r="G956" s="69"/>
      <c r="H956" s="69"/>
      <c r="I956" s="69"/>
      <c r="J956" s="70"/>
      <c r="K956" s="69"/>
      <c r="L956" s="32"/>
      <c r="M956" s="69"/>
      <c r="N956" s="69"/>
      <c r="O956" s="69"/>
      <c r="P956" s="2"/>
      <c r="Q956" s="2"/>
      <c r="R956" s="32"/>
      <c r="S956" s="32"/>
      <c r="T956" s="32"/>
      <c r="U956" s="32"/>
      <c r="V956" s="2"/>
      <c r="W956" s="2"/>
      <c r="X956" s="2"/>
      <c r="Y956" s="2"/>
      <c r="Z956" s="2"/>
    </row>
    <row r="957" spans="1:26" ht="13.8" x14ac:dyDescent="0.3">
      <c r="A957" s="2"/>
      <c r="B957" s="2"/>
      <c r="C957" s="10"/>
      <c r="D957" s="10"/>
      <c r="E957" s="10"/>
      <c r="F957" s="10"/>
      <c r="G957" s="69"/>
      <c r="H957" s="69"/>
      <c r="I957" s="69"/>
      <c r="J957" s="70"/>
      <c r="K957" s="69"/>
      <c r="L957" s="32"/>
      <c r="M957" s="69"/>
      <c r="N957" s="69"/>
      <c r="O957" s="69"/>
      <c r="P957" s="2"/>
      <c r="Q957" s="2"/>
      <c r="R957" s="32"/>
      <c r="S957" s="32"/>
      <c r="T957" s="32"/>
      <c r="U957" s="32"/>
      <c r="V957" s="2"/>
      <c r="W957" s="2"/>
      <c r="X957" s="2"/>
      <c r="Y957" s="2"/>
      <c r="Z957" s="2"/>
    </row>
    <row r="958" spans="1:26" ht="13.8" x14ac:dyDescent="0.3">
      <c r="A958" s="2"/>
      <c r="B958" s="2"/>
      <c r="C958" s="10"/>
      <c r="D958" s="10"/>
      <c r="E958" s="10"/>
      <c r="F958" s="10"/>
      <c r="G958" s="69"/>
      <c r="H958" s="69"/>
      <c r="I958" s="69"/>
      <c r="J958" s="70"/>
      <c r="K958" s="69"/>
      <c r="L958" s="32"/>
      <c r="M958" s="69"/>
      <c r="N958" s="69"/>
      <c r="O958" s="69"/>
      <c r="P958" s="2"/>
      <c r="Q958" s="2"/>
      <c r="R958" s="32"/>
      <c r="S958" s="32"/>
      <c r="T958" s="32"/>
      <c r="U958" s="32"/>
      <c r="V958" s="2"/>
      <c r="W958" s="2"/>
      <c r="X958" s="2"/>
      <c r="Y958" s="2"/>
      <c r="Z958" s="2"/>
    </row>
    <row r="959" spans="1:26" ht="13.8" x14ac:dyDescent="0.3">
      <c r="A959" s="2"/>
      <c r="B959" s="2"/>
      <c r="C959" s="10"/>
      <c r="D959" s="10"/>
      <c r="E959" s="10"/>
      <c r="F959" s="10"/>
      <c r="G959" s="69"/>
      <c r="H959" s="69"/>
      <c r="I959" s="69"/>
      <c r="J959" s="70"/>
      <c r="K959" s="69"/>
      <c r="L959" s="32"/>
      <c r="M959" s="69"/>
      <c r="N959" s="69"/>
      <c r="O959" s="69"/>
      <c r="P959" s="2"/>
      <c r="Q959" s="2"/>
      <c r="R959" s="32"/>
      <c r="S959" s="32"/>
      <c r="T959" s="32"/>
      <c r="U959" s="32"/>
      <c r="V959" s="2"/>
      <c r="W959" s="2"/>
      <c r="X959" s="2"/>
      <c r="Y959" s="2"/>
      <c r="Z959" s="2"/>
    </row>
    <row r="960" spans="1:26" ht="13.8" x14ac:dyDescent="0.3">
      <c r="A960" s="2"/>
      <c r="B960" s="2"/>
      <c r="C960" s="10"/>
      <c r="D960" s="10"/>
      <c r="E960" s="10"/>
      <c r="F960" s="10"/>
      <c r="G960" s="69"/>
      <c r="H960" s="69"/>
      <c r="I960" s="69"/>
      <c r="J960" s="70"/>
      <c r="K960" s="69"/>
      <c r="L960" s="32"/>
      <c r="M960" s="69"/>
      <c r="N960" s="69"/>
      <c r="O960" s="69"/>
      <c r="P960" s="2"/>
      <c r="Q960" s="2"/>
      <c r="R960" s="32"/>
      <c r="S960" s="32"/>
      <c r="T960" s="32"/>
      <c r="U960" s="32"/>
      <c r="V960" s="2"/>
      <c r="W960" s="2"/>
      <c r="X960" s="2"/>
      <c r="Y960" s="2"/>
      <c r="Z960" s="2"/>
    </row>
    <row r="961" spans="1:26" ht="13.8" x14ac:dyDescent="0.3">
      <c r="A961" s="2"/>
      <c r="B961" s="2"/>
      <c r="C961" s="10"/>
      <c r="D961" s="10"/>
      <c r="E961" s="10"/>
      <c r="F961" s="10"/>
      <c r="G961" s="69"/>
      <c r="H961" s="69"/>
      <c r="I961" s="69"/>
      <c r="J961" s="70"/>
      <c r="K961" s="69"/>
      <c r="L961" s="32"/>
      <c r="M961" s="69"/>
      <c r="N961" s="69"/>
      <c r="O961" s="69"/>
      <c r="P961" s="2"/>
      <c r="Q961" s="2"/>
      <c r="R961" s="32"/>
      <c r="S961" s="32"/>
      <c r="T961" s="32"/>
      <c r="U961" s="32"/>
      <c r="V961" s="2"/>
      <c r="W961" s="2"/>
      <c r="X961" s="2"/>
      <c r="Y961" s="2"/>
      <c r="Z961" s="2"/>
    </row>
    <row r="962" spans="1:26" ht="13.8" x14ac:dyDescent="0.3">
      <c r="A962" s="2"/>
      <c r="B962" s="2"/>
      <c r="C962" s="10"/>
      <c r="D962" s="10"/>
      <c r="E962" s="10"/>
      <c r="F962" s="10"/>
      <c r="G962" s="69"/>
      <c r="H962" s="69"/>
      <c r="I962" s="69"/>
      <c r="J962" s="70"/>
      <c r="K962" s="69"/>
      <c r="L962" s="32"/>
      <c r="M962" s="69"/>
      <c r="N962" s="69"/>
      <c r="O962" s="69"/>
      <c r="P962" s="2"/>
      <c r="Q962" s="2"/>
      <c r="R962" s="32"/>
      <c r="S962" s="32"/>
      <c r="T962" s="32"/>
      <c r="U962" s="32"/>
      <c r="V962" s="2"/>
      <c r="W962" s="2"/>
      <c r="X962" s="2"/>
      <c r="Y962" s="2"/>
      <c r="Z962" s="2"/>
    </row>
    <row r="963" spans="1:26" ht="13.8" x14ac:dyDescent="0.3">
      <c r="A963" s="2"/>
      <c r="B963" s="2"/>
      <c r="C963" s="10"/>
      <c r="D963" s="10"/>
      <c r="E963" s="10"/>
      <c r="F963" s="10"/>
      <c r="G963" s="69"/>
      <c r="H963" s="69"/>
      <c r="I963" s="69"/>
      <c r="J963" s="70"/>
      <c r="K963" s="69"/>
      <c r="L963" s="32"/>
      <c r="M963" s="69"/>
      <c r="N963" s="69"/>
      <c r="O963" s="69"/>
      <c r="P963" s="2"/>
      <c r="Q963" s="2"/>
      <c r="R963" s="32"/>
      <c r="S963" s="32"/>
      <c r="T963" s="32"/>
      <c r="U963" s="32"/>
      <c r="V963" s="2"/>
      <c r="W963" s="2"/>
      <c r="X963" s="2"/>
      <c r="Y963" s="2"/>
      <c r="Z963" s="2"/>
    </row>
    <row r="964" spans="1:26" ht="13.8" x14ac:dyDescent="0.3">
      <c r="A964" s="2"/>
      <c r="B964" s="2"/>
      <c r="C964" s="10"/>
      <c r="D964" s="10"/>
      <c r="E964" s="10"/>
      <c r="F964" s="10"/>
      <c r="G964" s="69"/>
      <c r="H964" s="69"/>
      <c r="I964" s="69"/>
      <c r="J964" s="70"/>
      <c r="K964" s="69"/>
      <c r="L964" s="32"/>
      <c r="M964" s="69"/>
      <c r="N964" s="69"/>
      <c r="O964" s="69"/>
      <c r="P964" s="2"/>
      <c r="Q964" s="2"/>
      <c r="R964" s="32"/>
      <c r="S964" s="32"/>
      <c r="T964" s="32"/>
      <c r="U964" s="32"/>
      <c r="V964" s="2"/>
      <c r="W964" s="2"/>
      <c r="X964" s="2"/>
      <c r="Y964" s="2"/>
      <c r="Z964" s="2"/>
    </row>
    <row r="965" spans="1:26" ht="13.8" x14ac:dyDescent="0.3">
      <c r="A965" s="2"/>
      <c r="B965" s="2"/>
      <c r="C965" s="10"/>
      <c r="D965" s="10"/>
      <c r="E965" s="10"/>
      <c r="F965" s="10"/>
      <c r="G965" s="69"/>
      <c r="H965" s="69"/>
      <c r="I965" s="69"/>
      <c r="J965" s="70"/>
      <c r="K965" s="69"/>
      <c r="L965" s="32"/>
      <c r="M965" s="69"/>
      <c r="N965" s="69"/>
      <c r="O965" s="69"/>
      <c r="P965" s="2"/>
      <c r="Q965" s="2"/>
      <c r="R965" s="32"/>
      <c r="S965" s="32"/>
      <c r="T965" s="32"/>
      <c r="U965" s="32"/>
      <c r="V965" s="2"/>
      <c r="W965" s="2"/>
      <c r="X965" s="2"/>
      <c r="Y965" s="2"/>
      <c r="Z965" s="2"/>
    </row>
    <row r="966" spans="1:26" ht="13.8" x14ac:dyDescent="0.3">
      <c r="A966" s="2"/>
      <c r="B966" s="2"/>
      <c r="C966" s="10"/>
      <c r="D966" s="10"/>
      <c r="E966" s="10"/>
      <c r="F966" s="10"/>
      <c r="G966" s="69"/>
      <c r="H966" s="69"/>
      <c r="I966" s="69"/>
      <c r="J966" s="70"/>
      <c r="K966" s="69"/>
      <c r="L966" s="32"/>
      <c r="M966" s="69"/>
      <c r="N966" s="69"/>
      <c r="O966" s="69"/>
      <c r="P966" s="2"/>
      <c r="Q966" s="2"/>
      <c r="R966" s="32"/>
      <c r="S966" s="32"/>
      <c r="T966" s="32"/>
      <c r="U966" s="32"/>
      <c r="V966" s="2"/>
      <c r="W966" s="2"/>
      <c r="X966" s="2"/>
      <c r="Y966" s="2"/>
      <c r="Z966" s="2"/>
    </row>
    <row r="967" spans="1:26" ht="13.8" x14ac:dyDescent="0.3">
      <c r="A967" s="2"/>
      <c r="B967" s="2"/>
      <c r="C967" s="10"/>
      <c r="D967" s="10"/>
      <c r="E967" s="10"/>
      <c r="F967" s="10"/>
      <c r="G967" s="69"/>
      <c r="H967" s="69"/>
      <c r="I967" s="69"/>
      <c r="J967" s="70"/>
      <c r="K967" s="69"/>
      <c r="L967" s="32"/>
      <c r="M967" s="69"/>
      <c r="N967" s="69"/>
      <c r="O967" s="69"/>
      <c r="P967" s="2"/>
      <c r="Q967" s="2"/>
      <c r="R967" s="32"/>
      <c r="S967" s="32"/>
      <c r="T967" s="32"/>
      <c r="U967" s="32"/>
      <c r="V967" s="2"/>
      <c r="W967" s="2"/>
      <c r="X967" s="2"/>
      <c r="Y967" s="2"/>
      <c r="Z967" s="2"/>
    </row>
    <row r="968" spans="1:26" ht="13.8" x14ac:dyDescent="0.3">
      <c r="A968" s="2"/>
      <c r="B968" s="2"/>
      <c r="C968" s="10"/>
      <c r="D968" s="10"/>
      <c r="E968" s="10"/>
      <c r="F968" s="10"/>
      <c r="G968" s="69"/>
      <c r="H968" s="69"/>
      <c r="I968" s="69"/>
      <c r="J968" s="70"/>
      <c r="K968" s="69"/>
      <c r="L968" s="32"/>
      <c r="M968" s="69"/>
      <c r="N968" s="69"/>
      <c r="O968" s="69"/>
      <c r="P968" s="2"/>
      <c r="Q968" s="2"/>
      <c r="R968" s="32"/>
      <c r="S968" s="32"/>
      <c r="T968" s="32"/>
      <c r="U968" s="32"/>
      <c r="V968" s="2"/>
      <c r="W968" s="2"/>
      <c r="X968" s="2"/>
      <c r="Y968" s="2"/>
      <c r="Z968" s="2"/>
    </row>
    <row r="969" spans="1:26" ht="13.8" x14ac:dyDescent="0.3">
      <c r="A969" s="2"/>
      <c r="B969" s="2"/>
      <c r="C969" s="10"/>
      <c r="D969" s="10"/>
      <c r="E969" s="10"/>
      <c r="F969" s="10"/>
      <c r="G969" s="69"/>
      <c r="H969" s="69"/>
      <c r="I969" s="69"/>
      <c r="J969" s="70"/>
      <c r="K969" s="69"/>
      <c r="L969" s="32"/>
      <c r="M969" s="69"/>
      <c r="N969" s="69"/>
      <c r="O969" s="69"/>
      <c r="P969" s="2"/>
      <c r="Q969" s="2"/>
      <c r="R969" s="32"/>
      <c r="S969" s="32"/>
      <c r="T969" s="32"/>
      <c r="U969" s="32"/>
      <c r="V969" s="2"/>
      <c r="W969" s="2"/>
      <c r="X969" s="2"/>
      <c r="Y969" s="2"/>
      <c r="Z969" s="2"/>
    </row>
    <row r="970" spans="1:26" ht="13.8" x14ac:dyDescent="0.3">
      <c r="A970" s="2"/>
      <c r="B970" s="2"/>
      <c r="C970" s="10"/>
      <c r="D970" s="10"/>
      <c r="E970" s="10"/>
      <c r="F970" s="10"/>
      <c r="G970" s="69"/>
      <c r="H970" s="69"/>
      <c r="I970" s="69"/>
      <c r="J970" s="70"/>
      <c r="K970" s="69"/>
      <c r="L970" s="32"/>
      <c r="M970" s="69"/>
      <c r="N970" s="69"/>
      <c r="O970" s="69"/>
      <c r="P970" s="2"/>
      <c r="Q970" s="2"/>
      <c r="R970" s="32"/>
      <c r="S970" s="32"/>
      <c r="T970" s="32"/>
      <c r="U970" s="32"/>
      <c r="V970" s="2"/>
      <c r="W970" s="2"/>
      <c r="X970" s="2"/>
      <c r="Y970" s="2"/>
      <c r="Z970" s="2"/>
    </row>
    <row r="971" spans="1:26" ht="13.8" x14ac:dyDescent="0.3">
      <c r="A971" s="2"/>
      <c r="B971" s="2"/>
      <c r="C971" s="10"/>
      <c r="D971" s="10"/>
      <c r="E971" s="10"/>
      <c r="F971" s="10"/>
      <c r="G971" s="69"/>
      <c r="H971" s="69"/>
      <c r="I971" s="69"/>
      <c r="J971" s="70"/>
      <c r="K971" s="69"/>
      <c r="L971" s="32"/>
      <c r="M971" s="69"/>
      <c r="N971" s="69"/>
      <c r="O971" s="69"/>
      <c r="P971" s="2"/>
      <c r="Q971" s="2"/>
      <c r="R971" s="32"/>
      <c r="S971" s="32"/>
      <c r="T971" s="32"/>
      <c r="U971" s="32"/>
      <c r="V971" s="2"/>
      <c r="W971" s="2"/>
      <c r="X971" s="2"/>
      <c r="Y971" s="2"/>
      <c r="Z971" s="2"/>
    </row>
    <row r="972" spans="1:26" ht="13.8" x14ac:dyDescent="0.3">
      <c r="A972" s="2"/>
      <c r="B972" s="2"/>
      <c r="C972" s="10"/>
      <c r="D972" s="10"/>
      <c r="E972" s="10"/>
      <c r="F972" s="10"/>
      <c r="G972" s="69"/>
      <c r="H972" s="69"/>
      <c r="I972" s="69"/>
      <c r="J972" s="70"/>
      <c r="K972" s="69"/>
      <c r="L972" s="32"/>
      <c r="M972" s="69"/>
      <c r="N972" s="69"/>
      <c r="O972" s="69"/>
      <c r="P972" s="2"/>
      <c r="Q972" s="2"/>
      <c r="R972" s="32"/>
      <c r="S972" s="32"/>
      <c r="T972" s="32"/>
      <c r="U972" s="32"/>
      <c r="V972" s="2"/>
      <c r="W972" s="2"/>
      <c r="X972" s="2"/>
      <c r="Y972" s="2"/>
      <c r="Z972" s="2"/>
    </row>
    <row r="973" spans="1:26" ht="13.8" x14ac:dyDescent="0.3">
      <c r="A973" s="2"/>
      <c r="B973" s="2"/>
      <c r="C973" s="10"/>
      <c r="D973" s="10"/>
      <c r="E973" s="10"/>
      <c r="F973" s="10"/>
      <c r="G973" s="69"/>
      <c r="H973" s="69"/>
      <c r="I973" s="69"/>
      <c r="J973" s="70"/>
      <c r="K973" s="69"/>
      <c r="L973" s="32"/>
      <c r="M973" s="69"/>
      <c r="N973" s="69"/>
      <c r="O973" s="69"/>
      <c r="P973" s="2"/>
      <c r="Q973" s="2"/>
      <c r="R973" s="32"/>
      <c r="S973" s="32"/>
      <c r="T973" s="32"/>
      <c r="U973" s="32"/>
      <c r="V973" s="2"/>
      <c r="W973" s="2"/>
      <c r="X973" s="2"/>
      <c r="Y973" s="2"/>
      <c r="Z973" s="2"/>
    </row>
    <row r="974" spans="1:26" ht="13.8" x14ac:dyDescent="0.3">
      <c r="A974" s="2"/>
      <c r="B974" s="2"/>
      <c r="C974" s="10"/>
      <c r="D974" s="10"/>
      <c r="E974" s="10"/>
      <c r="F974" s="10"/>
      <c r="G974" s="69"/>
      <c r="H974" s="69"/>
      <c r="I974" s="69"/>
      <c r="J974" s="70"/>
      <c r="K974" s="69"/>
      <c r="L974" s="32"/>
      <c r="M974" s="69"/>
      <c r="N974" s="69"/>
      <c r="O974" s="69"/>
      <c r="P974" s="2"/>
      <c r="Q974" s="2"/>
      <c r="R974" s="32"/>
      <c r="S974" s="32"/>
      <c r="T974" s="32"/>
      <c r="U974" s="32"/>
      <c r="V974" s="2"/>
      <c r="W974" s="2"/>
      <c r="X974" s="2"/>
      <c r="Y974" s="2"/>
      <c r="Z974" s="2"/>
    </row>
    <row r="975" spans="1:26" ht="13.8" x14ac:dyDescent="0.3">
      <c r="A975" s="2"/>
      <c r="B975" s="2"/>
      <c r="C975" s="10"/>
      <c r="D975" s="10"/>
      <c r="E975" s="10"/>
      <c r="F975" s="10"/>
      <c r="G975" s="69"/>
      <c r="H975" s="69"/>
      <c r="I975" s="69"/>
      <c r="J975" s="70"/>
      <c r="K975" s="69"/>
      <c r="L975" s="32"/>
      <c r="M975" s="69"/>
      <c r="N975" s="69"/>
      <c r="O975" s="69"/>
      <c r="P975" s="2"/>
      <c r="Q975" s="2"/>
      <c r="R975" s="32"/>
      <c r="S975" s="32"/>
      <c r="T975" s="32"/>
      <c r="U975" s="32"/>
      <c r="V975" s="2"/>
      <c r="W975" s="2"/>
      <c r="X975" s="2"/>
      <c r="Y975" s="2"/>
      <c r="Z975" s="2"/>
    </row>
    <row r="976" spans="1:26" ht="13.8" x14ac:dyDescent="0.3">
      <c r="A976" s="2"/>
      <c r="B976" s="2"/>
      <c r="C976" s="10"/>
      <c r="D976" s="10"/>
      <c r="E976" s="10"/>
      <c r="F976" s="10"/>
      <c r="G976" s="69"/>
      <c r="H976" s="69"/>
      <c r="I976" s="69"/>
      <c r="J976" s="70"/>
      <c r="K976" s="69"/>
      <c r="L976" s="32"/>
      <c r="M976" s="69"/>
      <c r="N976" s="69"/>
      <c r="O976" s="69"/>
      <c r="P976" s="2"/>
      <c r="Q976" s="2"/>
      <c r="R976" s="32"/>
      <c r="S976" s="32"/>
      <c r="T976" s="32"/>
      <c r="U976" s="32"/>
      <c r="V976" s="2"/>
      <c r="W976" s="2"/>
      <c r="X976" s="2"/>
      <c r="Y976" s="2"/>
      <c r="Z976" s="2"/>
    </row>
    <row r="977" spans="1:26" ht="13.8" x14ac:dyDescent="0.3">
      <c r="A977" s="2"/>
      <c r="B977" s="2"/>
      <c r="C977" s="10"/>
      <c r="D977" s="10"/>
      <c r="E977" s="10"/>
      <c r="F977" s="10"/>
      <c r="G977" s="69"/>
      <c r="H977" s="69"/>
      <c r="I977" s="69"/>
      <c r="J977" s="70"/>
      <c r="K977" s="69"/>
      <c r="L977" s="32"/>
      <c r="M977" s="69"/>
      <c r="N977" s="69"/>
      <c r="O977" s="69"/>
      <c r="P977" s="2"/>
      <c r="Q977" s="2"/>
      <c r="R977" s="32"/>
      <c r="S977" s="32"/>
      <c r="T977" s="32"/>
      <c r="U977" s="32"/>
      <c r="V977" s="2"/>
      <c r="W977" s="2"/>
      <c r="X977" s="2"/>
      <c r="Y977" s="2"/>
      <c r="Z977" s="2"/>
    </row>
    <row r="978" spans="1:26" ht="13.8" x14ac:dyDescent="0.3">
      <c r="A978" s="2"/>
      <c r="B978" s="2"/>
      <c r="C978" s="10"/>
      <c r="D978" s="10"/>
      <c r="E978" s="10"/>
      <c r="F978" s="10"/>
      <c r="G978" s="69"/>
      <c r="H978" s="69"/>
      <c r="I978" s="69"/>
      <c r="J978" s="70"/>
      <c r="K978" s="69"/>
      <c r="L978" s="32"/>
      <c r="M978" s="69"/>
      <c r="N978" s="69"/>
      <c r="O978" s="69"/>
      <c r="P978" s="2"/>
      <c r="Q978" s="2"/>
      <c r="R978" s="32"/>
      <c r="S978" s="32"/>
      <c r="T978" s="32"/>
      <c r="U978" s="32"/>
      <c r="V978" s="2"/>
      <c r="W978" s="2"/>
      <c r="X978" s="2"/>
      <c r="Y978" s="2"/>
      <c r="Z978" s="2"/>
    </row>
    <row r="979" spans="1:26" ht="13.8" x14ac:dyDescent="0.3">
      <c r="A979" s="2"/>
      <c r="B979" s="2"/>
      <c r="C979" s="10"/>
      <c r="D979" s="10"/>
      <c r="E979" s="10"/>
      <c r="F979" s="10"/>
      <c r="G979" s="69"/>
      <c r="H979" s="69"/>
      <c r="I979" s="69"/>
      <c r="J979" s="70"/>
      <c r="K979" s="69"/>
      <c r="L979" s="32"/>
      <c r="M979" s="69"/>
      <c r="N979" s="69"/>
      <c r="O979" s="69"/>
      <c r="P979" s="2"/>
      <c r="Q979" s="2"/>
      <c r="R979" s="32"/>
      <c r="S979" s="32"/>
      <c r="T979" s="32"/>
      <c r="U979" s="32"/>
      <c r="V979" s="2"/>
      <c r="W979" s="2"/>
      <c r="X979" s="2"/>
      <c r="Y979" s="2"/>
      <c r="Z979" s="2"/>
    </row>
    <row r="980" spans="1:26" ht="13.8" x14ac:dyDescent="0.3">
      <c r="A980" s="2"/>
      <c r="B980" s="2"/>
      <c r="C980" s="10"/>
      <c r="D980" s="10"/>
      <c r="E980" s="10"/>
      <c r="F980" s="10"/>
      <c r="G980" s="69"/>
      <c r="H980" s="69"/>
      <c r="I980" s="69"/>
      <c r="J980" s="70"/>
      <c r="K980" s="69"/>
      <c r="L980" s="32"/>
      <c r="M980" s="69"/>
      <c r="N980" s="69"/>
      <c r="O980" s="69"/>
      <c r="P980" s="2"/>
      <c r="Q980" s="2"/>
      <c r="R980" s="32"/>
      <c r="S980" s="32"/>
      <c r="T980" s="32"/>
      <c r="U980" s="32"/>
      <c r="V980" s="2"/>
      <c r="W980" s="2"/>
      <c r="X980" s="2"/>
      <c r="Y980" s="2"/>
      <c r="Z980" s="2"/>
    </row>
    <row r="981" spans="1:26" ht="13.8" x14ac:dyDescent="0.3">
      <c r="A981" s="2"/>
      <c r="B981" s="2"/>
      <c r="C981" s="10"/>
      <c r="D981" s="10"/>
      <c r="E981" s="10"/>
      <c r="F981" s="10"/>
      <c r="G981" s="69"/>
      <c r="H981" s="69"/>
      <c r="I981" s="69"/>
      <c r="J981" s="70"/>
      <c r="K981" s="69"/>
      <c r="L981" s="32"/>
      <c r="M981" s="69"/>
      <c r="N981" s="69"/>
      <c r="O981" s="69"/>
      <c r="P981" s="2"/>
      <c r="Q981" s="2"/>
      <c r="R981" s="32"/>
      <c r="S981" s="32"/>
      <c r="T981" s="32"/>
      <c r="U981" s="32"/>
      <c r="V981" s="2"/>
      <c r="W981" s="2"/>
      <c r="X981" s="2"/>
      <c r="Y981" s="2"/>
      <c r="Z981" s="2"/>
    </row>
    <row r="982" spans="1:26" ht="13.8" x14ac:dyDescent="0.3">
      <c r="A982" s="2"/>
      <c r="B982" s="2"/>
      <c r="C982" s="10"/>
      <c r="D982" s="10"/>
      <c r="E982" s="10"/>
      <c r="F982" s="10"/>
      <c r="G982" s="69"/>
      <c r="H982" s="69"/>
      <c r="I982" s="69"/>
      <c r="J982" s="70"/>
      <c r="K982" s="69"/>
      <c r="L982" s="32"/>
      <c r="M982" s="69"/>
      <c r="N982" s="69"/>
      <c r="O982" s="69"/>
      <c r="P982" s="2"/>
      <c r="Q982" s="2"/>
      <c r="R982" s="32"/>
      <c r="S982" s="32"/>
      <c r="T982" s="32"/>
      <c r="U982" s="32"/>
      <c r="V982" s="2"/>
      <c r="W982" s="2"/>
      <c r="X982" s="2"/>
      <c r="Y982" s="2"/>
      <c r="Z982" s="2"/>
    </row>
    <row r="983" spans="1:26" ht="13.8" x14ac:dyDescent="0.3">
      <c r="A983" s="2"/>
      <c r="B983" s="2"/>
      <c r="C983" s="10"/>
      <c r="D983" s="10"/>
      <c r="E983" s="10"/>
      <c r="F983" s="10"/>
      <c r="G983" s="69"/>
      <c r="H983" s="69"/>
      <c r="I983" s="69"/>
      <c r="J983" s="70"/>
      <c r="K983" s="69"/>
      <c r="L983" s="32"/>
      <c r="M983" s="69"/>
      <c r="N983" s="69"/>
      <c r="O983" s="69"/>
      <c r="P983" s="2"/>
      <c r="Q983" s="2"/>
      <c r="R983" s="32"/>
      <c r="S983" s="32"/>
      <c r="T983" s="32"/>
      <c r="U983" s="32"/>
      <c r="V983" s="2"/>
      <c r="W983" s="2"/>
      <c r="X983" s="2"/>
      <c r="Y983" s="2"/>
      <c r="Z983" s="2"/>
    </row>
    <row r="984" spans="1:26" ht="13.8" x14ac:dyDescent="0.3">
      <c r="A984" s="2"/>
      <c r="B984" s="2"/>
      <c r="C984" s="10"/>
      <c r="D984" s="10"/>
      <c r="E984" s="10"/>
      <c r="F984" s="10"/>
      <c r="G984" s="69"/>
      <c r="H984" s="69"/>
      <c r="I984" s="69"/>
      <c r="J984" s="70"/>
      <c r="K984" s="69"/>
      <c r="L984" s="32"/>
      <c r="M984" s="69"/>
      <c r="N984" s="69"/>
      <c r="O984" s="69"/>
      <c r="P984" s="2"/>
      <c r="Q984" s="2"/>
      <c r="R984" s="32"/>
      <c r="S984" s="32"/>
      <c r="T984" s="32"/>
      <c r="U984" s="32"/>
      <c r="V984" s="2"/>
      <c r="W984" s="2"/>
      <c r="X984" s="2"/>
      <c r="Y984" s="2"/>
      <c r="Z984" s="2"/>
    </row>
    <row r="985" spans="1:26" ht="13.8" x14ac:dyDescent="0.3">
      <c r="A985" s="2"/>
      <c r="B985" s="2"/>
      <c r="C985" s="10"/>
      <c r="D985" s="10"/>
      <c r="E985" s="10"/>
      <c r="F985" s="10"/>
      <c r="G985" s="69"/>
      <c r="H985" s="69"/>
      <c r="I985" s="69"/>
      <c r="J985" s="70"/>
      <c r="K985" s="69"/>
      <c r="L985" s="32"/>
      <c r="M985" s="69"/>
      <c r="N985" s="69"/>
      <c r="O985" s="69"/>
      <c r="P985" s="2"/>
      <c r="Q985" s="2"/>
      <c r="R985" s="32"/>
      <c r="S985" s="32"/>
      <c r="T985" s="32"/>
      <c r="U985" s="32"/>
      <c r="V985" s="2"/>
      <c r="W985" s="2"/>
      <c r="X985" s="2"/>
      <c r="Y985" s="2"/>
      <c r="Z985" s="2"/>
    </row>
    <row r="986" spans="1:26" ht="13.8" x14ac:dyDescent="0.3">
      <c r="A986" s="2"/>
      <c r="B986" s="2"/>
      <c r="C986" s="10"/>
      <c r="D986" s="10"/>
      <c r="E986" s="10"/>
      <c r="F986" s="10"/>
      <c r="G986" s="69"/>
      <c r="H986" s="69"/>
      <c r="I986" s="69"/>
      <c r="J986" s="70"/>
      <c r="K986" s="69"/>
      <c r="L986" s="32"/>
      <c r="M986" s="69"/>
      <c r="N986" s="69"/>
      <c r="O986" s="69"/>
      <c r="P986" s="2"/>
      <c r="Q986" s="2"/>
      <c r="R986" s="32"/>
      <c r="S986" s="32"/>
      <c r="T986" s="32"/>
      <c r="U986" s="32"/>
      <c r="V986" s="2"/>
      <c r="W986" s="2"/>
      <c r="X986" s="2"/>
      <c r="Y986" s="2"/>
      <c r="Z986" s="2"/>
    </row>
    <row r="987" spans="1:26" ht="13.8" x14ac:dyDescent="0.3">
      <c r="A987" s="2"/>
      <c r="B987" s="2"/>
      <c r="C987" s="10"/>
      <c r="D987" s="10"/>
      <c r="E987" s="10"/>
      <c r="F987" s="10"/>
      <c r="G987" s="69"/>
      <c r="H987" s="69"/>
      <c r="I987" s="69"/>
      <c r="J987" s="70"/>
      <c r="K987" s="69"/>
      <c r="L987" s="32"/>
      <c r="M987" s="69"/>
      <c r="N987" s="69"/>
      <c r="O987" s="69"/>
      <c r="P987" s="2"/>
      <c r="Q987" s="2"/>
      <c r="R987" s="32"/>
      <c r="S987" s="32"/>
      <c r="T987" s="32"/>
      <c r="U987" s="32"/>
      <c r="V987" s="2"/>
      <c r="W987" s="2"/>
      <c r="X987" s="2"/>
      <c r="Y987" s="2"/>
      <c r="Z987" s="2"/>
    </row>
    <row r="988" spans="1:26" ht="13.8" x14ac:dyDescent="0.3">
      <c r="A988" s="2"/>
      <c r="B988" s="2"/>
      <c r="C988" s="10"/>
      <c r="D988" s="10"/>
      <c r="E988" s="10"/>
      <c r="F988" s="10"/>
      <c r="G988" s="69"/>
      <c r="H988" s="69"/>
      <c r="I988" s="69"/>
      <c r="J988" s="70"/>
      <c r="K988" s="69"/>
      <c r="L988" s="32"/>
      <c r="M988" s="69"/>
      <c r="N988" s="69"/>
      <c r="O988" s="69"/>
      <c r="P988" s="2"/>
      <c r="Q988" s="2"/>
      <c r="R988" s="32"/>
      <c r="S988" s="32"/>
      <c r="T988" s="32"/>
      <c r="U988" s="32"/>
      <c r="V988" s="2"/>
      <c r="W988" s="2"/>
      <c r="X988" s="2"/>
      <c r="Y988" s="2"/>
      <c r="Z988" s="2"/>
    </row>
    <row r="989" spans="1:26" ht="13.8" x14ac:dyDescent="0.3">
      <c r="A989" s="2"/>
      <c r="B989" s="2"/>
      <c r="C989" s="10"/>
      <c r="D989" s="10"/>
      <c r="E989" s="10"/>
      <c r="F989" s="10"/>
      <c r="G989" s="69"/>
      <c r="H989" s="69"/>
      <c r="I989" s="69"/>
      <c r="J989" s="70"/>
      <c r="K989" s="69"/>
      <c r="L989" s="32"/>
      <c r="M989" s="69"/>
      <c r="N989" s="69"/>
      <c r="O989" s="69"/>
      <c r="P989" s="2"/>
      <c r="Q989" s="2"/>
      <c r="R989" s="32"/>
      <c r="S989" s="32"/>
      <c r="T989" s="32"/>
      <c r="U989" s="32"/>
      <c r="V989" s="2"/>
      <c r="W989" s="2"/>
      <c r="X989" s="2"/>
      <c r="Y989" s="2"/>
      <c r="Z989" s="2"/>
    </row>
    <row r="990" spans="1:26" ht="13.8" x14ac:dyDescent="0.3">
      <c r="A990" s="2"/>
      <c r="B990" s="2"/>
      <c r="C990" s="10"/>
      <c r="D990" s="10"/>
      <c r="E990" s="10"/>
      <c r="F990" s="10"/>
      <c r="G990" s="69"/>
      <c r="H990" s="69"/>
      <c r="I990" s="69"/>
      <c r="J990" s="70"/>
      <c r="K990" s="69"/>
      <c r="L990" s="32"/>
      <c r="M990" s="69"/>
      <c r="N990" s="69"/>
      <c r="O990" s="69"/>
      <c r="P990" s="2"/>
      <c r="Q990" s="2"/>
      <c r="R990" s="32"/>
      <c r="S990" s="32"/>
      <c r="T990" s="32"/>
      <c r="U990" s="32"/>
      <c r="V990" s="2"/>
      <c r="W990" s="2"/>
      <c r="X990" s="2"/>
      <c r="Y990" s="2"/>
      <c r="Z990" s="2"/>
    </row>
    <row r="991" spans="1:26" ht="13.8" x14ac:dyDescent="0.3">
      <c r="A991" s="2"/>
      <c r="B991" s="2"/>
      <c r="C991" s="10"/>
      <c r="D991" s="10"/>
      <c r="E991" s="10"/>
      <c r="F991" s="10"/>
      <c r="G991" s="69"/>
      <c r="H991" s="69"/>
      <c r="I991" s="69"/>
      <c r="J991" s="70"/>
      <c r="K991" s="69"/>
      <c r="L991" s="32"/>
      <c r="M991" s="69"/>
      <c r="N991" s="69"/>
      <c r="O991" s="69"/>
      <c r="P991" s="2"/>
      <c r="Q991" s="2"/>
      <c r="R991" s="32"/>
      <c r="S991" s="32"/>
      <c r="T991" s="32"/>
      <c r="U991" s="32"/>
      <c r="V991" s="2"/>
      <c r="W991" s="2"/>
      <c r="X991" s="2"/>
      <c r="Y991" s="2"/>
      <c r="Z991" s="2"/>
    </row>
    <row r="992" spans="1:26" ht="13.8" x14ac:dyDescent="0.3">
      <c r="A992" s="2"/>
      <c r="B992" s="2"/>
      <c r="C992" s="10"/>
      <c r="D992" s="10"/>
      <c r="E992" s="10"/>
      <c r="F992" s="10"/>
      <c r="G992" s="69"/>
      <c r="H992" s="69"/>
      <c r="I992" s="69"/>
      <c r="J992" s="70"/>
      <c r="K992" s="69"/>
      <c r="L992" s="32"/>
      <c r="M992" s="69"/>
      <c r="N992" s="69"/>
      <c r="O992" s="69"/>
      <c r="P992" s="2"/>
      <c r="Q992" s="2"/>
      <c r="R992" s="32"/>
      <c r="S992" s="32"/>
      <c r="T992" s="32"/>
      <c r="U992" s="32"/>
      <c r="V992" s="2"/>
      <c r="W992" s="2"/>
      <c r="X992" s="2"/>
      <c r="Y992" s="2"/>
      <c r="Z992" s="2"/>
    </row>
    <row r="993" spans="1:26" ht="13.8" x14ac:dyDescent="0.3">
      <c r="A993" s="2"/>
      <c r="B993" s="2"/>
      <c r="C993" s="10"/>
      <c r="D993" s="10"/>
      <c r="E993" s="10"/>
      <c r="F993" s="10"/>
      <c r="G993" s="69"/>
      <c r="H993" s="69"/>
      <c r="I993" s="69"/>
      <c r="J993" s="70"/>
      <c r="K993" s="69"/>
      <c r="L993" s="32"/>
      <c r="M993" s="69"/>
      <c r="N993" s="69"/>
      <c r="O993" s="69"/>
      <c r="P993" s="2"/>
      <c r="Q993" s="2"/>
      <c r="R993" s="32"/>
      <c r="S993" s="32"/>
      <c r="T993" s="32"/>
      <c r="U993" s="32"/>
      <c r="V993" s="2"/>
      <c r="W993" s="2"/>
      <c r="X993" s="2"/>
      <c r="Y993" s="2"/>
      <c r="Z993" s="2"/>
    </row>
    <row r="994" spans="1:26" ht="13.8" x14ac:dyDescent="0.3">
      <c r="A994" s="2"/>
      <c r="B994" s="2"/>
      <c r="C994" s="10"/>
      <c r="D994" s="10"/>
      <c r="E994" s="10"/>
      <c r="F994" s="10"/>
      <c r="G994" s="69"/>
      <c r="H994" s="69"/>
      <c r="I994" s="69"/>
      <c r="J994" s="70"/>
      <c r="K994" s="69"/>
      <c r="L994" s="32"/>
      <c r="M994" s="69"/>
      <c r="N994" s="69"/>
      <c r="O994" s="69"/>
      <c r="P994" s="2"/>
      <c r="Q994" s="2"/>
      <c r="R994" s="32"/>
      <c r="S994" s="32"/>
      <c r="T994" s="32"/>
      <c r="U994" s="32"/>
      <c r="V994" s="2"/>
      <c r="W994" s="2"/>
      <c r="X994" s="2"/>
      <c r="Y994" s="2"/>
      <c r="Z994" s="2"/>
    </row>
    <row r="995" spans="1:26" ht="13.8" x14ac:dyDescent="0.3">
      <c r="A995" s="2"/>
      <c r="B995" s="2"/>
      <c r="C995" s="10"/>
      <c r="D995" s="10"/>
      <c r="E995" s="10"/>
      <c r="F995" s="10"/>
      <c r="G995" s="69"/>
      <c r="H995" s="69"/>
      <c r="I995" s="69"/>
      <c r="J995" s="70"/>
      <c r="K995" s="69"/>
      <c r="L995" s="32"/>
      <c r="M995" s="69"/>
      <c r="N995" s="69"/>
      <c r="O995" s="69"/>
      <c r="P995" s="2"/>
      <c r="Q995" s="2"/>
      <c r="R995" s="32"/>
      <c r="S995" s="32"/>
      <c r="T995" s="32"/>
      <c r="U995" s="32"/>
      <c r="V995" s="2"/>
      <c r="W995" s="2"/>
      <c r="X995" s="2"/>
      <c r="Y995" s="2"/>
      <c r="Z995" s="2"/>
    </row>
    <row r="996" spans="1:26" ht="13.8" x14ac:dyDescent="0.3">
      <c r="A996" s="2"/>
      <c r="B996" s="2"/>
      <c r="C996" s="10"/>
      <c r="D996" s="10"/>
      <c r="E996" s="10"/>
      <c r="F996" s="10"/>
      <c r="G996" s="69"/>
      <c r="H996" s="69"/>
      <c r="I996" s="69"/>
      <c r="J996" s="70"/>
      <c r="K996" s="69"/>
      <c r="L996" s="32"/>
      <c r="M996" s="69"/>
      <c r="N996" s="69"/>
      <c r="O996" s="69"/>
      <c r="P996" s="2"/>
      <c r="Q996" s="2"/>
      <c r="R996" s="32"/>
      <c r="S996" s="32"/>
      <c r="T996" s="32"/>
      <c r="U996" s="32"/>
      <c r="V996" s="2"/>
      <c r="W996" s="2"/>
      <c r="X996" s="2"/>
      <c r="Y996" s="2"/>
      <c r="Z996" s="2"/>
    </row>
    <row r="997" spans="1:26" ht="13.8" x14ac:dyDescent="0.3">
      <c r="A997" s="2"/>
      <c r="B997" s="2"/>
      <c r="C997" s="10"/>
      <c r="D997" s="10"/>
      <c r="E997" s="10"/>
      <c r="F997" s="10"/>
      <c r="G997" s="69"/>
      <c r="H997" s="69"/>
      <c r="I997" s="69"/>
      <c r="J997" s="70"/>
      <c r="K997" s="69"/>
      <c r="L997" s="32"/>
      <c r="M997" s="69"/>
      <c r="N997" s="69"/>
      <c r="O997" s="69"/>
      <c r="P997" s="2"/>
      <c r="Q997" s="2"/>
      <c r="R997" s="32"/>
      <c r="S997" s="32"/>
      <c r="T997" s="32"/>
      <c r="U997" s="32"/>
      <c r="V997" s="2"/>
      <c r="W997" s="2"/>
      <c r="X997" s="2"/>
      <c r="Y997" s="2"/>
      <c r="Z997" s="2"/>
    </row>
    <row r="998" spans="1:26" ht="13.8" x14ac:dyDescent="0.3">
      <c r="A998" s="2"/>
      <c r="B998" s="2"/>
      <c r="C998" s="10"/>
      <c r="D998" s="10"/>
      <c r="E998" s="10"/>
      <c r="F998" s="10"/>
      <c r="G998" s="69"/>
      <c r="H998" s="69"/>
      <c r="I998" s="69"/>
      <c r="J998" s="70"/>
      <c r="K998" s="69"/>
      <c r="L998" s="32"/>
      <c r="M998" s="69"/>
      <c r="N998" s="69"/>
      <c r="O998" s="69"/>
      <c r="P998" s="2"/>
      <c r="Q998" s="2"/>
      <c r="R998" s="32"/>
      <c r="S998" s="32"/>
      <c r="T998" s="32"/>
      <c r="U998" s="32"/>
      <c r="V998" s="2"/>
      <c r="W998" s="2"/>
      <c r="X998" s="2"/>
      <c r="Y998" s="2"/>
      <c r="Z998" s="2"/>
    </row>
    <row r="999" spans="1:26" ht="13.8" x14ac:dyDescent="0.3">
      <c r="A999" s="2"/>
      <c r="B999" s="2"/>
      <c r="C999" s="10"/>
      <c r="D999" s="10"/>
      <c r="E999" s="10"/>
      <c r="F999" s="10"/>
      <c r="G999" s="69"/>
      <c r="H999" s="69"/>
      <c r="I999" s="69"/>
      <c r="J999" s="70"/>
      <c r="K999" s="69"/>
      <c r="L999" s="32"/>
      <c r="M999" s="69"/>
      <c r="N999" s="69"/>
      <c r="O999" s="69"/>
      <c r="P999" s="2"/>
      <c r="Q999" s="2"/>
      <c r="R999" s="32"/>
      <c r="S999" s="32"/>
      <c r="T999" s="32"/>
      <c r="U999" s="32"/>
      <c r="V999" s="2"/>
      <c r="W999" s="2"/>
      <c r="X999" s="2"/>
      <c r="Y999" s="2"/>
      <c r="Z999" s="2"/>
    </row>
    <row r="1000" spans="1:26" ht="13.8" x14ac:dyDescent="0.3">
      <c r="A1000" s="2"/>
      <c r="B1000" s="2"/>
      <c r="C1000" s="10"/>
      <c r="D1000" s="10"/>
      <c r="E1000" s="10"/>
      <c r="F1000" s="10"/>
      <c r="G1000" s="69"/>
      <c r="H1000" s="69"/>
      <c r="I1000" s="69"/>
      <c r="J1000" s="70"/>
      <c r="K1000" s="69"/>
      <c r="L1000" s="32"/>
      <c r="M1000" s="69"/>
      <c r="N1000" s="69"/>
      <c r="O1000" s="69"/>
      <c r="P1000" s="2"/>
      <c r="Q1000" s="2"/>
      <c r="R1000" s="32"/>
      <c r="S1000" s="32"/>
      <c r="T1000" s="32"/>
      <c r="U1000" s="32"/>
      <c r="V1000" s="2"/>
      <c r="W1000" s="2"/>
      <c r="X1000" s="2"/>
      <c r="Y1000" s="2"/>
      <c r="Z1000" s="2"/>
    </row>
  </sheetData>
  <autoFilter ref="A1:Z1" xr:uid="{00000000-0001-0000-0F00-00000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C2" sqref="C2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76</v>
      </c>
      <c r="C2" s="10">
        <v>2514951</v>
      </c>
      <c r="D2" s="32" t="s">
        <v>1098</v>
      </c>
      <c r="E2" s="69">
        <v>-1642.07</v>
      </c>
      <c r="F2" s="69">
        <v>330.37</v>
      </c>
      <c r="G2" s="69">
        <f t="shared" ref="G2:G9" si="0">F2*0.5</f>
        <v>165.185</v>
      </c>
      <c r="H2" s="70">
        <v>1</v>
      </c>
      <c r="I2" s="69">
        <f>(E2+G2)*H2*0.8</f>
        <v>-1181.508</v>
      </c>
      <c r="J2" s="58">
        <v>0</v>
      </c>
      <c r="K2" s="58">
        <v>0</v>
      </c>
      <c r="L2" s="58">
        <f>SUM(J:K)</f>
        <v>0</v>
      </c>
      <c r="M2" s="2" t="s">
        <v>412</v>
      </c>
      <c r="N2" s="2" t="s">
        <v>413</v>
      </c>
      <c r="O2" s="32">
        <v>1988.36</v>
      </c>
      <c r="P2" s="32">
        <f>SUM(I:I)</f>
        <v>-9515.2400000000016</v>
      </c>
      <c r="Q2" s="32">
        <f>SUM(O:O)</f>
        <v>9355.9599999999991</v>
      </c>
      <c r="R2" s="32">
        <f>P2+Q2</f>
        <v>-159.28000000000247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32" t="s">
        <v>317</v>
      </c>
      <c r="B3" s="32" t="s">
        <v>76</v>
      </c>
      <c r="C3" s="10">
        <v>2514951</v>
      </c>
      <c r="D3" s="32" t="s">
        <v>1098</v>
      </c>
      <c r="E3" s="69">
        <v>206.9</v>
      </c>
      <c r="F3" s="69">
        <v>203.53</v>
      </c>
      <c r="G3" s="69">
        <f t="shared" si="0"/>
        <v>101.765</v>
      </c>
      <c r="H3" s="70">
        <v>1</v>
      </c>
      <c r="I3" s="69">
        <f>(E3*0.95+G3)*H3*0.8</f>
        <v>238.65600000000001</v>
      </c>
      <c r="J3" s="58">
        <v>0</v>
      </c>
      <c r="K3" s="58">
        <v>0</v>
      </c>
      <c r="L3" s="58"/>
      <c r="M3" s="2" t="s">
        <v>894</v>
      </c>
      <c r="N3" s="2" t="s">
        <v>1099</v>
      </c>
      <c r="O3" s="32">
        <v>1430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32" t="s">
        <v>325</v>
      </c>
      <c r="B4" s="32" t="s">
        <v>76</v>
      </c>
      <c r="C4" s="10">
        <v>2514951</v>
      </c>
      <c r="D4" s="32" t="s">
        <v>1098</v>
      </c>
      <c r="E4" s="69">
        <v>-2425.87</v>
      </c>
      <c r="F4" s="69">
        <v>1811.2</v>
      </c>
      <c r="G4" s="69">
        <f t="shared" si="0"/>
        <v>905.6</v>
      </c>
      <c r="H4" s="70">
        <v>1</v>
      </c>
      <c r="I4" s="69">
        <f t="shared" ref="I4:I9" si="1">(E4+G4)*H4*0.8</f>
        <v>-1216.2160000000001</v>
      </c>
      <c r="J4" s="58">
        <v>0</v>
      </c>
      <c r="K4" s="58">
        <v>0</v>
      </c>
      <c r="L4" s="58"/>
      <c r="M4" s="2" t="s">
        <v>419</v>
      </c>
      <c r="N4" s="2" t="s">
        <v>1099</v>
      </c>
      <c r="O4" s="32">
        <v>1916.3</v>
      </c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332</v>
      </c>
      <c r="B5" s="2" t="s">
        <v>76</v>
      </c>
      <c r="C5" s="10">
        <v>2514951</v>
      </c>
      <c r="D5" s="32" t="s">
        <v>1098</v>
      </c>
      <c r="E5" s="69">
        <v>-2442.09</v>
      </c>
      <c r="F5" s="69">
        <v>1923.38</v>
      </c>
      <c r="G5" s="69">
        <f t="shared" si="0"/>
        <v>961.69</v>
      </c>
      <c r="H5" s="70">
        <v>1</v>
      </c>
      <c r="I5" s="69">
        <f t="shared" si="1"/>
        <v>-1184.3200000000002</v>
      </c>
      <c r="J5" s="58">
        <v>0</v>
      </c>
      <c r="K5" s="58">
        <v>0</v>
      </c>
      <c r="L5" s="58"/>
      <c r="M5" s="2" t="s">
        <v>1100</v>
      </c>
      <c r="N5" s="2" t="s">
        <v>1099</v>
      </c>
      <c r="O5" s="32">
        <v>1887.42</v>
      </c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340</v>
      </c>
      <c r="B6" s="2" t="s">
        <v>76</v>
      </c>
      <c r="C6" s="10">
        <v>2514951</v>
      </c>
      <c r="D6" s="32" t="s">
        <v>1098</v>
      </c>
      <c r="E6" s="69">
        <v>-2574.94</v>
      </c>
      <c r="F6" s="69">
        <v>1910.2</v>
      </c>
      <c r="G6" s="69">
        <f t="shared" si="0"/>
        <v>955.1</v>
      </c>
      <c r="H6" s="70">
        <v>1</v>
      </c>
      <c r="I6" s="69">
        <f t="shared" si="1"/>
        <v>-1295.8720000000003</v>
      </c>
      <c r="J6" s="58">
        <v>0</v>
      </c>
      <c r="K6" s="58">
        <v>0</v>
      </c>
      <c r="L6" s="58"/>
      <c r="M6" s="2" t="s">
        <v>1101</v>
      </c>
      <c r="N6" s="2" t="s">
        <v>1099</v>
      </c>
      <c r="O6" s="32">
        <v>1178.8800000000001</v>
      </c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 t="s">
        <v>359</v>
      </c>
      <c r="B7" s="2" t="s">
        <v>76</v>
      </c>
      <c r="C7" s="10">
        <v>2514951</v>
      </c>
      <c r="D7" s="32" t="s">
        <v>1098</v>
      </c>
      <c r="E7" s="69">
        <v>-1554.01</v>
      </c>
      <c r="F7" s="69">
        <v>737.83</v>
      </c>
      <c r="G7" s="69">
        <f t="shared" si="0"/>
        <v>368.91500000000002</v>
      </c>
      <c r="H7" s="70">
        <v>1</v>
      </c>
      <c r="I7" s="69">
        <f t="shared" si="1"/>
        <v>-948.07600000000002</v>
      </c>
      <c r="J7" s="58">
        <v>0</v>
      </c>
      <c r="K7" s="58">
        <v>0</v>
      </c>
      <c r="L7" s="58"/>
      <c r="M7" s="2" t="s">
        <v>1102</v>
      </c>
      <c r="N7" s="2" t="s">
        <v>1099</v>
      </c>
      <c r="O7" s="32">
        <v>955</v>
      </c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366</v>
      </c>
      <c r="B8" s="2" t="s">
        <v>76</v>
      </c>
      <c r="C8" s="10">
        <v>2514951</v>
      </c>
      <c r="D8" s="32" t="s">
        <v>1098</v>
      </c>
      <c r="E8" s="69">
        <v>-3968.87</v>
      </c>
      <c r="F8" s="69">
        <v>1765.47</v>
      </c>
      <c r="G8" s="69">
        <f t="shared" si="0"/>
        <v>882.73500000000001</v>
      </c>
      <c r="H8" s="70">
        <v>1</v>
      </c>
      <c r="I8" s="69">
        <f t="shared" si="1"/>
        <v>-2468.9079999999999</v>
      </c>
      <c r="J8" s="58">
        <v>0</v>
      </c>
      <c r="K8" s="58">
        <v>0</v>
      </c>
      <c r="L8" s="58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 t="s">
        <v>370</v>
      </c>
      <c r="B9" s="32" t="s">
        <v>76</v>
      </c>
      <c r="C9" s="10">
        <v>2514951</v>
      </c>
      <c r="D9" s="10" t="s">
        <v>1098</v>
      </c>
      <c r="E9" s="32">
        <v>-345.64</v>
      </c>
      <c r="F9" s="32">
        <v>87.15</v>
      </c>
      <c r="G9" s="69">
        <f t="shared" si="0"/>
        <v>43.575000000000003</v>
      </c>
      <c r="H9" s="70">
        <v>1</v>
      </c>
      <c r="I9" s="69">
        <f t="shared" si="1"/>
        <v>-241.65200000000002</v>
      </c>
      <c r="J9" s="58">
        <v>0</v>
      </c>
      <c r="K9" s="58">
        <v>0</v>
      </c>
      <c r="L9" s="58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372</v>
      </c>
      <c r="B10" s="46" t="s">
        <v>468</v>
      </c>
      <c r="C10" s="10" t="s">
        <v>468</v>
      </c>
      <c r="D10" s="10" t="s">
        <v>468</v>
      </c>
      <c r="E10" s="46" t="s">
        <v>468</v>
      </c>
      <c r="F10" s="46" t="s">
        <v>468</v>
      </c>
      <c r="G10" s="46" t="s">
        <v>468</v>
      </c>
      <c r="H10" s="81" t="s">
        <v>468</v>
      </c>
      <c r="I10" s="46" t="s">
        <v>468</v>
      </c>
      <c r="J10" s="82" t="s">
        <v>468</v>
      </c>
      <c r="K10" s="82" t="s">
        <v>468</v>
      </c>
      <c r="L10" s="58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 t="s">
        <v>377</v>
      </c>
      <c r="B11" s="46" t="s">
        <v>468</v>
      </c>
      <c r="C11" s="10" t="s">
        <v>468</v>
      </c>
      <c r="D11" s="10" t="s">
        <v>468</v>
      </c>
      <c r="E11" s="46" t="s">
        <v>468</v>
      </c>
      <c r="F11" s="46" t="s">
        <v>468</v>
      </c>
      <c r="G11" s="46" t="s">
        <v>468</v>
      </c>
      <c r="H11" s="81" t="s">
        <v>468</v>
      </c>
      <c r="I11" s="46" t="s">
        <v>468</v>
      </c>
      <c r="J11" s="82" t="s">
        <v>468</v>
      </c>
      <c r="K11" s="82" t="s">
        <v>468</v>
      </c>
      <c r="L11" s="58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379</v>
      </c>
      <c r="B12" s="32" t="s">
        <v>76</v>
      </c>
      <c r="C12" s="10">
        <v>2514951</v>
      </c>
      <c r="D12" s="46" t="s">
        <v>1098</v>
      </c>
      <c r="E12" s="32">
        <v>-1754.17</v>
      </c>
      <c r="F12" s="32">
        <v>704.76</v>
      </c>
      <c r="G12" s="69">
        <f t="shared" ref="G12:G13" si="2">F12*0.5</f>
        <v>352.38</v>
      </c>
      <c r="H12" s="70">
        <v>1</v>
      </c>
      <c r="I12" s="69">
        <f t="shared" ref="I12:I13" si="3">(E12+G12)*H12*0.8</f>
        <v>-1121.432</v>
      </c>
      <c r="J12" s="58">
        <v>0</v>
      </c>
      <c r="K12" s="58">
        <v>0</v>
      </c>
      <c r="L12" s="58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 t="s">
        <v>380</v>
      </c>
      <c r="B13" s="32" t="s">
        <v>76</v>
      </c>
      <c r="C13" s="10">
        <v>2514951</v>
      </c>
      <c r="D13" s="46" t="s">
        <v>1098</v>
      </c>
      <c r="E13" s="32">
        <v>-363.07</v>
      </c>
      <c r="F13" s="32">
        <v>486.36</v>
      </c>
      <c r="G13" s="69">
        <f t="shared" si="2"/>
        <v>243.18</v>
      </c>
      <c r="H13" s="70">
        <v>1</v>
      </c>
      <c r="I13" s="69">
        <f t="shared" si="3"/>
        <v>-95.911999999999992</v>
      </c>
      <c r="J13" s="58">
        <v>0</v>
      </c>
      <c r="K13" s="58">
        <v>0</v>
      </c>
      <c r="L13" s="58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 t="s">
        <v>381</v>
      </c>
      <c r="B14" s="46" t="s">
        <v>468</v>
      </c>
      <c r="C14" s="10" t="s">
        <v>468</v>
      </c>
      <c r="D14" s="10" t="s">
        <v>468</v>
      </c>
      <c r="E14" s="46" t="s">
        <v>468</v>
      </c>
      <c r="F14" s="46" t="s">
        <v>468</v>
      </c>
      <c r="G14" s="46" t="s">
        <v>468</v>
      </c>
      <c r="H14" s="81" t="s">
        <v>468</v>
      </c>
      <c r="I14" s="46" t="s">
        <v>468</v>
      </c>
      <c r="J14" s="82" t="s">
        <v>468</v>
      </c>
      <c r="K14" s="82" t="s">
        <v>468</v>
      </c>
      <c r="L14" s="58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 t="s">
        <v>382</v>
      </c>
      <c r="B15" s="46" t="s">
        <v>468</v>
      </c>
      <c r="C15" s="10" t="s">
        <v>468</v>
      </c>
      <c r="D15" s="10" t="s">
        <v>468</v>
      </c>
      <c r="E15" s="46" t="s">
        <v>468</v>
      </c>
      <c r="F15" s="46" t="s">
        <v>468</v>
      </c>
      <c r="G15" s="46" t="s">
        <v>468</v>
      </c>
      <c r="H15" s="81" t="s">
        <v>468</v>
      </c>
      <c r="I15" s="46" t="s">
        <v>468</v>
      </c>
      <c r="J15" s="82" t="s">
        <v>468</v>
      </c>
      <c r="K15" s="82" t="s">
        <v>468</v>
      </c>
      <c r="L15" s="58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 t="s">
        <v>383</v>
      </c>
      <c r="B16" s="46" t="s">
        <v>468</v>
      </c>
      <c r="C16" s="10" t="s">
        <v>468</v>
      </c>
      <c r="D16" s="10" t="s">
        <v>468</v>
      </c>
      <c r="E16" s="46" t="s">
        <v>468</v>
      </c>
      <c r="F16" s="46" t="s">
        <v>468</v>
      </c>
      <c r="G16" s="46" t="s">
        <v>468</v>
      </c>
      <c r="H16" s="81" t="s">
        <v>468</v>
      </c>
      <c r="I16" s="46" t="s">
        <v>468</v>
      </c>
      <c r="J16" s="82" t="s">
        <v>468</v>
      </c>
      <c r="K16" s="82" t="s">
        <v>468</v>
      </c>
      <c r="L16" s="58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 t="s">
        <v>384</v>
      </c>
      <c r="B17" s="46" t="s">
        <v>468</v>
      </c>
      <c r="C17" s="10" t="s">
        <v>468</v>
      </c>
      <c r="D17" s="10" t="s">
        <v>468</v>
      </c>
      <c r="E17" s="46" t="s">
        <v>468</v>
      </c>
      <c r="F17" s="46" t="s">
        <v>468</v>
      </c>
      <c r="G17" s="46" t="s">
        <v>468</v>
      </c>
      <c r="H17" s="81" t="s">
        <v>468</v>
      </c>
      <c r="I17" s="46" t="s">
        <v>468</v>
      </c>
      <c r="J17" s="82" t="s">
        <v>468</v>
      </c>
      <c r="K17" s="82" t="s">
        <v>468</v>
      </c>
      <c r="L17" s="58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2000"/>
  <sheetViews>
    <sheetView workbookViewId="0">
      <pane ySplit="1" topLeftCell="A2" activePane="bottomLeft" state="frozen"/>
      <selection pane="bottomLeft" activeCell="O2" sqref="O2"/>
    </sheetView>
  </sheetViews>
  <sheetFormatPr defaultColWidth="12.6640625" defaultRowHeight="15.75" customHeight="1" x14ac:dyDescent="0.25"/>
  <cols>
    <col min="1" max="14" width="12.6640625" customWidth="1"/>
    <col min="15" max="21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521</v>
      </c>
      <c r="D1" s="63" t="s">
        <v>522</v>
      </c>
      <c r="E1" s="63" t="s">
        <v>399</v>
      </c>
      <c r="F1" s="62" t="s">
        <v>400</v>
      </c>
      <c r="G1" s="62" t="s">
        <v>401</v>
      </c>
      <c r="H1" s="62" t="s">
        <v>402</v>
      </c>
      <c r="I1" s="62" t="s">
        <v>403</v>
      </c>
      <c r="J1" s="64" t="s">
        <v>404</v>
      </c>
      <c r="K1" s="62" t="s">
        <v>405</v>
      </c>
      <c r="L1" s="77" t="s">
        <v>464</v>
      </c>
      <c r="M1" s="65" t="s">
        <v>406</v>
      </c>
      <c r="N1" s="65" t="s">
        <v>407</v>
      </c>
      <c r="O1" s="65" t="s">
        <v>408</v>
      </c>
      <c r="P1" s="66" t="s">
        <v>409</v>
      </c>
      <c r="Q1" s="66" t="s">
        <v>294</v>
      </c>
      <c r="R1" s="66" t="s">
        <v>410</v>
      </c>
      <c r="S1" s="67" t="s">
        <v>283</v>
      </c>
      <c r="T1" s="67" t="s">
        <v>284</v>
      </c>
      <c r="U1" s="68" t="s">
        <v>285</v>
      </c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29" t="s">
        <v>35</v>
      </c>
      <c r="C2" s="10" t="s">
        <v>1114</v>
      </c>
      <c r="D2" s="10" t="s">
        <v>1115</v>
      </c>
      <c r="E2" s="10" t="s">
        <v>1116</v>
      </c>
      <c r="F2" s="46" t="s">
        <v>1117</v>
      </c>
      <c r="G2" s="69">
        <v>-1221.9100000000001</v>
      </c>
      <c r="H2" s="69">
        <v>4109.91</v>
      </c>
      <c r="I2" s="69">
        <f t="shared" ref="I2:I16" si="0">H2*0.79</f>
        <v>3246.8289</v>
      </c>
      <c r="J2" s="75">
        <v>0.26985999999999999</v>
      </c>
      <c r="K2" s="69">
        <f t="shared" ref="K2:K16" si="1">(G2+I2)*J2</f>
        <v>546.4446143539999</v>
      </c>
      <c r="L2" s="78">
        <f t="shared" ref="L2:L16" si="2">H2*0.05*J2</f>
        <v>55.455015629999998</v>
      </c>
      <c r="M2" s="61">
        <v>0</v>
      </c>
      <c r="N2" s="61">
        <f t="shared" ref="N2:N16" si="3">H2*0.04*J2</f>
        <v>44.364012504000002</v>
      </c>
      <c r="O2" s="61">
        <f>SUM(M:N)</f>
        <v>6752.9823770641906</v>
      </c>
      <c r="P2" s="2" t="s">
        <v>412</v>
      </c>
      <c r="Q2" s="2" t="s">
        <v>413</v>
      </c>
      <c r="R2" s="32">
        <v>-0.01</v>
      </c>
      <c r="S2" s="32">
        <f>SUM(K:K)</f>
        <v>-23014.41657027031</v>
      </c>
      <c r="T2" s="32">
        <f>SUM(R:R)</f>
        <v>29197.770000000004</v>
      </c>
      <c r="U2" s="32">
        <f>S2+T2</f>
        <v>6183.3534297296937</v>
      </c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29" t="s">
        <v>35</v>
      </c>
      <c r="C3" s="10" t="s">
        <v>1118</v>
      </c>
      <c r="D3" s="10" t="s">
        <v>1119</v>
      </c>
      <c r="E3" s="10" t="s">
        <v>1120</v>
      </c>
      <c r="F3" s="46" t="s">
        <v>1121</v>
      </c>
      <c r="G3" s="69">
        <v>345.98</v>
      </c>
      <c r="H3" s="69">
        <v>159.66</v>
      </c>
      <c r="I3" s="69">
        <f t="shared" si="0"/>
        <v>126.1314</v>
      </c>
      <c r="J3" s="75">
        <v>0.26985999999999999</v>
      </c>
      <c r="K3" s="69">
        <f t="shared" si="1"/>
        <v>127.40398240399999</v>
      </c>
      <c r="L3" s="78">
        <f t="shared" si="2"/>
        <v>2.1542923800000002</v>
      </c>
      <c r="M3" s="61">
        <v>0</v>
      </c>
      <c r="N3" s="61">
        <f t="shared" si="3"/>
        <v>1.723433904</v>
      </c>
      <c r="O3" s="61"/>
      <c r="P3" s="2" t="s">
        <v>304</v>
      </c>
      <c r="Q3" s="2" t="s">
        <v>1122</v>
      </c>
      <c r="R3" s="32">
        <v>-45.82</v>
      </c>
      <c r="S3" s="32"/>
      <c r="T3" s="32"/>
      <c r="U3" s="3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29" t="s">
        <v>35</v>
      </c>
      <c r="C4" s="10" t="s">
        <v>1118</v>
      </c>
      <c r="D4" s="10" t="s">
        <v>1119</v>
      </c>
      <c r="E4" s="10" t="s">
        <v>1123</v>
      </c>
      <c r="F4" s="46" t="s">
        <v>1124</v>
      </c>
      <c r="G4" s="69">
        <v>23.23</v>
      </c>
      <c r="H4" s="69">
        <v>123.79</v>
      </c>
      <c r="I4" s="69">
        <f t="shared" si="0"/>
        <v>97.794100000000014</v>
      </c>
      <c r="J4" s="75">
        <v>0.26985999999999999</v>
      </c>
      <c r="K4" s="69">
        <f t="shared" si="1"/>
        <v>32.659563626000001</v>
      </c>
      <c r="L4" s="78">
        <f t="shared" si="2"/>
        <v>1.6702984700000001</v>
      </c>
      <c r="M4" s="61">
        <v>0</v>
      </c>
      <c r="N4" s="61">
        <f t="shared" si="3"/>
        <v>1.3362387759999999</v>
      </c>
      <c r="O4" s="61"/>
      <c r="P4" s="2" t="s">
        <v>304</v>
      </c>
      <c r="Q4" s="2" t="s">
        <v>1125</v>
      </c>
      <c r="R4" s="32">
        <v>-312.5</v>
      </c>
      <c r="S4" s="32"/>
      <c r="T4" s="32"/>
      <c r="U4" s="3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29" t="s">
        <v>35</v>
      </c>
      <c r="C5" s="10" t="s">
        <v>1126</v>
      </c>
      <c r="D5" s="10" t="s">
        <v>1127</v>
      </c>
      <c r="E5" s="10" t="s">
        <v>1128</v>
      </c>
      <c r="F5" s="46" t="s">
        <v>1129</v>
      </c>
      <c r="G5" s="69">
        <v>-12312.87</v>
      </c>
      <c r="H5" s="69">
        <v>719.21</v>
      </c>
      <c r="I5" s="69">
        <f t="shared" si="0"/>
        <v>568.17590000000007</v>
      </c>
      <c r="J5" s="75">
        <v>0.26985999999999999</v>
      </c>
      <c r="K5" s="69">
        <f t="shared" si="1"/>
        <v>-3169.4231498260001</v>
      </c>
      <c r="L5" s="78">
        <f t="shared" si="2"/>
        <v>9.7043005300000011</v>
      </c>
      <c r="M5" s="61">
        <v>0</v>
      </c>
      <c r="N5" s="61">
        <f t="shared" si="3"/>
        <v>7.7634404240000006</v>
      </c>
      <c r="O5" s="61"/>
      <c r="P5" s="2" t="s">
        <v>304</v>
      </c>
      <c r="Q5" s="2" t="s">
        <v>590</v>
      </c>
      <c r="R5" s="32">
        <v>-60</v>
      </c>
      <c r="S5" s="32"/>
      <c r="T5" s="32"/>
      <c r="U5" s="32"/>
      <c r="V5" s="2"/>
      <c r="W5" s="2"/>
      <c r="X5" s="2"/>
      <c r="Y5" s="2"/>
      <c r="Z5" s="2"/>
    </row>
    <row r="6" spans="1:26" ht="15.75" customHeight="1" x14ac:dyDescent="0.3">
      <c r="A6" s="2" t="s">
        <v>296</v>
      </c>
      <c r="B6" s="29" t="s">
        <v>35</v>
      </c>
      <c r="C6" s="10" t="s">
        <v>1126</v>
      </c>
      <c r="D6" s="10" t="s">
        <v>1127</v>
      </c>
      <c r="E6" s="10" t="s">
        <v>1130</v>
      </c>
      <c r="F6" s="10" t="s">
        <v>1131</v>
      </c>
      <c r="G6" s="69">
        <v>94607.27</v>
      </c>
      <c r="H6" s="69">
        <v>14671.77</v>
      </c>
      <c r="I6" s="69">
        <f t="shared" si="0"/>
        <v>11590.6983</v>
      </c>
      <c r="J6" s="75">
        <v>0.26985999999999999</v>
      </c>
      <c r="K6" s="69">
        <f t="shared" si="1"/>
        <v>28658.583725438002</v>
      </c>
      <c r="L6" s="78">
        <f t="shared" si="2"/>
        <v>197.96619261000001</v>
      </c>
      <c r="M6" s="61">
        <v>0</v>
      </c>
      <c r="N6" s="61">
        <f t="shared" si="3"/>
        <v>158.372954088</v>
      </c>
      <c r="O6" s="61"/>
      <c r="P6" s="32" t="s">
        <v>295</v>
      </c>
      <c r="Q6" s="32" t="s">
        <v>595</v>
      </c>
      <c r="R6" s="69">
        <v>-30</v>
      </c>
      <c r="S6" s="32"/>
      <c r="T6" s="32"/>
      <c r="U6" s="32"/>
      <c r="V6" s="2"/>
      <c r="W6" s="2"/>
      <c r="X6" s="2"/>
      <c r="Y6" s="2"/>
      <c r="Z6" s="2"/>
    </row>
    <row r="7" spans="1:26" ht="15.75" customHeight="1" x14ac:dyDescent="0.3">
      <c r="A7" s="2" t="s">
        <v>296</v>
      </c>
      <c r="B7" s="29" t="s">
        <v>35</v>
      </c>
      <c r="C7" s="10" t="s">
        <v>1126</v>
      </c>
      <c r="D7" s="10" t="s">
        <v>1127</v>
      </c>
      <c r="E7" s="10" t="s">
        <v>1132</v>
      </c>
      <c r="F7" s="86" t="s">
        <v>1133</v>
      </c>
      <c r="G7" s="69">
        <v>21662.37</v>
      </c>
      <c r="H7" s="69">
        <v>1851.85</v>
      </c>
      <c r="I7" s="69">
        <f t="shared" si="0"/>
        <v>1462.9614999999999</v>
      </c>
      <c r="J7" s="75">
        <v>0.26985999999999999</v>
      </c>
      <c r="K7" s="69">
        <f t="shared" si="1"/>
        <v>6240.6019585899994</v>
      </c>
      <c r="L7" s="78">
        <f t="shared" si="2"/>
        <v>24.987012050000001</v>
      </c>
      <c r="M7" s="61">
        <v>0</v>
      </c>
      <c r="N7" s="61">
        <f t="shared" si="3"/>
        <v>19.989609639999998</v>
      </c>
      <c r="O7" s="61"/>
      <c r="P7" s="2" t="s">
        <v>295</v>
      </c>
      <c r="Q7" s="2" t="s">
        <v>1134</v>
      </c>
      <c r="R7" s="32">
        <v>42.76</v>
      </c>
      <c r="S7" s="32"/>
      <c r="T7" s="32"/>
      <c r="U7" s="32"/>
      <c r="V7" s="2"/>
      <c r="W7" s="2"/>
      <c r="X7" s="2"/>
      <c r="Y7" s="2"/>
      <c r="Z7" s="2"/>
    </row>
    <row r="8" spans="1:26" ht="15.75" customHeight="1" x14ac:dyDescent="0.3">
      <c r="A8" s="2" t="s">
        <v>296</v>
      </c>
      <c r="B8" s="29" t="s">
        <v>35</v>
      </c>
      <c r="C8" s="10" t="s">
        <v>1126</v>
      </c>
      <c r="D8" s="10" t="s">
        <v>1127</v>
      </c>
      <c r="E8" s="10" t="s">
        <v>1135</v>
      </c>
      <c r="F8" s="86" t="s">
        <v>1136</v>
      </c>
      <c r="G8" s="69">
        <v>6811.57</v>
      </c>
      <c r="H8" s="69">
        <v>875.75</v>
      </c>
      <c r="I8" s="69">
        <f t="shared" si="0"/>
        <v>691.84250000000009</v>
      </c>
      <c r="J8" s="75">
        <v>0.26985999999999999</v>
      </c>
      <c r="K8" s="69">
        <f t="shared" si="1"/>
        <v>2024.8708972499999</v>
      </c>
      <c r="L8" s="78">
        <f t="shared" si="2"/>
        <v>11.81649475</v>
      </c>
      <c r="M8" s="61">
        <v>0</v>
      </c>
      <c r="N8" s="61">
        <f t="shared" si="3"/>
        <v>9.4531957999999996</v>
      </c>
      <c r="O8" s="61"/>
      <c r="P8" s="2" t="s">
        <v>295</v>
      </c>
      <c r="Q8" s="2" t="s">
        <v>1137</v>
      </c>
      <c r="R8" s="32">
        <v>157.85</v>
      </c>
      <c r="S8" s="32"/>
      <c r="T8" s="32"/>
      <c r="U8" s="32"/>
      <c r="V8" s="2"/>
      <c r="W8" s="2"/>
      <c r="X8" s="2"/>
      <c r="Y8" s="2"/>
      <c r="Z8" s="2"/>
    </row>
    <row r="9" spans="1:26" ht="15.75" customHeight="1" x14ac:dyDescent="0.3">
      <c r="A9" s="2" t="s">
        <v>296</v>
      </c>
      <c r="B9" s="29" t="s">
        <v>35</v>
      </c>
      <c r="C9" s="10" t="s">
        <v>1138</v>
      </c>
      <c r="D9" s="10" t="s">
        <v>1139</v>
      </c>
      <c r="E9" s="10" t="s">
        <v>1140</v>
      </c>
      <c r="F9" s="86" t="s">
        <v>1141</v>
      </c>
      <c r="G9" s="69">
        <v>-363.21</v>
      </c>
      <c r="H9" s="69">
        <v>133.56</v>
      </c>
      <c r="I9" s="69">
        <f t="shared" si="0"/>
        <v>105.5124</v>
      </c>
      <c r="J9" s="75">
        <v>0.26985999999999999</v>
      </c>
      <c r="K9" s="69">
        <f t="shared" si="1"/>
        <v>-69.542274335999991</v>
      </c>
      <c r="L9" s="78">
        <f t="shared" si="2"/>
        <v>1.8021250800000002</v>
      </c>
      <c r="M9" s="61">
        <v>0</v>
      </c>
      <c r="N9" s="61">
        <f t="shared" si="3"/>
        <v>1.4417000640000002</v>
      </c>
      <c r="O9" s="61"/>
      <c r="P9" s="2" t="s">
        <v>1142</v>
      </c>
      <c r="Q9" s="2" t="s">
        <v>529</v>
      </c>
      <c r="R9" s="32">
        <v>7035.91</v>
      </c>
      <c r="S9" s="32"/>
      <c r="T9" s="32"/>
      <c r="U9" s="32"/>
      <c r="V9" s="2"/>
      <c r="W9" s="2"/>
      <c r="X9" s="2"/>
      <c r="Y9" s="2"/>
      <c r="Z9" s="2"/>
    </row>
    <row r="10" spans="1:26" ht="15.75" customHeight="1" x14ac:dyDescent="0.3">
      <c r="A10" s="2" t="s">
        <v>296</v>
      </c>
      <c r="B10" s="29" t="s">
        <v>35</v>
      </c>
      <c r="C10" s="10" t="s">
        <v>1138</v>
      </c>
      <c r="D10" s="10" t="s">
        <v>1139</v>
      </c>
      <c r="E10" s="10" t="s">
        <v>1143</v>
      </c>
      <c r="F10" s="10" t="s">
        <v>1144</v>
      </c>
      <c r="G10" s="69">
        <v>476.3</v>
      </c>
      <c r="H10" s="69">
        <v>1038</v>
      </c>
      <c r="I10" s="69">
        <f t="shared" si="0"/>
        <v>820.02</v>
      </c>
      <c r="J10" s="75">
        <v>0.26985999999999999</v>
      </c>
      <c r="K10" s="69">
        <f t="shared" si="1"/>
        <v>349.82491519999996</v>
      </c>
      <c r="L10" s="78">
        <f t="shared" si="2"/>
        <v>14.005734</v>
      </c>
      <c r="M10" s="61">
        <v>0</v>
      </c>
      <c r="N10" s="61">
        <f t="shared" si="3"/>
        <v>11.204587200000001</v>
      </c>
      <c r="O10" s="61"/>
      <c r="P10" s="2" t="s">
        <v>299</v>
      </c>
      <c r="Q10" s="2" t="s">
        <v>1145</v>
      </c>
      <c r="R10" s="32">
        <v>71.94</v>
      </c>
      <c r="S10" s="32"/>
      <c r="T10" s="32"/>
      <c r="U10" s="32"/>
      <c r="V10" s="2"/>
      <c r="W10" s="2"/>
      <c r="X10" s="2"/>
      <c r="Y10" s="2"/>
      <c r="Z10" s="2"/>
    </row>
    <row r="11" spans="1:26" ht="15.75" customHeight="1" x14ac:dyDescent="0.3">
      <c r="A11" s="2" t="s">
        <v>296</v>
      </c>
      <c r="B11" s="29" t="s">
        <v>35</v>
      </c>
      <c r="C11" s="10" t="s">
        <v>1146</v>
      </c>
      <c r="D11" s="10" t="s">
        <v>1147</v>
      </c>
      <c r="E11" s="10" t="s">
        <v>1146</v>
      </c>
      <c r="F11" s="46" t="s">
        <v>1147</v>
      </c>
      <c r="G11" s="69">
        <v>4346.05</v>
      </c>
      <c r="H11" s="69">
        <v>1026.19</v>
      </c>
      <c r="I11" s="69">
        <f t="shared" si="0"/>
        <v>810.69010000000003</v>
      </c>
      <c r="J11" s="75">
        <v>0.26985999999999999</v>
      </c>
      <c r="K11" s="69">
        <f t="shared" si="1"/>
        <v>1391.5978833859999</v>
      </c>
      <c r="L11" s="78">
        <f t="shared" si="2"/>
        <v>13.846381670000001</v>
      </c>
      <c r="M11" s="61">
        <v>0</v>
      </c>
      <c r="N11" s="61">
        <f t="shared" si="3"/>
        <v>11.077105336000001</v>
      </c>
      <c r="O11" s="61"/>
      <c r="P11" s="2" t="s">
        <v>299</v>
      </c>
      <c r="Q11" s="2" t="s">
        <v>1148</v>
      </c>
      <c r="R11" s="32">
        <v>-40.700000000000003</v>
      </c>
      <c r="S11" s="32"/>
      <c r="T11" s="32"/>
      <c r="U11" s="32"/>
      <c r="V11" s="2"/>
      <c r="W11" s="2"/>
      <c r="X11" s="2"/>
      <c r="Y11" s="2"/>
      <c r="Z11" s="2"/>
    </row>
    <row r="12" spans="1:26" ht="15.75" customHeight="1" x14ac:dyDescent="0.3">
      <c r="A12" s="2" t="s">
        <v>296</v>
      </c>
      <c r="B12" s="29" t="s">
        <v>35</v>
      </c>
      <c r="C12" s="10" t="s">
        <v>1146</v>
      </c>
      <c r="D12" s="10" t="s">
        <v>1147</v>
      </c>
      <c r="E12" s="10" t="s">
        <v>1149</v>
      </c>
      <c r="F12" s="86" t="s">
        <v>1150</v>
      </c>
      <c r="G12" s="69">
        <v>-19230.27</v>
      </c>
      <c r="H12" s="69">
        <v>1900.11</v>
      </c>
      <c r="I12" s="69">
        <f t="shared" si="0"/>
        <v>1501.0869</v>
      </c>
      <c r="J12" s="75">
        <v>0.26985999999999999</v>
      </c>
      <c r="K12" s="69">
        <f t="shared" si="1"/>
        <v>-4784.3973513660003</v>
      </c>
      <c r="L12" s="78">
        <f t="shared" si="2"/>
        <v>25.638184229999997</v>
      </c>
      <c r="M12" s="61">
        <v>0</v>
      </c>
      <c r="N12" s="61">
        <f t="shared" si="3"/>
        <v>20.510547383999999</v>
      </c>
      <c r="O12" s="61"/>
      <c r="P12" s="2" t="s">
        <v>599</v>
      </c>
      <c r="Q12" s="2" t="s">
        <v>600</v>
      </c>
      <c r="R12" s="32">
        <v>-10</v>
      </c>
      <c r="S12" s="32"/>
      <c r="T12" s="32"/>
      <c r="U12" s="32"/>
      <c r="V12" s="2"/>
      <c r="W12" s="2"/>
      <c r="X12" s="2"/>
      <c r="Y12" s="2"/>
      <c r="Z12" s="2"/>
    </row>
    <row r="13" spans="1:26" ht="15.75" customHeight="1" x14ac:dyDescent="0.3">
      <c r="A13" s="2" t="s">
        <v>296</v>
      </c>
      <c r="B13" s="29" t="s">
        <v>35</v>
      </c>
      <c r="C13" s="10" t="s">
        <v>1146</v>
      </c>
      <c r="D13" s="10" t="s">
        <v>1147</v>
      </c>
      <c r="E13" s="10" t="s">
        <v>1151</v>
      </c>
      <c r="F13" s="86" t="s">
        <v>1152</v>
      </c>
      <c r="G13" s="69">
        <v>-24385.91</v>
      </c>
      <c r="H13" s="69">
        <v>1577.88</v>
      </c>
      <c r="I13" s="69">
        <f t="shared" si="0"/>
        <v>1246.5252</v>
      </c>
      <c r="J13" s="75">
        <v>0.26985999999999999</v>
      </c>
      <c r="K13" s="69">
        <f t="shared" si="1"/>
        <v>-6244.394382128</v>
      </c>
      <c r="L13" s="78">
        <f t="shared" si="2"/>
        <v>21.29033484</v>
      </c>
      <c r="M13" s="61">
        <v>0</v>
      </c>
      <c r="N13" s="61">
        <f t="shared" si="3"/>
        <v>17.032267872000002</v>
      </c>
      <c r="O13" s="61"/>
      <c r="P13" s="2" t="s">
        <v>419</v>
      </c>
      <c r="Q13" s="2" t="s">
        <v>529</v>
      </c>
      <c r="R13" s="32">
        <v>-4463.1099999999997</v>
      </c>
      <c r="S13" s="32"/>
      <c r="T13" s="32"/>
      <c r="U13" s="32"/>
      <c r="V13" s="2"/>
      <c r="W13" s="2"/>
      <c r="X13" s="2"/>
      <c r="Y13" s="2"/>
      <c r="Z13" s="2"/>
    </row>
    <row r="14" spans="1:26" ht="15.75" customHeight="1" x14ac:dyDescent="0.3">
      <c r="A14" s="2" t="s">
        <v>296</v>
      </c>
      <c r="B14" s="29" t="s">
        <v>35</v>
      </c>
      <c r="C14" s="10" t="s">
        <v>1153</v>
      </c>
      <c r="D14" s="86" t="s">
        <v>1154</v>
      </c>
      <c r="E14" s="10" t="s">
        <v>1153</v>
      </c>
      <c r="F14" s="86" t="s">
        <v>1154</v>
      </c>
      <c r="G14" s="69">
        <v>-5478.42</v>
      </c>
      <c r="H14" s="69">
        <v>1703.22</v>
      </c>
      <c r="I14" s="69">
        <f t="shared" si="0"/>
        <v>1345.5438000000001</v>
      </c>
      <c r="J14" s="75">
        <v>0.26985999999999999</v>
      </c>
      <c r="K14" s="69">
        <f t="shared" si="1"/>
        <v>-1115.2979713319999</v>
      </c>
      <c r="L14" s="78">
        <f t="shared" si="2"/>
        <v>22.981547459999998</v>
      </c>
      <c r="M14" s="61">
        <v>0</v>
      </c>
      <c r="N14" s="61">
        <f t="shared" si="3"/>
        <v>18.385237967999998</v>
      </c>
      <c r="O14" s="61"/>
      <c r="P14" s="2" t="s">
        <v>301</v>
      </c>
      <c r="Q14" s="2" t="s">
        <v>600</v>
      </c>
      <c r="R14" s="32">
        <v>-10</v>
      </c>
      <c r="S14" s="32"/>
      <c r="T14" s="32"/>
      <c r="U14" s="32"/>
      <c r="V14" s="2"/>
      <c r="W14" s="2"/>
      <c r="X14" s="2"/>
      <c r="Y14" s="2"/>
      <c r="Z14" s="2"/>
    </row>
    <row r="15" spans="1:26" ht="15.75" customHeight="1" x14ac:dyDescent="0.3">
      <c r="A15" s="2" t="s">
        <v>296</v>
      </c>
      <c r="B15" s="29" t="s">
        <v>35</v>
      </c>
      <c r="C15" s="2" t="s">
        <v>1155</v>
      </c>
      <c r="D15" s="32" t="s">
        <v>1156</v>
      </c>
      <c r="E15" s="2" t="s">
        <v>1155</v>
      </c>
      <c r="F15" s="32" t="s">
        <v>1156</v>
      </c>
      <c r="G15" s="69">
        <v>-13281.59</v>
      </c>
      <c r="H15" s="69">
        <v>809.16</v>
      </c>
      <c r="I15" s="69">
        <f t="shared" si="0"/>
        <v>639.2364</v>
      </c>
      <c r="J15" s="75">
        <v>0.26985999999999999</v>
      </c>
      <c r="K15" s="69">
        <f t="shared" si="1"/>
        <v>-3411.6655424959999</v>
      </c>
      <c r="L15" s="78">
        <f t="shared" si="2"/>
        <v>10.917995879999999</v>
      </c>
      <c r="M15" s="61">
        <v>0</v>
      </c>
      <c r="N15" s="61">
        <f t="shared" si="3"/>
        <v>8.7343967039999999</v>
      </c>
      <c r="O15" s="61"/>
      <c r="P15" s="2" t="s">
        <v>301</v>
      </c>
      <c r="Q15" s="2" t="s">
        <v>1157</v>
      </c>
      <c r="R15" s="32">
        <v>-3.56</v>
      </c>
      <c r="S15" s="32"/>
      <c r="T15" s="32"/>
      <c r="U15" s="32"/>
      <c r="V15" s="2"/>
      <c r="W15" s="2"/>
      <c r="X15" s="2"/>
      <c r="Y15" s="2"/>
      <c r="Z15" s="2"/>
    </row>
    <row r="16" spans="1:26" ht="15.75" customHeight="1" x14ac:dyDescent="0.3">
      <c r="A16" s="2" t="s">
        <v>296</v>
      </c>
      <c r="B16" s="29" t="s">
        <v>35</v>
      </c>
      <c r="C16" s="10" t="s">
        <v>1158</v>
      </c>
      <c r="D16" s="10" t="s">
        <v>1159</v>
      </c>
      <c r="E16" s="10" t="s">
        <v>1158</v>
      </c>
      <c r="F16" s="10" t="s">
        <v>1159</v>
      </c>
      <c r="G16" s="69">
        <v>-7516.9</v>
      </c>
      <c r="H16" s="69">
        <v>550.41999999999996</v>
      </c>
      <c r="I16" s="69">
        <f t="shared" si="0"/>
        <v>434.83179999999999</v>
      </c>
      <c r="J16" s="75">
        <v>0.26985999999999999</v>
      </c>
      <c r="K16" s="69">
        <f t="shared" si="1"/>
        <v>-1911.1669244519999</v>
      </c>
      <c r="L16" s="78">
        <f t="shared" si="2"/>
        <v>7.4268170600000003</v>
      </c>
      <c r="M16" s="61">
        <v>0</v>
      </c>
      <c r="N16" s="61">
        <f t="shared" si="3"/>
        <v>5.9414536479999995</v>
      </c>
      <c r="O16" s="61"/>
      <c r="P16" s="2" t="s">
        <v>334</v>
      </c>
      <c r="Q16" s="2" t="s">
        <v>1160</v>
      </c>
      <c r="R16" s="32">
        <v>70.83</v>
      </c>
      <c r="S16" s="32"/>
      <c r="T16" s="32"/>
      <c r="U16" s="32"/>
      <c r="V16" s="2"/>
      <c r="W16" s="2"/>
      <c r="X16" s="2"/>
      <c r="Y16" s="2"/>
      <c r="Z16" s="2"/>
    </row>
    <row r="17" spans="1:26" ht="15.75" customHeight="1" x14ac:dyDescent="0.3">
      <c r="A17" s="2" t="s">
        <v>296</v>
      </c>
      <c r="B17" s="2" t="s">
        <v>186</v>
      </c>
      <c r="C17" s="10" t="s">
        <v>15</v>
      </c>
      <c r="D17" s="10" t="s">
        <v>15</v>
      </c>
      <c r="E17" s="10">
        <v>1714680</v>
      </c>
      <c r="F17" s="76" t="s">
        <v>535</v>
      </c>
      <c r="G17" s="69">
        <v>1433.2</v>
      </c>
      <c r="H17" s="69">
        <v>40.44</v>
      </c>
      <c r="I17" s="69">
        <v>0</v>
      </c>
      <c r="J17" s="70">
        <v>1</v>
      </c>
      <c r="K17" s="69">
        <f>(-H17*0.4*0.15+G17*0.25)*J17*0.3+G17*0.02*0.6*J17*0.3+(H17*0.1*0.85+H17*0.5*0.25)*J17*0.3</f>
        <v>114.46932</v>
      </c>
      <c r="L17" s="79" t="s">
        <v>468</v>
      </c>
      <c r="M17" s="61">
        <v>0</v>
      </c>
      <c r="N17" s="61">
        <v>0</v>
      </c>
      <c r="O17" s="61"/>
      <c r="P17" s="2" t="s">
        <v>334</v>
      </c>
      <c r="Q17" s="2" t="s">
        <v>600</v>
      </c>
      <c r="R17" s="32">
        <v>-10</v>
      </c>
      <c r="S17" s="32"/>
      <c r="T17" s="32"/>
      <c r="U17" s="32"/>
      <c r="V17" s="2"/>
      <c r="W17" s="2"/>
      <c r="X17" s="2"/>
      <c r="Y17" s="2"/>
      <c r="Z17" s="2"/>
    </row>
    <row r="18" spans="1:26" ht="15.75" customHeight="1" x14ac:dyDescent="0.3">
      <c r="A18" s="2" t="s">
        <v>296</v>
      </c>
      <c r="B18" s="2" t="s">
        <v>186</v>
      </c>
      <c r="C18" s="10">
        <v>1792134</v>
      </c>
      <c r="D18" s="10" t="s">
        <v>1161</v>
      </c>
      <c r="E18" s="10">
        <v>1792134</v>
      </c>
      <c r="F18" s="86" t="s">
        <v>1161</v>
      </c>
      <c r="G18" s="69">
        <v>-854.07</v>
      </c>
      <c r="H18" s="69">
        <v>105.08</v>
      </c>
      <c r="I18" s="69">
        <f t="shared" ref="I18:I29" si="4">H18*0.5</f>
        <v>52.54</v>
      </c>
      <c r="J18" s="70">
        <v>1</v>
      </c>
      <c r="K18" s="69">
        <f t="shared" ref="K18:K29" si="5">(G18+I18)*J18*0.85+(-H18*0.4*0.15)*J18*0.3+H18*0.1*0.85*J18*0.3</f>
        <v>-680.51240000000007</v>
      </c>
      <c r="L18" s="79" t="s">
        <v>468</v>
      </c>
      <c r="M18" s="61">
        <f t="shared" ref="M18:M29" si="6">(-H18*0.4*0.15)*J18*0.7-(-H18*0.05*0.15)*J18</f>
        <v>-3.6252599999999999</v>
      </c>
      <c r="N18" s="61">
        <f t="shared" ref="N18:N29" si="7">H18*0.1*0.85*J18*0.7+H18*0.05*0.85*J18</f>
        <v>10.718160000000001</v>
      </c>
      <c r="O18" s="61"/>
      <c r="P18" s="2" t="s">
        <v>899</v>
      </c>
      <c r="Q18" s="2" t="s">
        <v>529</v>
      </c>
      <c r="R18" s="32">
        <v>8446.74</v>
      </c>
      <c r="S18" s="32"/>
      <c r="T18" s="32"/>
      <c r="U18" s="32"/>
      <c r="V18" s="2"/>
      <c r="W18" s="2"/>
      <c r="X18" s="2"/>
      <c r="Y18" s="2"/>
      <c r="Z18" s="2"/>
    </row>
    <row r="19" spans="1:26" ht="15.75" customHeight="1" x14ac:dyDescent="0.3">
      <c r="A19" s="2" t="s">
        <v>296</v>
      </c>
      <c r="B19" s="2" t="s">
        <v>186</v>
      </c>
      <c r="C19" s="10">
        <v>2304025</v>
      </c>
      <c r="D19" s="10" t="s">
        <v>1162</v>
      </c>
      <c r="E19" s="10">
        <v>2314526</v>
      </c>
      <c r="F19" s="86" t="s">
        <v>1163</v>
      </c>
      <c r="G19" s="69">
        <v>581.1</v>
      </c>
      <c r="H19" s="69">
        <v>48.6</v>
      </c>
      <c r="I19" s="69">
        <f t="shared" si="4"/>
        <v>24.3</v>
      </c>
      <c r="J19" s="70">
        <v>1</v>
      </c>
      <c r="K19" s="69">
        <f t="shared" si="5"/>
        <v>514.95449999999983</v>
      </c>
      <c r="L19" s="79" t="s">
        <v>468</v>
      </c>
      <c r="M19" s="61">
        <f t="shared" si="6"/>
        <v>-1.6766999999999999</v>
      </c>
      <c r="N19" s="61">
        <f t="shared" si="7"/>
        <v>4.9572000000000003</v>
      </c>
      <c r="O19" s="61"/>
      <c r="P19" s="2" t="s">
        <v>303</v>
      </c>
      <c r="Q19" s="2" t="s">
        <v>1164</v>
      </c>
      <c r="R19" s="32">
        <v>-19.809999999999999</v>
      </c>
      <c r="S19" s="32"/>
      <c r="T19" s="32"/>
      <c r="U19" s="32"/>
      <c r="V19" s="2"/>
      <c r="W19" s="2"/>
      <c r="X19" s="2"/>
      <c r="Y19" s="2"/>
      <c r="Z19" s="2"/>
    </row>
    <row r="20" spans="1:26" ht="15.75" customHeight="1" x14ac:dyDescent="0.3">
      <c r="A20" s="2" t="s">
        <v>296</v>
      </c>
      <c r="B20" s="2" t="s">
        <v>186</v>
      </c>
      <c r="C20" s="10">
        <v>2304025</v>
      </c>
      <c r="D20" s="10" t="s">
        <v>1162</v>
      </c>
      <c r="E20" s="10">
        <v>2319819</v>
      </c>
      <c r="F20" s="46" t="s">
        <v>1165</v>
      </c>
      <c r="G20" s="69">
        <v>-115.12</v>
      </c>
      <c r="H20" s="69">
        <v>38.17</v>
      </c>
      <c r="I20" s="69">
        <f t="shared" si="4"/>
        <v>19.085000000000001</v>
      </c>
      <c r="J20" s="70">
        <v>1</v>
      </c>
      <c r="K20" s="69">
        <f t="shared" si="5"/>
        <v>-81.343474999999998</v>
      </c>
      <c r="L20" s="79" t="s">
        <v>468</v>
      </c>
      <c r="M20" s="61">
        <f t="shared" si="6"/>
        <v>-1.316865</v>
      </c>
      <c r="N20" s="61">
        <f t="shared" si="7"/>
        <v>3.8933400000000002</v>
      </c>
      <c r="O20" s="61"/>
      <c r="P20" s="2" t="s">
        <v>350</v>
      </c>
      <c r="Q20" s="2" t="s">
        <v>604</v>
      </c>
      <c r="R20" s="32">
        <v>-20</v>
      </c>
      <c r="S20" s="32"/>
      <c r="T20" s="32"/>
      <c r="U20" s="32"/>
      <c r="V20" s="2"/>
      <c r="W20" s="2"/>
      <c r="X20" s="2"/>
      <c r="Y20" s="2"/>
      <c r="Z20" s="2"/>
    </row>
    <row r="21" spans="1:26" ht="15.75" customHeight="1" x14ac:dyDescent="0.3">
      <c r="A21" s="2" t="s">
        <v>296</v>
      </c>
      <c r="B21" s="2" t="s">
        <v>186</v>
      </c>
      <c r="C21" s="10">
        <v>2304025</v>
      </c>
      <c r="D21" s="10" t="s">
        <v>1162</v>
      </c>
      <c r="E21" s="10">
        <v>2381522</v>
      </c>
      <c r="F21" s="86" t="s">
        <v>1166</v>
      </c>
      <c r="G21" s="69">
        <v>-139.02000000000001</v>
      </c>
      <c r="H21" s="69">
        <v>16.010000000000002</v>
      </c>
      <c r="I21" s="69">
        <f t="shared" si="4"/>
        <v>8.0050000000000008</v>
      </c>
      <c r="J21" s="70">
        <v>1</v>
      </c>
      <c r="K21" s="69">
        <f t="shared" si="5"/>
        <v>-111.24267500000001</v>
      </c>
      <c r="L21" s="79" t="s">
        <v>468</v>
      </c>
      <c r="M21" s="61">
        <f t="shared" si="6"/>
        <v>-0.55234499999999997</v>
      </c>
      <c r="N21" s="61">
        <f t="shared" si="7"/>
        <v>1.6330200000000001</v>
      </c>
      <c r="O21" s="61"/>
      <c r="P21" s="2" t="s">
        <v>350</v>
      </c>
      <c r="Q21" s="2" t="s">
        <v>1167</v>
      </c>
      <c r="R21" s="32">
        <v>-85.11</v>
      </c>
      <c r="S21" s="32"/>
      <c r="T21" s="32"/>
      <c r="U21" s="32"/>
      <c r="V21" s="2"/>
      <c r="W21" s="2"/>
      <c r="X21" s="2"/>
      <c r="Y21" s="2"/>
      <c r="Z21" s="2"/>
    </row>
    <row r="22" spans="1:26" ht="15.75" customHeight="1" x14ac:dyDescent="0.3">
      <c r="A22" s="2" t="s">
        <v>296</v>
      </c>
      <c r="B22" s="2" t="s">
        <v>186</v>
      </c>
      <c r="C22" s="10">
        <v>2304025</v>
      </c>
      <c r="D22" s="10" t="s">
        <v>1162</v>
      </c>
      <c r="E22" s="10">
        <v>2391366</v>
      </c>
      <c r="F22" s="86" t="s">
        <v>1168</v>
      </c>
      <c r="G22" s="69">
        <v>216.76</v>
      </c>
      <c r="H22" s="69">
        <v>31.79</v>
      </c>
      <c r="I22" s="69">
        <f t="shared" si="4"/>
        <v>15.895</v>
      </c>
      <c r="J22" s="70">
        <v>1</v>
      </c>
      <c r="K22" s="69">
        <f t="shared" si="5"/>
        <v>197.99517499999999</v>
      </c>
      <c r="L22" s="79" t="s">
        <v>468</v>
      </c>
      <c r="M22" s="61">
        <f t="shared" si="6"/>
        <v>-1.0967549999999999</v>
      </c>
      <c r="N22" s="61">
        <f t="shared" si="7"/>
        <v>3.2425800000000002</v>
      </c>
      <c r="O22" s="61"/>
      <c r="P22" s="2" t="s">
        <v>606</v>
      </c>
      <c r="Q22" s="2" t="s">
        <v>529</v>
      </c>
      <c r="R22" s="32">
        <v>-3893.93</v>
      </c>
      <c r="S22" s="32"/>
      <c r="T22" s="32"/>
      <c r="U22" s="32"/>
      <c r="V22" s="2"/>
      <c r="W22" s="2"/>
      <c r="X22" s="2"/>
      <c r="Y22" s="2"/>
      <c r="Z22" s="2"/>
    </row>
    <row r="23" spans="1:26" ht="15.75" customHeight="1" x14ac:dyDescent="0.3">
      <c r="A23" s="2" t="s">
        <v>296</v>
      </c>
      <c r="B23" s="2" t="s">
        <v>186</v>
      </c>
      <c r="C23" s="10">
        <v>2304025</v>
      </c>
      <c r="D23" s="10" t="s">
        <v>1162</v>
      </c>
      <c r="E23" s="10">
        <v>2404347</v>
      </c>
      <c r="F23" s="86" t="s">
        <v>1169</v>
      </c>
      <c r="G23" s="69">
        <v>-185.88</v>
      </c>
      <c r="H23" s="69">
        <v>45.99</v>
      </c>
      <c r="I23" s="69">
        <f t="shared" si="4"/>
        <v>22.995000000000001</v>
      </c>
      <c r="J23" s="70">
        <v>1</v>
      </c>
      <c r="K23" s="69">
        <f t="shared" si="5"/>
        <v>-138.107325</v>
      </c>
      <c r="L23" s="79" t="s">
        <v>468</v>
      </c>
      <c r="M23" s="61">
        <f t="shared" si="6"/>
        <v>-1.5866549999999999</v>
      </c>
      <c r="N23" s="61">
        <f t="shared" si="7"/>
        <v>4.6909799999999997</v>
      </c>
      <c r="O23" s="61"/>
      <c r="P23" s="2" t="s">
        <v>607</v>
      </c>
      <c r="Q23" s="2" t="s">
        <v>590</v>
      </c>
      <c r="R23" s="32">
        <v>-60</v>
      </c>
      <c r="S23" s="32"/>
      <c r="T23" s="32"/>
      <c r="U23" s="32"/>
      <c r="V23" s="2"/>
      <c r="W23" s="2"/>
      <c r="X23" s="2"/>
      <c r="Y23" s="2"/>
      <c r="Z23" s="2"/>
    </row>
    <row r="24" spans="1:26" ht="15.75" customHeight="1" x14ac:dyDescent="0.3">
      <c r="A24" s="2" t="s">
        <v>296</v>
      </c>
      <c r="B24" s="2" t="s">
        <v>186</v>
      </c>
      <c r="C24" s="10">
        <v>2304025</v>
      </c>
      <c r="D24" s="10" t="s">
        <v>1162</v>
      </c>
      <c r="E24" s="10">
        <v>2420208</v>
      </c>
      <c r="F24" s="86" t="s">
        <v>1170</v>
      </c>
      <c r="G24" s="69">
        <v>1840.53</v>
      </c>
      <c r="H24" s="69">
        <v>182.39</v>
      </c>
      <c r="I24" s="69">
        <f t="shared" si="4"/>
        <v>91.194999999999993</v>
      </c>
      <c r="J24" s="70">
        <v>1</v>
      </c>
      <c r="K24" s="69">
        <f t="shared" si="5"/>
        <v>1643.334175</v>
      </c>
      <c r="L24" s="79" t="s">
        <v>468</v>
      </c>
      <c r="M24" s="61">
        <f t="shared" si="6"/>
        <v>-6.2924550000000004</v>
      </c>
      <c r="N24" s="61">
        <f t="shared" si="7"/>
        <v>18.60378</v>
      </c>
      <c r="O24" s="61"/>
      <c r="P24" s="2" t="s">
        <v>306</v>
      </c>
      <c r="Q24" s="2" t="s">
        <v>1171</v>
      </c>
      <c r="R24" s="32">
        <v>-9.84</v>
      </c>
      <c r="S24" s="32"/>
      <c r="T24" s="32"/>
      <c r="U24" s="32"/>
      <c r="V24" s="2"/>
      <c r="W24" s="2"/>
      <c r="X24" s="2"/>
      <c r="Y24" s="2"/>
      <c r="Z24" s="2"/>
    </row>
    <row r="25" spans="1:26" ht="15.75" customHeight="1" x14ac:dyDescent="0.3">
      <c r="A25" s="2" t="s">
        <v>296</v>
      </c>
      <c r="B25" s="2" t="s">
        <v>186</v>
      </c>
      <c r="C25" s="10">
        <v>2304025</v>
      </c>
      <c r="D25" s="10" t="s">
        <v>1162</v>
      </c>
      <c r="E25" s="10">
        <v>2471540</v>
      </c>
      <c r="F25" s="86" t="s">
        <v>1172</v>
      </c>
      <c r="G25" s="69">
        <v>292.2</v>
      </c>
      <c r="H25" s="69">
        <v>23.31</v>
      </c>
      <c r="I25" s="69">
        <f t="shared" si="4"/>
        <v>11.654999999999999</v>
      </c>
      <c r="J25" s="70">
        <v>1</v>
      </c>
      <c r="K25" s="69">
        <f t="shared" si="5"/>
        <v>258.45157499999993</v>
      </c>
      <c r="L25" s="79" t="s">
        <v>468</v>
      </c>
      <c r="M25" s="61">
        <f t="shared" si="6"/>
        <v>-0.80419499999999977</v>
      </c>
      <c r="N25" s="61">
        <f t="shared" si="7"/>
        <v>2.3776199999999998</v>
      </c>
      <c r="O25" s="61"/>
      <c r="P25" s="2" t="s">
        <v>361</v>
      </c>
      <c r="Q25" s="2" t="s">
        <v>1173</v>
      </c>
      <c r="R25" s="32">
        <v>-60.04</v>
      </c>
      <c r="S25" s="32"/>
      <c r="T25" s="32"/>
      <c r="U25" s="32"/>
      <c r="V25" s="2"/>
      <c r="W25" s="2"/>
      <c r="X25" s="2"/>
      <c r="Y25" s="2"/>
      <c r="Z25" s="2"/>
    </row>
    <row r="26" spans="1:26" ht="15.75" customHeight="1" x14ac:dyDescent="0.3">
      <c r="A26" s="2" t="s">
        <v>296</v>
      </c>
      <c r="B26" s="2" t="s">
        <v>186</v>
      </c>
      <c r="C26" s="10">
        <v>2304025</v>
      </c>
      <c r="D26" s="10" t="s">
        <v>1162</v>
      </c>
      <c r="E26" s="10">
        <v>2493795</v>
      </c>
      <c r="F26" s="86" t="s">
        <v>1174</v>
      </c>
      <c r="G26" s="69">
        <v>82.63</v>
      </c>
      <c r="H26" s="69">
        <v>11.24</v>
      </c>
      <c r="I26" s="69">
        <f t="shared" si="4"/>
        <v>5.62</v>
      </c>
      <c r="J26" s="70">
        <v>1</v>
      </c>
      <c r="K26" s="69">
        <f t="shared" si="5"/>
        <v>75.096800000000002</v>
      </c>
      <c r="L26" s="79" t="s">
        <v>468</v>
      </c>
      <c r="M26" s="61">
        <f t="shared" si="6"/>
        <v>-0.38777999999999996</v>
      </c>
      <c r="N26" s="61">
        <f t="shared" si="7"/>
        <v>1.1464799999999999</v>
      </c>
      <c r="O26" s="61"/>
      <c r="P26" s="2" t="s">
        <v>1101</v>
      </c>
      <c r="Q26" s="2" t="s">
        <v>529</v>
      </c>
      <c r="R26" s="32">
        <v>-6262.68</v>
      </c>
      <c r="S26" s="32"/>
      <c r="T26" s="32"/>
      <c r="U26" s="32"/>
      <c r="V26" s="2"/>
      <c r="W26" s="2"/>
      <c r="X26" s="2"/>
      <c r="Y26" s="2"/>
      <c r="Z26" s="2"/>
    </row>
    <row r="27" spans="1:26" ht="15.75" customHeight="1" x14ac:dyDescent="0.3">
      <c r="A27" s="2" t="s">
        <v>296</v>
      </c>
      <c r="B27" s="2" t="s">
        <v>186</v>
      </c>
      <c r="C27" s="10">
        <v>2304025</v>
      </c>
      <c r="D27" s="10" t="s">
        <v>1162</v>
      </c>
      <c r="E27" s="10">
        <v>2514199</v>
      </c>
      <c r="F27" s="86" t="s">
        <v>1175</v>
      </c>
      <c r="G27" s="69">
        <v>251.06</v>
      </c>
      <c r="H27" s="69">
        <v>144.80000000000001</v>
      </c>
      <c r="I27" s="69">
        <f t="shared" si="4"/>
        <v>72.400000000000006</v>
      </c>
      <c r="J27" s="70">
        <v>1</v>
      </c>
      <c r="K27" s="69">
        <f t="shared" si="5"/>
        <v>276.02700000000004</v>
      </c>
      <c r="L27" s="79" t="s">
        <v>468</v>
      </c>
      <c r="M27" s="61">
        <f t="shared" si="6"/>
        <v>-4.9955999999999996</v>
      </c>
      <c r="N27" s="61">
        <f t="shared" si="7"/>
        <v>14.769600000000001</v>
      </c>
      <c r="O27" s="61"/>
      <c r="P27" s="2" t="s">
        <v>367</v>
      </c>
      <c r="Q27" s="2" t="s">
        <v>1176</v>
      </c>
      <c r="R27" s="32">
        <v>-18.47</v>
      </c>
      <c r="S27" s="32"/>
      <c r="T27" s="32"/>
      <c r="U27" s="32"/>
      <c r="V27" s="2"/>
      <c r="W27" s="2"/>
      <c r="X27" s="2"/>
      <c r="Y27" s="2"/>
      <c r="Z27" s="2"/>
    </row>
    <row r="28" spans="1:26" ht="15.75" customHeight="1" x14ac:dyDescent="0.3">
      <c r="A28" s="2" t="s">
        <v>296</v>
      </c>
      <c r="B28" s="2" t="s">
        <v>186</v>
      </c>
      <c r="C28" s="10">
        <v>2304025</v>
      </c>
      <c r="D28" s="10" t="s">
        <v>1162</v>
      </c>
      <c r="E28" s="10">
        <v>2523424</v>
      </c>
      <c r="F28" s="86" t="s">
        <v>1177</v>
      </c>
      <c r="G28" s="69">
        <v>-683.67</v>
      </c>
      <c r="H28" s="69">
        <v>87.45</v>
      </c>
      <c r="I28" s="69">
        <f t="shared" si="4"/>
        <v>43.725000000000001</v>
      </c>
      <c r="J28" s="70">
        <v>1</v>
      </c>
      <c r="K28" s="69">
        <f t="shared" si="5"/>
        <v>-543.29737499999999</v>
      </c>
      <c r="L28" s="79" t="s">
        <v>468</v>
      </c>
      <c r="M28" s="61">
        <f t="shared" si="6"/>
        <v>-3.0170250000000003</v>
      </c>
      <c r="N28" s="61">
        <f t="shared" si="7"/>
        <v>8.9199000000000019</v>
      </c>
      <c r="O28" s="61"/>
      <c r="P28" s="2" t="s">
        <v>367</v>
      </c>
      <c r="Q28" s="2" t="s">
        <v>1178</v>
      </c>
      <c r="R28" s="32">
        <v>99.24</v>
      </c>
      <c r="S28" s="32"/>
      <c r="T28" s="32"/>
      <c r="U28" s="32"/>
      <c r="V28" s="2"/>
      <c r="W28" s="2"/>
      <c r="X28" s="2"/>
      <c r="Y28" s="2"/>
      <c r="Z28" s="2"/>
    </row>
    <row r="29" spans="1:26" ht="15.75" customHeight="1" x14ac:dyDescent="0.3">
      <c r="A29" s="2" t="s">
        <v>296</v>
      </c>
      <c r="B29" s="2" t="s">
        <v>186</v>
      </c>
      <c r="C29" s="10">
        <v>2523689</v>
      </c>
      <c r="D29" s="10" t="s">
        <v>1179</v>
      </c>
      <c r="E29" s="10">
        <v>2523689</v>
      </c>
      <c r="F29" s="46" t="s">
        <v>1179</v>
      </c>
      <c r="G29" s="69">
        <v>1.64</v>
      </c>
      <c r="H29" s="69">
        <v>0</v>
      </c>
      <c r="I29" s="69">
        <f t="shared" si="4"/>
        <v>0</v>
      </c>
      <c r="J29" s="70">
        <v>1</v>
      </c>
      <c r="K29" s="69">
        <f t="shared" si="5"/>
        <v>1.3939999999999999</v>
      </c>
      <c r="L29" s="79" t="s">
        <v>468</v>
      </c>
      <c r="M29" s="61">
        <f t="shared" si="6"/>
        <v>0</v>
      </c>
      <c r="N29" s="61">
        <f t="shared" si="7"/>
        <v>0</v>
      </c>
      <c r="O29" s="61"/>
      <c r="P29" s="2" t="s">
        <v>1180</v>
      </c>
      <c r="Q29" s="2" t="s">
        <v>473</v>
      </c>
      <c r="R29" s="32">
        <v>11635.11</v>
      </c>
      <c r="S29" s="32"/>
      <c r="T29" s="32"/>
      <c r="U29" s="32"/>
      <c r="V29" s="2"/>
      <c r="W29" s="2"/>
      <c r="X29" s="2"/>
      <c r="Y29" s="2"/>
      <c r="Z29" s="2"/>
    </row>
    <row r="30" spans="1:26" ht="13.8" x14ac:dyDescent="0.3">
      <c r="A30" s="2" t="s">
        <v>296</v>
      </c>
      <c r="B30" s="2" t="s">
        <v>107</v>
      </c>
      <c r="C30" s="10">
        <v>2304025</v>
      </c>
      <c r="D30" s="10" t="s">
        <v>1162</v>
      </c>
      <c r="E30" s="10">
        <v>2314526</v>
      </c>
      <c r="F30" s="86" t="s">
        <v>1163</v>
      </c>
      <c r="G30" s="69">
        <v>2094.7800000000002</v>
      </c>
      <c r="H30" s="69">
        <v>96.96</v>
      </c>
      <c r="I30" s="69">
        <f t="shared" ref="I30:I36" si="8">H30*0.65</f>
        <v>63.024000000000001</v>
      </c>
      <c r="J30" s="70">
        <v>1</v>
      </c>
      <c r="K30" s="69">
        <f t="shared" ref="K30:K36" si="9">(G30+I30)*J30*0.8+(G30*0.05-H30*0.25*0.15)*J30*0.3+(H30*0.1*0.85+I30*0.05)*J30*0.3</f>
        <v>1759.9919400000001</v>
      </c>
      <c r="L30" s="79" t="s">
        <v>468</v>
      </c>
      <c r="M30" s="61">
        <f t="shared" ref="M30:M35" si="10">(G30*0.05-H30*0.25*0.15)*J30*0.7-(-H30*0.03*0.15)*J30</f>
        <v>71.208420000000004</v>
      </c>
      <c r="N30" s="61">
        <f t="shared" ref="N30:N35" si="11">(H30*0.1*0.85+I30*0.05)*J30*0.7+H30*0.03*0.85*J30</f>
        <v>10.44744</v>
      </c>
      <c r="O30" s="61"/>
      <c r="P30" s="2" t="s">
        <v>612</v>
      </c>
      <c r="Q30" s="2" t="s">
        <v>600</v>
      </c>
      <c r="R30" s="32">
        <v>-10</v>
      </c>
      <c r="S30" s="32"/>
      <c r="T30" s="32"/>
      <c r="U30" s="32"/>
      <c r="V30" s="2"/>
      <c r="W30" s="2"/>
      <c r="X30" s="2"/>
      <c r="Y30" s="2"/>
      <c r="Z30" s="2"/>
    </row>
    <row r="31" spans="1:26" ht="13.8" x14ac:dyDescent="0.3">
      <c r="A31" s="2" t="s">
        <v>296</v>
      </c>
      <c r="B31" s="2" t="s">
        <v>107</v>
      </c>
      <c r="C31" s="10">
        <v>2304025</v>
      </c>
      <c r="D31" s="10" t="s">
        <v>1162</v>
      </c>
      <c r="E31" s="10">
        <v>2319819</v>
      </c>
      <c r="F31" s="86" t="s">
        <v>1165</v>
      </c>
      <c r="G31" s="69">
        <v>362.99</v>
      </c>
      <c r="H31" s="69">
        <v>71.099999999999994</v>
      </c>
      <c r="I31" s="69">
        <f t="shared" si="8"/>
        <v>46.214999999999996</v>
      </c>
      <c r="J31" s="70">
        <v>1</v>
      </c>
      <c r="K31" s="69">
        <f t="shared" si="9"/>
        <v>334.51525000000004</v>
      </c>
      <c r="L31" s="79" t="s">
        <v>468</v>
      </c>
      <c r="M31" s="61">
        <f t="shared" si="10"/>
        <v>11.158225</v>
      </c>
      <c r="N31" s="61">
        <f t="shared" si="11"/>
        <v>7.6610249999999986</v>
      </c>
      <c r="O31" s="61"/>
      <c r="P31" s="2" t="s">
        <v>311</v>
      </c>
      <c r="Q31" s="2" t="s">
        <v>1181</v>
      </c>
      <c r="R31" s="32">
        <v>4.5599999999999996</v>
      </c>
      <c r="S31" s="32"/>
      <c r="T31" s="32"/>
      <c r="U31" s="32"/>
      <c r="V31" s="2"/>
      <c r="W31" s="2"/>
      <c r="X31" s="2"/>
      <c r="Y31" s="2"/>
      <c r="Z31" s="2"/>
    </row>
    <row r="32" spans="1:26" ht="13.8" x14ac:dyDescent="0.3">
      <c r="A32" s="2" t="s">
        <v>296</v>
      </c>
      <c r="B32" s="2" t="s">
        <v>107</v>
      </c>
      <c r="C32" s="10">
        <v>2304025</v>
      </c>
      <c r="D32" s="10" t="s">
        <v>1162</v>
      </c>
      <c r="E32" s="10">
        <v>2420208</v>
      </c>
      <c r="F32" s="86" t="s">
        <v>1170</v>
      </c>
      <c r="G32" s="69">
        <v>590.79</v>
      </c>
      <c r="H32" s="69">
        <v>45.45</v>
      </c>
      <c r="I32" s="69">
        <f t="shared" si="8"/>
        <v>29.542500000000004</v>
      </c>
      <c r="J32" s="70">
        <v>1</v>
      </c>
      <c r="K32" s="69">
        <f t="shared" si="9"/>
        <v>506.21864999999997</v>
      </c>
      <c r="L32" s="79" t="s">
        <v>468</v>
      </c>
      <c r="M32" s="61">
        <f t="shared" si="10"/>
        <v>19.6891125</v>
      </c>
      <c r="N32" s="61">
        <f t="shared" si="11"/>
        <v>4.8972375000000001</v>
      </c>
      <c r="O32" s="61"/>
      <c r="P32" s="2" t="s">
        <v>311</v>
      </c>
      <c r="Q32" s="2" t="s">
        <v>1182</v>
      </c>
      <c r="R32" s="32">
        <v>17.45</v>
      </c>
      <c r="S32" s="32"/>
      <c r="T32" s="32"/>
      <c r="U32" s="32"/>
      <c r="V32" s="2"/>
      <c r="W32" s="2"/>
      <c r="X32" s="2"/>
      <c r="Y32" s="2"/>
      <c r="Z32" s="2"/>
    </row>
    <row r="33" spans="1:26" ht="13.8" x14ac:dyDescent="0.3">
      <c r="A33" s="2" t="s">
        <v>296</v>
      </c>
      <c r="B33" s="2" t="s">
        <v>107</v>
      </c>
      <c r="C33" s="10">
        <v>2304025</v>
      </c>
      <c r="D33" s="10" t="s">
        <v>1162</v>
      </c>
      <c r="E33" s="10">
        <v>2440868</v>
      </c>
      <c r="F33" s="86" t="s">
        <v>1183</v>
      </c>
      <c r="G33" s="69">
        <v>750.54</v>
      </c>
      <c r="H33" s="69">
        <v>47.4</v>
      </c>
      <c r="I33" s="69">
        <f t="shared" si="8"/>
        <v>30.81</v>
      </c>
      <c r="J33" s="70">
        <v>1</v>
      </c>
      <c r="K33" s="69">
        <f t="shared" si="9"/>
        <v>637.47569999999985</v>
      </c>
      <c r="L33" s="79" t="s">
        <v>468</v>
      </c>
      <c r="M33" s="61">
        <f t="shared" si="10"/>
        <v>25.237949999999998</v>
      </c>
      <c r="N33" s="61">
        <f t="shared" si="11"/>
        <v>5.1073499999999994</v>
      </c>
      <c r="O33" s="61"/>
      <c r="P33" s="2" t="s">
        <v>958</v>
      </c>
      <c r="Q33" s="2" t="s">
        <v>529</v>
      </c>
      <c r="R33" s="32">
        <v>-2304.35</v>
      </c>
      <c r="S33" s="32"/>
      <c r="T33" s="32"/>
      <c r="U33" s="32"/>
      <c r="V33" s="2"/>
      <c r="W33" s="2"/>
      <c r="X33" s="2"/>
      <c r="Y33" s="2"/>
      <c r="Z33" s="2"/>
    </row>
    <row r="34" spans="1:26" ht="13.8" x14ac:dyDescent="0.3">
      <c r="A34" s="2" t="s">
        <v>296</v>
      </c>
      <c r="B34" s="2" t="s">
        <v>107</v>
      </c>
      <c r="C34" s="10">
        <v>2304025</v>
      </c>
      <c r="D34" s="10" t="s">
        <v>1162</v>
      </c>
      <c r="E34" s="10">
        <v>2471540</v>
      </c>
      <c r="F34" s="86" t="s">
        <v>1172</v>
      </c>
      <c r="G34" s="69">
        <v>-116.43</v>
      </c>
      <c r="H34" s="69">
        <v>34.700000000000003</v>
      </c>
      <c r="I34" s="69">
        <f t="shared" si="8"/>
        <v>22.555000000000003</v>
      </c>
      <c r="J34" s="70">
        <v>1</v>
      </c>
      <c r="K34" s="69">
        <f t="shared" si="9"/>
        <v>-76.013650000000013</v>
      </c>
      <c r="L34" s="79" t="s">
        <v>468</v>
      </c>
      <c r="M34" s="61">
        <f t="shared" si="10"/>
        <v>-4.8297749999999997</v>
      </c>
      <c r="N34" s="61">
        <f t="shared" si="11"/>
        <v>3.7389250000000009</v>
      </c>
      <c r="O34" s="61"/>
      <c r="P34" s="2" t="s">
        <v>314</v>
      </c>
      <c r="Q34" s="2" t="s">
        <v>1184</v>
      </c>
      <c r="R34" s="32">
        <v>-28.55</v>
      </c>
      <c r="S34" s="32"/>
      <c r="T34" s="32"/>
      <c r="U34" s="32"/>
      <c r="V34" s="2"/>
      <c r="W34" s="2"/>
      <c r="X34" s="2"/>
      <c r="Y34" s="2"/>
      <c r="Z34" s="2"/>
    </row>
    <row r="35" spans="1:26" ht="13.8" x14ac:dyDescent="0.3">
      <c r="A35" s="2" t="s">
        <v>296</v>
      </c>
      <c r="B35" s="2" t="s">
        <v>107</v>
      </c>
      <c r="C35" s="10">
        <v>2304025</v>
      </c>
      <c r="D35" s="10" t="s">
        <v>1162</v>
      </c>
      <c r="E35" s="10">
        <v>2514199</v>
      </c>
      <c r="F35" s="86" t="s">
        <v>1175</v>
      </c>
      <c r="G35" s="69">
        <v>-10.84</v>
      </c>
      <c r="H35" s="69">
        <v>36.78</v>
      </c>
      <c r="I35" s="69">
        <f t="shared" si="8"/>
        <v>23.907</v>
      </c>
      <c r="J35" s="70">
        <v>1</v>
      </c>
      <c r="K35" s="69">
        <f t="shared" si="9"/>
        <v>11.173720000000001</v>
      </c>
      <c r="L35" s="79" t="s">
        <v>468</v>
      </c>
      <c r="M35" s="61">
        <f t="shared" si="10"/>
        <v>-1.179365</v>
      </c>
      <c r="N35" s="61">
        <f t="shared" si="11"/>
        <v>3.9630449999999997</v>
      </c>
      <c r="O35" s="61"/>
      <c r="P35" s="2" t="s">
        <v>314</v>
      </c>
      <c r="Q35" s="2" t="s">
        <v>1185</v>
      </c>
      <c r="R35" s="32">
        <v>-42.44</v>
      </c>
      <c r="S35" s="32"/>
      <c r="T35" s="32"/>
      <c r="U35" s="32"/>
      <c r="V35" s="2"/>
      <c r="W35" s="2"/>
      <c r="X35" s="2"/>
      <c r="Y35" s="2"/>
      <c r="Z35" s="2"/>
    </row>
    <row r="36" spans="1:26" ht="13.8" x14ac:dyDescent="0.3">
      <c r="A36" s="2" t="s">
        <v>296</v>
      </c>
      <c r="B36" s="2" t="s">
        <v>107</v>
      </c>
      <c r="C36" s="10">
        <v>2523689</v>
      </c>
      <c r="D36" s="10" t="s">
        <v>1179</v>
      </c>
      <c r="E36" s="10">
        <v>2523689</v>
      </c>
      <c r="F36" s="86" t="s">
        <v>1179</v>
      </c>
      <c r="G36" s="69">
        <v>34.979999999999997</v>
      </c>
      <c r="H36" s="69">
        <v>2.85</v>
      </c>
      <c r="I36" s="69">
        <f t="shared" si="8"/>
        <v>1.8525</v>
      </c>
      <c r="J36" s="70">
        <v>1</v>
      </c>
      <c r="K36" s="69">
        <f t="shared" si="9"/>
        <v>30.059099999999997</v>
      </c>
      <c r="L36" s="79" t="s">
        <v>468</v>
      </c>
      <c r="M36" s="61">
        <f>(G36*0.05-H36*0.25*0.15)*J36*0.7-(-H36*0.02*0.15)*J36</f>
        <v>1.1580374999999998</v>
      </c>
      <c r="N36" s="61">
        <f>(H36*0.1*0.85+I36*0.05)*J36*0.7+H36*0.02*0.85*J36</f>
        <v>0.28286250000000002</v>
      </c>
      <c r="O36" s="61"/>
      <c r="P36" s="2" t="s">
        <v>378</v>
      </c>
      <c r="Q36" s="2" t="s">
        <v>1186</v>
      </c>
      <c r="R36" s="32">
        <v>60.03</v>
      </c>
      <c r="S36" s="32"/>
      <c r="T36" s="32"/>
      <c r="U36" s="32"/>
      <c r="V36" s="2"/>
      <c r="W36" s="2"/>
      <c r="X36" s="2"/>
      <c r="Y36" s="2"/>
      <c r="Z36" s="2"/>
    </row>
    <row r="37" spans="1:26" ht="13.8" x14ac:dyDescent="0.3">
      <c r="A37" s="2" t="s">
        <v>296</v>
      </c>
      <c r="B37" s="2" t="s">
        <v>244</v>
      </c>
      <c r="C37" s="10">
        <v>1792134</v>
      </c>
      <c r="D37" s="10" t="s">
        <v>1161</v>
      </c>
      <c r="E37" s="10">
        <v>1792134</v>
      </c>
      <c r="F37" s="86" t="s">
        <v>1161</v>
      </c>
      <c r="G37" s="69">
        <v>8690.27</v>
      </c>
      <c r="H37" s="69">
        <v>3014.22</v>
      </c>
      <c r="I37" s="69">
        <f t="shared" ref="I37:I54" si="12">H37*0.7</f>
        <v>2109.9539999999997</v>
      </c>
      <c r="J37" s="70">
        <v>1</v>
      </c>
      <c r="K37" s="69">
        <f t="shared" ref="K37:K54" si="13">(G37+I37)*0.85+(G37*0.15-(G37+H37)*0.15)*J37*0.3+I37*0.15*J37*0.3</f>
        <v>9139.4984299999996</v>
      </c>
      <c r="L37" s="79" t="s">
        <v>468</v>
      </c>
      <c r="M37" s="61">
        <f t="shared" ref="M37:M54" si="14">(G37*0.15-(G37+H37)*0.15)*J37*0.7</f>
        <v>-316.49309999999986</v>
      </c>
      <c r="N37" s="61">
        <f t="shared" ref="N37:N54" si="15">I37*0.15*J37*0.7+H37*0.05*J37</f>
        <v>372.25616999999994</v>
      </c>
      <c r="O37" s="61"/>
      <c r="P37" s="2" t="s">
        <v>378</v>
      </c>
      <c r="Q37" s="2" t="s">
        <v>1187</v>
      </c>
      <c r="R37" s="32">
        <v>112.46</v>
      </c>
      <c r="S37" s="32"/>
      <c r="T37" s="32"/>
      <c r="U37" s="32"/>
      <c r="V37" s="2"/>
      <c r="W37" s="2"/>
      <c r="X37" s="2"/>
      <c r="Y37" s="2"/>
      <c r="Z37" s="2"/>
    </row>
    <row r="38" spans="1:26" ht="13.8" x14ac:dyDescent="0.3">
      <c r="A38" s="2" t="s">
        <v>296</v>
      </c>
      <c r="B38" s="2" t="s">
        <v>244</v>
      </c>
      <c r="C38" s="10">
        <v>2304025</v>
      </c>
      <c r="D38" s="10" t="s">
        <v>1162</v>
      </c>
      <c r="E38" s="10">
        <v>2314526</v>
      </c>
      <c r="F38" s="46" t="s">
        <v>1163</v>
      </c>
      <c r="G38" s="69">
        <v>186.72</v>
      </c>
      <c r="H38" s="69">
        <v>7.01</v>
      </c>
      <c r="I38" s="69">
        <f t="shared" si="12"/>
        <v>4.9069999999999991</v>
      </c>
      <c r="J38" s="70">
        <v>1</v>
      </c>
      <c r="K38" s="69">
        <f t="shared" si="13"/>
        <v>162.78831499999998</v>
      </c>
      <c r="L38" s="79" t="s">
        <v>468</v>
      </c>
      <c r="M38" s="61">
        <f t="shared" si="14"/>
        <v>-0.73604999999999798</v>
      </c>
      <c r="N38" s="61">
        <f t="shared" si="15"/>
        <v>0.86573499999999992</v>
      </c>
      <c r="O38" s="61"/>
      <c r="P38" s="2" t="s">
        <v>378</v>
      </c>
      <c r="Q38" s="2" t="s">
        <v>616</v>
      </c>
      <c r="R38" s="32">
        <v>-70</v>
      </c>
      <c r="S38" s="32"/>
      <c r="T38" s="32"/>
      <c r="U38" s="32"/>
      <c r="V38" s="2"/>
      <c r="W38" s="2"/>
      <c r="X38" s="2"/>
      <c r="Y38" s="2"/>
      <c r="Z38" s="2"/>
    </row>
    <row r="39" spans="1:26" ht="13.8" x14ac:dyDescent="0.3">
      <c r="A39" s="2" t="s">
        <v>296</v>
      </c>
      <c r="B39" s="2" t="s">
        <v>244</v>
      </c>
      <c r="C39" s="10">
        <v>2304025</v>
      </c>
      <c r="D39" s="10" t="s">
        <v>1162</v>
      </c>
      <c r="E39" s="10">
        <v>2319819</v>
      </c>
      <c r="F39" s="86" t="s">
        <v>1165</v>
      </c>
      <c r="G39" s="69">
        <v>-53.01</v>
      </c>
      <c r="H39" s="69">
        <v>34.130000000000003</v>
      </c>
      <c r="I39" s="69">
        <f t="shared" si="12"/>
        <v>23.891000000000002</v>
      </c>
      <c r="J39" s="70">
        <v>1</v>
      </c>
      <c r="K39" s="69">
        <f t="shared" si="13"/>
        <v>-25.211904999999994</v>
      </c>
      <c r="L39" s="79" t="s">
        <v>468</v>
      </c>
      <c r="M39" s="61">
        <f t="shared" si="14"/>
        <v>-3.58365</v>
      </c>
      <c r="N39" s="61">
        <f t="shared" si="15"/>
        <v>4.2150549999999996</v>
      </c>
      <c r="O39" s="61"/>
      <c r="P39" s="2" t="s">
        <v>672</v>
      </c>
      <c r="Q39" s="2" t="s">
        <v>529</v>
      </c>
      <c r="R39" s="32">
        <v>-5875.22</v>
      </c>
      <c r="S39" s="32"/>
      <c r="T39" s="32"/>
      <c r="U39" s="32"/>
      <c r="V39" s="2"/>
      <c r="W39" s="2"/>
      <c r="X39" s="2"/>
      <c r="Y39" s="2"/>
      <c r="Z39" s="2"/>
    </row>
    <row r="40" spans="1:26" ht="13.8" x14ac:dyDescent="0.3">
      <c r="A40" s="2" t="s">
        <v>296</v>
      </c>
      <c r="B40" s="2" t="s">
        <v>244</v>
      </c>
      <c r="C40" s="10">
        <v>2304025</v>
      </c>
      <c r="D40" s="10" t="s">
        <v>1162</v>
      </c>
      <c r="E40" s="10">
        <v>2357222</v>
      </c>
      <c r="F40" s="86" t="s">
        <v>1188</v>
      </c>
      <c r="G40" s="69">
        <v>41.39</v>
      </c>
      <c r="H40" s="69">
        <v>59.15</v>
      </c>
      <c r="I40" s="69">
        <f t="shared" si="12"/>
        <v>41.404999999999994</v>
      </c>
      <c r="J40" s="70">
        <v>1</v>
      </c>
      <c r="K40" s="69">
        <f t="shared" si="13"/>
        <v>69.577224999999984</v>
      </c>
      <c r="L40" s="79" t="s">
        <v>468</v>
      </c>
      <c r="M40" s="61">
        <f t="shared" si="14"/>
        <v>-6.2107499999999991</v>
      </c>
      <c r="N40" s="61">
        <f t="shared" si="15"/>
        <v>7.3050249999999988</v>
      </c>
      <c r="O40" s="61"/>
      <c r="P40" s="2" t="s">
        <v>389</v>
      </c>
      <c r="Q40" s="2" t="s">
        <v>1189</v>
      </c>
      <c r="R40" s="32">
        <v>-34.78</v>
      </c>
      <c r="S40" s="32"/>
      <c r="T40" s="32"/>
      <c r="U40" s="32"/>
      <c r="V40" s="2"/>
      <c r="W40" s="2"/>
      <c r="X40" s="2"/>
      <c r="Y40" s="2"/>
      <c r="Z40" s="2"/>
    </row>
    <row r="41" spans="1:26" ht="13.8" x14ac:dyDescent="0.3">
      <c r="A41" s="2" t="s">
        <v>296</v>
      </c>
      <c r="B41" s="2" t="s">
        <v>244</v>
      </c>
      <c r="C41" s="10">
        <v>2304025</v>
      </c>
      <c r="D41" s="10" t="s">
        <v>1162</v>
      </c>
      <c r="E41" s="10">
        <v>2371488</v>
      </c>
      <c r="F41" s="86" t="s">
        <v>1190</v>
      </c>
      <c r="G41" s="69">
        <v>3.89</v>
      </c>
      <c r="H41" s="69">
        <v>8.4499999999999993</v>
      </c>
      <c r="I41" s="69">
        <f t="shared" si="12"/>
        <v>5.9149999999999991</v>
      </c>
      <c r="J41" s="70">
        <v>1</v>
      </c>
      <c r="K41" s="69">
        <f t="shared" si="13"/>
        <v>8.2201749999999993</v>
      </c>
      <c r="L41" s="79" t="s">
        <v>468</v>
      </c>
      <c r="M41" s="61">
        <f t="shared" si="14"/>
        <v>-0.88724999999999998</v>
      </c>
      <c r="N41" s="61">
        <f t="shared" si="15"/>
        <v>1.0435749999999997</v>
      </c>
      <c r="O41" s="61"/>
      <c r="P41" s="2" t="s">
        <v>389</v>
      </c>
      <c r="Q41" s="2" t="s">
        <v>1191</v>
      </c>
      <c r="R41" s="32">
        <v>107.34</v>
      </c>
      <c r="S41" s="32"/>
      <c r="T41" s="32"/>
      <c r="U41" s="32"/>
      <c r="V41" s="2"/>
      <c r="W41" s="2"/>
      <c r="X41" s="2"/>
      <c r="Y41" s="2"/>
      <c r="Z41" s="2"/>
    </row>
    <row r="42" spans="1:26" ht="13.8" x14ac:dyDescent="0.3">
      <c r="A42" s="2" t="s">
        <v>296</v>
      </c>
      <c r="B42" s="2" t="s">
        <v>244</v>
      </c>
      <c r="C42" s="10">
        <v>2304025</v>
      </c>
      <c r="D42" s="10" t="s">
        <v>1162</v>
      </c>
      <c r="E42" s="10">
        <v>2380008</v>
      </c>
      <c r="F42" s="86" t="s">
        <v>1192</v>
      </c>
      <c r="G42" s="69">
        <v>225.87</v>
      </c>
      <c r="H42" s="69">
        <v>25.92</v>
      </c>
      <c r="I42" s="69">
        <f t="shared" si="12"/>
        <v>18.143999999999998</v>
      </c>
      <c r="J42" s="70">
        <v>1</v>
      </c>
      <c r="K42" s="69">
        <f t="shared" si="13"/>
        <v>207.06198000000001</v>
      </c>
      <c r="L42" s="79" t="s">
        <v>468</v>
      </c>
      <c r="M42" s="61">
        <f t="shared" si="14"/>
        <v>-2.7216000000000036</v>
      </c>
      <c r="N42" s="61">
        <f t="shared" si="15"/>
        <v>3.2011199999999995</v>
      </c>
      <c r="O42" s="61"/>
      <c r="P42" s="2" t="s">
        <v>543</v>
      </c>
      <c r="Q42" s="2" t="s">
        <v>529</v>
      </c>
      <c r="R42" s="32">
        <v>18028.830000000002</v>
      </c>
      <c r="S42" s="32"/>
      <c r="T42" s="32"/>
      <c r="U42" s="32"/>
      <c r="V42" s="2"/>
      <c r="W42" s="2"/>
      <c r="X42" s="2"/>
      <c r="Y42" s="2"/>
      <c r="Z42" s="2"/>
    </row>
    <row r="43" spans="1:26" ht="13.8" x14ac:dyDescent="0.3">
      <c r="A43" s="2" t="s">
        <v>296</v>
      </c>
      <c r="B43" s="2" t="s">
        <v>244</v>
      </c>
      <c r="C43" s="10">
        <v>2304025</v>
      </c>
      <c r="D43" s="10" t="s">
        <v>1162</v>
      </c>
      <c r="E43" s="10">
        <v>2381522</v>
      </c>
      <c r="F43" s="86" t="s">
        <v>1166</v>
      </c>
      <c r="G43" s="69">
        <v>-675.65</v>
      </c>
      <c r="H43" s="69">
        <v>46.01</v>
      </c>
      <c r="I43" s="69">
        <f t="shared" si="12"/>
        <v>32.206999999999994</v>
      </c>
      <c r="J43" s="70">
        <v>1</v>
      </c>
      <c r="K43" s="69">
        <f t="shared" si="13"/>
        <v>-547.54768500000011</v>
      </c>
      <c r="L43" s="79" t="s">
        <v>468</v>
      </c>
      <c r="M43" s="61">
        <f t="shared" si="14"/>
        <v>-4.8310499999999985</v>
      </c>
      <c r="N43" s="61">
        <f t="shared" si="15"/>
        <v>5.6822349999999986</v>
      </c>
      <c r="O43" s="61"/>
      <c r="P43" s="2" t="s">
        <v>319</v>
      </c>
      <c r="Q43" s="2" t="s">
        <v>1193</v>
      </c>
      <c r="R43" s="32">
        <v>-18.29</v>
      </c>
      <c r="S43" s="32"/>
      <c r="T43" s="32"/>
      <c r="U43" s="32"/>
      <c r="V43" s="2"/>
      <c r="W43" s="2"/>
      <c r="X43" s="2"/>
      <c r="Y43" s="2"/>
      <c r="Z43" s="2"/>
    </row>
    <row r="44" spans="1:26" ht="13.8" x14ac:dyDescent="0.3">
      <c r="A44" s="2" t="s">
        <v>296</v>
      </c>
      <c r="B44" s="2" t="s">
        <v>244</v>
      </c>
      <c r="C44" s="10">
        <v>2304025</v>
      </c>
      <c r="D44" s="10" t="s">
        <v>1162</v>
      </c>
      <c r="E44" s="10">
        <v>2391366</v>
      </c>
      <c r="F44" s="86" t="s">
        <v>1168</v>
      </c>
      <c r="G44" s="69">
        <v>723.3</v>
      </c>
      <c r="H44" s="69">
        <v>8.18</v>
      </c>
      <c r="I44" s="69">
        <f t="shared" si="12"/>
        <v>5.7259999999999991</v>
      </c>
      <c r="J44" s="70">
        <v>1</v>
      </c>
      <c r="K44" s="69">
        <f t="shared" si="13"/>
        <v>619.56166999999994</v>
      </c>
      <c r="L44" s="79" t="s">
        <v>468</v>
      </c>
      <c r="M44" s="61">
        <f t="shared" si="14"/>
        <v>-0.85889999999999267</v>
      </c>
      <c r="N44" s="61">
        <f t="shared" si="15"/>
        <v>1.01023</v>
      </c>
      <c r="O44" s="61"/>
      <c r="P44" s="2" t="s">
        <v>319</v>
      </c>
      <c r="Q44" s="2" t="s">
        <v>1194</v>
      </c>
      <c r="R44" s="32">
        <v>-33.72</v>
      </c>
      <c r="S44" s="32"/>
      <c r="T44" s="32"/>
      <c r="U44" s="32"/>
      <c r="V44" s="2"/>
      <c r="W44" s="2"/>
      <c r="X44" s="2"/>
      <c r="Y44" s="2"/>
      <c r="Z44" s="2"/>
    </row>
    <row r="45" spans="1:26" ht="13.8" x14ac:dyDescent="0.3">
      <c r="A45" s="2" t="s">
        <v>296</v>
      </c>
      <c r="B45" s="2" t="s">
        <v>244</v>
      </c>
      <c r="C45" s="10">
        <v>2304025</v>
      </c>
      <c r="D45" s="10" t="s">
        <v>1162</v>
      </c>
      <c r="E45" s="10">
        <v>2404347</v>
      </c>
      <c r="F45" s="86" t="s">
        <v>1169</v>
      </c>
      <c r="G45" s="69">
        <v>1001.72</v>
      </c>
      <c r="H45" s="69">
        <v>73.02</v>
      </c>
      <c r="I45" s="69">
        <f t="shared" si="12"/>
        <v>51.113999999999997</v>
      </c>
      <c r="J45" s="70">
        <v>1</v>
      </c>
      <c r="K45" s="69">
        <f t="shared" si="13"/>
        <v>893.92313000000001</v>
      </c>
      <c r="L45" s="79" t="s">
        <v>468</v>
      </c>
      <c r="M45" s="61">
        <f t="shared" si="14"/>
        <v>-7.6670999999999818</v>
      </c>
      <c r="N45" s="61">
        <f t="shared" si="15"/>
        <v>9.0179699999999983</v>
      </c>
      <c r="O45" s="61"/>
      <c r="P45" s="2" t="s">
        <v>486</v>
      </c>
      <c r="Q45" s="2" t="s">
        <v>529</v>
      </c>
      <c r="R45" s="32">
        <v>1701.2</v>
      </c>
      <c r="S45" s="32"/>
      <c r="T45" s="32"/>
      <c r="U45" s="32"/>
      <c r="V45" s="2"/>
      <c r="W45" s="2"/>
      <c r="X45" s="2"/>
      <c r="Y45" s="2"/>
      <c r="Z45" s="2"/>
    </row>
    <row r="46" spans="1:26" ht="13.8" x14ac:dyDescent="0.3">
      <c r="A46" s="2" t="s">
        <v>296</v>
      </c>
      <c r="B46" s="2" t="s">
        <v>244</v>
      </c>
      <c r="C46" s="10">
        <v>2304025</v>
      </c>
      <c r="D46" s="10" t="s">
        <v>1162</v>
      </c>
      <c r="E46" s="10">
        <v>2420208</v>
      </c>
      <c r="F46" s="46" t="s">
        <v>1170</v>
      </c>
      <c r="G46" s="69">
        <v>-328.26</v>
      </c>
      <c r="H46" s="69">
        <v>57.6</v>
      </c>
      <c r="I46" s="69">
        <f t="shared" si="12"/>
        <v>40.32</v>
      </c>
      <c r="J46" s="70">
        <v>1</v>
      </c>
      <c r="K46" s="69">
        <f t="shared" si="13"/>
        <v>-245.5266</v>
      </c>
      <c r="L46" s="79" t="s">
        <v>468</v>
      </c>
      <c r="M46" s="61">
        <f t="shared" si="14"/>
        <v>-6.048</v>
      </c>
      <c r="N46" s="61">
        <f t="shared" si="15"/>
        <v>7.1135999999999999</v>
      </c>
      <c r="O46" s="61"/>
      <c r="P46" s="2" t="s">
        <v>394</v>
      </c>
      <c r="Q46" s="2" t="s">
        <v>1195</v>
      </c>
      <c r="R46" s="32">
        <v>25.52</v>
      </c>
      <c r="S46" s="32"/>
      <c r="T46" s="32"/>
      <c r="U46" s="32"/>
      <c r="V46" s="2"/>
      <c r="W46" s="2"/>
      <c r="X46" s="2"/>
      <c r="Y46" s="2"/>
      <c r="Z46" s="2"/>
    </row>
    <row r="47" spans="1:26" ht="13.8" x14ac:dyDescent="0.3">
      <c r="A47" s="2" t="s">
        <v>296</v>
      </c>
      <c r="B47" s="2" t="s">
        <v>244</v>
      </c>
      <c r="C47" s="10">
        <v>2304025</v>
      </c>
      <c r="D47" s="10" t="s">
        <v>1162</v>
      </c>
      <c r="E47" s="10">
        <v>2440868</v>
      </c>
      <c r="F47" s="86" t="s">
        <v>1183</v>
      </c>
      <c r="G47" s="69">
        <v>41.02</v>
      </c>
      <c r="H47" s="69">
        <v>3.67</v>
      </c>
      <c r="I47" s="69">
        <f t="shared" si="12"/>
        <v>2.569</v>
      </c>
      <c r="J47" s="70">
        <v>1</v>
      </c>
      <c r="K47" s="69">
        <f t="shared" si="13"/>
        <v>37.00110500000001</v>
      </c>
      <c r="L47" s="79" t="s">
        <v>468</v>
      </c>
      <c r="M47" s="61">
        <f t="shared" si="14"/>
        <v>-0.3853500000000003</v>
      </c>
      <c r="N47" s="61">
        <f t="shared" si="15"/>
        <v>0.45324499999999995</v>
      </c>
      <c r="O47" s="61"/>
      <c r="P47" s="2" t="s">
        <v>394</v>
      </c>
      <c r="Q47" s="2" t="s">
        <v>1196</v>
      </c>
      <c r="R47" s="32">
        <v>-0.77</v>
      </c>
      <c r="S47" s="32"/>
      <c r="T47" s="32"/>
      <c r="U47" s="32"/>
      <c r="V47" s="2"/>
      <c r="W47" s="2"/>
      <c r="X47" s="2"/>
      <c r="Y47" s="2"/>
      <c r="Z47" s="2"/>
    </row>
    <row r="48" spans="1:26" ht="13.8" x14ac:dyDescent="0.3">
      <c r="A48" s="2" t="s">
        <v>296</v>
      </c>
      <c r="B48" s="2" t="s">
        <v>244</v>
      </c>
      <c r="C48" s="10">
        <v>2304025</v>
      </c>
      <c r="D48" s="10" t="s">
        <v>1162</v>
      </c>
      <c r="E48" s="10">
        <v>2471540</v>
      </c>
      <c r="F48" s="46" t="s">
        <v>1172</v>
      </c>
      <c r="G48" s="69">
        <v>131.66</v>
      </c>
      <c r="H48" s="69">
        <v>138.09</v>
      </c>
      <c r="I48" s="69">
        <f t="shared" si="12"/>
        <v>96.662999999999997</v>
      </c>
      <c r="J48" s="70">
        <v>1</v>
      </c>
      <c r="K48" s="69">
        <f t="shared" si="13"/>
        <v>192.21033500000001</v>
      </c>
      <c r="L48" s="79" t="s">
        <v>468</v>
      </c>
      <c r="M48" s="61">
        <f t="shared" si="14"/>
        <v>-14.49945</v>
      </c>
      <c r="N48" s="61">
        <f t="shared" si="15"/>
        <v>17.054114999999999</v>
      </c>
      <c r="O48" s="61"/>
      <c r="P48" s="2" t="s">
        <v>394</v>
      </c>
      <c r="Q48" s="2" t="s">
        <v>1197</v>
      </c>
      <c r="R48" s="32">
        <v>70.900000000000006</v>
      </c>
      <c r="S48" s="32"/>
      <c r="T48" s="32"/>
      <c r="U48" s="32"/>
      <c r="V48" s="2"/>
      <c r="W48" s="2"/>
      <c r="X48" s="2"/>
      <c r="Y48" s="2"/>
      <c r="Z48" s="2"/>
    </row>
    <row r="49" spans="1:26" ht="13.8" x14ac:dyDescent="0.3">
      <c r="A49" s="2" t="s">
        <v>296</v>
      </c>
      <c r="B49" s="2" t="s">
        <v>244</v>
      </c>
      <c r="C49" s="10">
        <v>2304025</v>
      </c>
      <c r="D49" s="10" t="s">
        <v>1162</v>
      </c>
      <c r="E49" s="10">
        <v>2493795</v>
      </c>
      <c r="F49" s="86" t="s">
        <v>1174</v>
      </c>
      <c r="G49" s="69">
        <v>254.48</v>
      </c>
      <c r="H49" s="69">
        <v>89.44</v>
      </c>
      <c r="I49" s="69">
        <f t="shared" si="12"/>
        <v>62.607999999999997</v>
      </c>
      <c r="J49" s="70">
        <v>1</v>
      </c>
      <c r="K49" s="69">
        <f t="shared" si="13"/>
        <v>268.31736000000001</v>
      </c>
      <c r="L49" s="79" t="s">
        <v>468</v>
      </c>
      <c r="M49" s="61">
        <f t="shared" si="14"/>
        <v>-9.3911999999999978</v>
      </c>
      <c r="N49" s="61">
        <f t="shared" si="15"/>
        <v>11.04584</v>
      </c>
      <c r="O49" s="61"/>
      <c r="P49" s="2" t="s">
        <v>394</v>
      </c>
      <c r="Q49" s="2" t="s">
        <v>1198</v>
      </c>
      <c r="R49" s="32">
        <v>-45.45</v>
      </c>
      <c r="S49" s="32"/>
      <c r="T49" s="32"/>
      <c r="U49" s="32"/>
      <c r="V49" s="2"/>
      <c r="W49" s="2"/>
      <c r="X49" s="2"/>
      <c r="Y49" s="2"/>
      <c r="Z49" s="2"/>
    </row>
    <row r="50" spans="1:26" ht="13.8" x14ac:dyDescent="0.3">
      <c r="A50" s="2" t="s">
        <v>296</v>
      </c>
      <c r="B50" s="2" t="s">
        <v>244</v>
      </c>
      <c r="C50" s="10">
        <v>2304025</v>
      </c>
      <c r="D50" s="10" t="s">
        <v>1162</v>
      </c>
      <c r="E50" s="10">
        <v>2514199</v>
      </c>
      <c r="F50" s="86" t="s">
        <v>1175</v>
      </c>
      <c r="G50" s="69">
        <v>-483.55</v>
      </c>
      <c r="H50" s="69">
        <v>385.25</v>
      </c>
      <c r="I50" s="69">
        <f t="shared" si="12"/>
        <v>269.67499999999995</v>
      </c>
      <c r="J50" s="70">
        <v>1</v>
      </c>
      <c r="K50" s="69">
        <f t="shared" si="13"/>
        <v>-186.99462500000004</v>
      </c>
      <c r="L50" s="79" t="s">
        <v>468</v>
      </c>
      <c r="M50" s="61">
        <f t="shared" si="14"/>
        <v>-40.451249999999995</v>
      </c>
      <c r="N50" s="61">
        <f t="shared" si="15"/>
        <v>47.578374999999994</v>
      </c>
      <c r="O50" s="61"/>
      <c r="P50" s="2" t="s">
        <v>531</v>
      </c>
      <c r="Q50" s="2" t="s">
        <v>529</v>
      </c>
      <c r="R50" s="32">
        <v>5773.57</v>
      </c>
      <c r="S50" s="32"/>
      <c r="T50" s="32"/>
      <c r="U50" s="32"/>
      <c r="V50" s="2"/>
      <c r="W50" s="2"/>
      <c r="X50" s="2"/>
      <c r="Y50" s="2"/>
      <c r="Z50" s="2"/>
    </row>
    <row r="51" spans="1:26" ht="13.8" x14ac:dyDescent="0.3">
      <c r="A51" s="2" t="s">
        <v>296</v>
      </c>
      <c r="B51" s="2" t="s">
        <v>244</v>
      </c>
      <c r="C51" s="10">
        <v>2304025</v>
      </c>
      <c r="D51" s="10" t="s">
        <v>1162</v>
      </c>
      <c r="E51" s="10">
        <v>2523431</v>
      </c>
      <c r="F51" s="86" t="s">
        <v>1199</v>
      </c>
      <c r="G51" s="69">
        <v>-114.17</v>
      </c>
      <c r="H51" s="69">
        <v>57.19</v>
      </c>
      <c r="I51" s="69">
        <f t="shared" si="12"/>
        <v>40.032999999999994</v>
      </c>
      <c r="J51" s="70">
        <v>1</v>
      </c>
      <c r="K51" s="69">
        <f t="shared" si="13"/>
        <v>-63.788515000000004</v>
      </c>
      <c r="L51" s="79" t="s">
        <v>468</v>
      </c>
      <c r="M51" s="61">
        <f t="shared" si="14"/>
        <v>-6.0049499999999982</v>
      </c>
      <c r="N51" s="61">
        <f t="shared" si="15"/>
        <v>7.0629649999999984</v>
      </c>
      <c r="O51" s="61"/>
      <c r="P51" s="2" t="s">
        <v>397</v>
      </c>
      <c r="Q51" s="2" t="s">
        <v>1200</v>
      </c>
      <c r="R51" s="32">
        <v>-13.36</v>
      </c>
      <c r="S51" s="32"/>
      <c r="T51" s="32"/>
      <c r="U51" s="32"/>
      <c r="V51" s="2"/>
      <c r="W51" s="2"/>
      <c r="X51" s="2"/>
      <c r="Y51" s="2"/>
      <c r="Z51" s="2"/>
    </row>
    <row r="52" spans="1:26" ht="13.8" x14ac:dyDescent="0.3">
      <c r="A52" s="2" t="s">
        <v>296</v>
      </c>
      <c r="B52" s="2" t="s">
        <v>244</v>
      </c>
      <c r="C52" s="10">
        <v>2365380</v>
      </c>
      <c r="D52" s="10" t="s">
        <v>1201</v>
      </c>
      <c r="E52" s="10">
        <v>2427654</v>
      </c>
      <c r="F52" s="46" t="s">
        <v>1202</v>
      </c>
      <c r="G52" s="69">
        <v>-735.46</v>
      </c>
      <c r="H52" s="69">
        <v>56.6</v>
      </c>
      <c r="I52" s="69">
        <f t="shared" si="12"/>
        <v>39.619999999999997</v>
      </c>
      <c r="J52" s="70">
        <v>1</v>
      </c>
      <c r="K52" s="69">
        <f t="shared" si="13"/>
        <v>-592.22810000000004</v>
      </c>
      <c r="L52" s="79" t="s">
        <v>468</v>
      </c>
      <c r="M52" s="61">
        <f t="shared" si="14"/>
        <v>-5.9430000000000058</v>
      </c>
      <c r="N52" s="61">
        <f t="shared" si="15"/>
        <v>6.9901</v>
      </c>
      <c r="O52" s="61"/>
      <c r="P52" s="2" t="s">
        <v>397</v>
      </c>
      <c r="Q52" s="2" t="s">
        <v>1203</v>
      </c>
      <c r="R52" s="32">
        <v>-101.48</v>
      </c>
      <c r="S52" s="32"/>
      <c r="T52" s="32"/>
      <c r="U52" s="32"/>
      <c r="V52" s="2"/>
      <c r="W52" s="2"/>
      <c r="X52" s="2"/>
      <c r="Y52" s="2"/>
      <c r="Z52" s="2"/>
    </row>
    <row r="53" spans="1:26" ht="13.8" x14ac:dyDescent="0.3">
      <c r="A53" s="2" t="s">
        <v>296</v>
      </c>
      <c r="B53" s="2" t="s">
        <v>244</v>
      </c>
      <c r="C53" s="10">
        <v>2523689</v>
      </c>
      <c r="D53" s="10" t="s">
        <v>1179</v>
      </c>
      <c r="E53" s="10">
        <v>2523689</v>
      </c>
      <c r="F53" s="10" t="s">
        <v>1179</v>
      </c>
      <c r="G53" s="69">
        <v>-85.1</v>
      </c>
      <c r="H53" s="69">
        <v>8.1999999999999993</v>
      </c>
      <c r="I53" s="69">
        <f t="shared" si="12"/>
        <v>5.7399999999999993</v>
      </c>
      <c r="J53" s="70">
        <v>1</v>
      </c>
      <c r="K53" s="69">
        <f t="shared" si="13"/>
        <v>-67.566699999999997</v>
      </c>
      <c r="L53" s="79" t="s">
        <v>468</v>
      </c>
      <c r="M53" s="61">
        <f t="shared" si="14"/>
        <v>-0.86100000000000021</v>
      </c>
      <c r="N53" s="61">
        <f t="shared" si="15"/>
        <v>1.0126999999999999</v>
      </c>
      <c r="O53" s="61"/>
      <c r="P53" s="2" t="s">
        <v>1204</v>
      </c>
      <c r="Q53" s="2" t="s">
        <v>529</v>
      </c>
      <c r="R53" s="32">
        <v>-180.87</v>
      </c>
      <c r="S53" s="32"/>
      <c r="T53" s="32"/>
      <c r="U53" s="32"/>
      <c r="V53" s="2"/>
      <c r="W53" s="2"/>
      <c r="X53" s="2"/>
      <c r="Y53" s="2"/>
      <c r="Z53" s="2"/>
    </row>
    <row r="54" spans="1:26" ht="13.8" x14ac:dyDescent="0.3">
      <c r="A54" s="2" t="s">
        <v>296</v>
      </c>
      <c r="B54" s="2" t="s">
        <v>244</v>
      </c>
      <c r="C54" s="10">
        <v>2523689</v>
      </c>
      <c r="D54" s="10" t="s">
        <v>1179</v>
      </c>
      <c r="E54" s="10">
        <v>2525136</v>
      </c>
      <c r="F54" s="10" t="s">
        <v>1205</v>
      </c>
      <c r="G54" s="69">
        <v>638.78</v>
      </c>
      <c r="H54" s="69">
        <v>7.35</v>
      </c>
      <c r="I54" s="69">
        <f t="shared" si="12"/>
        <v>5.1449999999999996</v>
      </c>
      <c r="J54" s="70">
        <v>1</v>
      </c>
      <c r="K54" s="69">
        <f t="shared" si="13"/>
        <v>547.23702500000002</v>
      </c>
      <c r="L54" s="79" t="s">
        <v>468</v>
      </c>
      <c r="M54" s="61">
        <f t="shared" si="14"/>
        <v>-0.77175000000000438</v>
      </c>
      <c r="N54" s="61">
        <f t="shared" si="15"/>
        <v>0.90772499999999989</v>
      </c>
      <c r="O54" s="61"/>
      <c r="P54" s="2" t="s">
        <v>323</v>
      </c>
      <c r="Q54" s="2" t="s">
        <v>616</v>
      </c>
      <c r="R54" s="32">
        <v>-70</v>
      </c>
      <c r="S54" s="32"/>
      <c r="T54" s="32"/>
      <c r="U54" s="32"/>
      <c r="V54" s="2"/>
      <c r="W54" s="2"/>
      <c r="X54" s="2"/>
      <c r="Y54" s="2"/>
      <c r="Z54" s="2"/>
    </row>
    <row r="55" spans="1:26" ht="13.8" x14ac:dyDescent="0.3">
      <c r="A55" s="2" t="s">
        <v>296</v>
      </c>
      <c r="B55" s="32" t="s">
        <v>61</v>
      </c>
      <c r="C55" s="10" t="s">
        <v>1138</v>
      </c>
      <c r="D55" s="10" t="s">
        <v>1139</v>
      </c>
      <c r="E55" s="2" t="s">
        <v>1206</v>
      </c>
      <c r="F55" s="2" t="s">
        <v>1207</v>
      </c>
      <c r="G55" s="69">
        <v>-5827.03</v>
      </c>
      <c r="H55" s="69">
        <v>7.5</v>
      </c>
      <c r="I55" s="69">
        <f>H55*0.57</f>
        <v>4.2749999999999995</v>
      </c>
      <c r="J55" s="70">
        <v>1.17363</v>
      </c>
      <c r="K55" s="69">
        <f>(G55+I55)*J55</f>
        <v>-6833.7599506500001</v>
      </c>
      <c r="L55" s="78" t="s">
        <v>468</v>
      </c>
      <c r="M55" s="61">
        <v>0</v>
      </c>
      <c r="N55" s="61">
        <f>H55*0.08*J55</f>
        <v>0.70417799999999997</v>
      </c>
      <c r="O55" s="58"/>
      <c r="P55" s="2" t="s">
        <v>398</v>
      </c>
      <c r="Q55" s="2" t="s">
        <v>1208</v>
      </c>
      <c r="R55" s="32">
        <v>-92.93</v>
      </c>
      <c r="S55" s="32"/>
      <c r="T55" s="32"/>
      <c r="U55" s="32"/>
      <c r="V55" s="2"/>
      <c r="W55" s="2"/>
      <c r="X55" s="2"/>
      <c r="Y55" s="2"/>
      <c r="Z55" s="2"/>
    </row>
    <row r="56" spans="1:26" ht="13.8" x14ac:dyDescent="0.3">
      <c r="A56" s="2" t="s">
        <v>296</v>
      </c>
      <c r="B56" s="32" t="s">
        <v>55</v>
      </c>
      <c r="C56" s="2" t="s">
        <v>1138</v>
      </c>
      <c r="D56" s="2" t="s">
        <v>1139</v>
      </c>
      <c r="E56" s="2" t="s">
        <v>1206</v>
      </c>
      <c r="F56" s="32" t="s">
        <v>1207</v>
      </c>
      <c r="G56" s="69">
        <v>-32755.75</v>
      </c>
      <c r="H56" s="69">
        <v>4018.01</v>
      </c>
      <c r="I56" s="69">
        <f>H56*0.6</f>
        <v>2410.806</v>
      </c>
      <c r="J56" s="70">
        <v>1</v>
      </c>
      <c r="K56" s="69">
        <f>(G56+I56)*J56*0.97</f>
        <v>-29434.595679999999</v>
      </c>
      <c r="L56" s="78" t="s">
        <v>468</v>
      </c>
      <c r="M56" s="61">
        <v>0</v>
      </c>
      <c r="N56" s="61">
        <f>H56*0.06*J56*0.97</f>
        <v>233.84818200000001</v>
      </c>
      <c r="O56" s="58"/>
      <c r="P56" s="2" t="s">
        <v>398</v>
      </c>
      <c r="Q56" s="2" t="s">
        <v>1209</v>
      </c>
      <c r="R56" s="32">
        <v>-4.4400000000000004</v>
      </c>
      <c r="S56" s="32"/>
      <c r="T56" s="32"/>
      <c r="U56" s="32"/>
      <c r="V56" s="2"/>
      <c r="W56" s="2"/>
      <c r="X56" s="2"/>
      <c r="Y56" s="2"/>
      <c r="Z56" s="2"/>
    </row>
    <row r="57" spans="1:26" ht="13.8" x14ac:dyDescent="0.3">
      <c r="A57" s="2" t="s">
        <v>296</v>
      </c>
      <c r="B57" s="2" t="s">
        <v>1210</v>
      </c>
      <c r="C57" s="10" t="s">
        <v>15</v>
      </c>
      <c r="D57" s="10" t="s">
        <v>15</v>
      </c>
      <c r="E57" s="10">
        <v>142292</v>
      </c>
      <c r="F57" s="10" t="s">
        <v>1211</v>
      </c>
      <c r="G57" s="69">
        <v>-2196.92</v>
      </c>
      <c r="H57" s="69">
        <v>176.4</v>
      </c>
      <c r="I57" s="69">
        <f t="shared" ref="I57:I59" si="16">H57*0.8</f>
        <v>141.12</v>
      </c>
      <c r="J57" s="75">
        <v>0.26985999999999999</v>
      </c>
      <c r="K57" s="69">
        <f t="shared" ref="K57:K59" si="17">(G57+I57)*J57</f>
        <v>-554.778188</v>
      </c>
      <c r="L57" s="78" t="s">
        <v>468</v>
      </c>
      <c r="M57" s="61">
        <v>0</v>
      </c>
      <c r="N57" s="61">
        <f t="shared" ref="N57:N59" si="18">H57*0.05*J57</f>
        <v>2.3801652</v>
      </c>
      <c r="O57" s="58"/>
      <c r="P57" s="2" t="s">
        <v>1212</v>
      </c>
      <c r="Q57" s="2" t="s">
        <v>529</v>
      </c>
      <c r="R57" s="32">
        <v>91.11</v>
      </c>
      <c r="S57" s="32"/>
      <c r="T57" s="32"/>
      <c r="U57" s="32"/>
      <c r="V57" s="2"/>
      <c r="W57" s="2"/>
      <c r="X57" s="2"/>
      <c r="Y57" s="2"/>
      <c r="Z57" s="2"/>
    </row>
    <row r="58" spans="1:26" ht="13.8" x14ac:dyDescent="0.3">
      <c r="A58" s="2" t="s">
        <v>296</v>
      </c>
      <c r="B58" s="2" t="s">
        <v>1210</v>
      </c>
      <c r="C58" s="10" t="s">
        <v>15</v>
      </c>
      <c r="D58" s="10" t="s">
        <v>15</v>
      </c>
      <c r="E58" s="10">
        <v>142293</v>
      </c>
      <c r="F58" s="10" t="s">
        <v>1213</v>
      </c>
      <c r="G58" s="69">
        <v>-2923.2</v>
      </c>
      <c r="H58" s="69">
        <v>207.99</v>
      </c>
      <c r="I58" s="69">
        <f t="shared" si="16"/>
        <v>166.39200000000002</v>
      </c>
      <c r="J58" s="75">
        <v>0.26985999999999999</v>
      </c>
      <c r="K58" s="69">
        <f t="shared" si="17"/>
        <v>-743.95220687999995</v>
      </c>
      <c r="L58" s="78" t="s">
        <v>468</v>
      </c>
      <c r="M58" s="61">
        <v>0</v>
      </c>
      <c r="N58" s="61">
        <f t="shared" si="18"/>
        <v>2.8064090700000004</v>
      </c>
      <c r="O58" s="58"/>
      <c r="P58" s="2" t="s">
        <v>348</v>
      </c>
      <c r="Q58" s="2" t="s">
        <v>1214</v>
      </c>
      <c r="R58" s="32">
        <v>-20.25</v>
      </c>
      <c r="S58" s="32"/>
      <c r="T58" s="32"/>
      <c r="U58" s="32"/>
      <c r="V58" s="2"/>
      <c r="W58" s="2"/>
      <c r="X58" s="2"/>
      <c r="Y58" s="2"/>
      <c r="Z58" s="2"/>
    </row>
    <row r="59" spans="1:26" ht="13.8" x14ac:dyDescent="0.3">
      <c r="A59" s="2" t="s">
        <v>296</v>
      </c>
      <c r="B59" s="2" t="s">
        <v>1210</v>
      </c>
      <c r="C59" s="10" t="s">
        <v>15</v>
      </c>
      <c r="D59" s="10" t="s">
        <v>15</v>
      </c>
      <c r="E59" s="10">
        <v>142346</v>
      </c>
      <c r="F59" s="10" t="s">
        <v>1215</v>
      </c>
      <c r="G59" s="69">
        <v>3106.33</v>
      </c>
      <c r="H59" s="69">
        <v>468.39</v>
      </c>
      <c r="I59" s="69">
        <f t="shared" si="16"/>
        <v>374.71199999999999</v>
      </c>
      <c r="J59" s="75">
        <v>0.26985999999999999</v>
      </c>
      <c r="K59" s="69">
        <f t="shared" si="17"/>
        <v>939.39399411999989</v>
      </c>
      <c r="L59" s="78" t="s">
        <v>468</v>
      </c>
      <c r="M59" s="61">
        <v>0</v>
      </c>
      <c r="N59" s="61">
        <f t="shared" si="18"/>
        <v>6.3199862699999994</v>
      </c>
      <c r="O59" s="58"/>
      <c r="P59" s="2" t="s">
        <v>348</v>
      </c>
      <c r="Q59" s="2" t="s">
        <v>1216</v>
      </c>
      <c r="R59" s="32">
        <v>6.9</v>
      </c>
      <c r="S59" s="32"/>
      <c r="T59" s="32"/>
      <c r="U59" s="32"/>
      <c r="V59" s="2"/>
      <c r="W59" s="2"/>
      <c r="X59" s="2"/>
      <c r="Y59" s="2"/>
      <c r="Z59" s="2"/>
    </row>
    <row r="60" spans="1:26" ht="13.8" x14ac:dyDescent="0.3">
      <c r="A60" s="32" t="s">
        <v>317</v>
      </c>
      <c r="B60" s="32" t="s">
        <v>81</v>
      </c>
      <c r="C60" s="2" t="s">
        <v>1217</v>
      </c>
      <c r="D60" s="2" t="s">
        <v>1218</v>
      </c>
      <c r="E60" s="2" t="s">
        <v>1217</v>
      </c>
      <c r="F60" s="32" t="s">
        <v>1218</v>
      </c>
      <c r="G60" s="69">
        <v>-41.35</v>
      </c>
      <c r="H60" s="69">
        <v>7.67</v>
      </c>
      <c r="I60" s="69">
        <f>H60*0.72</f>
        <v>5.5223999999999993</v>
      </c>
      <c r="J60" s="70">
        <v>1</v>
      </c>
      <c r="K60" s="69">
        <f>(G60+I60)*J60*0.9</f>
        <v>-32.244840000000003</v>
      </c>
      <c r="L60" s="78">
        <f>H60*0.05*J60</f>
        <v>0.38350000000000001</v>
      </c>
      <c r="M60" s="61">
        <f>G60*0.1*J60-(G60+H60)*0.1*J60</f>
        <v>-0.76700000000000035</v>
      </c>
      <c r="N60" s="61">
        <f>(H60*0.23+I60*0.1)*J60-H60*0.1*J60</f>
        <v>1.5493399999999999</v>
      </c>
      <c r="O60" s="58"/>
      <c r="P60" s="2"/>
      <c r="Q60" s="2"/>
      <c r="R60" s="32"/>
      <c r="S60" s="32"/>
      <c r="T60" s="32"/>
      <c r="U60" s="32"/>
      <c r="V60" s="2"/>
      <c r="W60" s="2"/>
      <c r="X60" s="2"/>
      <c r="Y60" s="2"/>
      <c r="Z60" s="2"/>
    </row>
    <row r="61" spans="1:26" ht="13.8" x14ac:dyDescent="0.3">
      <c r="A61" s="32" t="s">
        <v>317</v>
      </c>
      <c r="B61" s="32" t="s">
        <v>107</v>
      </c>
      <c r="C61" s="10" t="s">
        <v>15</v>
      </c>
      <c r="D61" s="10" t="s">
        <v>15</v>
      </c>
      <c r="E61" s="10">
        <v>2404538</v>
      </c>
      <c r="F61" s="86" t="s">
        <v>1219</v>
      </c>
      <c r="G61" s="69">
        <v>155.30000000000001</v>
      </c>
      <c r="H61" s="69">
        <v>4</v>
      </c>
      <c r="I61" s="69">
        <v>0</v>
      </c>
      <c r="J61" s="70">
        <v>1</v>
      </c>
      <c r="K61" s="69">
        <f t="shared" ref="K61:K64" si="19">(-H61*0.25*0.04)*J61*0.3+H61*0.15*0.96*J61*0.3</f>
        <v>0.16079999999999997</v>
      </c>
      <c r="L61" s="79" t="s">
        <v>468</v>
      </c>
      <c r="M61" s="61">
        <v>0</v>
      </c>
      <c r="N61" s="61">
        <v>0</v>
      </c>
      <c r="O61" s="61"/>
      <c r="P61" s="2"/>
      <c r="Q61" s="2"/>
      <c r="R61" s="32"/>
      <c r="S61" s="32"/>
      <c r="T61" s="32"/>
      <c r="U61" s="32"/>
      <c r="V61" s="2"/>
      <c r="W61" s="2"/>
      <c r="X61" s="2"/>
      <c r="Y61" s="2"/>
      <c r="Z61" s="2"/>
    </row>
    <row r="62" spans="1:26" ht="13.8" x14ac:dyDescent="0.3">
      <c r="A62" s="32" t="s">
        <v>317</v>
      </c>
      <c r="B62" s="32" t="s">
        <v>107</v>
      </c>
      <c r="C62" s="10" t="s">
        <v>15</v>
      </c>
      <c r="D62" s="10" t="s">
        <v>15</v>
      </c>
      <c r="E62" s="10">
        <v>2405286</v>
      </c>
      <c r="F62" s="46" t="s">
        <v>1220</v>
      </c>
      <c r="G62" s="69">
        <v>-30</v>
      </c>
      <c r="H62" s="69">
        <v>3</v>
      </c>
      <c r="I62" s="69">
        <v>0</v>
      </c>
      <c r="J62" s="70">
        <v>1</v>
      </c>
      <c r="K62" s="69">
        <f t="shared" si="19"/>
        <v>0.12059999999999997</v>
      </c>
      <c r="L62" s="79" t="s">
        <v>468</v>
      </c>
      <c r="M62" s="61">
        <v>0</v>
      </c>
      <c r="N62" s="61">
        <v>0</v>
      </c>
      <c r="O62" s="61"/>
      <c r="P62" s="2"/>
      <c r="Q62" s="2"/>
      <c r="R62" s="32"/>
      <c r="S62" s="32"/>
      <c r="T62" s="32"/>
      <c r="U62" s="32"/>
      <c r="V62" s="2"/>
      <c r="W62" s="2"/>
      <c r="X62" s="2"/>
      <c r="Y62" s="2"/>
      <c r="Z62" s="2"/>
    </row>
    <row r="63" spans="1:26" ht="13.8" x14ac:dyDescent="0.3">
      <c r="A63" s="32" t="s">
        <v>317</v>
      </c>
      <c r="B63" s="32" t="s">
        <v>107</v>
      </c>
      <c r="C63" s="10" t="s">
        <v>15</v>
      </c>
      <c r="D63" s="10" t="s">
        <v>15</v>
      </c>
      <c r="E63" s="10">
        <v>2405626</v>
      </c>
      <c r="F63" s="46" t="s">
        <v>1221</v>
      </c>
      <c r="G63" s="69">
        <v>-50</v>
      </c>
      <c r="H63" s="69">
        <v>5</v>
      </c>
      <c r="I63" s="69">
        <v>0</v>
      </c>
      <c r="J63" s="70">
        <v>1</v>
      </c>
      <c r="K63" s="69">
        <f t="shared" si="19"/>
        <v>0.20100000000000001</v>
      </c>
      <c r="L63" s="79" t="s">
        <v>468</v>
      </c>
      <c r="M63" s="61">
        <v>0</v>
      </c>
      <c r="N63" s="61">
        <v>0</v>
      </c>
      <c r="O63" s="61"/>
      <c r="P63" s="2"/>
      <c r="Q63" s="2"/>
      <c r="R63" s="32"/>
      <c r="S63" s="32"/>
      <c r="T63" s="32"/>
      <c r="U63" s="32"/>
      <c r="V63" s="2"/>
      <c r="W63" s="2"/>
      <c r="X63" s="2"/>
      <c r="Y63" s="2"/>
      <c r="Z63" s="2"/>
    </row>
    <row r="64" spans="1:26" ht="13.8" x14ac:dyDescent="0.3">
      <c r="A64" s="32" t="s">
        <v>317</v>
      </c>
      <c r="B64" s="32" t="s">
        <v>107</v>
      </c>
      <c r="C64" s="10" t="s">
        <v>15</v>
      </c>
      <c r="D64" s="10" t="s">
        <v>15</v>
      </c>
      <c r="E64" s="10">
        <v>2409185</v>
      </c>
      <c r="F64" s="10" t="s">
        <v>1222</v>
      </c>
      <c r="G64" s="69">
        <v>-20</v>
      </c>
      <c r="H64" s="69">
        <v>2</v>
      </c>
      <c r="I64" s="69">
        <v>0</v>
      </c>
      <c r="J64" s="70">
        <v>1</v>
      </c>
      <c r="K64" s="69">
        <f t="shared" si="19"/>
        <v>8.0399999999999985E-2</v>
      </c>
      <c r="L64" s="79" t="s">
        <v>468</v>
      </c>
      <c r="M64" s="61">
        <v>0</v>
      </c>
      <c r="N64" s="61">
        <v>0</v>
      </c>
      <c r="O64" s="61"/>
      <c r="P64" s="2"/>
      <c r="Q64" s="2"/>
      <c r="R64" s="32"/>
      <c r="S64" s="32"/>
      <c r="T64" s="32"/>
      <c r="U64" s="32"/>
      <c r="V64" s="2"/>
      <c r="W64" s="2"/>
      <c r="X64" s="2"/>
      <c r="Y64" s="2"/>
      <c r="Z64" s="2"/>
    </row>
    <row r="65" spans="1:26" ht="13.8" x14ac:dyDescent="0.3">
      <c r="A65" s="32" t="s">
        <v>317</v>
      </c>
      <c r="B65" s="32" t="s">
        <v>107</v>
      </c>
      <c r="C65" s="10">
        <v>2304025</v>
      </c>
      <c r="D65" s="10" t="s">
        <v>1162</v>
      </c>
      <c r="E65" s="10">
        <v>2314526</v>
      </c>
      <c r="F65" s="86" t="s">
        <v>1163</v>
      </c>
      <c r="G65" s="69">
        <v>-169.31</v>
      </c>
      <c r="H65" s="69">
        <v>240.28</v>
      </c>
      <c r="I65" s="69">
        <f t="shared" ref="I65:I79" si="20">H65*0.65</f>
        <v>156.18200000000002</v>
      </c>
      <c r="J65" s="70">
        <v>1</v>
      </c>
      <c r="K65" s="69">
        <f t="shared" ref="K65:K79" si="21">(G65+I65)*J65*0.8+(G65*0.05-H65*0.25*0.15)*J65*0.3+(H65*0.1*0.85+I65*0.05)*J65*0.3</f>
        <v>-7.2753299999999896</v>
      </c>
      <c r="L65" s="79" t="s">
        <v>468</v>
      </c>
      <c r="M65" s="61">
        <f t="shared" ref="M65:M77" si="22">(G65*0.05-H65*0.25*0.15)*J65*0.7-(-H65*0.03*0.15)*J65</f>
        <v>-11.151939999999998</v>
      </c>
      <c r="N65" s="61">
        <f t="shared" ref="N65:N77" si="23">(H65*0.1*0.85+I65*0.05)*J65*0.7+H65*0.03*0.85*J65</f>
        <v>25.890170000000001</v>
      </c>
      <c r="O65" s="61"/>
      <c r="P65" s="2"/>
      <c r="Q65" s="2"/>
      <c r="R65" s="32"/>
      <c r="S65" s="32"/>
      <c r="T65" s="32"/>
      <c r="U65" s="32"/>
      <c r="V65" s="2"/>
      <c r="W65" s="2"/>
      <c r="X65" s="2"/>
      <c r="Y65" s="2"/>
      <c r="Z65" s="2"/>
    </row>
    <row r="66" spans="1:26" ht="13.8" x14ac:dyDescent="0.3">
      <c r="A66" s="32" t="s">
        <v>317</v>
      </c>
      <c r="B66" s="32" t="s">
        <v>107</v>
      </c>
      <c r="C66" s="10">
        <v>2304025</v>
      </c>
      <c r="D66" s="10" t="s">
        <v>1162</v>
      </c>
      <c r="E66" s="10">
        <v>2319819</v>
      </c>
      <c r="F66" s="86" t="s">
        <v>1165</v>
      </c>
      <c r="G66" s="69">
        <v>676.36</v>
      </c>
      <c r="H66" s="69">
        <v>311.64999999999998</v>
      </c>
      <c r="I66" s="69">
        <f t="shared" si="20"/>
        <v>202.57249999999999</v>
      </c>
      <c r="J66" s="70">
        <v>1</v>
      </c>
      <c r="K66" s="69">
        <f t="shared" si="21"/>
        <v>720.77100000000007</v>
      </c>
      <c r="L66" s="79" t="s">
        <v>468</v>
      </c>
      <c r="M66" s="61">
        <f t="shared" si="22"/>
        <v>16.894212500000002</v>
      </c>
      <c r="N66" s="61">
        <f t="shared" si="23"/>
        <v>33.580287499999997</v>
      </c>
      <c r="O66" s="61"/>
      <c r="P66" s="2"/>
      <c r="Q66" s="2"/>
      <c r="R66" s="32"/>
      <c r="S66" s="32"/>
      <c r="T66" s="32"/>
      <c r="U66" s="32"/>
      <c r="V66" s="2"/>
      <c r="W66" s="2"/>
      <c r="X66" s="2"/>
      <c r="Y66" s="2"/>
      <c r="Z66" s="2"/>
    </row>
    <row r="67" spans="1:26" ht="13.8" x14ac:dyDescent="0.3">
      <c r="A67" s="32" t="s">
        <v>317</v>
      </c>
      <c r="B67" s="32" t="s">
        <v>107</v>
      </c>
      <c r="C67" s="10">
        <v>2304025</v>
      </c>
      <c r="D67" s="10" t="s">
        <v>1162</v>
      </c>
      <c r="E67" s="10">
        <v>2420208</v>
      </c>
      <c r="F67" s="86" t="s">
        <v>1170</v>
      </c>
      <c r="G67" s="69">
        <v>1464.94</v>
      </c>
      <c r="H67" s="69">
        <v>249.97</v>
      </c>
      <c r="I67" s="69">
        <f t="shared" si="20"/>
        <v>162.48050000000001</v>
      </c>
      <c r="J67" s="70">
        <v>1</v>
      </c>
      <c r="K67" s="69">
        <f t="shared" si="21"/>
        <v>1329.9097800000004</v>
      </c>
      <c r="L67" s="79" t="s">
        <v>468</v>
      </c>
      <c r="M67" s="61">
        <f t="shared" si="22"/>
        <v>45.836052500000001</v>
      </c>
      <c r="N67" s="61">
        <f t="shared" si="23"/>
        <v>26.934267500000001</v>
      </c>
      <c r="O67" s="61"/>
      <c r="P67" s="2"/>
      <c r="Q67" s="2"/>
      <c r="R67" s="32"/>
      <c r="S67" s="32"/>
      <c r="T67" s="32"/>
      <c r="U67" s="32"/>
      <c r="V67" s="2"/>
      <c r="W67" s="2"/>
      <c r="X67" s="2"/>
      <c r="Y67" s="2"/>
      <c r="Z67" s="2"/>
    </row>
    <row r="68" spans="1:26" ht="13.8" x14ac:dyDescent="0.3">
      <c r="A68" s="32" t="s">
        <v>317</v>
      </c>
      <c r="B68" s="32" t="s">
        <v>107</v>
      </c>
      <c r="C68" s="10">
        <v>2304025</v>
      </c>
      <c r="D68" s="10" t="s">
        <v>1162</v>
      </c>
      <c r="E68" s="10">
        <v>2435202</v>
      </c>
      <c r="F68" s="86" t="s">
        <v>1223</v>
      </c>
      <c r="G68" s="69">
        <v>-117.95</v>
      </c>
      <c r="H68" s="69">
        <v>84.09</v>
      </c>
      <c r="I68" s="69">
        <f t="shared" si="20"/>
        <v>54.658500000000004</v>
      </c>
      <c r="J68" s="70">
        <v>1</v>
      </c>
      <c r="K68" s="69">
        <f t="shared" si="21"/>
        <v>-50.384290000000007</v>
      </c>
      <c r="L68" s="79" t="s">
        <v>468</v>
      </c>
      <c r="M68" s="61">
        <f t="shared" si="22"/>
        <v>-5.9572075000000009</v>
      </c>
      <c r="N68" s="61">
        <f t="shared" si="23"/>
        <v>9.0606974999999998</v>
      </c>
      <c r="O68" s="61"/>
      <c r="P68" s="2"/>
      <c r="Q68" s="2"/>
      <c r="R68" s="32"/>
      <c r="S68" s="32"/>
      <c r="T68" s="32"/>
      <c r="U68" s="32"/>
      <c r="V68" s="2"/>
      <c r="W68" s="2"/>
      <c r="X68" s="2"/>
      <c r="Y68" s="2"/>
      <c r="Z68" s="2"/>
    </row>
    <row r="69" spans="1:26" ht="13.8" x14ac:dyDescent="0.3">
      <c r="A69" s="32" t="s">
        <v>317</v>
      </c>
      <c r="B69" s="32" t="s">
        <v>107</v>
      </c>
      <c r="C69" s="10">
        <v>2304025</v>
      </c>
      <c r="D69" s="10" t="s">
        <v>1162</v>
      </c>
      <c r="E69" s="10">
        <v>2435203</v>
      </c>
      <c r="F69" s="86" t="s">
        <v>1224</v>
      </c>
      <c r="G69" s="69">
        <v>-392.51</v>
      </c>
      <c r="H69" s="69">
        <v>155.07</v>
      </c>
      <c r="I69" s="69">
        <f t="shared" si="20"/>
        <v>100.7955</v>
      </c>
      <c r="J69" s="70">
        <v>1</v>
      </c>
      <c r="K69" s="69">
        <f t="shared" si="21"/>
        <v>-235.53756999999999</v>
      </c>
      <c r="L69" s="79" t="s">
        <v>468</v>
      </c>
      <c r="M69" s="61">
        <f t="shared" si="22"/>
        <v>-17.110622500000002</v>
      </c>
      <c r="N69" s="61">
        <f t="shared" si="23"/>
        <v>16.708792500000001</v>
      </c>
      <c r="O69" s="61"/>
      <c r="P69" s="2"/>
      <c r="Q69" s="2"/>
      <c r="R69" s="32"/>
      <c r="S69" s="32"/>
      <c r="T69" s="32"/>
      <c r="U69" s="32"/>
      <c r="V69" s="2"/>
      <c r="W69" s="2"/>
      <c r="X69" s="2"/>
      <c r="Y69" s="2"/>
      <c r="Z69" s="2"/>
    </row>
    <row r="70" spans="1:26" ht="13.8" x14ac:dyDescent="0.3">
      <c r="A70" s="32" t="s">
        <v>317</v>
      </c>
      <c r="B70" s="32" t="s">
        <v>107</v>
      </c>
      <c r="C70" s="10">
        <v>2304025</v>
      </c>
      <c r="D70" s="10" t="s">
        <v>1162</v>
      </c>
      <c r="E70" s="10">
        <v>2435206</v>
      </c>
      <c r="F70" s="86" t="s">
        <v>1225</v>
      </c>
      <c r="G70" s="69">
        <v>770.53</v>
      </c>
      <c r="H70" s="69">
        <v>81.92</v>
      </c>
      <c r="I70" s="69">
        <f t="shared" si="20"/>
        <v>53.248000000000005</v>
      </c>
      <c r="J70" s="70">
        <v>1</v>
      </c>
      <c r="K70" s="69">
        <f t="shared" si="21"/>
        <v>672.5464300000001</v>
      </c>
      <c r="L70" s="79" t="s">
        <v>468</v>
      </c>
      <c r="M70" s="61">
        <f t="shared" si="22"/>
        <v>25.186789999999995</v>
      </c>
      <c r="N70" s="61">
        <f t="shared" si="23"/>
        <v>8.8268799999999992</v>
      </c>
      <c r="O70" s="61"/>
      <c r="P70" s="2"/>
      <c r="Q70" s="2"/>
      <c r="R70" s="32"/>
      <c r="S70" s="32"/>
      <c r="T70" s="32"/>
      <c r="U70" s="32"/>
      <c r="V70" s="2"/>
      <c r="W70" s="2"/>
      <c r="X70" s="2"/>
      <c r="Y70" s="2"/>
      <c r="Z70" s="2"/>
    </row>
    <row r="71" spans="1:26" ht="13.8" x14ac:dyDescent="0.3">
      <c r="A71" s="32" t="s">
        <v>317</v>
      </c>
      <c r="B71" s="32" t="s">
        <v>107</v>
      </c>
      <c r="C71" s="10">
        <v>2304025</v>
      </c>
      <c r="D71" s="10" t="s">
        <v>1162</v>
      </c>
      <c r="E71" s="10">
        <v>2471540</v>
      </c>
      <c r="F71" s="10" t="s">
        <v>1172</v>
      </c>
      <c r="G71" s="32">
        <v>-702.9</v>
      </c>
      <c r="H71" s="32">
        <v>268.45999999999998</v>
      </c>
      <c r="I71" s="69">
        <f t="shared" si="20"/>
        <v>174.499</v>
      </c>
      <c r="J71" s="70">
        <v>1</v>
      </c>
      <c r="K71" s="69">
        <f t="shared" si="21"/>
        <v>-426.82126</v>
      </c>
      <c r="L71" s="79" t="s">
        <v>468</v>
      </c>
      <c r="M71" s="61">
        <f t="shared" si="22"/>
        <v>-30.440505000000002</v>
      </c>
      <c r="N71" s="61">
        <f t="shared" si="23"/>
        <v>28.926564999999997</v>
      </c>
      <c r="O71" s="61"/>
      <c r="P71" s="2"/>
      <c r="Q71" s="2"/>
      <c r="R71" s="32"/>
      <c r="S71" s="32"/>
      <c r="T71" s="32"/>
      <c r="U71" s="32"/>
      <c r="V71" s="2"/>
      <c r="W71" s="2"/>
      <c r="X71" s="2"/>
      <c r="Y71" s="2"/>
      <c r="Z71" s="2"/>
    </row>
    <row r="72" spans="1:26" ht="13.8" x14ac:dyDescent="0.3">
      <c r="A72" s="32" t="s">
        <v>317</v>
      </c>
      <c r="B72" s="32" t="s">
        <v>107</v>
      </c>
      <c r="C72" s="10">
        <v>2304025</v>
      </c>
      <c r="D72" s="10" t="s">
        <v>1162</v>
      </c>
      <c r="E72" s="10">
        <v>2514199</v>
      </c>
      <c r="F72" s="46" t="s">
        <v>1175</v>
      </c>
      <c r="G72" s="69">
        <v>6</v>
      </c>
      <c r="H72" s="69">
        <v>0</v>
      </c>
      <c r="I72" s="69">
        <f t="shared" si="20"/>
        <v>0</v>
      </c>
      <c r="J72" s="70">
        <v>1</v>
      </c>
      <c r="K72" s="69">
        <f t="shared" si="21"/>
        <v>4.8900000000000006</v>
      </c>
      <c r="L72" s="79" t="s">
        <v>468</v>
      </c>
      <c r="M72" s="61">
        <f t="shared" si="22"/>
        <v>0.21000000000000002</v>
      </c>
      <c r="N72" s="61">
        <f t="shared" si="23"/>
        <v>0</v>
      </c>
      <c r="O72" s="61"/>
      <c r="P72" s="2"/>
      <c r="Q72" s="2"/>
      <c r="R72" s="32"/>
      <c r="S72" s="32"/>
      <c r="T72" s="32"/>
      <c r="U72" s="32"/>
      <c r="V72" s="2"/>
      <c r="W72" s="2"/>
      <c r="X72" s="2"/>
      <c r="Y72" s="2"/>
      <c r="Z72" s="2"/>
    </row>
    <row r="73" spans="1:26" ht="13.8" x14ac:dyDescent="0.3">
      <c r="A73" s="32" t="s">
        <v>317</v>
      </c>
      <c r="B73" s="32" t="s">
        <v>107</v>
      </c>
      <c r="C73" s="10">
        <v>2304025</v>
      </c>
      <c r="D73" s="10" t="s">
        <v>1162</v>
      </c>
      <c r="E73" s="10">
        <v>2523424</v>
      </c>
      <c r="F73" s="10" t="s">
        <v>1177</v>
      </c>
      <c r="G73" s="32">
        <v>2</v>
      </c>
      <c r="H73" s="32">
        <v>1.44</v>
      </c>
      <c r="I73" s="69">
        <f t="shared" si="20"/>
        <v>0.93599999999999994</v>
      </c>
      <c r="J73" s="70">
        <v>1</v>
      </c>
      <c r="K73" s="69">
        <f t="shared" si="21"/>
        <v>2.4133599999999999</v>
      </c>
      <c r="L73" s="79" t="s">
        <v>468</v>
      </c>
      <c r="M73" s="61">
        <f t="shared" si="22"/>
        <v>3.8679999999999999E-2</v>
      </c>
      <c r="N73" s="61">
        <f t="shared" si="23"/>
        <v>0.15515999999999999</v>
      </c>
      <c r="O73" s="61"/>
      <c r="P73" s="2"/>
      <c r="Q73" s="2"/>
      <c r="R73" s="32"/>
      <c r="S73" s="32"/>
      <c r="T73" s="32"/>
      <c r="U73" s="32"/>
      <c r="V73" s="2"/>
      <c r="W73" s="2"/>
      <c r="X73" s="2"/>
      <c r="Y73" s="2"/>
      <c r="Z73" s="2"/>
    </row>
    <row r="74" spans="1:26" ht="13.8" x14ac:dyDescent="0.3">
      <c r="A74" s="32" t="s">
        <v>317</v>
      </c>
      <c r="B74" s="32" t="s">
        <v>107</v>
      </c>
      <c r="C74" s="10">
        <v>2304025</v>
      </c>
      <c r="D74" s="10" t="s">
        <v>1162</v>
      </c>
      <c r="E74" s="10">
        <v>2531145</v>
      </c>
      <c r="F74" s="86" t="s">
        <v>1226</v>
      </c>
      <c r="G74" s="69">
        <v>45.7</v>
      </c>
      <c r="H74" s="69">
        <v>11.67</v>
      </c>
      <c r="I74" s="69">
        <f t="shared" si="20"/>
        <v>7.5855000000000006</v>
      </c>
      <c r="J74" s="70">
        <v>1</v>
      </c>
      <c r="K74" s="69">
        <f t="shared" si="21"/>
        <v>43.593980000000002</v>
      </c>
      <c r="L74" s="79" t="s">
        <v>468</v>
      </c>
      <c r="M74" s="61">
        <f t="shared" si="22"/>
        <v>1.3456775000000001</v>
      </c>
      <c r="N74" s="61">
        <f t="shared" si="23"/>
        <v>1.2574424999999998</v>
      </c>
      <c r="O74" s="61"/>
      <c r="P74" s="2"/>
      <c r="Q74" s="2"/>
      <c r="R74" s="32"/>
      <c r="S74" s="32"/>
      <c r="T74" s="32"/>
      <c r="U74" s="32"/>
      <c r="V74" s="2"/>
      <c r="W74" s="2"/>
      <c r="X74" s="2"/>
      <c r="Y74" s="2"/>
      <c r="Z74" s="2"/>
    </row>
    <row r="75" spans="1:26" ht="13.8" x14ac:dyDescent="0.3">
      <c r="A75" s="32" t="s">
        <v>317</v>
      </c>
      <c r="B75" s="32" t="s">
        <v>107</v>
      </c>
      <c r="C75" s="10">
        <v>2304025</v>
      </c>
      <c r="D75" s="10" t="s">
        <v>1162</v>
      </c>
      <c r="E75" s="10">
        <v>2531146</v>
      </c>
      <c r="F75" s="86" t="s">
        <v>1227</v>
      </c>
      <c r="G75" s="69">
        <v>-687.36</v>
      </c>
      <c r="H75" s="69">
        <v>79.45</v>
      </c>
      <c r="I75" s="69">
        <f t="shared" si="20"/>
        <v>51.642500000000005</v>
      </c>
      <c r="J75" s="70">
        <v>1</v>
      </c>
      <c r="K75" s="69">
        <f t="shared" si="21"/>
        <v>-516.97759999999994</v>
      </c>
      <c r="L75" s="79" t="s">
        <v>468</v>
      </c>
      <c r="M75" s="61">
        <f t="shared" si="22"/>
        <v>-25.7856375</v>
      </c>
      <c r="N75" s="61">
        <f t="shared" si="23"/>
        <v>8.5607375000000001</v>
      </c>
      <c r="O75" s="61"/>
      <c r="P75" s="2"/>
      <c r="Q75" s="2"/>
      <c r="R75" s="32"/>
      <c r="S75" s="32"/>
      <c r="T75" s="32"/>
      <c r="U75" s="32"/>
      <c r="V75" s="2"/>
      <c r="W75" s="2"/>
      <c r="X75" s="2"/>
      <c r="Y75" s="2"/>
      <c r="Z75" s="2"/>
    </row>
    <row r="76" spans="1:26" ht="13.8" x14ac:dyDescent="0.3">
      <c r="A76" s="32" t="s">
        <v>317</v>
      </c>
      <c r="B76" s="32" t="s">
        <v>107</v>
      </c>
      <c r="C76" s="10">
        <v>2304025</v>
      </c>
      <c r="D76" s="10" t="s">
        <v>1162</v>
      </c>
      <c r="E76" s="10">
        <v>2531365</v>
      </c>
      <c r="F76" s="86" t="s">
        <v>1228</v>
      </c>
      <c r="G76" s="69">
        <v>-228.38</v>
      </c>
      <c r="H76" s="69">
        <v>22.21</v>
      </c>
      <c r="I76" s="69">
        <f t="shared" si="20"/>
        <v>14.436500000000001</v>
      </c>
      <c r="J76" s="70">
        <v>1</v>
      </c>
      <c r="K76" s="69">
        <f t="shared" si="21"/>
        <v>-174.04746000000003</v>
      </c>
      <c r="L76" s="79" t="s">
        <v>468</v>
      </c>
      <c r="M76" s="61">
        <f t="shared" si="22"/>
        <v>-8.4763675000000003</v>
      </c>
      <c r="N76" s="61">
        <f t="shared" si="23"/>
        <v>2.3931274999999999</v>
      </c>
      <c r="O76" s="61"/>
      <c r="P76" s="2"/>
      <c r="Q76" s="2"/>
      <c r="R76" s="32"/>
      <c r="S76" s="32"/>
      <c r="T76" s="32"/>
      <c r="U76" s="32"/>
      <c r="V76" s="2"/>
      <c r="W76" s="2"/>
      <c r="X76" s="2"/>
      <c r="Y76" s="2"/>
      <c r="Z76" s="2"/>
    </row>
    <row r="77" spans="1:26" ht="13.8" x14ac:dyDescent="0.3">
      <c r="A77" s="32" t="s">
        <v>317</v>
      </c>
      <c r="B77" s="32" t="s">
        <v>107</v>
      </c>
      <c r="C77" s="10">
        <v>2304025</v>
      </c>
      <c r="D77" s="10" t="s">
        <v>1162</v>
      </c>
      <c r="E77" s="10">
        <v>2531390</v>
      </c>
      <c r="F77" s="86" t="s">
        <v>1229</v>
      </c>
      <c r="G77" s="69">
        <v>-388.27</v>
      </c>
      <c r="H77" s="69">
        <v>44.86</v>
      </c>
      <c r="I77" s="69">
        <f t="shared" si="20"/>
        <v>29.158999999999999</v>
      </c>
      <c r="J77" s="70">
        <v>1</v>
      </c>
      <c r="K77" s="69">
        <f t="shared" si="21"/>
        <v>-292.03620999999998</v>
      </c>
      <c r="L77" s="79" t="s">
        <v>468</v>
      </c>
      <c r="M77" s="61">
        <f t="shared" si="22"/>
        <v>-14.565154999999999</v>
      </c>
      <c r="N77" s="61">
        <f t="shared" si="23"/>
        <v>4.8336649999999999</v>
      </c>
      <c r="O77" s="61"/>
      <c r="P77" s="2"/>
      <c r="Q77" s="2"/>
      <c r="R77" s="32"/>
      <c r="S77" s="32"/>
      <c r="T77" s="32"/>
      <c r="U77" s="32"/>
      <c r="V77" s="2"/>
      <c r="W77" s="2"/>
      <c r="X77" s="2"/>
      <c r="Y77" s="2"/>
      <c r="Z77" s="2"/>
    </row>
    <row r="78" spans="1:26" ht="13.8" x14ac:dyDescent="0.3">
      <c r="A78" s="32" t="s">
        <v>317</v>
      </c>
      <c r="B78" s="32" t="s">
        <v>107</v>
      </c>
      <c r="C78" s="10">
        <v>2365380</v>
      </c>
      <c r="D78" s="10" t="s">
        <v>1201</v>
      </c>
      <c r="E78" s="10">
        <v>2427654</v>
      </c>
      <c r="F78" s="86" t="s">
        <v>1202</v>
      </c>
      <c r="G78" s="69">
        <v>-1482</v>
      </c>
      <c r="H78" s="69">
        <v>99.51</v>
      </c>
      <c r="I78" s="69">
        <f t="shared" si="20"/>
        <v>64.6815</v>
      </c>
      <c r="J78" s="70">
        <v>1</v>
      </c>
      <c r="K78" s="69">
        <f t="shared" si="21"/>
        <v>-1153.6965599999999</v>
      </c>
      <c r="L78" s="79" t="s">
        <v>468</v>
      </c>
      <c r="M78" s="61">
        <f t="shared" ref="M78:M79" si="24">(G78*0.05-H78*0.25*0.15)*J78*0.7-(-H78*0.02*0.15)*J78</f>
        <v>-54.183607500000001</v>
      </c>
      <c r="N78" s="61">
        <f t="shared" ref="N78:N79" si="25">(H78*0.1*0.85+I78*0.05)*J78*0.7+H78*0.02*0.85*J78</f>
        <v>9.8763675000000006</v>
      </c>
      <c r="O78" s="61"/>
      <c r="P78" s="2"/>
      <c r="Q78" s="2"/>
      <c r="R78" s="32"/>
      <c r="S78" s="32"/>
      <c r="T78" s="32"/>
      <c r="U78" s="32"/>
      <c r="V78" s="2"/>
      <c r="W78" s="2"/>
      <c r="X78" s="2"/>
      <c r="Y78" s="2"/>
      <c r="Z78" s="2"/>
    </row>
    <row r="79" spans="1:26" ht="13.8" x14ac:dyDescent="0.3">
      <c r="A79" s="32" t="s">
        <v>317</v>
      </c>
      <c r="B79" s="32" t="s">
        <v>107</v>
      </c>
      <c r="C79" s="10">
        <v>2523689</v>
      </c>
      <c r="D79" s="10" t="s">
        <v>1179</v>
      </c>
      <c r="E79" s="10">
        <v>2525136</v>
      </c>
      <c r="F79" s="86" t="s">
        <v>1205</v>
      </c>
      <c r="G79" s="69">
        <v>118.41</v>
      </c>
      <c r="H79" s="69">
        <v>23.38</v>
      </c>
      <c r="I79" s="69">
        <f t="shared" si="20"/>
        <v>15.196999999999999</v>
      </c>
      <c r="J79" s="70">
        <v>1</v>
      </c>
      <c r="K79" s="69">
        <f t="shared" si="21"/>
        <v>109.22287000000001</v>
      </c>
      <c r="L79" s="79" t="s">
        <v>468</v>
      </c>
      <c r="M79" s="61">
        <f t="shared" si="24"/>
        <v>3.6007650000000004</v>
      </c>
      <c r="N79" s="61">
        <f t="shared" si="25"/>
        <v>2.320465</v>
      </c>
      <c r="O79" s="61"/>
      <c r="P79" s="2"/>
      <c r="Q79" s="2"/>
      <c r="R79" s="32"/>
      <c r="S79" s="32"/>
      <c r="T79" s="32"/>
      <c r="U79" s="32"/>
      <c r="V79" s="2"/>
      <c r="W79" s="2"/>
      <c r="X79" s="2"/>
      <c r="Y79" s="2"/>
      <c r="Z79" s="2"/>
    </row>
    <row r="80" spans="1:26" ht="13.8" x14ac:dyDescent="0.3">
      <c r="A80" s="32" t="s">
        <v>317</v>
      </c>
      <c r="B80" s="32" t="s">
        <v>69</v>
      </c>
      <c r="C80" s="10" t="s">
        <v>1230</v>
      </c>
      <c r="D80" s="10" t="s">
        <v>1231</v>
      </c>
      <c r="E80" s="10" t="s">
        <v>1232</v>
      </c>
      <c r="F80" s="86" t="s">
        <v>1233</v>
      </c>
      <c r="G80" s="69">
        <v>492.62</v>
      </c>
      <c r="H80" s="69">
        <v>42.2</v>
      </c>
      <c r="I80" s="69">
        <f>H80*0.72</f>
        <v>30.384</v>
      </c>
      <c r="J80" s="70">
        <v>1</v>
      </c>
      <c r="K80" s="69">
        <f t="shared" ref="K80:K95" si="26">(G80+I80)*J80</f>
        <v>523.00400000000002</v>
      </c>
      <c r="L80" s="78">
        <f t="shared" ref="L80:L95" si="27">H80*0.05*J80</f>
        <v>2.1100000000000003</v>
      </c>
      <c r="M80" s="61">
        <v>0</v>
      </c>
      <c r="N80" s="61">
        <f>H80*0.08*J80</f>
        <v>3.3760000000000003</v>
      </c>
      <c r="O80" s="58"/>
      <c r="P80" s="2"/>
      <c r="Q80" s="2"/>
      <c r="R80" s="32"/>
      <c r="S80" s="32"/>
      <c r="T80" s="32"/>
      <c r="U80" s="32"/>
      <c r="V80" s="2"/>
      <c r="W80" s="2"/>
      <c r="X80" s="2"/>
      <c r="Y80" s="2"/>
      <c r="Z80" s="2"/>
    </row>
    <row r="81" spans="1:26" ht="13.8" x14ac:dyDescent="0.3">
      <c r="A81" s="32" t="s">
        <v>317</v>
      </c>
      <c r="B81" s="29" t="s">
        <v>35</v>
      </c>
      <c r="C81" s="10" t="s">
        <v>1114</v>
      </c>
      <c r="D81" s="10" t="s">
        <v>1115</v>
      </c>
      <c r="E81" s="10" t="s">
        <v>1116</v>
      </c>
      <c r="F81" s="86" t="s">
        <v>1117</v>
      </c>
      <c r="G81" s="69">
        <v>-8813.7900000000009</v>
      </c>
      <c r="H81" s="69">
        <v>1365.61</v>
      </c>
      <c r="I81" s="69">
        <f t="shared" ref="I81:I95" si="28">H81*0.79</f>
        <v>1078.8318999999999</v>
      </c>
      <c r="J81" s="75">
        <v>0.26644000000000001</v>
      </c>
      <c r="K81" s="69">
        <f t="shared" si="26"/>
        <v>-2060.9022361640004</v>
      </c>
      <c r="L81" s="78">
        <f t="shared" si="27"/>
        <v>18.192656420000002</v>
      </c>
      <c r="M81" s="61">
        <v>0</v>
      </c>
      <c r="N81" s="61">
        <f t="shared" ref="N81:N95" si="29">H81*0.04*J81</f>
        <v>14.554125136</v>
      </c>
      <c r="O81" s="61"/>
      <c r="P81" s="2"/>
      <c r="Q81" s="2"/>
      <c r="R81" s="32"/>
      <c r="S81" s="32"/>
      <c r="T81" s="32"/>
      <c r="U81" s="32"/>
      <c r="V81" s="2"/>
      <c r="W81" s="2"/>
      <c r="X81" s="2"/>
      <c r="Y81" s="2"/>
      <c r="Z81" s="2"/>
    </row>
    <row r="82" spans="1:26" ht="13.8" x14ac:dyDescent="0.3">
      <c r="A82" s="32" t="s">
        <v>317</v>
      </c>
      <c r="B82" s="29" t="s">
        <v>35</v>
      </c>
      <c r="C82" s="10" t="s">
        <v>1234</v>
      </c>
      <c r="D82" s="10" t="s">
        <v>1235</v>
      </c>
      <c r="E82" s="10" t="s">
        <v>1130</v>
      </c>
      <c r="F82" s="46" t="s">
        <v>1131</v>
      </c>
      <c r="G82" s="69">
        <v>-36946.269999999997</v>
      </c>
      <c r="H82" s="69">
        <v>6088.62</v>
      </c>
      <c r="I82" s="69">
        <f t="shared" si="28"/>
        <v>4810.0097999999998</v>
      </c>
      <c r="J82" s="75">
        <v>0.26644000000000001</v>
      </c>
      <c r="K82" s="69">
        <f t="shared" si="26"/>
        <v>-8562.3851676880004</v>
      </c>
      <c r="L82" s="78">
        <f t="shared" si="27"/>
        <v>81.112595639999995</v>
      </c>
      <c r="M82" s="61">
        <v>0</v>
      </c>
      <c r="N82" s="61">
        <f t="shared" si="29"/>
        <v>64.890076512000007</v>
      </c>
      <c r="O82" s="61"/>
      <c r="P82" s="2"/>
      <c r="Q82" s="2"/>
      <c r="R82" s="32"/>
      <c r="S82" s="32"/>
      <c r="T82" s="32"/>
      <c r="U82" s="32"/>
      <c r="V82" s="2"/>
      <c r="W82" s="2"/>
      <c r="X82" s="2"/>
      <c r="Y82" s="2"/>
      <c r="Z82" s="2"/>
    </row>
    <row r="83" spans="1:26" ht="13.8" x14ac:dyDescent="0.3">
      <c r="A83" s="32" t="s">
        <v>317</v>
      </c>
      <c r="B83" s="29" t="s">
        <v>35</v>
      </c>
      <c r="C83" s="10" t="s">
        <v>1234</v>
      </c>
      <c r="D83" s="10" t="s">
        <v>1235</v>
      </c>
      <c r="E83" s="10" t="s">
        <v>1132</v>
      </c>
      <c r="F83" s="10" t="s">
        <v>1133</v>
      </c>
      <c r="G83" s="32">
        <v>-268.52999999999997</v>
      </c>
      <c r="H83" s="32">
        <v>3933.06</v>
      </c>
      <c r="I83" s="69">
        <f t="shared" si="28"/>
        <v>3107.1174000000001</v>
      </c>
      <c r="J83" s="75">
        <v>0.26644000000000001</v>
      </c>
      <c r="K83" s="69">
        <f t="shared" si="26"/>
        <v>756.31322685600014</v>
      </c>
      <c r="L83" s="78">
        <f t="shared" si="27"/>
        <v>52.396225320000006</v>
      </c>
      <c r="M83" s="61">
        <v>0</v>
      </c>
      <c r="N83" s="61">
        <f t="shared" si="29"/>
        <v>41.916980255999995</v>
      </c>
      <c r="O83" s="61"/>
      <c r="P83" s="2"/>
      <c r="Q83" s="2"/>
      <c r="R83" s="32"/>
      <c r="S83" s="32"/>
      <c r="T83" s="32"/>
      <c r="U83" s="32"/>
      <c r="V83" s="2"/>
      <c r="W83" s="2"/>
      <c r="X83" s="2"/>
      <c r="Y83" s="2"/>
      <c r="Z83" s="2"/>
    </row>
    <row r="84" spans="1:26" ht="13.8" x14ac:dyDescent="0.3">
      <c r="A84" s="32" t="s">
        <v>317</v>
      </c>
      <c r="B84" s="29" t="s">
        <v>35</v>
      </c>
      <c r="C84" s="10" t="s">
        <v>1234</v>
      </c>
      <c r="D84" s="10" t="s">
        <v>1235</v>
      </c>
      <c r="E84" s="10" t="s">
        <v>1236</v>
      </c>
      <c r="F84" s="86" t="s">
        <v>1237</v>
      </c>
      <c r="G84" s="69">
        <v>795.06</v>
      </c>
      <c r="H84" s="69">
        <v>356.67</v>
      </c>
      <c r="I84" s="69">
        <f t="shared" si="28"/>
        <v>281.76930000000004</v>
      </c>
      <c r="J84" s="75">
        <v>0.26644000000000001</v>
      </c>
      <c r="K84" s="69">
        <f t="shared" si="26"/>
        <v>286.910398692</v>
      </c>
      <c r="L84" s="78">
        <f t="shared" si="27"/>
        <v>4.75155774</v>
      </c>
      <c r="M84" s="61">
        <v>0</v>
      </c>
      <c r="N84" s="61">
        <f t="shared" si="29"/>
        <v>3.8012461920000007</v>
      </c>
      <c r="O84" s="61"/>
      <c r="P84" s="2"/>
      <c r="Q84" s="2"/>
      <c r="R84" s="32"/>
      <c r="S84" s="32"/>
      <c r="T84" s="32"/>
      <c r="U84" s="32"/>
      <c r="V84" s="2"/>
      <c r="W84" s="2"/>
      <c r="X84" s="2"/>
      <c r="Y84" s="2"/>
      <c r="Z84" s="2"/>
    </row>
    <row r="85" spans="1:26" ht="13.8" x14ac:dyDescent="0.3">
      <c r="A85" s="32" t="s">
        <v>317</v>
      </c>
      <c r="B85" s="29" t="s">
        <v>35</v>
      </c>
      <c r="C85" s="10" t="s">
        <v>1118</v>
      </c>
      <c r="D85" s="10" t="s">
        <v>1119</v>
      </c>
      <c r="E85" s="10" t="s">
        <v>1120</v>
      </c>
      <c r="F85" s="86" t="s">
        <v>1121</v>
      </c>
      <c r="G85" s="69">
        <v>149.22</v>
      </c>
      <c r="H85" s="69">
        <v>37.44</v>
      </c>
      <c r="I85" s="69">
        <f t="shared" si="28"/>
        <v>29.5776</v>
      </c>
      <c r="J85" s="75">
        <v>0.26644000000000001</v>
      </c>
      <c r="K85" s="69">
        <f t="shared" si="26"/>
        <v>47.638832543999996</v>
      </c>
      <c r="L85" s="78">
        <f t="shared" si="27"/>
        <v>0.49877568</v>
      </c>
      <c r="M85" s="61">
        <v>0</v>
      </c>
      <c r="N85" s="61">
        <f t="shared" si="29"/>
        <v>0.39902054400000003</v>
      </c>
      <c r="O85" s="61"/>
      <c r="P85" s="2"/>
      <c r="Q85" s="2"/>
      <c r="R85" s="32"/>
      <c r="S85" s="32"/>
      <c r="T85" s="32"/>
      <c r="U85" s="32"/>
      <c r="V85" s="2"/>
      <c r="W85" s="2"/>
      <c r="X85" s="2"/>
      <c r="Y85" s="2"/>
      <c r="Z85" s="2"/>
    </row>
    <row r="86" spans="1:26" ht="13.8" x14ac:dyDescent="0.3">
      <c r="A86" s="32" t="s">
        <v>317</v>
      </c>
      <c r="B86" s="29" t="s">
        <v>35</v>
      </c>
      <c r="C86" s="10" t="s">
        <v>1118</v>
      </c>
      <c r="D86" s="10" t="s">
        <v>1119</v>
      </c>
      <c r="E86" s="10" t="s">
        <v>1123</v>
      </c>
      <c r="F86" s="86" t="s">
        <v>1124</v>
      </c>
      <c r="G86" s="69">
        <v>316.81</v>
      </c>
      <c r="H86" s="69">
        <v>85.98</v>
      </c>
      <c r="I86" s="69">
        <f t="shared" si="28"/>
        <v>67.924200000000013</v>
      </c>
      <c r="J86" s="75">
        <v>0.26644000000000001</v>
      </c>
      <c r="K86" s="69">
        <f t="shared" si="26"/>
        <v>102.508580248</v>
      </c>
      <c r="L86" s="78">
        <f t="shared" si="27"/>
        <v>1.1454255600000001</v>
      </c>
      <c r="M86" s="61">
        <v>0</v>
      </c>
      <c r="N86" s="61">
        <f t="shared" si="29"/>
        <v>0.91634044800000003</v>
      </c>
      <c r="O86" s="61"/>
      <c r="P86" s="2"/>
      <c r="Q86" s="2"/>
      <c r="R86" s="32"/>
      <c r="S86" s="32"/>
      <c r="T86" s="32"/>
      <c r="U86" s="32"/>
      <c r="V86" s="2"/>
      <c r="W86" s="2"/>
      <c r="X86" s="2"/>
      <c r="Y86" s="2"/>
      <c r="Z86" s="2"/>
    </row>
    <row r="87" spans="1:26" ht="13.8" x14ac:dyDescent="0.3">
      <c r="A87" s="32" t="s">
        <v>317</v>
      </c>
      <c r="B87" s="29" t="s">
        <v>35</v>
      </c>
      <c r="C87" s="10" t="s">
        <v>1126</v>
      </c>
      <c r="D87" s="10" t="s">
        <v>1127</v>
      </c>
      <c r="E87" s="10" t="s">
        <v>1135</v>
      </c>
      <c r="F87" s="86" t="s">
        <v>1136</v>
      </c>
      <c r="G87" s="69">
        <v>2880.06</v>
      </c>
      <c r="H87" s="69">
        <v>391.07</v>
      </c>
      <c r="I87" s="69">
        <f t="shared" si="28"/>
        <v>308.94530000000003</v>
      </c>
      <c r="J87" s="75">
        <v>0.26644000000000001</v>
      </c>
      <c r="K87" s="69">
        <f t="shared" si="26"/>
        <v>849.678572132</v>
      </c>
      <c r="L87" s="78">
        <f t="shared" si="27"/>
        <v>5.2098345400000001</v>
      </c>
      <c r="M87" s="61">
        <v>0</v>
      </c>
      <c r="N87" s="61">
        <f t="shared" si="29"/>
        <v>4.1678676320000001</v>
      </c>
      <c r="O87" s="61"/>
      <c r="P87" s="2"/>
      <c r="Q87" s="2"/>
      <c r="R87" s="32"/>
      <c r="S87" s="32"/>
      <c r="T87" s="32"/>
      <c r="U87" s="32"/>
      <c r="V87" s="2"/>
      <c r="W87" s="2"/>
      <c r="X87" s="2"/>
      <c r="Y87" s="2"/>
      <c r="Z87" s="2"/>
    </row>
    <row r="88" spans="1:26" ht="13.8" x14ac:dyDescent="0.3">
      <c r="A88" s="32" t="s">
        <v>317</v>
      </c>
      <c r="B88" s="29" t="s">
        <v>35</v>
      </c>
      <c r="C88" s="10" t="s">
        <v>1138</v>
      </c>
      <c r="D88" s="10" t="s">
        <v>1139</v>
      </c>
      <c r="E88" s="10" t="s">
        <v>1140</v>
      </c>
      <c r="F88" s="86" t="s">
        <v>1141</v>
      </c>
      <c r="G88" s="69">
        <v>-5</v>
      </c>
      <c r="H88" s="69">
        <v>0</v>
      </c>
      <c r="I88" s="69">
        <f t="shared" si="28"/>
        <v>0</v>
      </c>
      <c r="J88" s="75">
        <v>0.26644000000000001</v>
      </c>
      <c r="K88" s="69">
        <f t="shared" si="26"/>
        <v>-1.3322000000000001</v>
      </c>
      <c r="L88" s="78">
        <f t="shared" si="27"/>
        <v>0</v>
      </c>
      <c r="M88" s="61">
        <v>0</v>
      </c>
      <c r="N88" s="61">
        <f t="shared" si="29"/>
        <v>0</v>
      </c>
      <c r="O88" s="61"/>
      <c r="P88" s="2"/>
      <c r="Q88" s="2"/>
      <c r="R88" s="32"/>
      <c r="S88" s="32"/>
      <c r="T88" s="32"/>
      <c r="U88" s="32"/>
      <c r="V88" s="2"/>
      <c r="W88" s="2"/>
      <c r="X88" s="2"/>
      <c r="Y88" s="2"/>
      <c r="Z88" s="2"/>
    </row>
    <row r="89" spans="1:26" ht="13.8" x14ac:dyDescent="0.3">
      <c r="A89" s="32" t="s">
        <v>317</v>
      </c>
      <c r="B89" s="29" t="s">
        <v>35</v>
      </c>
      <c r="C89" s="10" t="s">
        <v>1138</v>
      </c>
      <c r="D89" s="10" t="s">
        <v>1139</v>
      </c>
      <c r="E89" s="10" t="s">
        <v>1238</v>
      </c>
      <c r="F89" s="86" t="s">
        <v>1239</v>
      </c>
      <c r="G89" s="69">
        <v>683.94</v>
      </c>
      <c r="H89" s="69">
        <v>92.67</v>
      </c>
      <c r="I89" s="69">
        <f t="shared" si="28"/>
        <v>73.209299999999999</v>
      </c>
      <c r="J89" s="75">
        <v>0.26644000000000001</v>
      </c>
      <c r="K89" s="69">
        <f t="shared" si="26"/>
        <v>201.73485949200003</v>
      </c>
      <c r="L89" s="78">
        <f t="shared" si="27"/>
        <v>1.2345497400000003</v>
      </c>
      <c r="M89" s="61">
        <v>0</v>
      </c>
      <c r="N89" s="61">
        <f t="shared" si="29"/>
        <v>0.98763979200000007</v>
      </c>
      <c r="O89" s="61"/>
      <c r="P89" s="2"/>
      <c r="Q89" s="2"/>
      <c r="R89" s="32"/>
      <c r="S89" s="32"/>
      <c r="T89" s="32"/>
      <c r="U89" s="32"/>
      <c r="V89" s="2"/>
      <c r="W89" s="2"/>
      <c r="X89" s="2"/>
      <c r="Y89" s="2"/>
      <c r="Z89" s="2"/>
    </row>
    <row r="90" spans="1:26" ht="13.8" x14ac:dyDescent="0.3">
      <c r="A90" s="32" t="s">
        <v>317</v>
      </c>
      <c r="B90" s="29" t="s">
        <v>35</v>
      </c>
      <c r="C90" s="10" t="s">
        <v>1138</v>
      </c>
      <c r="D90" s="10" t="s">
        <v>1139</v>
      </c>
      <c r="E90" s="10" t="s">
        <v>1143</v>
      </c>
      <c r="F90" s="86" t="s">
        <v>1144</v>
      </c>
      <c r="G90" s="69">
        <v>41.84</v>
      </c>
      <c r="H90" s="69">
        <v>100.06</v>
      </c>
      <c r="I90" s="69">
        <f t="shared" si="28"/>
        <v>79.04740000000001</v>
      </c>
      <c r="J90" s="75">
        <v>0.26644000000000001</v>
      </c>
      <c r="K90" s="69">
        <f t="shared" si="26"/>
        <v>32.209238856000006</v>
      </c>
      <c r="L90" s="78">
        <f t="shared" si="27"/>
        <v>1.3329993200000001</v>
      </c>
      <c r="M90" s="61">
        <v>0</v>
      </c>
      <c r="N90" s="61">
        <f t="shared" si="29"/>
        <v>1.0663994560000001</v>
      </c>
      <c r="O90" s="61"/>
      <c r="P90" s="2"/>
      <c r="Q90" s="2"/>
      <c r="R90" s="32"/>
      <c r="S90" s="32"/>
      <c r="T90" s="32"/>
      <c r="U90" s="32"/>
      <c r="V90" s="2"/>
      <c r="W90" s="2"/>
      <c r="X90" s="2"/>
      <c r="Y90" s="2"/>
      <c r="Z90" s="2"/>
    </row>
    <row r="91" spans="1:26" ht="13.8" x14ac:dyDescent="0.3">
      <c r="A91" s="32" t="s">
        <v>317</v>
      </c>
      <c r="B91" s="29" t="s">
        <v>35</v>
      </c>
      <c r="C91" s="10" t="s">
        <v>1138</v>
      </c>
      <c r="D91" s="10" t="s">
        <v>1139</v>
      </c>
      <c r="E91" s="10" t="s">
        <v>1240</v>
      </c>
      <c r="F91" s="86" t="s">
        <v>1241</v>
      </c>
      <c r="G91" s="69">
        <v>-665.74</v>
      </c>
      <c r="H91" s="69">
        <v>110.81</v>
      </c>
      <c r="I91" s="69">
        <f t="shared" si="28"/>
        <v>87.539900000000003</v>
      </c>
      <c r="J91" s="75">
        <v>0.26644000000000001</v>
      </c>
      <c r="K91" s="69">
        <f t="shared" si="26"/>
        <v>-154.05563464400001</v>
      </c>
      <c r="L91" s="78">
        <f t="shared" si="27"/>
        <v>1.4762108200000001</v>
      </c>
      <c r="M91" s="61">
        <v>0</v>
      </c>
      <c r="N91" s="61">
        <f t="shared" si="29"/>
        <v>1.1809686560000001</v>
      </c>
      <c r="O91" s="61"/>
      <c r="P91" s="2"/>
      <c r="Q91" s="2"/>
      <c r="R91" s="32"/>
      <c r="S91" s="32"/>
      <c r="T91" s="32"/>
      <c r="U91" s="32"/>
      <c r="V91" s="2"/>
      <c r="W91" s="2"/>
      <c r="X91" s="2"/>
      <c r="Y91" s="2"/>
      <c r="Z91" s="2"/>
    </row>
    <row r="92" spans="1:26" ht="13.8" x14ac:dyDescent="0.3">
      <c r="A92" s="32" t="s">
        <v>317</v>
      </c>
      <c r="B92" s="29" t="s">
        <v>35</v>
      </c>
      <c r="C92" s="10" t="s">
        <v>1138</v>
      </c>
      <c r="D92" s="10" t="s">
        <v>1139</v>
      </c>
      <c r="E92" s="10" t="s">
        <v>1242</v>
      </c>
      <c r="F92" s="10" t="s">
        <v>1243</v>
      </c>
      <c r="G92" s="32">
        <v>-5</v>
      </c>
      <c r="H92" s="32">
        <v>0</v>
      </c>
      <c r="I92" s="69">
        <f t="shared" si="28"/>
        <v>0</v>
      </c>
      <c r="J92" s="75">
        <v>0.26644000000000001</v>
      </c>
      <c r="K92" s="69">
        <f t="shared" si="26"/>
        <v>-1.3322000000000001</v>
      </c>
      <c r="L92" s="78">
        <f t="shared" si="27"/>
        <v>0</v>
      </c>
      <c r="M92" s="61">
        <v>0</v>
      </c>
      <c r="N92" s="61">
        <f t="shared" si="29"/>
        <v>0</v>
      </c>
      <c r="O92" s="61"/>
      <c r="P92" s="2"/>
      <c r="Q92" s="2"/>
      <c r="R92" s="32"/>
      <c r="S92" s="32"/>
      <c r="T92" s="32"/>
      <c r="U92" s="32"/>
      <c r="V92" s="2"/>
      <c r="W92" s="2"/>
      <c r="X92" s="2"/>
      <c r="Y92" s="2"/>
      <c r="Z92" s="2"/>
    </row>
    <row r="93" spans="1:26" ht="13.8" x14ac:dyDescent="0.3">
      <c r="A93" s="32" t="s">
        <v>317</v>
      </c>
      <c r="B93" s="29" t="s">
        <v>35</v>
      </c>
      <c r="C93" s="10" t="s">
        <v>1138</v>
      </c>
      <c r="D93" s="10" t="s">
        <v>1139</v>
      </c>
      <c r="E93" s="10" t="s">
        <v>1244</v>
      </c>
      <c r="F93" s="86" t="s">
        <v>1245</v>
      </c>
      <c r="G93" s="69">
        <v>-357.3</v>
      </c>
      <c r="H93" s="69">
        <v>31.55</v>
      </c>
      <c r="I93" s="69">
        <f t="shared" si="28"/>
        <v>24.924500000000002</v>
      </c>
      <c r="J93" s="75">
        <v>0.26644000000000001</v>
      </c>
      <c r="K93" s="69">
        <f t="shared" si="26"/>
        <v>-88.55812822</v>
      </c>
      <c r="L93" s="78">
        <f t="shared" si="27"/>
        <v>0.42030910000000005</v>
      </c>
      <c r="M93" s="61">
        <v>0</v>
      </c>
      <c r="N93" s="61">
        <f t="shared" si="29"/>
        <v>0.33624728000000004</v>
      </c>
      <c r="O93" s="61"/>
      <c r="P93" s="2"/>
      <c r="Q93" s="2"/>
      <c r="R93" s="32"/>
      <c r="S93" s="32"/>
      <c r="T93" s="32"/>
      <c r="U93" s="32"/>
      <c r="V93" s="2"/>
      <c r="W93" s="2"/>
      <c r="X93" s="2"/>
      <c r="Y93" s="2"/>
      <c r="Z93" s="2"/>
    </row>
    <row r="94" spans="1:26" ht="13.8" x14ac:dyDescent="0.3">
      <c r="A94" s="32" t="s">
        <v>317</v>
      </c>
      <c r="B94" s="29" t="s">
        <v>35</v>
      </c>
      <c r="C94" s="10" t="s">
        <v>1138</v>
      </c>
      <c r="D94" s="10" t="s">
        <v>1139</v>
      </c>
      <c r="E94" s="10" t="s">
        <v>1246</v>
      </c>
      <c r="F94" s="86" t="s">
        <v>1247</v>
      </c>
      <c r="G94" s="69">
        <v>-241.3</v>
      </c>
      <c r="H94" s="69">
        <v>20.67</v>
      </c>
      <c r="I94" s="69">
        <f t="shared" si="28"/>
        <v>16.329300000000003</v>
      </c>
      <c r="J94" s="75">
        <v>0.26644000000000001</v>
      </c>
      <c r="K94" s="69">
        <f t="shared" si="26"/>
        <v>-59.94119330800001</v>
      </c>
      <c r="L94" s="78">
        <f t="shared" si="27"/>
        <v>0.27536574000000003</v>
      </c>
      <c r="M94" s="61">
        <v>0</v>
      </c>
      <c r="N94" s="61">
        <f t="shared" si="29"/>
        <v>0.22029259200000004</v>
      </c>
      <c r="O94" s="61"/>
      <c r="P94" s="2"/>
      <c r="Q94" s="2"/>
      <c r="R94" s="32"/>
      <c r="S94" s="32"/>
      <c r="T94" s="32"/>
      <c r="U94" s="32"/>
      <c r="V94" s="2"/>
      <c r="W94" s="2"/>
      <c r="X94" s="2"/>
      <c r="Y94" s="2"/>
      <c r="Z94" s="2"/>
    </row>
    <row r="95" spans="1:26" ht="13.8" x14ac:dyDescent="0.3">
      <c r="A95" s="32" t="s">
        <v>317</v>
      </c>
      <c r="B95" s="29" t="s">
        <v>35</v>
      </c>
      <c r="C95" s="10" t="s">
        <v>1248</v>
      </c>
      <c r="D95" s="86" t="s">
        <v>1249</v>
      </c>
      <c r="E95" s="10" t="s">
        <v>1248</v>
      </c>
      <c r="F95" s="86" t="s">
        <v>1249</v>
      </c>
      <c r="G95" s="69">
        <v>897.09</v>
      </c>
      <c r="H95" s="69">
        <v>401.05</v>
      </c>
      <c r="I95" s="69">
        <f t="shared" si="28"/>
        <v>316.8295</v>
      </c>
      <c r="J95" s="75">
        <v>0.26644000000000001</v>
      </c>
      <c r="K95" s="69">
        <f t="shared" si="26"/>
        <v>323.43671158000001</v>
      </c>
      <c r="L95" s="78">
        <f t="shared" si="27"/>
        <v>5.3427881000000008</v>
      </c>
      <c r="M95" s="61">
        <v>0</v>
      </c>
      <c r="N95" s="61">
        <f t="shared" si="29"/>
        <v>4.2742304800000008</v>
      </c>
      <c r="O95" s="61"/>
      <c r="P95" s="2"/>
      <c r="Q95" s="2"/>
      <c r="R95" s="32"/>
      <c r="S95" s="32"/>
      <c r="T95" s="32"/>
      <c r="U95" s="32"/>
      <c r="V95" s="2"/>
      <c r="W95" s="2"/>
      <c r="X95" s="2"/>
      <c r="Y95" s="2"/>
      <c r="Z95" s="2"/>
    </row>
    <row r="96" spans="1:26" ht="13.8" x14ac:dyDescent="0.3">
      <c r="A96" s="32" t="s">
        <v>317</v>
      </c>
      <c r="B96" s="2" t="s">
        <v>186</v>
      </c>
      <c r="C96" s="10" t="s">
        <v>15</v>
      </c>
      <c r="D96" s="10" t="s">
        <v>15</v>
      </c>
      <c r="E96" s="10">
        <v>1714680</v>
      </c>
      <c r="F96" s="76" t="s">
        <v>535</v>
      </c>
      <c r="G96" s="69">
        <v>-34283.089999999997</v>
      </c>
      <c r="H96" s="69">
        <v>5776.78</v>
      </c>
      <c r="I96" s="69">
        <v>0</v>
      </c>
      <c r="J96" s="70">
        <v>1</v>
      </c>
      <c r="K96" s="69">
        <f>(-H96*0.4*0.15+G96*0.25)*J96*0.3+(H96*0.1*0.85+H96*0.5*0.25)*J96*0.3</f>
        <v>-2311.2766499999993</v>
      </c>
      <c r="L96" s="79" t="s">
        <v>468</v>
      </c>
      <c r="M96" s="61">
        <v>0</v>
      </c>
      <c r="N96" s="61">
        <v>0</v>
      </c>
      <c r="O96" s="61"/>
      <c r="P96" s="2"/>
      <c r="Q96" s="2"/>
      <c r="R96" s="32"/>
      <c r="S96" s="32"/>
      <c r="T96" s="32"/>
      <c r="U96" s="32"/>
      <c r="V96" s="2"/>
      <c r="W96" s="2"/>
      <c r="X96" s="2"/>
      <c r="Y96" s="2"/>
      <c r="Z96" s="2"/>
    </row>
    <row r="97" spans="1:26" ht="13.8" x14ac:dyDescent="0.3">
      <c r="A97" s="32" t="s">
        <v>317</v>
      </c>
      <c r="B97" s="2" t="s">
        <v>186</v>
      </c>
      <c r="C97" s="10">
        <v>1792134</v>
      </c>
      <c r="D97" s="10" t="s">
        <v>1161</v>
      </c>
      <c r="E97" s="10">
        <v>1792134</v>
      </c>
      <c r="F97" s="10" t="s">
        <v>1161</v>
      </c>
      <c r="G97" s="69">
        <v>-345.3</v>
      </c>
      <c r="H97" s="69">
        <v>56.83</v>
      </c>
      <c r="I97" s="69">
        <f t="shared" ref="I97:I110" si="30">H97*0.5</f>
        <v>28.414999999999999</v>
      </c>
      <c r="J97" s="70">
        <v>1</v>
      </c>
      <c r="K97" s="69">
        <f t="shared" ref="K97:K110" si="31">(G97+I97)*J97*0.85+(-H97*0.4*0.15)*J97*0.3+H97*0.1*0.85*J97*0.3</f>
        <v>-268.92602499999998</v>
      </c>
      <c r="L97" s="79" t="s">
        <v>468</v>
      </c>
      <c r="M97" s="61">
        <f t="shared" ref="M97:M110" si="32">(-H97*0.4*0.15)*J97*0.7-(-H97*0.05*0.15)*J97</f>
        <v>-1.9606349999999995</v>
      </c>
      <c r="N97" s="61">
        <f t="shared" ref="N97:N110" si="33">H97*0.1*0.85*J97*0.7+H97*0.05*0.85*J97</f>
        <v>5.7966599999999993</v>
      </c>
      <c r="O97" s="61"/>
      <c r="P97" s="2"/>
      <c r="Q97" s="2"/>
      <c r="R97" s="32"/>
      <c r="S97" s="32"/>
      <c r="T97" s="32"/>
      <c r="U97" s="32"/>
      <c r="V97" s="2"/>
      <c r="W97" s="2"/>
      <c r="X97" s="2"/>
      <c r="Y97" s="2"/>
      <c r="Z97" s="2"/>
    </row>
    <row r="98" spans="1:26" ht="13.8" x14ac:dyDescent="0.3">
      <c r="A98" s="32" t="s">
        <v>317</v>
      </c>
      <c r="B98" s="2" t="s">
        <v>186</v>
      </c>
      <c r="C98" s="10">
        <v>2304025</v>
      </c>
      <c r="D98" s="10" t="s">
        <v>1162</v>
      </c>
      <c r="E98" s="10">
        <v>2314526</v>
      </c>
      <c r="F98" s="10" t="s">
        <v>1163</v>
      </c>
      <c r="G98" s="69">
        <v>-58</v>
      </c>
      <c r="H98" s="69">
        <v>137.41</v>
      </c>
      <c r="I98" s="69">
        <f t="shared" si="30"/>
        <v>68.704999999999998</v>
      </c>
      <c r="J98" s="70">
        <v>1</v>
      </c>
      <c r="K98" s="69">
        <f t="shared" si="31"/>
        <v>10.129824999999997</v>
      </c>
      <c r="L98" s="79" t="s">
        <v>468</v>
      </c>
      <c r="M98" s="61">
        <f t="shared" si="32"/>
        <v>-4.7406449999999998</v>
      </c>
      <c r="N98" s="61">
        <f t="shared" si="33"/>
        <v>14.015819999999998</v>
      </c>
      <c r="O98" s="61"/>
      <c r="P98" s="2"/>
      <c r="Q98" s="2"/>
      <c r="R98" s="32"/>
      <c r="S98" s="32"/>
      <c r="T98" s="32"/>
      <c r="U98" s="32"/>
      <c r="V98" s="2"/>
      <c r="W98" s="2"/>
      <c r="X98" s="2"/>
      <c r="Y98" s="2"/>
      <c r="Z98" s="2"/>
    </row>
    <row r="99" spans="1:26" ht="13.8" x14ac:dyDescent="0.3">
      <c r="A99" s="32" t="s">
        <v>317</v>
      </c>
      <c r="B99" s="2" t="s">
        <v>186</v>
      </c>
      <c r="C99" s="10">
        <v>2304025</v>
      </c>
      <c r="D99" s="10" t="s">
        <v>1162</v>
      </c>
      <c r="E99" s="10">
        <v>2319819</v>
      </c>
      <c r="F99" s="10" t="s">
        <v>1165</v>
      </c>
      <c r="G99" s="69">
        <v>155.34</v>
      </c>
      <c r="H99" s="69">
        <v>65.41</v>
      </c>
      <c r="I99" s="69">
        <f t="shared" si="30"/>
        <v>32.704999999999998</v>
      </c>
      <c r="J99" s="70">
        <v>1</v>
      </c>
      <c r="K99" s="69">
        <f t="shared" si="31"/>
        <v>160.32882500000002</v>
      </c>
      <c r="L99" s="79" t="s">
        <v>468</v>
      </c>
      <c r="M99" s="61">
        <f t="shared" si="32"/>
        <v>-2.2566449999999998</v>
      </c>
      <c r="N99" s="61">
        <f t="shared" si="33"/>
        <v>6.6718200000000003</v>
      </c>
      <c r="O99" s="61"/>
      <c r="P99" s="2"/>
      <c r="Q99" s="2"/>
      <c r="R99" s="32"/>
      <c r="S99" s="32"/>
      <c r="T99" s="32"/>
      <c r="U99" s="32"/>
      <c r="V99" s="2"/>
      <c r="W99" s="2"/>
      <c r="X99" s="2"/>
      <c r="Y99" s="2"/>
      <c r="Z99" s="2"/>
    </row>
    <row r="100" spans="1:26" ht="13.8" x14ac:dyDescent="0.3">
      <c r="A100" s="32" t="s">
        <v>317</v>
      </c>
      <c r="B100" s="2" t="s">
        <v>186</v>
      </c>
      <c r="C100" s="10">
        <v>2304025</v>
      </c>
      <c r="D100" s="10" t="s">
        <v>1162</v>
      </c>
      <c r="E100" s="10">
        <v>2380008</v>
      </c>
      <c r="F100" s="10" t="s">
        <v>1192</v>
      </c>
      <c r="G100" s="69">
        <v>23.6</v>
      </c>
      <c r="H100" s="69">
        <v>6.72</v>
      </c>
      <c r="I100" s="69">
        <f t="shared" si="30"/>
        <v>3.36</v>
      </c>
      <c r="J100" s="70">
        <v>1</v>
      </c>
      <c r="K100" s="69">
        <f t="shared" si="31"/>
        <v>22.9664</v>
      </c>
      <c r="L100" s="79" t="s">
        <v>468</v>
      </c>
      <c r="M100" s="61">
        <f t="shared" si="32"/>
        <v>-0.23183999999999999</v>
      </c>
      <c r="N100" s="61">
        <f t="shared" si="33"/>
        <v>0.68544000000000005</v>
      </c>
      <c r="O100" s="61"/>
      <c r="P100" s="2"/>
      <c r="Q100" s="2"/>
      <c r="R100" s="32"/>
      <c r="S100" s="32"/>
      <c r="T100" s="32"/>
      <c r="U100" s="32"/>
      <c r="V100" s="2"/>
      <c r="W100" s="2"/>
      <c r="X100" s="2"/>
      <c r="Y100" s="2"/>
      <c r="Z100" s="2"/>
    </row>
    <row r="101" spans="1:26" ht="13.8" x14ac:dyDescent="0.3">
      <c r="A101" s="32" t="s">
        <v>317</v>
      </c>
      <c r="B101" s="2" t="s">
        <v>186</v>
      </c>
      <c r="C101" s="10">
        <v>2304025</v>
      </c>
      <c r="D101" s="10" t="s">
        <v>1162</v>
      </c>
      <c r="E101" s="10">
        <v>2391366</v>
      </c>
      <c r="F101" s="10" t="s">
        <v>1168</v>
      </c>
      <c r="G101" s="32">
        <v>-409.49</v>
      </c>
      <c r="H101" s="32">
        <v>25.33</v>
      </c>
      <c r="I101" s="69">
        <f t="shared" si="30"/>
        <v>12.664999999999999</v>
      </c>
      <c r="J101" s="70">
        <v>1</v>
      </c>
      <c r="K101" s="69">
        <f t="shared" si="31"/>
        <v>-337.11127499999998</v>
      </c>
      <c r="L101" s="79" t="s">
        <v>468</v>
      </c>
      <c r="M101" s="61">
        <f t="shared" si="32"/>
        <v>-0.8738849999999998</v>
      </c>
      <c r="N101" s="61">
        <f t="shared" si="33"/>
        <v>2.5836600000000001</v>
      </c>
      <c r="O101" s="61"/>
      <c r="P101" s="2"/>
      <c r="Q101" s="2"/>
      <c r="R101" s="32"/>
      <c r="S101" s="32"/>
      <c r="T101" s="32"/>
      <c r="U101" s="32"/>
      <c r="V101" s="2"/>
      <c r="W101" s="2"/>
      <c r="X101" s="2"/>
      <c r="Y101" s="2"/>
      <c r="Z101" s="2"/>
    </row>
    <row r="102" spans="1:26" ht="13.8" x14ac:dyDescent="0.3">
      <c r="A102" s="32" t="s">
        <v>317</v>
      </c>
      <c r="B102" s="2" t="s">
        <v>186</v>
      </c>
      <c r="C102" s="10">
        <v>2304025</v>
      </c>
      <c r="D102" s="10" t="s">
        <v>1162</v>
      </c>
      <c r="E102" s="10">
        <v>2404347</v>
      </c>
      <c r="F102" s="10" t="s">
        <v>1169</v>
      </c>
      <c r="G102" s="69">
        <v>-83.51</v>
      </c>
      <c r="H102" s="69">
        <v>26.78</v>
      </c>
      <c r="I102" s="69">
        <f t="shared" si="30"/>
        <v>13.39</v>
      </c>
      <c r="J102" s="70">
        <v>1</v>
      </c>
      <c r="K102" s="69">
        <f t="shared" si="31"/>
        <v>-59.401150000000001</v>
      </c>
      <c r="L102" s="79" t="s">
        <v>468</v>
      </c>
      <c r="M102" s="61">
        <f t="shared" si="32"/>
        <v>-0.92391000000000001</v>
      </c>
      <c r="N102" s="61">
        <f t="shared" si="33"/>
        <v>2.7315600000000004</v>
      </c>
      <c r="O102" s="61"/>
      <c r="P102" s="2"/>
      <c r="Q102" s="2"/>
      <c r="R102" s="32"/>
      <c r="S102" s="32"/>
      <c r="T102" s="32"/>
      <c r="U102" s="32"/>
      <c r="V102" s="2"/>
      <c r="W102" s="2"/>
      <c r="X102" s="2"/>
      <c r="Y102" s="2"/>
      <c r="Z102" s="2"/>
    </row>
    <row r="103" spans="1:26" ht="13.8" x14ac:dyDescent="0.3">
      <c r="A103" s="32" t="s">
        <v>317</v>
      </c>
      <c r="B103" s="2" t="s">
        <v>186</v>
      </c>
      <c r="C103" s="10">
        <v>2304025</v>
      </c>
      <c r="D103" s="10" t="s">
        <v>1162</v>
      </c>
      <c r="E103" s="10">
        <v>2420208</v>
      </c>
      <c r="F103" s="10" t="s">
        <v>1170</v>
      </c>
      <c r="G103" s="69">
        <v>193.6</v>
      </c>
      <c r="H103" s="69">
        <v>109.92</v>
      </c>
      <c r="I103" s="69">
        <f t="shared" si="30"/>
        <v>54.96</v>
      </c>
      <c r="J103" s="70">
        <v>1</v>
      </c>
      <c r="K103" s="69">
        <f t="shared" si="31"/>
        <v>212.10040000000004</v>
      </c>
      <c r="L103" s="79" t="s">
        <v>468</v>
      </c>
      <c r="M103" s="61">
        <f t="shared" si="32"/>
        <v>-3.7922399999999996</v>
      </c>
      <c r="N103" s="61">
        <f t="shared" si="33"/>
        <v>11.211840000000002</v>
      </c>
      <c r="O103" s="61"/>
      <c r="P103" s="2"/>
      <c r="Q103" s="2"/>
      <c r="R103" s="32"/>
      <c r="S103" s="32"/>
      <c r="T103" s="32"/>
      <c r="U103" s="32"/>
      <c r="V103" s="2"/>
      <c r="W103" s="2"/>
      <c r="X103" s="2"/>
      <c r="Y103" s="2"/>
      <c r="Z103" s="2"/>
    </row>
    <row r="104" spans="1:26" ht="13.8" x14ac:dyDescent="0.3">
      <c r="A104" s="32" t="s">
        <v>317</v>
      </c>
      <c r="B104" s="2" t="s">
        <v>186</v>
      </c>
      <c r="C104" s="10">
        <v>2304025</v>
      </c>
      <c r="D104" s="10" t="s">
        <v>1162</v>
      </c>
      <c r="E104" s="10">
        <v>2471540</v>
      </c>
      <c r="F104" s="10" t="s">
        <v>1172</v>
      </c>
      <c r="G104" s="69">
        <v>248.02</v>
      </c>
      <c r="H104" s="69">
        <v>181.29</v>
      </c>
      <c r="I104" s="69">
        <f t="shared" si="30"/>
        <v>90.644999999999996</v>
      </c>
      <c r="J104" s="70">
        <v>1</v>
      </c>
      <c r="K104" s="69">
        <f t="shared" si="31"/>
        <v>289.22492499999998</v>
      </c>
      <c r="L104" s="79" t="s">
        <v>468</v>
      </c>
      <c r="M104" s="61">
        <f t="shared" si="32"/>
        <v>-6.2545049999999991</v>
      </c>
      <c r="N104" s="61">
        <f t="shared" si="33"/>
        <v>18.491579999999999</v>
      </c>
      <c r="O104" s="61"/>
      <c r="P104" s="2"/>
      <c r="Q104" s="2"/>
      <c r="R104" s="32"/>
      <c r="S104" s="32"/>
      <c r="T104" s="32"/>
      <c r="U104" s="32"/>
      <c r="V104" s="2"/>
      <c r="W104" s="2"/>
      <c r="X104" s="2"/>
      <c r="Y104" s="2"/>
      <c r="Z104" s="2"/>
    </row>
    <row r="105" spans="1:26" ht="13.8" x14ac:dyDescent="0.3">
      <c r="A105" s="32" t="s">
        <v>317</v>
      </c>
      <c r="B105" s="2" t="s">
        <v>186</v>
      </c>
      <c r="C105" s="10">
        <v>2304025</v>
      </c>
      <c r="D105" s="10" t="s">
        <v>1162</v>
      </c>
      <c r="E105" s="10">
        <v>2493795</v>
      </c>
      <c r="F105" s="10" t="s">
        <v>1174</v>
      </c>
      <c r="G105" s="69">
        <v>207.62</v>
      </c>
      <c r="H105" s="69">
        <v>18.55</v>
      </c>
      <c r="I105" s="69">
        <f t="shared" si="30"/>
        <v>9.2750000000000004</v>
      </c>
      <c r="J105" s="70">
        <v>1</v>
      </c>
      <c r="K105" s="69">
        <f t="shared" si="31"/>
        <v>184.499875</v>
      </c>
      <c r="L105" s="79" t="s">
        <v>468</v>
      </c>
      <c r="M105" s="61">
        <f t="shared" si="32"/>
        <v>-0.63997499999999996</v>
      </c>
      <c r="N105" s="61">
        <f t="shared" si="33"/>
        <v>1.8921000000000001</v>
      </c>
      <c r="O105" s="61"/>
      <c r="P105" s="2"/>
      <c r="Q105" s="2"/>
      <c r="R105" s="32"/>
      <c r="S105" s="32"/>
      <c r="T105" s="32"/>
      <c r="U105" s="32"/>
      <c r="V105" s="2"/>
      <c r="W105" s="2"/>
      <c r="X105" s="2"/>
      <c r="Y105" s="2"/>
      <c r="Z105" s="2"/>
    </row>
    <row r="106" spans="1:26" ht="13.8" x14ac:dyDescent="0.3">
      <c r="A106" s="32" t="s">
        <v>317</v>
      </c>
      <c r="B106" s="2" t="s">
        <v>186</v>
      </c>
      <c r="C106" s="10">
        <v>2304025</v>
      </c>
      <c r="D106" s="10" t="s">
        <v>1162</v>
      </c>
      <c r="E106" s="10">
        <v>2523424</v>
      </c>
      <c r="F106" s="10" t="s">
        <v>1177</v>
      </c>
      <c r="G106" s="69">
        <v>-1.5</v>
      </c>
      <c r="H106" s="69">
        <v>0.11</v>
      </c>
      <c r="I106" s="69">
        <f t="shared" si="30"/>
        <v>5.5E-2</v>
      </c>
      <c r="J106" s="70">
        <v>1</v>
      </c>
      <c r="K106" s="69">
        <f t="shared" si="31"/>
        <v>-1.2274250000000002</v>
      </c>
      <c r="L106" s="79" t="s">
        <v>468</v>
      </c>
      <c r="M106" s="61">
        <f t="shared" si="32"/>
        <v>-3.7949999999999998E-3</v>
      </c>
      <c r="N106" s="61">
        <f t="shared" si="33"/>
        <v>1.1220000000000001E-2</v>
      </c>
      <c r="O106" s="61"/>
      <c r="P106" s="2"/>
      <c r="Q106" s="2"/>
      <c r="R106" s="32"/>
      <c r="S106" s="32"/>
      <c r="T106" s="32"/>
      <c r="U106" s="32"/>
      <c r="V106" s="2"/>
      <c r="W106" s="2"/>
      <c r="X106" s="2"/>
      <c r="Y106" s="2"/>
      <c r="Z106" s="2"/>
    </row>
    <row r="107" spans="1:26" ht="13.8" x14ac:dyDescent="0.3">
      <c r="A107" s="32" t="s">
        <v>317</v>
      </c>
      <c r="B107" s="2" t="s">
        <v>186</v>
      </c>
      <c r="C107" s="10">
        <v>2304025</v>
      </c>
      <c r="D107" s="10" t="s">
        <v>1162</v>
      </c>
      <c r="E107" s="10">
        <v>2531145</v>
      </c>
      <c r="F107" s="10" t="s">
        <v>1226</v>
      </c>
      <c r="G107" s="69">
        <v>549.66</v>
      </c>
      <c r="H107" s="69">
        <v>25.44</v>
      </c>
      <c r="I107" s="69">
        <f t="shared" si="30"/>
        <v>12.72</v>
      </c>
      <c r="J107" s="70">
        <v>1</v>
      </c>
      <c r="K107" s="69">
        <f t="shared" si="31"/>
        <v>478.21379999999999</v>
      </c>
      <c r="L107" s="79" t="s">
        <v>468</v>
      </c>
      <c r="M107" s="61">
        <f t="shared" si="32"/>
        <v>-0.87768000000000002</v>
      </c>
      <c r="N107" s="61">
        <f t="shared" si="33"/>
        <v>2.5948800000000003</v>
      </c>
      <c r="O107" s="61"/>
      <c r="P107" s="2"/>
      <c r="Q107" s="2"/>
      <c r="R107" s="32"/>
      <c r="S107" s="32"/>
      <c r="T107" s="32"/>
      <c r="U107" s="32"/>
      <c r="V107" s="2"/>
      <c r="W107" s="2"/>
      <c r="X107" s="2"/>
      <c r="Y107" s="2"/>
      <c r="Z107" s="2"/>
    </row>
    <row r="108" spans="1:26" ht="13.8" x14ac:dyDescent="0.3">
      <c r="A108" s="32" t="s">
        <v>317</v>
      </c>
      <c r="B108" s="2" t="s">
        <v>186</v>
      </c>
      <c r="C108" s="10">
        <v>2304025</v>
      </c>
      <c r="D108" s="10" t="s">
        <v>1162</v>
      </c>
      <c r="E108" s="10">
        <v>2535371</v>
      </c>
      <c r="F108" s="10" t="s">
        <v>1250</v>
      </c>
      <c r="G108" s="69">
        <v>-179.35</v>
      </c>
      <c r="H108" s="69">
        <v>10.33</v>
      </c>
      <c r="I108" s="69">
        <f t="shared" si="30"/>
        <v>5.165</v>
      </c>
      <c r="J108" s="70">
        <v>1</v>
      </c>
      <c r="K108" s="69">
        <f t="shared" si="31"/>
        <v>-147.97977499999999</v>
      </c>
      <c r="L108" s="79" t="s">
        <v>468</v>
      </c>
      <c r="M108" s="61">
        <f t="shared" si="32"/>
        <v>-0.35638499999999995</v>
      </c>
      <c r="N108" s="61">
        <f t="shared" si="33"/>
        <v>1.05366</v>
      </c>
      <c r="O108" s="61"/>
      <c r="P108" s="2"/>
      <c r="Q108" s="2"/>
      <c r="R108" s="32"/>
      <c r="S108" s="32"/>
      <c r="T108" s="32"/>
      <c r="U108" s="32"/>
      <c r="V108" s="2"/>
      <c r="W108" s="2"/>
      <c r="X108" s="2"/>
      <c r="Y108" s="2"/>
      <c r="Z108" s="2"/>
    </row>
    <row r="109" spans="1:26" ht="13.8" x14ac:dyDescent="0.3">
      <c r="A109" s="32" t="s">
        <v>317</v>
      </c>
      <c r="B109" s="2" t="s">
        <v>186</v>
      </c>
      <c r="C109" s="10">
        <v>2523689</v>
      </c>
      <c r="D109" s="10" t="s">
        <v>1179</v>
      </c>
      <c r="E109" s="10">
        <v>2523689</v>
      </c>
      <c r="F109" s="10" t="s">
        <v>1179</v>
      </c>
      <c r="G109" s="69">
        <v>-15.99</v>
      </c>
      <c r="H109" s="69">
        <v>5.69</v>
      </c>
      <c r="I109" s="69">
        <f t="shared" si="30"/>
        <v>2.8450000000000002</v>
      </c>
      <c r="J109" s="70">
        <v>1</v>
      </c>
      <c r="K109" s="69">
        <f t="shared" si="31"/>
        <v>-11.130575</v>
      </c>
      <c r="L109" s="79" t="s">
        <v>468</v>
      </c>
      <c r="M109" s="61">
        <f t="shared" si="32"/>
        <v>-0.19630500000000001</v>
      </c>
      <c r="N109" s="61">
        <f t="shared" si="33"/>
        <v>0.58038000000000001</v>
      </c>
      <c r="O109" s="61"/>
      <c r="P109" s="2"/>
      <c r="Q109" s="2"/>
      <c r="R109" s="32"/>
      <c r="S109" s="32"/>
      <c r="T109" s="32"/>
      <c r="U109" s="32"/>
      <c r="V109" s="2"/>
      <c r="W109" s="2"/>
      <c r="X109" s="2"/>
      <c r="Y109" s="2"/>
      <c r="Z109" s="2"/>
    </row>
    <row r="110" spans="1:26" ht="13.8" x14ac:dyDescent="0.3">
      <c r="A110" s="32" t="s">
        <v>317</v>
      </c>
      <c r="B110" s="2" t="s">
        <v>186</v>
      </c>
      <c r="C110" s="10">
        <v>2523689</v>
      </c>
      <c r="D110" s="10" t="s">
        <v>1179</v>
      </c>
      <c r="E110" s="10">
        <v>2525136</v>
      </c>
      <c r="F110" s="10" t="s">
        <v>1205</v>
      </c>
      <c r="G110" s="69">
        <v>381.28</v>
      </c>
      <c r="H110" s="69">
        <v>69.569999999999993</v>
      </c>
      <c r="I110" s="69">
        <f t="shared" si="30"/>
        <v>34.784999999999997</v>
      </c>
      <c r="J110" s="70">
        <v>1</v>
      </c>
      <c r="K110" s="69">
        <f t="shared" si="31"/>
        <v>354.17702500000001</v>
      </c>
      <c r="L110" s="79" t="s">
        <v>468</v>
      </c>
      <c r="M110" s="61">
        <f t="shared" si="32"/>
        <v>-2.4001649999999999</v>
      </c>
      <c r="N110" s="61">
        <f t="shared" si="33"/>
        <v>7.0961400000000001</v>
      </c>
      <c r="O110" s="61"/>
      <c r="P110" s="2"/>
      <c r="Q110" s="2"/>
      <c r="R110" s="32"/>
      <c r="S110" s="32"/>
      <c r="T110" s="32"/>
      <c r="U110" s="32"/>
      <c r="V110" s="2"/>
      <c r="W110" s="2"/>
      <c r="X110" s="2"/>
      <c r="Y110" s="2"/>
      <c r="Z110" s="2"/>
    </row>
    <row r="111" spans="1:26" ht="13.8" x14ac:dyDescent="0.3">
      <c r="A111" s="32" t="s">
        <v>317</v>
      </c>
      <c r="B111" s="2" t="s">
        <v>244</v>
      </c>
      <c r="C111" s="10">
        <v>1792134</v>
      </c>
      <c r="D111" s="10" t="s">
        <v>1161</v>
      </c>
      <c r="E111" s="10">
        <v>1792134</v>
      </c>
      <c r="F111" s="10" t="s">
        <v>1161</v>
      </c>
      <c r="G111" s="32">
        <v>-1154.94</v>
      </c>
      <c r="H111" s="32">
        <v>214.11</v>
      </c>
      <c r="I111" s="69">
        <f t="shared" ref="I111:I161" si="34">H111*0.7</f>
        <v>149.87700000000001</v>
      </c>
      <c r="J111" s="70">
        <v>1</v>
      </c>
      <c r="K111" s="69">
        <f t="shared" ref="K111:K161" si="35">(G111+I111)*0.85+(G111*0.15-(G111+H111)*0.15)*J111*0.3+I111*0.15*J111*0.3</f>
        <v>-857.1940350000001</v>
      </c>
      <c r="L111" s="79" t="s">
        <v>468</v>
      </c>
      <c r="M111" s="61">
        <f t="shared" ref="M111:M161" si="36">(G111*0.15-(G111+H111)*0.15)*J111*0.7</f>
        <v>-22.481549999999999</v>
      </c>
      <c r="N111" s="61">
        <f t="shared" ref="N111:N161" si="37">I111*0.15*J111*0.7+H111*0.05*J111</f>
        <v>26.442585000000001</v>
      </c>
      <c r="O111" s="61"/>
      <c r="P111" s="2"/>
      <c r="Q111" s="2"/>
      <c r="R111" s="32"/>
      <c r="S111" s="32"/>
      <c r="T111" s="32"/>
      <c r="U111" s="32"/>
      <c r="V111" s="2"/>
      <c r="W111" s="2"/>
      <c r="X111" s="2"/>
      <c r="Y111" s="2"/>
      <c r="Z111" s="2"/>
    </row>
    <row r="112" spans="1:26" ht="13.8" x14ac:dyDescent="0.3">
      <c r="A112" s="32" t="s">
        <v>317</v>
      </c>
      <c r="B112" s="2" t="s">
        <v>244</v>
      </c>
      <c r="C112" s="10">
        <v>2304025</v>
      </c>
      <c r="D112" s="10" t="s">
        <v>1162</v>
      </c>
      <c r="E112" s="10">
        <v>2314526</v>
      </c>
      <c r="F112" s="10" t="s">
        <v>1163</v>
      </c>
      <c r="G112" s="69">
        <v>1227.4000000000001</v>
      </c>
      <c r="H112" s="69">
        <v>291.37</v>
      </c>
      <c r="I112" s="69">
        <f t="shared" si="34"/>
        <v>203.959</v>
      </c>
      <c r="J112" s="70">
        <v>1</v>
      </c>
      <c r="K112" s="69">
        <f t="shared" si="35"/>
        <v>1212.7216550000001</v>
      </c>
      <c r="L112" s="79" t="s">
        <v>468</v>
      </c>
      <c r="M112" s="61">
        <f t="shared" si="36"/>
        <v>-30.593849999999978</v>
      </c>
      <c r="N112" s="61">
        <f t="shared" si="37"/>
        <v>35.984195</v>
      </c>
      <c r="O112" s="61"/>
      <c r="P112" s="2"/>
      <c r="Q112" s="2"/>
      <c r="R112" s="32"/>
      <c r="S112" s="32"/>
      <c r="T112" s="32"/>
      <c r="U112" s="32"/>
      <c r="V112" s="2"/>
      <c r="W112" s="2"/>
      <c r="X112" s="2"/>
      <c r="Y112" s="2"/>
      <c r="Z112" s="2"/>
    </row>
    <row r="113" spans="1:26" ht="13.8" x14ac:dyDescent="0.3">
      <c r="A113" s="32" t="s">
        <v>317</v>
      </c>
      <c r="B113" s="2" t="s">
        <v>244</v>
      </c>
      <c r="C113" s="10">
        <v>2304025</v>
      </c>
      <c r="D113" s="10" t="s">
        <v>1162</v>
      </c>
      <c r="E113" s="10">
        <v>2319819</v>
      </c>
      <c r="F113" s="10" t="s">
        <v>1165</v>
      </c>
      <c r="G113" s="69">
        <v>1888.17</v>
      </c>
      <c r="H113" s="69">
        <v>230.42</v>
      </c>
      <c r="I113" s="69">
        <f t="shared" si="34"/>
        <v>161.29399999999998</v>
      </c>
      <c r="J113" s="70">
        <v>1</v>
      </c>
      <c r="K113" s="69">
        <f t="shared" si="35"/>
        <v>1738.93373</v>
      </c>
      <c r="L113" s="79" t="s">
        <v>468</v>
      </c>
      <c r="M113" s="61">
        <f t="shared" si="36"/>
        <v>-24.194099999999992</v>
      </c>
      <c r="N113" s="61">
        <f t="shared" si="37"/>
        <v>28.456869999999995</v>
      </c>
      <c r="O113" s="61"/>
      <c r="P113" s="2"/>
      <c r="Q113" s="2"/>
      <c r="R113" s="32"/>
      <c r="S113" s="32"/>
      <c r="T113" s="32"/>
      <c r="U113" s="32"/>
      <c r="V113" s="2"/>
      <c r="W113" s="2"/>
      <c r="X113" s="2"/>
      <c r="Y113" s="2"/>
      <c r="Z113" s="2"/>
    </row>
    <row r="114" spans="1:26" ht="13.8" x14ac:dyDescent="0.3">
      <c r="A114" s="32" t="s">
        <v>317</v>
      </c>
      <c r="B114" s="2" t="s">
        <v>244</v>
      </c>
      <c r="C114" s="10">
        <v>2304025</v>
      </c>
      <c r="D114" s="10" t="s">
        <v>1162</v>
      </c>
      <c r="E114" s="10">
        <v>2357222</v>
      </c>
      <c r="F114" s="10" t="s">
        <v>1188</v>
      </c>
      <c r="G114" s="69">
        <v>190.77</v>
      </c>
      <c r="H114" s="69">
        <v>14.68</v>
      </c>
      <c r="I114" s="69">
        <f t="shared" si="34"/>
        <v>10.276</v>
      </c>
      <c r="J114" s="70">
        <v>1</v>
      </c>
      <c r="K114" s="69">
        <f t="shared" si="35"/>
        <v>170.69092000000003</v>
      </c>
      <c r="L114" s="79" t="s">
        <v>468</v>
      </c>
      <c r="M114" s="61">
        <f t="shared" si="36"/>
        <v>-1.5414000000000012</v>
      </c>
      <c r="N114" s="61">
        <f t="shared" si="37"/>
        <v>1.8129799999999998</v>
      </c>
      <c r="O114" s="61"/>
      <c r="P114" s="2"/>
      <c r="Q114" s="2"/>
      <c r="R114" s="32"/>
      <c r="S114" s="32"/>
      <c r="T114" s="32"/>
      <c r="U114" s="32"/>
      <c r="V114" s="2"/>
      <c r="W114" s="2"/>
      <c r="X114" s="2"/>
      <c r="Y114" s="2"/>
      <c r="Z114" s="2"/>
    </row>
    <row r="115" spans="1:26" ht="13.8" x14ac:dyDescent="0.3">
      <c r="A115" s="32" t="s">
        <v>317</v>
      </c>
      <c r="B115" s="2" t="s">
        <v>244</v>
      </c>
      <c r="C115" s="10">
        <v>2304025</v>
      </c>
      <c r="D115" s="10" t="s">
        <v>1162</v>
      </c>
      <c r="E115" s="10">
        <v>2371488</v>
      </c>
      <c r="F115" s="10" t="s">
        <v>1190</v>
      </c>
      <c r="G115" s="69">
        <v>-48.12</v>
      </c>
      <c r="H115" s="69">
        <v>29.91</v>
      </c>
      <c r="I115" s="69">
        <f t="shared" si="34"/>
        <v>20.936999999999998</v>
      </c>
      <c r="J115" s="70">
        <v>1</v>
      </c>
      <c r="K115" s="69">
        <f t="shared" si="35"/>
        <v>-23.509335</v>
      </c>
      <c r="L115" s="79" t="s">
        <v>468</v>
      </c>
      <c r="M115" s="61">
        <f t="shared" si="36"/>
        <v>-3.1405499999999993</v>
      </c>
      <c r="N115" s="61">
        <f t="shared" si="37"/>
        <v>3.6938849999999999</v>
      </c>
      <c r="O115" s="61"/>
      <c r="P115" s="2"/>
      <c r="Q115" s="2"/>
      <c r="R115" s="32"/>
      <c r="S115" s="32"/>
      <c r="T115" s="32"/>
      <c r="U115" s="32"/>
      <c r="V115" s="2"/>
      <c r="W115" s="2"/>
      <c r="X115" s="2"/>
      <c r="Y115" s="2"/>
      <c r="Z115" s="2"/>
    </row>
    <row r="116" spans="1:26" ht="13.8" x14ac:dyDescent="0.3">
      <c r="A116" s="32" t="s">
        <v>317</v>
      </c>
      <c r="B116" s="2" t="s">
        <v>244</v>
      </c>
      <c r="C116" s="10">
        <v>2304025</v>
      </c>
      <c r="D116" s="10" t="s">
        <v>1162</v>
      </c>
      <c r="E116" s="10">
        <v>2380008</v>
      </c>
      <c r="F116" s="10" t="s">
        <v>1192</v>
      </c>
      <c r="G116" s="69">
        <v>-101.51</v>
      </c>
      <c r="H116" s="69">
        <v>68.290000000000006</v>
      </c>
      <c r="I116" s="69">
        <f t="shared" si="34"/>
        <v>47.803000000000004</v>
      </c>
      <c r="J116" s="70">
        <v>1</v>
      </c>
      <c r="K116" s="69">
        <f t="shared" si="35"/>
        <v>-46.572865000000007</v>
      </c>
      <c r="L116" s="79" t="s">
        <v>468</v>
      </c>
      <c r="M116" s="61">
        <f t="shared" si="36"/>
        <v>-7.1704499999999998</v>
      </c>
      <c r="N116" s="61">
        <f t="shared" si="37"/>
        <v>8.4338149999999992</v>
      </c>
      <c r="O116" s="61"/>
      <c r="P116" s="2"/>
      <c r="Q116" s="2"/>
      <c r="R116" s="32"/>
      <c r="S116" s="32"/>
      <c r="T116" s="32"/>
      <c r="U116" s="32"/>
      <c r="V116" s="2"/>
      <c r="W116" s="2"/>
      <c r="X116" s="2"/>
      <c r="Y116" s="2"/>
      <c r="Z116" s="2"/>
    </row>
    <row r="117" spans="1:26" ht="13.8" x14ac:dyDescent="0.3">
      <c r="A117" s="32" t="s">
        <v>317</v>
      </c>
      <c r="B117" s="2" t="s">
        <v>244</v>
      </c>
      <c r="C117" s="10">
        <v>2304025</v>
      </c>
      <c r="D117" s="10" t="s">
        <v>1162</v>
      </c>
      <c r="E117" s="10">
        <v>2381522</v>
      </c>
      <c r="F117" s="10" t="s">
        <v>1166</v>
      </c>
      <c r="G117" s="69">
        <v>-213.67</v>
      </c>
      <c r="H117" s="69">
        <v>29.8</v>
      </c>
      <c r="I117" s="69">
        <f t="shared" si="34"/>
        <v>20.86</v>
      </c>
      <c r="J117" s="70">
        <v>1</v>
      </c>
      <c r="K117" s="69">
        <f t="shared" si="35"/>
        <v>-164.29079999999999</v>
      </c>
      <c r="L117" s="79" t="s">
        <v>468</v>
      </c>
      <c r="M117" s="61">
        <f t="shared" si="36"/>
        <v>-3.1290000000000013</v>
      </c>
      <c r="N117" s="61">
        <f t="shared" si="37"/>
        <v>3.6802999999999999</v>
      </c>
      <c r="O117" s="61"/>
      <c r="P117" s="2"/>
      <c r="Q117" s="2"/>
      <c r="R117" s="32"/>
      <c r="S117" s="32"/>
      <c r="T117" s="32"/>
      <c r="U117" s="32"/>
      <c r="V117" s="2"/>
      <c r="W117" s="2"/>
      <c r="X117" s="2"/>
      <c r="Y117" s="2"/>
      <c r="Z117" s="2"/>
    </row>
    <row r="118" spans="1:26" ht="13.8" x14ac:dyDescent="0.3">
      <c r="A118" s="32" t="s">
        <v>317</v>
      </c>
      <c r="B118" s="2" t="s">
        <v>244</v>
      </c>
      <c r="C118" s="10">
        <v>2304025</v>
      </c>
      <c r="D118" s="10" t="s">
        <v>1162</v>
      </c>
      <c r="E118" s="10">
        <v>2391366</v>
      </c>
      <c r="F118" s="10" t="s">
        <v>1168</v>
      </c>
      <c r="G118" s="69">
        <v>-78.95</v>
      </c>
      <c r="H118" s="69">
        <v>93.13</v>
      </c>
      <c r="I118" s="69">
        <f t="shared" si="34"/>
        <v>65.190999999999988</v>
      </c>
      <c r="J118" s="70">
        <v>1</v>
      </c>
      <c r="K118" s="69">
        <f t="shared" si="35"/>
        <v>-12.952405000000013</v>
      </c>
      <c r="L118" s="79" t="s">
        <v>468</v>
      </c>
      <c r="M118" s="61">
        <f t="shared" si="36"/>
        <v>-9.778649999999999</v>
      </c>
      <c r="N118" s="61">
        <f t="shared" si="37"/>
        <v>11.501554999999998</v>
      </c>
      <c r="O118" s="61"/>
      <c r="P118" s="2"/>
      <c r="Q118" s="2"/>
      <c r="R118" s="32"/>
      <c r="S118" s="32"/>
      <c r="T118" s="32"/>
      <c r="U118" s="32"/>
      <c r="V118" s="2"/>
      <c r="W118" s="2"/>
      <c r="X118" s="2"/>
      <c r="Y118" s="2"/>
      <c r="Z118" s="2"/>
    </row>
    <row r="119" spans="1:26" ht="13.8" x14ac:dyDescent="0.3">
      <c r="A119" s="32" t="s">
        <v>317</v>
      </c>
      <c r="B119" s="2" t="s">
        <v>244</v>
      </c>
      <c r="C119" s="10">
        <v>2304025</v>
      </c>
      <c r="D119" s="10" t="s">
        <v>1162</v>
      </c>
      <c r="E119" s="10">
        <v>2404347</v>
      </c>
      <c r="F119" s="10" t="s">
        <v>1169</v>
      </c>
      <c r="G119" s="69">
        <v>-41.96</v>
      </c>
      <c r="H119" s="69">
        <v>51.6</v>
      </c>
      <c r="I119" s="69">
        <f t="shared" si="34"/>
        <v>36.119999999999997</v>
      </c>
      <c r="J119" s="70">
        <v>1</v>
      </c>
      <c r="K119" s="69">
        <f t="shared" si="35"/>
        <v>-5.6606000000000032</v>
      </c>
      <c r="L119" s="79" t="s">
        <v>468</v>
      </c>
      <c r="M119" s="61">
        <f t="shared" si="36"/>
        <v>-5.4179999999999993</v>
      </c>
      <c r="N119" s="61">
        <f t="shared" si="37"/>
        <v>6.3725999999999994</v>
      </c>
      <c r="O119" s="61"/>
      <c r="P119" s="2"/>
      <c r="Q119" s="2"/>
      <c r="R119" s="32"/>
      <c r="S119" s="32"/>
      <c r="T119" s="32"/>
      <c r="U119" s="32"/>
      <c r="V119" s="2"/>
      <c r="W119" s="2"/>
      <c r="X119" s="2"/>
      <c r="Y119" s="2"/>
      <c r="Z119" s="2"/>
    </row>
    <row r="120" spans="1:26" ht="13.8" x14ac:dyDescent="0.3">
      <c r="A120" s="32" t="s">
        <v>317</v>
      </c>
      <c r="B120" s="2" t="s">
        <v>244</v>
      </c>
      <c r="C120" s="10">
        <v>2304025</v>
      </c>
      <c r="D120" s="10" t="s">
        <v>1162</v>
      </c>
      <c r="E120" s="10">
        <v>2420208</v>
      </c>
      <c r="F120" s="10" t="s">
        <v>1170</v>
      </c>
      <c r="G120" s="69">
        <v>1906.39</v>
      </c>
      <c r="H120" s="69">
        <v>236.72</v>
      </c>
      <c r="I120" s="69">
        <f t="shared" si="34"/>
        <v>165.70399999999998</v>
      </c>
      <c r="J120" s="70">
        <v>1</v>
      </c>
      <c r="K120" s="69">
        <f t="shared" si="35"/>
        <v>1758.0841800000001</v>
      </c>
      <c r="L120" s="79" t="s">
        <v>468</v>
      </c>
      <c r="M120" s="61">
        <f t="shared" si="36"/>
        <v>-24.855599999999985</v>
      </c>
      <c r="N120" s="61">
        <f t="shared" si="37"/>
        <v>29.234919999999995</v>
      </c>
      <c r="O120" s="61"/>
      <c r="P120" s="2"/>
      <c r="Q120" s="2"/>
      <c r="R120" s="32"/>
      <c r="S120" s="32"/>
      <c r="T120" s="32"/>
      <c r="U120" s="32"/>
      <c r="V120" s="2"/>
      <c r="W120" s="2"/>
      <c r="X120" s="2"/>
      <c r="Y120" s="2"/>
      <c r="Z120" s="2"/>
    </row>
    <row r="121" spans="1:26" ht="13.8" x14ac:dyDescent="0.3">
      <c r="A121" s="32" t="s">
        <v>317</v>
      </c>
      <c r="B121" s="2" t="s">
        <v>244</v>
      </c>
      <c r="C121" s="10">
        <v>2304025</v>
      </c>
      <c r="D121" s="10" t="s">
        <v>1162</v>
      </c>
      <c r="E121" s="10">
        <v>2435202</v>
      </c>
      <c r="F121" s="10" t="s">
        <v>1223</v>
      </c>
      <c r="G121" s="69">
        <v>308.41000000000003</v>
      </c>
      <c r="H121" s="69">
        <v>34.14</v>
      </c>
      <c r="I121" s="69">
        <f t="shared" si="34"/>
        <v>23.898</v>
      </c>
      <c r="J121" s="70">
        <v>1</v>
      </c>
      <c r="K121" s="69">
        <f t="shared" si="35"/>
        <v>282.00091000000003</v>
      </c>
      <c r="L121" s="79" t="s">
        <v>468</v>
      </c>
      <c r="M121" s="61">
        <f t="shared" si="36"/>
        <v>-3.5846999999999962</v>
      </c>
      <c r="N121" s="61">
        <f t="shared" si="37"/>
        <v>4.2162899999999999</v>
      </c>
      <c r="O121" s="61"/>
      <c r="P121" s="2"/>
      <c r="Q121" s="2"/>
      <c r="R121" s="32"/>
      <c r="S121" s="32"/>
      <c r="T121" s="32"/>
      <c r="U121" s="32"/>
      <c r="V121" s="2"/>
      <c r="W121" s="2"/>
      <c r="X121" s="2"/>
      <c r="Y121" s="2"/>
      <c r="Z121" s="2"/>
    </row>
    <row r="122" spans="1:26" ht="13.8" x14ac:dyDescent="0.3">
      <c r="A122" s="32" t="s">
        <v>317</v>
      </c>
      <c r="B122" s="2" t="s">
        <v>244</v>
      </c>
      <c r="C122" s="10">
        <v>2304025</v>
      </c>
      <c r="D122" s="10" t="s">
        <v>1162</v>
      </c>
      <c r="E122" s="10">
        <v>2435203</v>
      </c>
      <c r="F122" s="10" t="s">
        <v>1224</v>
      </c>
      <c r="G122" s="69">
        <v>-9.44</v>
      </c>
      <c r="H122" s="69">
        <v>4.95</v>
      </c>
      <c r="I122" s="69">
        <f t="shared" si="34"/>
        <v>3.4649999999999999</v>
      </c>
      <c r="J122" s="70">
        <v>1</v>
      </c>
      <c r="K122" s="69">
        <f t="shared" si="35"/>
        <v>-5.1455749999999991</v>
      </c>
      <c r="L122" s="79" t="s">
        <v>468</v>
      </c>
      <c r="M122" s="61">
        <f t="shared" si="36"/>
        <v>-0.51975000000000005</v>
      </c>
      <c r="N122" s="61">
        <f t="shared" si="37"/>
        <v>0.61132500000000001</v>
      </c>
      <c r="O122" s="61"/>
      <c r="P122" s="2"/>
      <c r="Q122" s="2"/>
      <c r="R122" s="32"/>
      <c r="S122" s="32"/>
      <c r="T122" s="32"/>
      <c r="U122" s="32"/>
      <c r="V122" s="2"/>
      <c r="W122" s="2"/>
      <c r="X122" s="2"/>
      <c r="Y122" s="2"/>
      <c r="Z122" s="2"/>
    </row>
    <row r="123" spans="1:26" ht="13.8" x14ac:dyDescent="0.3">
      <c r="A123" s="32" t="s">
        <v>317</v>
      </c>
      <c r="B123" s="2" t="s">
        <v>244</v>
      </c>
      <c r="C123" s="10">
        <v>2304025</v>
      </c>
      <c r="D123" s="10" t="s">
        <v>1162</v>
      </c>
      <c r="E123" s="10">
        <v>2435206</v>
      </c>
      <c r="F123" s="10" t="s">
        <v>1225</v>
      </c>
      <c r="G123" s="69">
        <v>374.27</v>
      </c>
      <c r="H123" s="69">
        <v>21.36</v>
      </c>
      <c r="I123" s="69">
        <f t="shared" si="34"/>
        <v>14.951999999999998</v>
      </c>
      <c r="J123" s="70">
        <v>1</v>
      </c>
      <c r="K123" s="69">
        <f t="shared" si="35"/>
        <v>330.55033999999995</v>
      </c>
      <c r="L123" s="79" t="s">
        <v>468</v>
      </c>
      <c r="M123" s="61">
        <f t="shared" si="36"/>
        <v>-2.2428000000000003</v>
      </c>
      <c r="N123" s="61">
        <f t="shared" si="37"/>
        <v>2.6379599999999996</v>
      </c>
      <c r="O123" s="61"/>
      <c r="P123" s="2"/>
      <c r="Q123" s="2"/>
      <c r="R123" s="32"/>
      <c r="S123" s="32"/>
      <c r="T123" s="32"/>
      <c r="U123" s="32"/>
      <c r="V123" s="2"/>
      <c r="W123" s="2"/>
      <c r="X123" s="2"/>
      <c r="Y123" s="2"/>
      <c r="Z123" s="2"/>
    </row>
    <row r="124" spans="1:26" ht="13.8" x14ac:dyDescent="0.3">
      <c r="A124" s="32" t="s">
        <v>317</v>
      </c>
      <c r="B124" s="2" t="s">
        <v>244</v>
      </c>
      <c r="C124" s="10">
        <v>2304025</v>
      </c>
      <c r="D124" s="10" t="s">
        <v>1162</v>
      </c>
      <c r="E124" s="10">
        <v>2440868</v>
      </c>
      <c r="F124" s="10" t="s">
        <v>1183</v>
      </c>
      <c r="G124" s="69">
        <v>-189.85</v>
      </c>
      <c r="H124" s="69">
        <v>12.93</v>
      </c>
      <c r="I124" s="69">
        <f t="shared" si="34"/>
        <v>9.0509999999999984</v>
      </c>
      <c r="J124" s="70">
        <v>1</v>
      </c>
      <c r="K124" s="69">
        <f t="shared" si="35"/>
        <v>-153.85370499999999</v>
      </c>
      <c r="L124" s="79" t="s">
        <v>468</v>
      </c>
      <c r="M124" s="61">
        <f t="shared" si="36"/>
        <v>-1.3576500000000016</v>
      </c>
      <c r="N124" s="61">
        <f t="shared" si="37"/>
        <v>1.5968549999999999</v>
      </c>
      <c r="O124" s="61"/>
      <c r="P124" s="2"/>
      <c r="Q124" s="2"/>
      <c r="R124" s="32"/>
      <c r="S124" s="32"/>
      <c r="T124" s="32"/>
      <c r="U124" s="32"/>
      <c r="V124" s="2"/>
      <c r="W124" s="2"/>
      <c r="X124" s="2"/>
      <c r="Y124" s="2"/>
      <c r="Z124" s="2"/>
    </row>
    <row r="125" spans="1:26" ht="13.8" x14ac:dyDescent="0.3">
      <c r="A125" s="32" t="s">
        <v>317</v>
      </c>
      <c r="B125" s="2" t="s">
        <v>244</v>
      </c>
      <c r="C125" s="10">
        <v>2304025</v>
      </c>
      <c r="D125" s="10" t="s">
        <v>1162</v>
      </c>
      <c r="E125" s="10">
        <v>2471540</v>
      </c>
      <c r="F125" s="10" t="s">
        <v>1172</v>
      </c>
      <c r="G125" s="69">
        <v>567.35</v>
      </c>
      <c r="H125" s="69">
        <v>228.65</v>
      </c>
      <c r="I125" s="69">
        <f t="shared" si="34"/>
        <v>160.05500000000001</v>
      </c>
      <c r="J125" s="70">
        <v>1</v>
      </c>
      <c r="K125" s="69">
        <f t="shared" si="35"/>
        <v>615.20747499999993</v>
      </c>
      <c r="L125" s="79" t="s">
        <v>468</v>
      </c>
      <c r="M125" s="61">
        <f t="shared" si="36"/>
        <v>-24.00824999999999</v>
      </c>
      <c r="N125" s="61">
        <f t="shared" si="37"/>
        <v>28.238275000000002</v>
      </c>
      <c r="O125" s="61"/>
      <c r="P125" s="2"/>
      <c r="Q125" s="2"/>
      <c r="R125" s="32"/>
      <c r="S125" s="32"/>
      <c r="T125" s="32"/>
      <c r="U125" s="32"/>
      <c r="V125" s="2"/>
      <c r="W125" s="2"/>
      <c r="X125" s="2"/>
      <c r="Y125" s="2"/>
      <c r="Z125" s="2"/>
    </row>
    <row r="126" spans="1:26" ht="13.8" x14ac:dyDescent="0.3">
      <c r="A126" s="32" t="s">
        <v>317</v>
      </c>
      <c r="B126" s="2" t="s">
        <v>244</v>
      </c>
      <c r="C126" s="10">
        <v>2304025</v>
      </c>
      <c r="D126" s="10" t="s">
        <v>1162</v>
      </c>
      <c r="E126" s="10">
        <v>2484990</v>
      </c>
      <c r="F126" s="10" t="s">
        <v>1251</v>
      </c>
      <c r="G126" s="69">
        <v>-3.66</v>
      </c>
      <c r="H126" s="69">
        <v>0</v>
      </c>
      <c r="I126" s="69">
        <f t="shared" si="34"/>
        <v>0</v>
      </c>
      <c r="J126" s="70">
        <v>1</v>
      </c>
      <c r="K126" s="69">
        <f t="shared" si="35"/>
        <v>-3.1110000000000002</v>
      </c>
      <c r="L126" s="79" t="s">
        <v>468</v>
      </c>
      <c r="M126" s="61">
        <f t="shared" si="36"/>
        <v>0</v>
      </c>
      <c r="N126" s="61">
        <f t="shared" si="37"/>
        <v>0</v>
      </c>
      <c r="O126" s="61"/>
      <c r="P126" s="2"/>
      <c r="Q126" s="2"/>
      <c r="R126" s="32"/>
      <c r="S126" s="32"/>
      <c r="T126" s="32"/>
      <c r="U126" s="32"/>
      <c r="V126" s="2"/>
      <c r="W126" s="2"/>
      <c r="X126" s="2"/>
      <c r="Y126" s="2"/>
      <c r="Z126" s="2"/>
    </row>
    <row r="127" spans="1:26" ht="13.8" x14ac:dyDescent="0.3">
      <c r="A127" s="32" t="s">
        <v>317</v>
      </c>
      <c r="B127" s="2" t="s">
        <v>244</v>
      </c>
      <c r="C127" s="10">
        <v>2304025</v>
      </c>
      <c r="D127" s="10" t="s">
        <v>1162</v>
      </c>
      <c r="E127" s="10">
        <v>2493795</v>
      </c>
      <c r="F127" s="10" t="s">
        <v>1174</v>
      </c>
      <c r="G127" s="69">
        <v>94.91</v>
      </c>
      <c r="H127" s="69">
        <v>33.46</v>
      </c>
      <c r="I127" s="69">
        <f t="shared" si="34"/>
        <v>23.422000000000001</v>
      </c>
      <c r="J127" s="70">
        <v>1</v>
      </c>
      <c r="K127" s="69">
        <f t="shared" si="35"/>
        <v>100.13048999999998</v>
      </c>
      <c r="L127" s="79" t="s">
        <v>468</v>
      </c>
      <c r="M127" s="61">
        <f t="shared" si="36"/>
        <v>-3.513300000000001</v>
      </c>
      <c r="N127" s="61">
        <f t="shared" si="37"/>
        <v>4.1323100000000004</v>
      </c>
      <c r="O127" s="61"/>
      <c r="P127" s="2"/>
      <c r="Q127" s="2"/>
      <c r="R127" s="32"/>
      <c r="S127" s="32"/>
      <c r="T127" s="32"/>
      <c r="U127" s="32"/>
      <c r="V127" s="2"/>
      <c r="W127" s="2"/>
      <c r="X127" s="2"/>
      <c r="Y127" s="2"/>
      <c r="Z127" s="2"/>
    </row>
    <row r="128" spans="1:26" ht="13.8" x14ac:dyDescent="0.3">
      <c r="A128" s="32" t="s">
        <v>317</v>
      </c>
      <c r="B128" s="2" t="s">
        <v>244</v>
      </c>
      <c r="C128" s="10">
        <v>2304025</v>
      </c>
      <c r="D128" s="10" t="s">
        <v>1162</v>
      </c>
      <c r="E128" s="10">
        <v>2514199</v>
      </c>
      <c r="F128" s="10" t="s">
        <v>1175</v>
      </c>
      <c r="G128" s="69">
        <v>455.45</v>
      </c>
      <c r="H128" s="69">
        <v>197.75</v>
      </c>
      <c r="I128" s="69">
        <f t="shared" si="34"/>
        <v>138.42499999999998</v>
      </c>
      <c r="J128" s="70">
        <v>1</v>
      </c>
      <c r="K128" s="69">
        <f t="shared" si="35"/>
        <v>502.12412499999999</v>
      </c>
      <c r="L128" s="79" t="s">
        <v>468</v>
      </c>
      <c r="M128" s="61">
        <f t="shared" si="36"/>
        <v>-20.763750000000005</v>
      </c>
      <c r="N128" s="61">
        <f t="shared" si="37"/>
        <v>24.422125000000001</v>
      </c>
      <c r="O128" s="61"/>
      <c r="P128" s="2"/>
      <c r="Q128" s="2"/>
      <c r="R128" s="32"/>
      <c r="S128" s="32"/>
      <c r="T128" s="32"/>
      <c r="U128" s="32"/>
      <c r="V128" s="2"/>
      <c r="W128" s="2"/>
      <c r="X128" s="2"/>
      <c r="Y128" s="2"/>
      <c r="Z128" s="2"/>
    </row>
    <row r="129" spans="1:26" ht="13.8" x14ac:dyDescent="0.3">
      <c r="A129" s="32" t="s">
        <v>317</v>
      </c>
      <c r="B129" s="2" t="s">
        <v>244</v>
      </c>
      <c r="C129" s="10">
        <v>2304025</v>
      </c>
      <c r="D129" s="10" t="s">
        <v>1162</v>
      </c>
      <c r="E129" s="10">
        <v>2531145</v>
      </c>
      <c r="F129" s="10" t="s">
        <v>1226</v>
      </c>
      <c r="G129" s="69">
        <v>141.97999999999999</v>
      </c>
      <c r="H129" s="69">
        <v>4.6100000000000003</v>
      </c>
      <c r="I129" s="69">
        <f t="shared" si="34"/>
        <v>3.2269999999999999</v>
      </c>
      <c r="J129" s="70">
        <v>1</v>
      </c>
      <c r="K129" s="69">
        <f t="shared" si="35"/>
        <v>123.36371499999998</v>
      </c>
      <c r="L129" s="79" t="s">
        <v>468</v>
      </c>
      <c r="M129" s="61">
        <f t="shared" si="36"/>
        <v>-0.48405000000000092</v>
      </c>
      <c r="N129" s="61">
        <f t="shared" si="37"/>
        <v>0.56933499999999992</v>
      </c>
      <c r="O129" s="61"/>
      <c r="P129" s="2"/>
      <c r="Q129" s="2"/>
      <c r="R129" s="32"/>
      <c r="S129" s="32"/>
      <c r="T129" s="32"/>
      <c r="U129" s="32"/>
      <c r="V129" s="2"/>
      <c r="W129" s="2"/>
      <c r="X129" s="2"/>
      <c r="Y129" s="2"/>
      <c r="Z129" s="2"/>
    </row>
    <row r="130" spans="1:26" ht="13.8" x14ac:dyDescent="0.3">
      <c r="A130" s="32" t="s">
        <v>317</v>
      </c>
      <c r="B130" s="2" t="s">
        <v>244</v>
      </c>
      <c r="C130" s="10">
        <v>2365380</v>
      </c>
      <c r="D130" s="10" t="s">
        <v>1201</v>
      </c>
      <c r="E130" s="10">
        <v>2427654</v>
      </c>
      <c r="F130" s="10" t="s">
        <v>1202</v>
      </c>
      <c r="G130" s="69">
        <v>-675.95</v>
      </c>
      <c r="H130" s="69">
        <v>67.239999999999995</v>
      </c>
      <c r="I130" s="69">
        <f t="shared" si="34"/>
        <v>47.067999999999991</v>
      </c>
      <c r="J130" s="70">
        <v>1</v>
      </c>
      <c r="K130" s="69">
        <f t="shared" si="35"/>
        <v>-535.45744000000002</v>
      </c>
      <c r="L130" s="79" t="s">
        <v>468</v>
      </c>
      <c r="M130" s="61">
        <f t="shared" si="36"/>
        <v>-7.0601999999999983</v>
      </c>
      <c r="N130" s="61">
        <f t="shared" si="37"/>
        <v>8.3041399999999985</v>
      </c>
      <c r="O130" s="61"/>
      <c r="P130" s="2"/>
      <c r="Q130" s="2"/>
      <c r="R130" s="32"/>
      <c r="S130" s="32"/>
      <c r="T130" s="32"/>
      <c r="U130" s="32"/>
      <c r="V130" s="2"/>
      <c r="W130" s="2"/>
      <c r="X130" s="2"/>
      <c r="Y130" s="2"/>
      <c r="Z130" s="2"/>
    </row>
    <row r="131" spans="1:26" ht="13.8" x14ac:dyDescent="0.3">
      <c r="A131" s="32" t="s">
        <v>317</v>
      </c>
      <c r="B131" s="2" t="s">
        <v>244</v>
      </c>
      <c r="C131" s="10">
        <v>2523689</v>
      </c>
      <c r="D131" s="10" t="s">
        <v>1179</v>
      </c>
      <c r="E131" s="10">
        <v>2523689</v>
      </c>
      <c r="F131" s="10" t="s">
        <v>1179</v>
      </c>
      <c r="G131" s="32">
        <v>-1</v>
      </c>
      <c r="H131" s="32">
        <v>0</v>
      </c>
      <c r="I131" s="69">
        <f t="shared" si="34"/>
        <v>0</v>
      </c>
      <c r="J131" s="70">
        <v>1</v>
      </c>
      <c r="K131" s="69">
        <f t="shared" si="35"/>
        <v>-0.85</v>
      </c>
      <c r="L131" s="79" t="s">
        <v>468</v>
      </c>
      <c r="M131" s="61">
        <f t="shared" si="36"/>
        <v>0</v>
      </c>
      <c r="N131" s="61">
        <f t="shared" si="37"/>
        <v>0</v>
      </c>
      <c r="O131" s="61"/>
      <c r="P131" s="2"/>
      <c r="Q131" s="2"/>
      <c r="R131" s="32"/>
      <c r="S131" s="32"/>
      <c r="T131" s="32"/>
      <c r="U131" s="32"/>
      <c r="V131" s="2"/>
      <c r="W131" s="2"/>
      <c r="X131" s="2"/>
      <c r="Y131" s="2"/>
      <c r="Z131" s="2"/>
    </row>
    <row r="132" spans="1:26" ht="13.8" x14ac:dyDescent="0.3">
      <c r="A132" s="32" t="s">
        <v>317</v>
      </c>
      <c r="B132" s="2" t="s">
        <v>244</v>
      </c>
      <c r="C132" s="10">
        <v>2523689</v>
      </c>
      <c r="D132" s="10" t="s">
        <v>1179</v>
      </c>
      <c r="E132" s="10">
        <v>2525136</v>
      </c>
      <c r="F132" s="46" t="s">
        <v>1205</v>
      </c>
      <c r="G132" s="69">
        <v>219.12</v>
      </c>
      <c r="H132" s="69">
        <v>86.61</v>
      </c>
      <c r="I132" s="69">
        <f t="shared" si="34"/>
        <v>60.626999999999995</v>
      </c>
      <c r="J132" s="70">
        <v>1</v>
      </c>
      <c r="K132" s="69">
        <f t="shared" si="35"/>
        <v>236.61571500000002</v>
      </c>
      <c r="L132" s="79" t="s">
        <v>468</v>
      </c>
      <c r="M132" s="61">
        <f t="shared" si="36"/>
        <v>-9.0940500000000011</v>
      </c>
      <c r="N132" s="61">
        <f t="shared" si="37"/>
        <v>10.696334999999998</v>
      </c>
      <c r="O132" s="61"/>
      <c r="P132" s="2"/>
      <c r="Q132" s="2"/>
      <c r="R132" s="32"/>
      <c r="S132" s="32"/>
      <c r="T132" s="32"/>
      <c r="U132" s="32"/>
      <c r="V132" s="2"/>
      <c r="W132" s="2"/>
      <c r="X132" s="2"/>
      <c r="Y132" s="2"/>
      <c r="Z132" s="2"/>
    </row>
    <row r="133" spans="1:26" ht="13.8" x14ac:dyDescent="0.3">
      <c r="A133" s="2" t="s">
        <v>325</v>
      </c>
      <c r="B133" s="2" t="s">
        <v>244</v>
      </c>
      <c r="C133" s="10">
        <v>1792134</v>
      </c>
      <c r="D133" s="10" t="s">
        <v>1161</v>
      </c>
      <c r="E133" s="10">
        <v>1792134</v>
      </c>
      <c r="F133" s="10" t="s">
        <v>1161</v>
      </c>
      <c r="G133" s="32">
        <v>-3868.16</v>
      </c>
      <c r="H133" s="32">
        <v>1719.3</v>
      </c>
      <c r="I133" s="69">
        <f t="shared" si="34"/>
        <v>1203.51</v>
      </c>
      <c r="J133" s="70">
        <v>1</v>
      </c>
      <c r="K133" s="69">
        <f t="shared" si="35"/>
        <v>-2288.1630499999997</v>
      </c>
      <c r="L133" s="79" t="s">
        <v>468</v>
      </c>
      <c r="M133" s="61">
        <f t="shared" si="36"/>
        <v>-180.52649999999997</v>
      </c>
      <c r="N133" s="61">
        <f t="shared" si="37"/>
        <v>212.33355</v>
      </c>
      <c r="O133" s="61"/>
      <c r="P133" s="2"/>
      <c r="Q133" s="2"/>
      <c r="R133" s="32"/>
      <c r="S133" s="32"/>
      <c r="T133" s="32"/>
      <c r="U133" s="32"/>
      <c r="V133" s="2"/>
      <c r="W133" s="2"/>
      <c r="X133" s="2"/>
      <c r="Y133" s="2"/>
      <c r="Z133" s="2"/>
    </row>
    <row r="134" spans="1:26" ht="13.8" x14ac:dyDescent="0.3">
      <c r="A134" s="2" t="s">
        <v>325</v>
      </c>
      <c r="B134" s="2" t="s">
        <v>244</v>
      </c>
      <c r="C134" s="10">
        <v>1792134</v>
      </c>
      <c r="D134" s="10" t="s">
        <v>1161</v>
      </c>
      <c r="E134" s="10">
        <v>2535521</v>
      </c>
      <c r="F134" s="46" t="s">
        <v>1252</v>
      </c>
      <c r="G134" s="69">
        <v>-1775.31</v>
      </c>
      <c r="H134" s="69">
        <v>439.31</v>
      </c>
      <c r="I134" s="69">
        <f t="shared" si="34"/>
        <v>307.517</v>
      </c>
      <c r="J134" s="70">
        <v>1</v>
      </c>
      <c r="K134" s="69">
        <f t="shared" si="35"/>
        <v>-1253.5547349999997</v>
      </c>
      <c r="L134" s="79" t="s">
        <v>468</v>
      </c>
      <c r="M134" s="61">
        <f t="shared" si="36"/>
        <v>-46.127549999999978</v>
      </c>
      <c r="N134" s="61">
        <f t="shared" si="37"/>
        <v>54.254784999999998</v>
      </c>
      <c r="O134" s="61"/>
      <c r="P134" s="2"/>
      <c r="Q134" s="2"/>
      <c r="R134" s="32"/>
      <c r="S134" s="32"/>
      <c r="T134" s="32"/>
      <c r="U134" s="32"/>
      <c r="V134" s="2"/>
      <c r="W134" s="2"/>
      <c r="X134" s="2"/>
      <c r="Y134" s="2"/>
      <c r="Z134" s="2"/>
    </row>
    <row r="135" spans="1:26" ht="13.8" x14ac:dyDescent="0.3">
      <c r="A135" s="2" t="s">
        <v>325</v>
      </c>
      <c r="B135" s="2" t="s">
        <v>244</v>
      </c>
      <c r="C135" s="10">
        <v>1792134</v>
      </c>
      <c r="D135" s="10" t="s">
        <v>1161</v>
      </c>
      <c r="E135" s="10">
        <v>2535826</v>
      </c>
      <c r="F135" s="10" t="s">
        <v>1253</v>
      </c>
      <c r="G135" s="69">
        <v>-681.45</v>
      </c>
      <c r="H135" s="69">
        <v>121.04</v>
      </c>
      <c r="I135" s="69">
        <f t="shared" si="34"/>
        <v>84.727999999999994</v>
      </c>
      <c r="J135" s="70">
        <v>1</v>
      </c>
      <c r="K135" s="69">
        <f t="shared" si="35"/>
        <v>-508.84774000000004</v>
      </c>
      <c r="L135" s="79" t="s">
        <v>468</v>
      </c>
      <c r="M135" s="61">
        <f t="shared" si="36"/>
        <v>-12.709199999999994</v>
      </c>
      <c r="N135" s="61">
        <f t="shared" si="37"/>
        <v>14.948439999999998</v>
      </c>
      <c r="O135" s="61"/>
      <c r="P135" s="2"/>
      <c r="Q135" s="2"/>
      <c r="R135" s="32"/>
      <c r="S135" s="32"/>
      <c r="T135" s="32"/>
      <c r="U135" s="32"/>
      <c r="V135" s="2"/>
      <c r="W135" s="2"/>
      <c r="X135" s="2"/>
      <c r="Y135" s="2"/>
      <c r="Z135" s="2"/>
    </row>
    <row r="136" spans="1:26" ht="13.8" x14ac:dyDescent="0.3">
      <c r="A136" s="2" t="s">
        <v>325</v>
      </c>
      <c r="B136" s="2" t="s">
        <v>244</v>
      </c>
      <c r="C136" s="10">
        <v>1792134</v>
      </c>
      <c r="D136" s="10" t="s">
        <v>1161</v>
      </c>
      <c r="E136" s="10">
        <v>2548855</v>
      </c>
      <c r="F136" s="10" t="s">
        <v>1254</v>
      </c>
      <c r="G136" s="69">
        <v>-84.64</v>
      </c>
      <c r="H136" s="69">
        <v>8.64</v>
      </c>
      <c r="I136" s="69">
        <f t="shared" si="34"/>
        <v>6.048</v>
      </c>
      <c r="J136" s="70">
        <v>1</v>
      </c>
      <c r="K136" s="69">
        <f t="shared" si="35"/>
        <v>-66.919840000000008</v>
      </c>
      <c r="L136" s="79" t="s">
        <v>468</v>
      </c>
      <c r="M136" s="61">
        <f t="shared" si="36"/>
        <v>-0.90719999999999945</v>
      </c>
      <c r="N136" s="61">
        <f t="shared" si="37"/>
        <v>1.06704</v>
      </c>
      <c r="O136" s="61"/>
      <c r="P136" s="2"/>
      <c r="Q136" s="2"/>
      <c r="R136" s="32"/>
      <c r="S136" s="32"/>
      <c r="T136" s="32"/>
      <c r="U136" s="32"/>
      <c r="V136" s="2"/>
      <c r="W136" s="2"/>
      <c r="X136" s="2"/>
      <c r="Y136" s="2"/>
      <c r="Z136" s="2"/>
    </row>
    <row r="137" spans="1:26" ht="13.8" x14ac:dyDescent="0.3">
      <c r="A137" s="2" t="s">
        <v>325</v>
      </c>
      <c r="B137" s="2" t="s">
        <v>244</v>
      </c>
      <c r="C137" s="10">
        <v>2304025</v>
      </c>
      <c r="D137" s="10" t="s">
        <v>1162</v>
      </c>
      <c r="E137" s="10">
        <v>2319819</v>
      </c>
      <c r="F137" s="10" t="s">
        <v>1165</v>
      </c>
      <c r="G137" s="69">
        <v>68.02</v>
      </c>
      <c r="H137" s="69">
        <v>87.1</v>
      </c>
      <c r="I137" s="69">
        <f t="shared" si="34"/>
        <v>60.969999999999992</v>
      </c>
      <c r="J137" s="70">
        <v>1</v>
      </c>
      <c r="K137" s="69">
        <f t="shared" si="35"/>
        <v>108.46564999999998</v>
      </c>
      <c r="L137" s="79" t="s">
        <v>468</v>
      </c>
      <c r="M137" s="61">
        <f t="shared" si="36"/>
        <v>-9.1455000000000002</v>
      </c>
      <c r="N137" s="61">
        <f t="shared" si="37"/>
        <v>10.756849999999998</v>
      </c>
      <c r="O137" s="61"/>
      <c r="P137" s="2"/>
      <c r="Q137" s="2"/>
      <c r="R137" s="32"/>
      <c r="S137" s="32"/>
      <c r="T137" s="32"/>
      <c r="U137" s="32"/>
      <c r="V137" s="2"/>
      <c r="W137" s="2"/>
      <c r="X137" s="2"/>
      <c r="Y137" s="2"/>
      <c r="Z137" s="2"/>
    </row>
    <row r="138" spans="1:26" ht="13.8" x14ac:dyDescent="0.3">
      <c r="A138" s="2" t="s">
        <v>325</v>
      </c>
      <c r="B138" s="2" t="s">
        <v>244</v>
      </c>
      <c r="C138" s="10">
        <v>2304025</v>
      </c>
      <c r="D138" s="10" t="s">
        <v>1162</v>
      </c>
      <c r="E138" s="10">
        <v>2371488</v>
      </c>
      <c r="F138" s="10" t="s">
        <v>1190</v>
      </c>
      <c r="G138" s="69">
        <v>-8.8699999999999992</v>
      </c>
      <c r="H138" s="69">
        <v>44.64</v>
      </c>
      <c r="I138" s="69">
        <f t="shared" si="34"/>
        <v>31.247999999999998</v>
      </c>
      <c r="J138" s="70">
        <v>1</v>
      </c>
      <c r="K138" s="69">
        <f t="shared" si="35"/>
        <v>18.418659999999999</v>
      </c>
      <c r="L138" s="79" t="s">
        <v>468</v>
      </c>
      <c r="M138" s="61">
        <f t="shared" si="36"/>
        <v>-4.6871999999999998</v>
      </c>
      <c r="N138" s="61">
        <f t="shared" si="37"/>
        <v>5.5130400000000002</v>
      </c>
      <c r="O138" s="61"/>
      <c r="P138" s="2"/>
      <c r="Q138" s="2"/>
      <c r="R138" s="32"/>
      <c r="S138" s="32"/>
      <c r="T138" s="32"/>
      <c r="U138" s="32"/>
      <c r="V138" s="2"/>
      <c r="W138" s="2"/>
      <c r="X138" s="2"/>
      <c r="Y138" s="2"/>
      <c r="Z138" s="2"/>
    </row>
    <row r="139" spans="1:26" ht="13.8" x14ac:dyDescent="0.3">
      <c r="A139" s="2" t="s">
        <v>325</v>
      </c>
      <c r="B139" s="2" t="s">
        <v>244</v>
      </c>
      <c r="C139" s="10">
        <v>2304025</v>
      </c>
      <c r="D139" s="10" t="s">
        <v>1162</v>
      </c>
      <c r="E139" s="10">
        <v>2380008</v>
      </c>
      <c r="F139" s="10" t="s">
        <v>1192</v>
      </c>
      <c r="G139" s="69">
        <v>162.63999999999999</v>
      </c>
      <c r="H139" s="69">
        <v>6.81</v>
      </c>
      <c r="I139" s="69">
        <f t="shared" si="34"/>
        <v>4.7669999999999995</v>
      </c>
      <c r="J139" s="70">
        <v>1</v>
      </c>
      <c r="K139" s="69">
        <f t="shared" si="35"/>
        <v>142.20401499999997</v>
      </c>
      <c r="L139" s="79" t="s">
        <v>468</v>
      </c>
      <c r="M139" s="61">
        <f t="shared" si="36"/>
        <v>-0.71504999999999974</v>
      </c>
      <c r="N139" s="61">
        <f t="shared" si="37"/>
        <v>0.84103499999999987</v>
      </c>
      <c r="O139" s="61"/>
      <c r="P139" s="2"/>
      <c r="Q139" s="2"/>
      <c r="R139" s="32"/>
      <c r="S139" s="32"/>
      <c r="T139" s="32"/>
      <c r="U139" s="32"/>
      <c r="V139" s="2"/>
      <c r="W139" s="2"/>
      <c r="X139" s="2"/>
      <c r="Y139" s="2"/>
      <c r="Z139" s="2"/>
    </row>
    <row r="140" spans="1:26" ht="13.8" x14ac:dyDescent="0.3">
      <c r="A140" s="2" t="s">
        <v>325</v>
      </c>
      <c r="B140" s="2" t="s">
        <v>244</v>
      </c>
      <c r="C140" s="10">
        <v>2304025</v>
      </c>
      <c r="D140" s="10" t="s">
        <v>1162</v>
      </c>
      <c r="E140" s="10">
        <v>2381522</v>
      </c>
      <c r="F140" s="10" t="s">
        <v>1166</v>
      </c>
      <c r="G140" s="69">
        <v>340.9</v>
      </c>
      <c r="H140" s="69">
        <v>17.2</v>
      </c>
      <c r="I140" s="69">
        <f t="shared" si="34"/>
        <v>12.04</v>
      </c>
      <c r="J140" s="70">
        <v>1</v>
      </c>
      <c r="K140" s="69">
        <f t="shared" si="35"/>
        <v>299.76679999999999</v>
      </c>
      <c r="L140" s="79" t="s">
        <v>468</v>
      </c>
      <c r="M140" s="61">
        <f t="shared" si="36"/>
        <v>-1.8059999999999987</v>
      </c>
      <c r="N140" s="61">
        <f t="shared" si="37"/>
        <v>2.1241999999999996</v>
      </c>
      <c r="O140" s="61"/>
      <c r="P140" s="2"/>
      <c r="Q140" s="2"/>
      <c r="R140" s="32"/>
      <c r="S140" s="32"/>
      <c r="T140" s="32"/>
      <c r="U140" s="32"/>
      <c r="V140" s="2"/>
      <c r="W140" s="2"/>
      <c r="X140" s="2"/>
      <c r="Y140" s="2"/>
      <c r="Z140" s="2"/>
    </row>
    <row r="141" spans="1:26" ht="13.8" x14ac:dyDescent="0.3">
      <c r="A141" s="2" t="s">
        <v>325</v>
      </c>
      <c r="B141" s="2" t="s">
        <v>244</v>
      </c>
      <c r="C141" s="10">
        <v>2304025</v>
      </c>
      <c r="D141" s="10" t="s">
        <v>1162</v>
      </c>
      <c r="E141" s="10">
        <v>2391366</v>
      </c>
      <c r="F141" s="10" t="s">
        <v>1168</v>
      </c>
      <c r="G141" s="69">
        <v>-13.31</v>
      </c>
      <c r="H141" s="69">
        <v>1.85</v>
      </c>
      <c r="I141" s="69">
        <f t="shared" si="34"/>
        <v>1.2949999999999999</v>
      </c>
      <c r="J141" s="70">
        <v>1</v>
      </c>
      <c r="K141" s="69">
        <f t="shared" si="35"/>
        <v>-10.237724999999999</v>
      </c>
      <c r="L141" s="79" t="s">
        <v>468</v>
      </c>
      <c r="M141" s="61">
        <f t="shared" si="36"/>
        <v>-0.19424999999999989</v>
      </c>
      <c r="N141" s="61">
        <f t="shared" si="37"/>
        <v>0.22847499999999998</v>
      </c>
      <c r="O141" s="61"/>
      <c r="P141" s="2"/>
      <c r="Q141" s="2"/>
      <c r="R141" s="32"/>
      <c r="S141" s="32"/>
      <c r="T141" s="32"/>
      <c r="U141" s="32"/>
      <c r="V141" s="2"/>
      <c r="W141" s="2"/>
      <c r="X141" s="2"/>
      <c r="Y141" s="2"/>
      <c r="Z141" s="2"/>
    </row>
    <row r="142" spans="1:26" ht="13.8" x14ac:dyDescent="0.3">
      <c r="A142" s="2" t="s">
        <v>325</v>
      </c>
      <c r="B142" s="2" t="s">
        <v>244</v>
      </c>
      <c r="C142" s="10">
        <v>2304025</v>
      </c>
      <c r="D142" s="10" t="s">
        <v>1162</v>
      </c>
      <c r="E142" s="10">
        <v>2420208</v>
      </c>
      <c r="F142" s="10" t="s">
        <v>1170</v>
      </c>
      <c r="G142" s="69">
        <v>-1504.8</v>
      </c>
      <c r="H142" s="69">
        <v>216.15</v>
      </c>
      <c r="I142" s="69">
        <f t="shared" si="34"/>
        <v>151.30500000000001</v>
      </c>
      <c r="J142" s="70">
        <v>1</v>
      </c>
      <c r="K142" s="69">
        <f t="shared" si="35"/>
        <v>-1153.3887749999999</v>
      </c>
      <c r="L142" s="79" t="s">
        <v>468</v>
      </c>
      <c r="M142" s="61">
        <f t="shared" si="36"/>
        <v>-22.695750000000007</v>
      </c>
      <c r="N142" s="61">
        <f t="shared" si="37"/>
        <v>26.694524999999999</v>
      </c>
      <c r="O142" s="61"/>
      <c r="P142" s="2"/>
      <c r="Q142" s="2"/>
      <c r="R142" s="32"/>
      <c r="S142" s="32"/>
      <c r="T142" s="32"/>
      <c r="U142" s="32"/>
      <c r="V142" s="2"/>
      <c r="W142" s="2"/>
      <c r="X142" s="2"/>
      <c r="Y142" s="2"/>
      <c r="Z142" s="2"/>
    </row>
    <row r="143" spans="1:26" ht="13.8" x14ac:dyDescent="0.3">
      <c r="A143" s="2" t="s">
        <v>325</v>
      </c>
      <c r="B143" s="2" t="s">
        <v>244</v>
      </c>
      <c r="C143" s="10">
        <v>2304025</v>
      </c>
      <c r="D143" s="10" t="s">
        <v>1162</v>
      </c>
      <c r="E143" s="10">
        <v>2435202</v>
      </c>
      <c r="F143" s="2" t="s">
        <v>1223</v>
      </c>
      <c r="G143" s="69">
        <v>87.66</v>
      </c>
      <c r="H143" s="69">
        <v>17.27</v>
      </c>
      <c r="I143" s="69">
        <f t="shared" si="34"/>
        <v>12.088999999999999</v>
      </c>
      <c r="J143" s="70">
        <v>1</v>
      </c>
      <c r="K143" s="69">
        <f t="shared" si="35"/>
        <v>84.553504999999987</v>
      </c>
      <c r="L143" s="79" t="s">
        <v>468</v>
      </c>
      <c r="M143" s="61">
        <f t="shared" si="36"/>
        <v>-1.8133499999999989</v>
      </c>
      <c r="N143" s="61">
        <f t="shared" si="37"/>
        <v>2.1328449999999997</v>
      </c>
      <c r="O143" s="61"/>
      <c r="P143" s="2"/>
      <c r="Q143" s="2"/>
      <c r="R143" s="32"/>
      <c r="S143" s="32"/>
      <c r="T143" s="32"/>
      <c r="U143" s="32"/>
      <c r="V143" s="2"/>
      <c r="W143" s="2"/>
      <c r="X143" s="2"/>
      <c r="Y143" s="2"/>
      <c r="Z143" s="2"/>
    </row>
    <row r="144" spans="1:26" ht="13.8" x14ac:dyDescent="0.3">
      <c r="A144" s="2" t="s">
        <v>325</v>
      </c>
      <c r="B144" s="2" t="s">
        <v>244</v>
      </c>
      <c r="C144" s="10">
        <v>2304025</v>
      </c>
      <c r="D144" s="10" t="s">
        <v>1162</v>
      </c>
      <c r="E144" s="10">
        <v>2435203</v>
      </c>
      <c r="F144" s="2" t="s">
        <v>1224</v>
      </c>
      <c r="G144" s="69">
        <v>41.26</v>
      </c>
      <c r="H144" s="69">
        <v>8.4600000000000009</v>
      </c>
      <c r="I144" s="69">
        <f t="shared" si="34"/>
        <v>5.9220000000000006</v>
      </c>
      <c r="J144" s="70">
        <v>1</v>
      </c>
      <c r="K144" s="69">
        <f t="shared" si="35"/>
        <v>39.990490000000001</v>
      </c>
      <c r="L144" s="79" t="s">
        <v>468</v>
      </c>
      <c r="M144" s="61">
        <f t="shared" si="36"/>
        <v>-0.88829999999999998</v>
      </c>
      <c r="N144" s="61">
        <f t="shared" si="37"/>
        <v>1.04481</v>
      </c>
      <c r="O144" s="61"/>
      <c r="P144" s="2"/>
      <c r="Q144" s="2"/>
      <c r="R144" s="32"/>
      <c r="S144" s="32"/>
      <c r="T144" s="32"/>
      <c r="U144" s="32"/>
      <c r="V144" s="2"/>
      <c r="W144" s="2"/>
      <c r="X144" s="2"/>
      <c r="Y144" s="2"/>
      <c r="Z144" s="2"/>
    </row>
    <row r="145" spans="1:26" ht="13.8" x14ac:dyDescent="0.3">
      <c r="A145" s="2" t="s">
        <v>325</v>
      </c>
      <c r="B145" s="2" t="s">
        <v>244</v>
      </c>
      <c r="C145" s="10">
        <v>2304025</v>
      </c>
      <c r="D145" s="10" t="s">
        <v>1162</v>
      </c>
      <c r="E145" s="10">
        <v>2435206</v>
      </c>
      <c r="F145" s="2" t="s">
        <v>1225</v>
      </c>
      <c r="G145" s="69">
        <v>-196.98</v>
      </c>
      <c r="H145" s="69">
        <v>150.33000000000001</v>
      </c>
      <c r="I145" s="69">
        <f t="shared" si="34"/>
        <v>105.23100000000001</v>
      </c>
      <c r="J145" s="70">
        <v>1</v>
      </c>
      <c r="K145" s="69">
        <f t="shared" si="35"/>
        <v>-80.016104999999982</v>
      </c>
      <c r="L145" s="79" t="s">
        <v>468</v>
      </c>
      <c r="M145" s="61">
        <f t="shared" si="36"/>
        <v>-15.784650000000001</v>
      </c>
      <c r="N145" s="61">
        <f t="shared" si="37"/>
        <v>18.565755000000003</v>
      </c>
      <c r="O145" s="61"/>
      <c r="P145" s="2"/>
      <c r="Q145" s="2"/>
      <c r="R145" s="32"/>
      <c r="S145" s="32"/>
      <c r="T145" s="32"/>
      <c r="U145" s="32"/>
      <c r="V145" s="2"/>
      <c r="W145" s="2"/>
      <c r="X145" s="2"/>
      <c r="Y145" s="2"/>
      <c r="Z145" s="2"/>
    </row>
    <row r="146" spans="1:26" ht="13.8" x14ac:dyDescent="0.3">
      <c r="A146" s="2" t="s">
        <v>325</v>
      </c>
      <c r="B146" s="2" t="s">
        <v>244</v>
      </c>
      <c r="C146" s="10">
        <v>2304025</v>
      </c>
      <c r="D146" s="10" t="s">
        <v>1162</v>
      </c>
      <c r="E146" s="10">
        <v>2471540</v>
      </c>
      <c r="F146" s="2" t="s">
        <v>1172</v>
      </c>
      <c r="G146" s="69">
        <v>637.41</v>
      </c>
      <c r="H146" s="69">
        <v>57.75</v>
      </c>
      <c r="I146" s="69">
        <f t="shared" si="34"/>
        <v>40.424999999999997</v>
      </c>
      <c r="J146" s="70">
        <v>1</v>
      </c>
      <c r="K146" s="69">
        <f t="shared" si="35"/>
        <v>575.38012499999991</v>
      </c>
      <c r="L146" s="79" t="s">
        <v>468</v>
      </c>
      <c r="M146" s="61">
        <f t="shared" si="36"/>
        <v>-6.0637499999999953</v>
      </c>
      <c r="N146" s="61">
        <f t="shared" si="37"/>
        <v>7.1321249999999994</v>
      </c>
      <c r="O146" s="61"/>
      <c r="P146" s="2"/>
      <c r="Q146" s="2"/>
      <c r="R146" s="32"/>
      <c r="S146" s="32"/>
      <c r="T146" s="32"/>
      <c r="U146" s="32"/>
      <c r="V146" s="2"/>
      <c r="W146" s="2"/>
      <c r="X146" s="2"/>
      <c r="Y146" s="2"/>
      <c r="Z146" s="2"/>
    </row>
    <row r="147" spans="1:26" ht="13.8" x14ac:dyDescent="0.3">
      <c r="A147" s="2" t="s">
        <v>325</v>
      </c>
      <c r="B147" s="2" t="s">
        <v>244</v>
      </c>
      <c r="C147" s="10">
        <v>2304025</v>
      </c>
      <c r="D147" s="10" t="s">
        <v>1162</v>
      </c>
      <c r="E147" s="10">
        <v>2493795</v>
      </c>
      <c r="F147" s="2" t="s">
        <v>1174</v>
      </c>
      <c r="G147" s="69">
        <v>140.75</v>
      </c>
      <c r="H147" s="69">
        <v>48.34</v>
      </c>
      <c r="I147" s="69">
        <f t="shared" si="34"/>
        <v>33.838000000000001</v>
      </c>
      <c r="J147" s="70">
        <v>1</v>
      </c>
      <c r="K147" s="69">
        <f t="shared" si="35"/>
        <v>147.74721</v>
      </c>
      <c r="L147" s="79" t="s">
        <v>468</v>
      </c>
      <c r="M147" s="61">
        <f t="shared" si="36"/>
        <v>-5.0756999999999977</v>
      </c>
      <c r="N147" s="61">
        <f t="shared" si="37"/>
        <v>5.9699900000000001</v>
      </c>
      <c r="O147" s="61"/>
      <c r="P147" s="2"/>
      <c r="Q147" s="2"/>
      <c r="R147" s="32"/>
      <c r="S147" s="32"/>
      <c r="T147" s="32"/>
      <c r="U147" s="32"/>
      <c r="V147" s="2"/>
      <c r="W147" s="2"/>
      <c r="X147" s="2"/>
      <c r="Y147" s="2"/>
      <c r="Z147" s="2"/>
    </row>
    <row r="148" spans="1:26" ht="13.8" x14ac:dyDescent="0.3">
      <c r="A148" s="2" t="s">
        <v>325</v>
      </c>
      <c r="B148" s="2" t="s">
        <v>244</v>
      </c>
      <c r="C148" s="10">
        <v>2304025</v>
      </c>
      <c r="D148" s="10" t="s">
        <v>1162</v>
      </c>
      <c r="E148" s="10">
        <v>2514199</v>
      </c>
      <c r="F148" s="10" t="s">
        <v>1175</v>
      </c>
      <c r="G148" s="32">
        <v>-214.94</v>
      </c>
      <c r="H148" s="32">
        <v>54.1</v>
      </c>
      <c r="I148" s="69">
        <f t="shared" si="34"/>
        <v>37.869999999999997</v>
      </c>
      <c r="J148" s="70">
        <v>1</v>
      </c>
      <c r="K148" s="69">
        <f t="shared" si="35"/>
        <v>-151.23984999999999</v>
      </c>
      <c r="L148" s="79" t="s">
        <v>468</v>
      </c>
      <c r="M148" s="61">
        <f t="shared" si="36"/>
        <v>-5.6804999999999986</v>
      </c>
      <c r="N148" s="61">
        <f t="shared" si="37"/>
        <v>6.6813499999999992</v>
      </c>
      <c r="O148" s="61"/>
      <c r="P148" s="2"/>
      <c r="Q148" s="2"/>
      <c r="R148" s="32"/>
      <c r="S148" s="32"/>
      <c r="T148" s="32"/>
      <c r="U148" s="32"/>
      <c r="V148" s="2"/>
      <c r="W148" s="2"/>
      <c r="X148" s="2"/>
      <c r="Y148" s="2"/>
      <c r="Z148" s="2"/>
    </row>
    <row r="149" spans="1:26" ht="13.8" x14ac:dyDescent="0.3">
      <c r="A149" s="2" t="s">
        <v>325</v>
      </c>
      <c r="B149" s="2" t="s">
        <v>244</v>
      </c>
      <c r="C149" s="10">
        <v>2304025</v>
      </c>
      <c r="D149" s="10" t="s">
        <v>1162</v>
      </c>
      <c r="E149" s="10">
        <v>2523431</v>
      </c>
      <c r="F149" s="32" t="s">
        <v>1199</v>
      </c>
      <c r="G149" s="69">
        <v>-71.25</v>
      </c>
      <c r="H149" s="69">
        <v>94.17</v>
      </c>
      <c r="I149" s="69">
        <f t="shared" si="34"/>
        <v>65.918999999999997</v>
      </c>
      <c r="J149" s="70">
        <v>1</v>
      </c>
      <c r="K149" s="69">
        <f t="shared" si="35"/>
        <v>-5.8026450000000018</v>
      </c>
      <c r="L149" s="79" t="s">
        <v>468</v>
      </c>
      <c r="M149" s="61">
        <f t="shared" si="36"/>
        <v>-9.8878500000000003</v>
      </c>
      <c r="N149" s="61">
        <f t="shared" si="37"/>
        <v>11.629994999999997</v>
      </c>
      <c r="O149" s="61"/>
      <c r="P149" s="2"/>
      <c r="Q149" s="2"/>
      <c r="R149" s="32"/>
      <c r="S149" s="32"/>
      <c r="T149" s="32"/>
      <c r="U149" s="32"/>
      <c r="V149" s="2"/>
      <c r="W149" s="2"/>
      <c r="X149" s="2"/>
      <c r="Y149" s="2"/>
      <c r="Z149" s="2"/>
    </row>
    <row r="150" spans="1:26" ht="13.8" x14ac:dyDescent="0.3">
      <c r="A150" s="2" t="s">
        <v>325</v>
      </c>
      <c r="B150" s="2" t="s">
        <v>244</v>
      </c>
      <c r="C150" s="10">
        <v>2304025</v>
      </c>
      <c r="D150" s="10" t="s">
        <v>1162</v>
      </c>
      <c r="E150" s="10">
        <v>2526904</v>
      </c>
      <c r="F150" s="10" t="s">
        <v>1255</v>
      </c>
      <c r="G150" s="69">
        <v>-196</v>
      </c>
      <c r="H150" s="69">
        <v>23.34</v>
      </c>
      <c r="I150" s="69">
        <f t="shared" si="34"/>
        <v>16.337999999999997</v>
      </c>
      <c r="J150" s="70">
        <v>1</v>
      </c>
      <c r="K150" s="69">
        <f t="shared" si="35"/>
        <v>-153.02779000000001</v>
      </c>
      <c r="L150" s="79" t="s">
        <v>468</v>
      </c>
      <c r="M150" s="61">
        <f t="shared" si="36"/>
        <v>-2.4507000000000008</v>
      </c>
      <c r="N150" s="61">
        <f t="shared" si="37"/>
        <v>2.8824899999999998</v>
      </c>
      <c r="O150" s="61"/>
      <c r="P150" s="2"/>
      <c r="Q150" s="2"/>
      <c r="R150" s="32"/>
      <c r="S150" s="32"/>
      <c r="T150" s="32"/>
      <c r="U150" s="32"/>
      <c r="V150" s="2"/>
      <c r="W150" s="2"/>
      <c r="X150" s="2"/>
      <c r="Y150" s="2"/>
      <c r="Z150" s="2"/>
    </row>
    <row r="151" spans="1:26" ht="13.8" x14ac:dyDescent="0.3">
      <c r="A151" s="2" t="s">
        <v>325</v>
      </c>
      <c r="B151" s="2" t="s">
        <v>244</v>
      </c>
      <c r="C151" s="10">
        <v>2304025</v>
      </c>
      <c r="D151" s="10" t="s">
        <v>1162</v>
      </c>
      <c r="E151" s="10">
        <v>2526921</v>
      </c>
      <c r="F151" s="10" t="s">
        <v>1256</v>
      </c>
      <c r="G151" s="69">
        <v>-155.38</v>
      </c>
      <c r="H151" s="69">
        <v>59.8</v>
      </c>
      <c r="I151" s="69">
        <f t="shared" si="34"/>
        <v>41.859999999999992</v>
      </c>
      <c r="J151" s="70">
        <v>1</v>
      </c>
      <c r="K151" s="69">
        <f t="shared" si="35"/>
        <v>-97.299300000000002</v>
      </c>
      <c r="L151" s="79" t="s">
        <v>468</v>
      </c>
      <c r="M151" s="61">
        <f t="shared" si="36"/>
        <v>-6.278999999999999</v>
      </c>
      <c r="N151" s="61">
        <f t="shared" si="37"/>
        <v>7.3852999999999991</v>
      </c>
      <c r="O151" s="61"/>
      <c r="P151" s="2"/>
      <c r="Q151" s="2"/>
      <c r="R151" s="32"/>
      <c r="S151" s="32"/>
      <c r="T151" s="32"/>
      <c r="U151" s="32"/>
      <c r="V151" s="2"/>
      <c r="W151" s="2"/>
      <c r="X151" s="2"/>
      <c r="Y151" s="2"/>
      <c r="Z151" s="2"/>
    </row>
    <row r="152" spans="1:26" ht="13.8" x14ac:dyDescent="0.3">
      <c r="A152" s="2" t="s">
        <v>325</v>
      </c>
      <c r="B152" s="2" t="s">
        <v>244</v>
      </c>
      <c r="C152" s="10">
        <v>2304025</v>
      </c>
      <c r="D152" s="10" t="s">
        <v>1162</v>
      </c>
      <c r="E152" s="10">
        <v>2531140</v>
      </c>
      <c r="F152" s="10" t="s">
        <v>1257</v>
      </c>
      <c r="G152" s="69">
        <v>605.25</v>
      </c>
      <c r="H152" s="69">
        <v>177.19</v>
      </c>
      <c r="I152" s="69">
        <f t="shared" si="34"/>
        <v>124.03299999999999</v>
      </c>
      <c r="J152" s="70">
        <v>1</v>
      </c>
      <c r="K152" s="69">
        <f t="shared" si="35"/>
        <v>617.49848499999996</v>
      </c>
      <c r="L152" s="79" t="s">
        <v>468</v>
      </c>
      <c r="M152" s="61">
        <f t="shared" si="36"/>
        <v>-18.604950000000002</v>
      </c>
      <c r="N152" s="61">
        <f t="shared" si="37"/>
        <v>21.882964999999999</v>
      </c>
      <c r="O152" s="61"/>
      <c r="P152" s="2"/>
      <c r="Q152" s="2"/>
      <c r="R152" s="32"/>
      <c r="S152" s="32"/>
      <c r="T152" s="32"/>
      <c r="U152" s="32"/>
      <c r="V152" s="2"/>
      <c r="W152" s="2"/>
      <c r="X152" s="2"/>
      <c r="Y152" s="2"/>
      <c r="Z152" s="2"/>
    </row>
    <row r="153" spans="1:26" ht="13.8" x14ac:dyDescent="0.3">
      <c r="A153" s="2" t="s">
        <v>325</v>
      </c>
      <c r="B153" s="2" t="s">
        <v>244</v>
      </c>
      <c r="C153" s="10">
        <v>2304025</v>
      </c>
      <c r="D153" s="10" t="s">
        <v>1162</v>
      </c>
      <c r="E153" s="10">
        <v>2531141</v>
      </c>
      <c r="F153" s="10" t="s">
        <v>1258</v>
      </c>
      <c r="G153" s="69">
        <v>-271</v>
      </c>
      <c r="H153" s="69">
        <v>9.93</v>
      </c>
      <c r="I153" s="69">
        <f t="shared" si="34"/>
        <v>6.9509999999999996</v>
      </c>
      <c r="J153" s="70">
        <v>1</v>
      </c>
      <c r="K153" s="69">
        <f t="shared" si="35"/>
        <v>-224.575705</v>
      </c>
      <c r="L153" s="79" t="s">
        <v>468</v>
      </c>
      <c r="M153" s="61">
        <f t="shared" si="36"/>
        <v>-1.0426499999999996</v>
      </c>
      <c r="N153" s="61">
        <f t="shared" si="37"/>
        <v>1.2263549999999999</v>
      </c>
      <c r="O153" s="61"/>
      <c r="P153" s="2"/>
      <c r="Q153" s="2"/>
      <c r="R153" s="32"/>
      <c r="S153" s="32"/>
      <c r="T153" s="32"/>
      <c r="U153" s="32"/>
      <c r="V153" s="2"/>
      <c r="W153" s="2"/>
      <c r="X153" s="2"/>
      <c r="Y153" s="2"/>
      <c r="Z153" s="2"/>
    </row>
    <row r="154" spans="1:26" ht="13.8" x14ac:dyDescent="0.3">
      <c r="A154" s="2" t="s">
        <v>325</v>
      </c>
      <c r="B154" s="2" t="s">
        <v>244</v>
      </c>
      <c r="C154" s="10">
        <v>2304025</v>
      </c>
      <c r="D154" s="10" t="s">
        <v>1162</v>
      </c>
      <c r="E154" s="10">
        <v>2531145</v>
      </c>
      <c r="F154" s="10" t="s">
        <v>1226</v>
      </c>
      <c r="G154" s="69">
        <v>316.45999999999998</v>
      </c>
      <c r="H154" s="69">
        <v>24.78</v>
      </c>
      <c r="I154" s="69">
        <f t="shared" si="34"/>
        <v>17.346</v>
      </c>
      <c r="J154" s="70">
        <v>1</v>
      </c>
      <c r="K154" s="69">
        <f t="shared" si="35"/>
        <v>283.40057000000002</v>
      </c>
      <c r="L154" s="79" t="s">
        <v>468</v>
      </c>
      <c r="M154" s="61">
        <f t="shared" si="36"/>
        <v>-2.6019000000000041</v>
      </c>
      <c r="N154" s="61">
        <f t="shared" si="37"/>
        <v>3.06033</v>
      </c>
      <c r="O154" s="61"/>
      <c r="P154" s="2"/>
      <c r="Q154" s="2"/>
      <c r="R154" s="32"/>
      <c r="S154" s="32"/>
      <c r="T154" s="32"/>
      <c r="U154" s="32"/>
      <c r="V154" s="2"/>
      <c r="W154" s="2"/>
      <c r="X154" s="2"/>
      <c r="Y154" s="2"/>
      <c r="Z154" s="2"/>
    </row>
    <row r="155" spans="1:26" ht="13.8" x14ac:dyDescent="0.3">
      <c r="A155" s="2" t="s">
        <v>325</v>
      </c>
      <c r="B155" s="2" t="s">
        <v>244</v>
      </c>
      <c r="C155" s="10">
        <v>2304025</v>
      </c>
      <c r="D155" s="10" t="s">
        <v>1162</v>
      </c>
      <c r="E155" s="10">
        <v>2531191</v>
      </c>
      <c r="F155" s="10" t="s">
        <v>1259</v>
      </c>
      <c r="G155" s="69">
        <v>-48.88</v>
      </c>
      <c r="H155" s="69">
        <v>5.98</v>
      </c>
      <c r="I155" s="69">
        <f t="shared" si="34"/>
        <v>4.1859999999999999</v>
      </c>
      <c r="J155" s="70">
        <v>1</v>
      </c>
      <c r="K155" s="69">
        <f t="shared" si="35"/>
        <v>-38.070630000000001</v>
      </c>
      <c r="L155" s="79" t="s">
        <v>468</v>
      </c>
      <c r="M155" s="61">
        <f t="shared" si="36"/>
        <v>-0.62789999999999946</v>
      </c>
      <c r="N155" s="61">
        <f t="shared" si="37"/>
        <v>0.73853000000000002</v>
      </c>
      <c r="O155" s="61"/>
      <c r="P155" s="2"/>
      <c r="Q155" s="2"/>
      <c r="R155" s="32"/>
      <c r="S155" s="32"/>
      <c r="T155" s="32"/>
      <c r="U155" s="32"/>
      <c r="V155" s="2"/>
      <c r="W155" s="2"/>
      <c r="X155" s="2"/>
      <c r="Y155" s="2"/>
      <c r="Z155" s="2"/>
    </row>
    <row r="156" spans="1:26" ht="13.8" x14ac:dyDescent="0.3">
      <c r="A156" s="2" t="s">
        <v>325</v>
      </c>
      <c r="B156" s="2" t="s">
        <v>244</v>
      </c>
      <c r="C156" s="10">
        <v>2304025</v>
      </c>
      <c r="D156" s="10" t="s">
        <v>1162</v>
      </c>
      <c r="E156" s="10">
        <v>2531390</v>
      </c>
      <c r="F156" s="10" t="s">
        <v>1229</v>
      </c>
      <c r="G156" s="69">
        <v>-32.53</v>
      </c>
      <c r="H156" s="69">
        <v>9.41</v>
      </c>
      <c r="I156" s="69">
        <f t="shared" si="34"/>
        <v>6.5869999999999997</v>
      </c>
      <c r="J156" s="70">
        <v>1</v>
      </c>
      <c r="K156" s="69">
        <f t="shared" si="35"/>
        <v>-22.178584999999998</v>
      </c>
      <c r="L156" s="79" t="s">
        <v>468</v>
      </c>
      <c r="M156" s="61">
        <f t="shared" si="36"/>
        <v>-0.98805000000000009</v>
      </c>
      <c r="N156" s="61">
        <f t="shared" si="37"/>
        <v>1.1621349999999999</v>
      </c>
      <c r="O156" s="61"/>
      <c r="P156" s="2"/>
      <c r="Q156" s="2"/>
      <c r="R156" s="32"/>
      <c r="S156" s="32"/>
      <c r="T156" s="32"/>
      <c r="U156" s="32"/>
      <c r="V156" s="2"/>
      <c r="W156" s="2"/>
      <c r="X156" s="2"/>
      <c r="Y156" s="2"/>
      <c r="Z156" s="2"/>
    </row>
    <row r="157" spans="1:26" ht="13.8" x14ac:dyDescent="0.3">
      <c r="A157" s="2" t="s">
        <v>325</v>
      </c>
      <c r="B157" s="2" t="s">
        <v>244</v>
      </c>
      <c r="C157" s="10">
        <v>2304025</v>
      </c>
      <c r="D157" s="10" t="s">
        <v>1162</v>
      </c>
      <c r="E157" s="10">
        <v>2538386</v>
      </c>
      <c r="F157" s="10" t="s">
        <v>1260</v>
      </c>
      <c r="G157" s="69">
        <v>249.2</v>
      </c>
      <c r="H157" s="69">
        <v>25.03</v>
      </c>
      <c r="I157" s="69">
        <f t="shared" si="34"/>
        <v>17.521000000000001</v>
      </c>
      <c r="J157" s="70">
        <v>1</v>
      </c>
      <c r="K157" s="69">
        <f t="shared" si="35"/>
        <v>226.374945</v>
      </c>
      <c r="L157" s="79" t="s">
        <v>468</v>
      </c>
      <c r="M157" s="61">
        <f t="shared" si="36"/>
        <v>-2.6281500000000051</v>
      </c>
      <c r="N157" s="61">
        <f t="shared" si="37"/>
        <v>3.091205</v>
      </c>
      <c r="O157" s="61"/>
      <c r="P157" s="2"/>
      <c r="Q157" s="2"/>
      <c r="R157" s="32"/>
      <c r="S157" s="32"/>
      <c r="T157" s="32"/>
      <c r="U157" s="32"/>
      <c r="V157" s="2"/>
      <c r="W157" s="2"/>
      <c r="X157" s="2"/>
      <c r="Y157" s="2"/>
      <c r="Z157" s="2"/>
    </row>
    <row r="158" spans="1:26" ht="13.8" x14ac:dyDescent="0.3">
      <c r="A158" s="2" t="s">
        <v>325</v>
      </c>
      <c r="B158" s="2" t="s">
        <v>244</v>
      </c>
      <c r="C158" s="10">
        <v>2304025</v>
      </c>
      <c r="D158" s="10" t="s">
        <v>1162</v>
      </c>
      <c r="E158" s="10">
        <v>2540293</v>
      </c>
      <c r="F158" s="10" t="s">
        <v>1261</v>
      </c>
      <c r="G158" s="69">
        <v>173.23</v>
      </c>
      <c r="H158" s="69">
        <v>15.72</v>
      </c>
      <c r="I158" s="69">
        <f t="shared" si="34"/>
        <v>11.004</v>
      </c>
      <c r="J158" s="70">
        <v>1</v>
      </c>
      <c r="K158" s="69">
        <f t="shared" si="35"/>
        <v>156.38667999999998</v>
      </c>
      <c r="L158" s="79" t="s">
        <v>468</v>
      </c>
      <c r="M158" s="61">
        <f t="shared" si="36"/>
        <v>-1.6506000000000003</v>
      </c>
      <c r="N158" s="61">
        <f t="shared" si="37"/>
        <v>1.9414199999999999</v>
      </c>
      <c r="O158" s="61"/>
      <c r="P158" s="2"/>
      <c r="Q158" s="2"/>
      <c r="R158" s="32"/>
      <c r="S158" s="32"/>
      <c r="T158" s="32"/>
      <c r="U158" s="32"/>
      <c r="V158" s="2"/>
      <c r="W158" s="2"/>
      <c r="X158" s="2"/>
      <c r="Y158" s="2"/>
      <c r="Z158" s="2"/>
    </row>
    <row r="159" spans="1:26" ht="13.8" x14ac:dyDescent="0.3">
      <c r="A159" s="2" t="s">
        <v>325</v>
      </c>
      <c r="B159" s="2" t="s">
        <v>244</v>
      </c>
      <c r="C159" s="10">
        <v>2304025</v>
      </c>
      <c r="D159" s="10" t="s">
        <v>1162</v>
      </c>
      <c r="E159" s="10">
        <v>2540315</v>
      </c>
      <c r="F159" s="10" t="s">
        <v>1262</v>
      </c>
      <c r="G159" s="69">
        <v>57.82</v>
      </c>
      <c r="H159" s="69">
        <v>37.409999999999997</v>
      </c>
      <c r="I159" s="69">
        <f t="shared" si="34"/>
        <v>26.186999999999998</v>
      </c>
      <c r="J159" s="70">
        <v>1</v>
      </c>
      <c r="K159" s="69">
        <f t="shared" si="35"/>
        <v>70.900915000000012</v>
      </c>
      <c r="L159" s="79" t="s">
        <v>468</v>
      </c>
      <c r="M159" s="61">
        <f t="shared" si="36"/>
        <v>-3.928049999999998</v>
      </c>
      <c r="N159" s="61">
        <f t="shared" si="37"/>
        <v>4.6201349999999994</v>
      </c>
      <c r="O159" s="61"/>
      <c r="P159" s="2"/>
      <c r="Q159" s="2"/>
      <c r="R159" s="32"/>
      <c r="S159" s="32"/>
      <c r="T159" s="32"/>
      <c r="U159" s="32"/>
      <c r="V159" s="2"/>
      <c r="W159" s="2"/>
      <c r="X159" s="2"/>
      <c r="Y159" s="2"/>
      <c r="Z159" s="2"/>
    </row>
    <row r="160" spans="1:26" ht="13.8" x14ac:dyDescent="0.3">
      <c r="A160" s="2" t="s">
        <v>325</v>
      </c>
      <c r="B160" s="2" t="s">
        <v>244</v>
      </c>
      <c r="C160" s="10">
        <v>2304025</v>
      </c>
      <c r="D160" s="10" t="s">
        <v>1162</v>
      </c>
      <c r="E160" s="10">
        <v>2541423</v>
      </c>
      <c r="F160" s="10" t="s">
        <v>1263</v>
      </c>
      <c r="G160" s="69">
        <v>824.44</v>
      </c>
      <c r="H160" s="69">
        <v>66.849999999999994</v>
      </c>
      <c r="I160" s="69">
        <f t="shared" si="34"/>
        <v>46.794999999999995</v>
      </c>
      <c r="J160" s="70">
        <v>1</v>
      </c>
      <c r="K160" s="69">
        <f t="shared" si="35"/>
        <v>739.64727500000004</v>
      </c>
      <c r="L160" s="79" t="s">
        <v>468</v>
      </c>
      <c r="M160" s="61">
        <f t="shared" si="36"/>
        <v>-7.0192500000000022</v>
      </c>
      <c r="N160" s="61">
        <f t="shared" si="37"/>
        <v>8.2559749999999994</v>
      </c>
      <c r="O160" s="61"/>
      <c r="P160" s="2"/>
      <c r="Q160" s="2"/>
      <c r="R160" s="32"/>
      <c r="S160" s="32"/>
      <c r="T160" s="32"/>
      <c r="U160" s="32"/>
      <c r="V160" s="2"/>
      <c r="W160" s="2"/>
      <c r="X160" s="2"/>
      <c r="Y160" s="2"/>
      <c r="Z160" s="2"/>
    </row>
    <row r="161" spans="1:26" ht="13.8" x14ac:dyDescent="0.3">
      <c r="A161" s="2" t="s">
        <v>325</v>
      </c>
      <c r="B161" s="2" t="s">
        <v>244</v>
      </c>
      <c r="C161" s="10">
        <v>2523689</v>
      </c>
      <c r="D161" s="10" t="s">
        <v>1179</v>
      </c>
      <c r="E161" s="10">
        <v>2525136</v>
      </c>
      <c r="F161" s="10" t="s">
        <v>1205</v>
      </c>
      <c r="G161" s="69">
        <v>163.06</v>
      </c>
      <c r="H161" s="69">
        <v>10.41</v>
      </c>
      <c r="I161" s="69">
        <f t="shared" si="34"/>
        <v>7.2869999999999999</v>
      </c>
      <c r="J161" s="70">
        <v>1</v>
      </c>
      <c r="K161" s="69">
        <f t="shared" si="35"/>
        <v>144.654415</v>
      </c>
      <c r="L161" s="79" t="s">
        <v>468</v>
      </c>
      <c r="M161" s="61">
        <f t="shared" si="36"/>
        <v>-1.093049999999999</v>
      </c>
      <c r="N161" s="61">
        <f t="shared" si="37"/>
        <v>1.2856350000000001</v>
      </c>
      <c r="O161" s="61"/>
      <c r="P161" s="2"/>
      <c r="Q161" s="2"/>
      <c r="R161" s="32"/>
      <c r="S161" s="32"/>
      <c r="T161" s="32"/>
      <c r="U161" s="32"/>
      <c r="V161" s="2"/>
      <c r="W161" s="2"/>
      <c r="X161" s="2"/>
      <c r="Y161" s="2"/>
      <c r="Z161" s="2"/>
    </row>
    <row r="162" spans="1:26" ht="13.8" x14ac:dyDescent="0.3">
      <c r="A162" s="2" t="s">
        <v>325</v>
      </c>
      <c r="B162" s="32" t="s">
        <v>107</v>
      </c>
      <c r="C162" s="10" t="s">
        <v>15</v>
      </c>
      <c r="D162" s="10" t="s">
        <v>15</v>
      </c>
      <c r="E162" s="10">
        <v>2404538</v>
      </c>
      <c r="F162" s="86" t="s">
        <v>1219</v>
      </c>
      <c r="G162" s="69">
        <v>156.4</v>
      </c>
      <c r="H162" s="69">
        <v>2</v>
      </c>
      <c r="I162" s="69">
        <v>0</v>
      </c>
      <c r="J162" s="70">
        <v>1</v>
      </c>
      <c r="K162" s="69">
        <f t="shared" ref="K162:K164" si="38">(-H162*0.25*0.04)*J162*0.3+H162*0.15*0.96*J162*0.3</f>
        <v>8.0399999999999985E-2</v>
      </c>
      <c r="L162" s="79" t="s">
        <v>468</v>
      </c>
      <c r="M162" s="61">
        <v>0</v>
      </c>
      <c r="N162" s="61">
        <v>0</v>
      </c>
      <c r="O162" s="61"/>
      <c r="P162" s="2"/>
      <c r="Q162" s="2"/>
      <c r="R162" s="32"/>
      <c r="S162" s="32"/>
      <c r="T162" s="32"/>
      <c r="U162" s="32"/>
      <c r="V162" s="2"/>
      <c r="W162" s="2"/>
      <c r="X162" s="2"/>
      <c r="Y162" s="2"/>
      <c r="Z162" s="2"/>
    </row>
    <row r="163" spans="1:26" ht="13.8" x14ac:dyDescent="0.3">
      <c r="A163" s="2" t="s">
        <v>325</v>
      </c>
      <c r="B163" s="32" t="s">
        <v>107</v>
      </c>
      <c r="C163" s="10" t="s">
        <v>15</v>
      </c>
      <c r="D163" s="10" t="s">
        <v>15</v>
      </c>
      <c r="E163" s="10">
        <v>2405286</v>
      </c>
      <c r="F163" s="46" t="s">
        <v>1220</v>
      </c>
      <c r="G163" s="69">
        <v>31.97</v>
      </c>
      <c r="H163" s="69">
        <v>2</v>
      </c>
      <c r="I163" s="69">
        <v>0</v>
      </c>
      <c r="J163" s="70">
        <v>1</v>
      </c>
      <c r="K163" s="69">
        <f t="shared" si="38"/>
        <v>8.0399999999999985E-2</v>
      </c>
      <c r="L163" s="79" t="s">
        <v>468</v>
      </c>
      <c r="M163" s="61">
        <v>0</v>
      </c>
      <c r="N163" s="61">
        <v>0</v>
      </c>
      <c r="O163" s="61"/>
      <c r="P163" s="2"/>
      <c r="Q163" s="2"/>
      <c r="R163" s="32"/>
      <c r="S163" s="32"/>
      <c r="T163" s="32"/>
      <c r="U163" s="32"/>
      <c r="V163" s="2"/>
      <c r="W163" s="2"/>
      <c r="X163" s="2"/>
      <c r="Y163" s="2"/>
      <c r="Z163" s="2"/>
    </row>
    <row r="164" spans="1:26" ht="13.8" x14ac:dyDescent="0.3">
      <c r="A164" s="2" t="s">
        <v>325</v>
      </c>
      <c r="B164" s="32" t="s">
        <v>107</v>
      </c>
      <c r="C164" s="10" t="s">
        <v>15</v>
      </c>
      <c r="D164" s="10" t="s">
        <v>15</v>
      </c>
      <c r="E164" s="10">
        <v>2405626</v>
      </c>
      <c r="F164" s="46" t="s">
        <v>1221</v>
      </c>
      <c r="G164" s="69">
        <v>92.3</v>
      </c>
      <c r="H164" s="69">
        <v>4</v>
      </c>
      <c r="I164" s="69">
        <v>0</v>
      </c>
      <c r="J164" s="70">
        <v>1</v>
      </c>
      <c r="K164" s="69">
        <f t="shared" si="38"/>
        <v>0.16079999999999997</v>
      </c>
      <c r="L164" s="79" t="s">
        <v>468</v>
      </c>
      <c r="M164" s="61">
        <v>0</v>
      </c>
      <c r="N164" s="61">
        <v>0</v>
      </c>
      <c r="O164" s="61"/>
      <c r="P164" s="2"/>
      <c r="Q164" s="2"/>
      <c r="R164" s="32"/>
      <c r="S164" s="32"/>
      <c r="T164" s="32"/>
      <c r="U164" s="32"/>
      <c r="V164" s="2"/>
      <c r="W164" s="2"/>
      <c r="X164" s="2"/>
      <c r="Y164" s="2"/>
      <c r="Z164" s="2"/>
    </row>
    <row r="165" spans="1:26" ht="13.8" x14ac:dyDescent="0.3">
      <c r="A165" s="32" t="s">
        <v>325</v>
      </c>
      <c r="B165" s="32" t="s">
        <v>107</v>
      </c>
      <c r="C165" s="10">
        <v>2304025</v>
      </c>
      <c r="D165" s="10" t="s">
        <v>1162</v>
      </c>
      <c r="E165" s="10">
        <v>2319819</v>
      </c>
      <c r="F165" s="10" t="s">
        <v>1165</v>
      </c>
      <c r="G165" s="69">
        <v>953.5</v>
      </c>
      <c r="H165" s="69">
        <v>189.56</v>
      </c>
      <c r="I165" s="69">
        <f t="shared" ref="I165:I178" si="39">H165*0.65</f>
        <v>123.214</v>
      </c>
      <c r="J165" s="70">
        <v>1</v>
      </c>
      <c r="K165" s="69">
        <f t="shared" ref="K165:K178" si="40">(G165+I165)*J165*0.8+(G165*0.05-H165*0.25*0.15)*J165*0.3+(H165*0.1*0.85+I165*0.05)*J165*0.3</f>
        <v>880.22314000000006</v>
      </c>
      <c r="L165" s="79" t="s">
        <v>468</v>
      </c>
      <c r="M165" s="61">
        <f t="shared" ref="M165:M176" si="41">(G165*0.05-H165*0.25*0.15)*J165*0.7-(-H165*0.03*0.15)*J165</f>
        <v>29.249570000000002</v>
      </c>
      <c r="N165" s="61">
        <f t="shared" ref="N165:N176" si="42">(H165*0.1*0.85+I165*0.05)*J165*0.7+H165*0.03*0.85*J165</f>
        <v>20.425089999999997</v>
      </c>
      <c r="O165" s="61"/>
      <c r="P165" s="2"/>
      <c r="Q165" s="2"/>
      <c r="R165" s="32"/>
      <c r="S165" s="32"/>
      <c r="T165" s="32"/>
      <c r="U165" s="32"/>
      <c r="V165" s="2"/>
      <c r="W165" s="2"/>
      <c r="X165" s="2"/>
      <c r="Y165" s="2"/>
      <c r="Z165" s="2"/>
    </row>
    <row r="166" spans="1:26" ht="13.8" x14ac:dyDescent="0.3">
      <c r="A166" s="32" t="s">
        <v>325</v>
      </c>
      <c r="B166" s="32" t="s">
        <v>107</v>
      </c>
      <c r="C166" s="10">
        <v>2304025</v>
      </c>
      <c r="D166" s="10" t="s">
        <v>1162</v>
      </c>
      <c r="E166" s="10">
        <v>2420208</v>
      </c>
      <c r="F166" s="10" t="s">
        <v>1170</v>
      </c>
      <c r="G166" s="69">
        <v>697.91</v>
      </c>
      <c r="H166" s="69">
        <v>129.77000000000001</v>
      </c>
      <c r="I166" s="69">
        <f t="shared" si="39"/>
        <v>84.350500000000011</v>
      </c>
      <c r="J166" s="70">
        <v>1</v>
      </c>
      <c r="K166" s="69">
        <f t="shared" si="40"/>
        <v>639.3915300000001</v>
      </c>
      <c r="L166" s="79" t="s">
        <v>468</v>
      </c>
      <c r="M166" s="61">
        <f t="shared" si="41"/>
        <v>21.604352499999997</v>
      </c>
      <c r="N166" s="61">
        <f t="shared" si="42"/>
        <v>13.982717500000001</v>
      </c>
      <c r="O166" s="61"/>
      <c r="P166" s="2"/>
      <c r="Q166" s="2"/>
      <c r="R166" s="32"/>
      <c r="S166" s="32"/>
      <c r="T166" s="32"/>
      <c r="U166" s="32"/>
      <c r="V166" s="2"/>
      <c r="W166" s="2"/>
      <c r="X166" s="2"/>
      <c r="Y166" s="2"/>
      <c r="Z166" s="2"/>
    </row>
    <row r="167" spans="1:26" ht="13.8" x14ac:dyDescent="0.3">
      <c r="A167" s="32" t="s">
        <v>325</v>
      </c>
      <c r="B167" s="32" t="s">
        <v>107</v>
      </c>
      <c r="C167" s="10">
        <v>2304025</v>
      </c>
      <c r="D167" s="10" t="s">
        <v>1162</v>
      </c>
      <c r="E167" s="10">
        <v>2435202</v>
      </c>
      <c r="F167" s="10" t="s">
        <v>1223</v>
      </c>
      <c r="G167" s="69">
        <v>-211.73</v>
      </c>
      <c r="H167" s="69">
        <v>192.04</v>
      </c>
      <c r="I167" s="69">
        <f t="shared" si="39"/>
        <v>124.82599999999999</v>
      </c>
      <c r="J167" s="70">
        <v>1</v>
      </c>
      <c r="K167" s="69">
        <f t="shared" si="40"/>
        <v>-68.090190000000007</v>
      </c>
      <c r="L167" s="79" t="s">
        <v>468</v>
      </c>
      <c r="M167" s="61">
        <f t="shared" si="41"/>
        <v>-11.58742</v>
      </c>
      <c r="N167" s="61">
        <f t="shared" si="42"/>
        <v>20.692309999999999</v>
      </c>
      <c r="O167" s="61"/>
      <c r="P167" s="2"/>
      <c r="Q167" s="2"/>
      <c r="R167" s="32"/>
      <c r="S167" s="32"/>
      <c r="T167" s="32"/>
      <c r="U167" s="32"/>
      <c r="V167" s="2"/>
      <c r="W167" s="2"/>
      <c r="X167" s="2"/>
      <c r="Y167" s="2"/>
      <c r="Z167" s="2"/>
    </row>
    <row r="168" spans="1:26" ht="13.8" x14ac:dyDescent="0.3">
      <c r="A168" s="32" t="s">
        <v>325</v>
      </c>
      <c r="B168" s="32" t="s">
        <v>107</v>
      </c>
      <c r="C168" s="10">
        <v>2304025</v>
      </c>
      <c r="D168" s="10" t="s">
        <v>1162</v>
      </c>
      <c r="E168" s="10">
        <v>2435203</v>
      </c>
      <c r="F168" s="10" t="s">
        <v>1224</v>
      </c>
      <c r="G168" s="69">
        <v>-0.59</v>
      </c>
      <c r="H168" s="69">
        <v>186.25</v>
      </c>
      <c r="I168" s="69">
        <f t="shared" si="39"/>
        <v>121.0625</v>
      </c>
      <c r="J168" s="70">
        <v>1</v>
      </c>
      <c r="K168" s="69">
        <f t="shared" si="40"/>
        <v>100.83915</v>
      </c>
      <c r="L168" s="79" t="s">
        <v>468</v>
      </c>
      <c r="M168" s="61">
        <f t="shared" si="41"/>
        <v>-4.0715874999999997</v>
      </c>
      <c r="N168" s="61">
        <f t="shared" si="42"/>
        <v>20.068437499999998</v>
      </c>
      <c r="O168" s="61"/>
      <c r="P168" s="2"/>
      <c r="Q168" s="2"/>
      <c r="R168" s="32"/>
      <c r="S168" s="32"/>
      <c r="T168" s="32"/>
      <c r="U168" s="32"/>
      <c r="V168" s="2"/>
      <c r="W168" s="2"/>
      <c r="X168" s="2"/>
      <c r="Y168" s="2"/>
      <c r="Z168" s="2"/>
    </row>
    <row r="169" spans="1:26" ht="13.8" x14ac:dyDescent="0.3">
      <c r="A169" s="32" t="s">
        <v>325</v>
      </c>
      <c r="B169" s="32" t="s">
        <v>107</v>
      </c>
      <c r="C169" s="10">
        <v>2304025</v>
      </c>
      <c r="D169" s="10" t="s">
        <v>1162</v>
      </c>
      <c r="E169" s="10">
        <v>2435206</v>
      </c>
      <c r="F169" s="10" t="s">
        <v>1225</v>
      </c>
      <c r="G169" s="69">
        <v>191.91</v>
      </c>
      <c r="H169" s="69">
        <v>54.57</v>
      </c>
      <c r="I169" s="69">
        <f t="shared" si="39"/>
        <v>35.470500000000001</v>
      </c>
      <c r="J169" s="70">
        <v>1</v>
      </c>
      <c r="K169" s="69">
        <f t="shared" si="40"/>
        <v>186.09273000000002</v>
      </c>
      <c r="L169" s="79" t="s">
        <v>468</v>
      </c>
      <c r="M169" s="61">
        <f t="shared" si="41"/>
        <v>5.5299525000000012</v>
      </c>
      <c r="N169" s="61">
        <f t="shared" si="42"/>
        <v>5.8799175000000004</v>
      </c>
      <c r="O169" s="61"/>
      <c r="P169" s="2"/>
      <c r="Q169" s="2"/>
      <c r="R169" s="32"/>
      <c r="S169" s="32"/>
      <c r="T169" s="32"/>
      <c r="U169" s="32"/>
      <c r="V169" s="2"/>
      <c r="W169" s="2"/>
      <c r="X169" s="2"/>
      <c r="Y169" s="2"/>
      <c r="Z169" s="2"/>
    </row>
    <row r="170" spans="1:26" ht="13.8" x14ac:dyDescent="0.3">
      <c r="A170" s="32" t="s">
        <v>325</v>
      </c>
      <c r="B170" s="32" t="s">
        <v>107</v>
      </c>
      <c r="C170" s="10">
        <v>2304025</v>
      </c>
      <c r="D170" s="10" t="s">
        <v>1162</v>
      </c>
      <c r="E170" s="10">
        <v>2471540</v>
      </c>
      <c r="F170" s="10" t="s">
        <v>1172</v>
      </c>
      <c r="G170" s="69">
        <v>38.369999999999997</v>
      </c>
      <c r="H170" s="69">
        <v>346.82</v>
      </c>
      <c r="I170" s="69">
        <f t="shared" si="39"/>
        <v>225.43299999999999</v>
      </c>
      <c r="J170" s="70">
        <v>1</v>
      </c>
      <c r="K170" s="69">
        <f t="shared" si="40"/>
        <v>219.94163</v>
      </c>
      <c r="L170" s="79" t="s">
        <v>468</v>
      </c>
      <c r="M170" s="61">
        <f t="shared" si="41"/>
        <v>-6.2003849999999989</v>
      </c>
      <c r="N170" s="61">
        <f t="shared" si="42"/>
        <v>37.369855000000001</v>
      </c>
      <c r="O170" s="61"/>
      <c r="P170" s="2"/>
      <c r="Q170" s="2"/>
      <c r="R170" s="32"/>
      <c r="S170" s="32"/>
      <c r="T170" s="32"/>
      <c r="U170" s="32"/>
      <c r="V170" s="2"/>
      <c r="W170" s="2"/>
      <c r="X170" s="2"/>
      <c r="Y170" s="2"/>
      <c r="Z170" s="2"/>
    </row>
    <row r="171" spans="1:26" ht="13.8" x14ac:dyDescent="0.3">
      <c r="A171" s="32" t="s">
        <v>325</v>
      </c>
      <c r="B171" s="32" t="s">
        <v>107</v>
      </c>
      <c r="C171" s="10">
        <v>2304025</v>
      </c>
      <c r="D171" s="10" t="s">
        <v>1162</v>
      </c>
      <c r="E171" s="10">
        <v>2531141</v>
      </c>
      <c r="F171" s="10" t="s">
        <v>1258</v>
      </c>
      <c r="G171" s="69">
        <v>22</v>
      </c>
      <c r="H171" s="69">
        <v>0.82</v>
      </c>
      <c r="I171" s="69">
        <f t="shared" si="39"/>
        <v>0.53300000000000003</v>
      </c>
      <c r="J171" s="70">
        <v>1</v>
      </c>
      <c r="K171" s="69">
        <f t="shared" si="40"/>
        <v>18.376080000000005</v>
      </c>
      <c r="L171" s="79" t="s">
        <v>468</v>
      </c>
      <c r="M171" s="61">
        <f t="shared" si="41"/>
        <v>0.75216499999999997</v>
      </c>
      <c r="N171" s="61">
        <f t="shared" si="42"/>
        <v>8.8355000000000003E-2</v>
      </c>
      <c r="O171" s="61"/>
      <c r="P171" s="2"/>
      <c r="Q171" s="2"/>
      <c r="R171" s="32"/>
      <c r="S171" s="32"/>
      <c r="T171" s="32"/>
      <c r="U171" s="32"/>
      <c r="V171" s="2"/>
      <c r="W171" s="2"/>
      <c r="X171" s="2"/>
      <c r="Y171" s="2"/>
      <c r="Z171" s="2"/>
    </row>
    <row r="172" spans="1:26" ht="13.8" x14ac:dyDescent="0.3">
      <c r="A172" s="32" t="s">
        <v>325</v>
      </c>
      <c r="B172" s="32" t="s">
        <v>107</v>
      </c>
      <c r="C172" s="10">
        <v>2304025</v>
      </c>
      <c r="D172" s="10" t="s">
        <v>1162</v>
      </c>
      <c r="E172" s="10">
        <v>2531145</v>
      </c>
      <c r="F172" s="10" t="s">
        <v>1226</v>
      </c>
      <c r="G172" s="69">
        <v>-1300.44</v>
      </c>
      <c r="H172" s="69">
        <v>132.30000000000001</v>
      </c>
      <c r="I172" s="69">
        <f t="shared" si="39"/>
        <v>85.995000000000005</v>
      </c>
      <c r="J172" s="70">
        <v>1</v>
      </c>
      <c r="K172" s="69">
        <f t="shared" si="40"/>
        <v>-987.88740000000007</v>
      </c>
      <c r="L172" s="79" t="s">
        <v>468</v>
      </c>
      <c r="M172" s="61">
        <f t="shared" si="41"/>
        <v>-48.392925000000005</v>
      </c>
      <c r="N172" s="61">
        <f t="shared" si="42"/>
        <v>14.255325000000001</v>
      </c>
      <c r="O172" s="61"/>
      <c r="P172" s="2"/>
      <c r="Q172" s="2"/>
      <c r="R172" s="32"/>
      <c r="S172" s="32"/>
      <c r="T172" s="32"/>
      <c r="U172" s="32"/>
      <c r="V172" s="2"/>
      <c r="W172" s="2"/>
      <c r="X172" s="2"/>
      <c r="Y172" s="2"/>
      <c r="Z172" s="2"/>
    </row>
    <row r="173" spans="1:26" ht="13.8" x14ac:dyDescent="0.3">
      <c r="A173" s="32" t="s">
        <v>325</v>
      </c>
      <c r="B173" s="32" t="s">
        <v>107</v>
      </c>
      <c r="C173" s="10">
        <v>2304025</v>
      </c>
      <c r="D173" s="10" t="s">
        <v>1162</v>
      </c>
      <c r="E173" s="10">
        <v>2531146</v>
      </c>
      <c r="F173" s="10" t="s">
        <v>1227</v>
      </c>
      <c r="G173" s="69">
        <v>-10.5</v>
      </c>
      <c r="H173" s="69">
        <v>2.94</v>
      </c>
      <c r="I173" s="69">
        <f t="shared" si="39"/>
        <v>1.911</v>
      </c>
      <c r="J173" s="70">
        <v>1</v>
      </c>
      <c r="K173" s="69">
        <f t="shared" si="40"/>
        <v>-6.9581400000000011</v>
      </c>
      <c r="L173" s="79" t="s">
        <v>468</v>
      </c>
      <c r="M173" s="61">
        <f t="shared" si="41"/>
        <v>-0.43144499999999991</v>
      </c>
      <c r="N173" s="61">
        <f t="shared" si="42"/>
        <v>0.31678499999999998</v>
      </c>
      <c r="O173" s="61"/>
      <c r="P173" s="2"/>
      <c r="Q173" s="2"/>
      <c r="R173" s="32"/>
      <c r="S173" s="32"/>
      <c r="T173" s="32"/>
      <c r="U173" s="32"/>
      <c r="V173" s="2"/>
      <c r="W173" s="2"/>
      <c r="X173" s="2"/>
      <c r="Y173" s="2"/>
      <c r="Z173" s="2"/>
    </row>
    <row r="174" spans="1:26" ht="13.8" x14ac:dyDescent="0.3">
      <c r="A174" s="32" t="s">
        <v>325</v>
      </c>
      <c r="B174" s="32" t="s">
        <v>107</v>
      </c>
      <c r="C174" s="10">
        <v>2304025</v>
      </c>
      <c r="D174" s="10" t="s">
        <v>1162</v>
      </c>
      <c r="E174" s="10">
        <v>2531365</v>
      </c>
      <c r="F174" s="10" t="s">
        <v>1228</v>
      </c>
      <c r="G174" s="69">
        <v>41.66</v>
      </c>
      <c r="H174" s="69">
        <v>12.27</v>
      </c>
      <c r="I174" s="69">
        <f t="shared" si="39"/>
        <v>7.9755000000000003</v>
      </c>
      <c r="J174" s="70">
        <v>1</v>
      </c>
      <c r="K174" s="69">
        <f t="shared" si="40"/>
        <v>40.627780000000001</v>
      </c>
      <c r="L174" s="79" t="s">
        <v>468</v>
      </c>
      <c r="M174" s="61">
        <f t="shared" si="41"/>
        <v>1.1912274999999999</v>
      </c>
      <c r="N174" s="61">
        <f t="shared" si="42"/>
        <v>1.3220925000000001</v>
      </c>
      <c r="O174" s="61"/>
      <c r="P174" s="2"/>
      <c r="Q174" s="2"/>
      <c r="R174" s="32"/>
      <c r="S174" s="32"/>
      <c r="T174" s="32"/>
      <c r="U174" s="32"/>
      <c r="V174" s="2"/>
      <c r="W174" s="2"/>
      <c r="X174" s="2"/>
      <c r="Y174" s="2"/>
      <c r="Z174" s="2"/>
    </row>
    <row r="175" spans="1:26" ht="13.8" x14ac:dyDescent="0.3">
      <c r="A175" s="32" t="s">
        <v>325</v>
      </c>
      <c r="B175" s="32" t="s">
        <v>107</v>
      </c>
      <c r="C175" s="10">
        <v>2304025</v>
      </c>
      <c r="D175" s="10" t="s">
        <v>1162</v>
      </c>
      <c r="E175" s="10">
        <v>2531390</v>
      </c>
      <c r="F175" s="10" t="s">
        <v>1229</v>
      </c>
      <c r="G175" s="69">
        <v>810.74</v>
      </c>
      <c r="H175" s="69">
        <v>225.14</v>
      </c>
      <c r="I175" s="69">
        <f t="shared" si="39"/>
        <v>146.34100000000001</v>
      </c>
      <c r="J175" s="70">
        <v>1</v>
      </c>
      <c r="K175" s="69">
        <f t="shared" si="40"/>
        <v>783.22926000000007</v>
      </c>
      <c r="L175" s="79" t="s">
        <v>468</v>
      </c>
      <c r="M175" s="61">
        <f t="shared" si="41"/>
        <v>23.479105000000004</v>
      </c>
      <c r="N175" s="61">
        <f t="shared" si="42"/>
        <v>24.258834999999998</v>
      </c>
      <c r="O175" s="61"/>
      <c r="P175" s="2"/>
      <c r="Q175" s="2"/>
      <c r="R175" s="32"/>
      <c r="S175" s="32"/>
      <c r="T175" s="32"/>
      <c r="U175" s="32"/>
      <c r="V175" s="2"/>
      <c r="W175" s="2"/>
      <c r="X175" s="2"/>
      <c r="Y175" s="2"/>
      <c r="Z175" s="2"/>
    </row>
    <row r="176" spans="1:26" ht="13.8" x14ac:dyDescent="0.3">
      <c r="A176" s="32" t="s">
        <v>325</v>
      </c>
      <c r="B176" s="32" t="s">
        <v>107</v>
      </c>
      <c r="C176" s="10">
        <v>2304025</v>
      </c>
      <c r="D176" s="10" t="s">
        <v>1162</v>
      </c>
      <c r="E176" s="10">
        <v>2538386</v>
      </c>
      <c r="F176" s="10" t="s">
        <v>1260</v>
      </c>
      <c r="G176" s="69">
        <v>-154.05000000000001</v>
      </c>
      <c r="H176" s="69">
        <v>40.770000000000003</v>
      </c>
      <c r="I176" s="69">
        <f t="shared" si="39"/>
        <v>26.500500000000002</v>
      </c>
      <c r="J176" s="70">
        <v>1</v>
      </c>
      <c r="K176" s="69">
        <f t="shared" si="40"/>
        <v>-103.37187</v>
      </c>
      <c r="L176" s="79" t="s">
        <v>468</v>
      </c>
      <c r="M176" s="61">
        <f t="shared" si="41"/>
        <v>-6.2784974999999994</v>
      </c>
      <c r="N176" s="61">
        <f t="shared" si="42"/>
        <v>4.392967500000001</v>
      </c>
      <c r="O176" s="61"/>
      <c r="P176" s="2"/>
      <c r="Q176" s="2"/>
      <c r="R176" s="32"/>
      <c r="S176" s="32"/>
      <c r="T176" s="32"/>
      <c r="U176" s="32"/>
      <c r="V176" s="2"/>
      <c r="W176" s="2"/>
      <c r="X176" s="2"/>
      <c r="Y176" s="2"/>
      <c r="Z176" s="2"/>
    </row>
    <row r="177" spans="1:26" ht="13.8" x14ac:dyDescent="0.3">
      <c r="A177" s="32" t="s">
        <v>325</v>
      </c>
      <c r="B177" s="32" t="s">
        <v>107</v>
      </c>
      <c r="C177" s="10">
        <v>2365380</v>
      </c>
      <c r="D177" s="10" t="s">
        <v>1201</v>
      </c>
      <c r="E177" s="10">
        <v>2427654</v>
      </c>
      <c r="F177" s="10" t="s">
        <v>1202</v>
      </c>
      <c r="G177" s="69">
        <v>-380</v>
      </c>
      <c r="H177" s="69">
        <v>25.93</v>
      </c>
      <c r="I177" s="69">
        <f t="shared" si="39"/>
        <v>16.854500000000002</v>
      </c>
      <c r="J177" s="70">
        <v>1</v>
      </c>
      <c r="K177" s="69">
        <f t="shared" si="40"/>
        <v>-295.59407999999996</v>
      </c>
      <c r="L177" s="79" t="s">
        <v>468</v>
      </c>
      <c r="M177" s="61">
        <f t="shared" ref="M177:M178" si="43">(G177*0.05-H177*0.25*0.15)*J177*0.7-(-H177*0.02*0.15)*J177</f>
        <v>-13.902872499999999</v>
      </c>
      <c r="N177" s="61">
        <f t="shared" ref="N177:N178" si="44">(H177*0.1*0.85+I177*0.05)*J177*0.7+H177*0.02*0.85*J177</f>
        <v>2.5735524999999999</v>
      </c>
      <c r="O177" s="61"/>
      <c r="P177" s="2"/>
      <c r="Q177" s="2"/>
      <c r="R177" s="32"/>
      <c r="S177" s="32"/>
      <c r="T177" s="32"/>
      <c r="U177" s="32"/>
      <c r="V177" s="2"/>
      <c r="W177" s="2"/>
      <c r="X177" s="2"/>
      <c r="Y177" s="2"/>
      <c r="Z177" s="2"/>
    </row>
    <row r="178" spans="1:26" ht="13.8" x14ac:dyDescent="0.3">
      <c r="A178" s="32" t="s">
        <v>325</v>
      </c>
      <c r="B178" s="32" t="s">
        <v>107</v>
      </c>
      <c r="C178" s="10">
        <v>2523689</v>
      </c>
      <c r="D178" s="10" t="s">
        <v>1179</v>
      </c>
      <c r="E178" s="10">
        <v>2525136</v>
      </c>
      <c r="F178" s="10" t="s">
        <v>1205</v>
      </c>
      <c r="G178" s="69">
        <v>87.36</v>
      </c>
      <c r="H178" s="69">
        <v>5.05</v>
      </c>
      <c r="I178" s="69">
        <f t="shared" si="39"/>
        <v>3.2825000000000002</v>
      </c>
      <c r="J178" s="70">
        <v>1</v>
      </c>
      <c r="K178" s="69">
        <f t="shared" si="40"/>
        <v>73.945599999999985</v>
      </c>
      <c r="L178" s="79" t="s">
        <v>468</v>
      </c>
      <c r="M178" s="61">
        <f t="shared" si="43"/>
        <v>2.9401875000000004</v>
      </c>
      <c r="N178" s="61">
        <f t="shared" si="44"/>
        <v>0.50121249999999995</v>
      </c>
      <c r="O178" s="61"/>
      <c r="P178" s="2"/>
      <c r="Q178" s="2"/>
      <c r="R178" s="32"/>
      <c r="S178" s="32"/>
      <c r="T178" s="32"/>
      <c r="U178" s="32"/>
      <c r="V178" s="2"/>
      <c r="W178" s="2"/>
      <c r="X178" s="2"/>
      <c r="Y178" s="2"/>
      <c r="Z178" s="2"/>
    </row>
    <row r="179" spans="1:26" ht="13.8" x14ac:dyDescent="0.3">
      <c r="A179" s="32" t="s">
        <v>325</v>
      </c>
      <c r="B179" s="2" t="s">
        <v>186</v>
      </c>
      <c r="C179" s="10" t="s">
        <v>15</v>
      </c>
      <c r="D179" s="10" t="s">
        <v>15</v>
      </c>
      <c r="E179" s="10">
        <v>1714680</v>
      </c>
      <c r="F179" s="76" t="s">
        <v>535</v>
      </c>
      <c r="G179" s="69">
        <v>6434.87</v>
      </c>
      <c r="H179" s="69">
        <v>500.01</v>
      </c>
      <c r="I179" s="69">
        <v>0</v>
      </c>
      <c r="J179" s="70">
        <v>1</v>
      </c>
      <c r="K179" s="69">
        <f>(-H179*0.4*0.15+G179*0.25)*J179*0.3+G179*0.02*0.6*J179*0.3+(H179*0.1*0.85+H179*0.5*0.25)*J179*0.3</f>
        <v>528.28123199999993</v>
      </c>
      <c r="L179" s="79" t="s">
        <v>468</v>
      </c>
      <c r="M179" s="61">
        <v>0</v>
      </c>
      <c r="N179" s="61">
        <v>0</v>
      </c>
      <c r="O179" s="61"/>
      <c r="P179" s="2"/>
      <c r="Q179" s="2"/>
      <c r="R179" s="32"/>
      <c r="S179" s="32"/>
      <c r="T179" s="32"/>
      <c r="U179" s="32"/>
      <c r="V179" s="2"/>
      <c r="W179" s="2"/>
      <c r="X179" s="2"/>
      <c r="Y179" s="2"/>
      <c r="Z179" s="2"/>
    </row>
    <row r="180" spans="1:26" ht="13.8" x14ac:dyDescent="0.3">
      <c r="A180" s="32" t="s">
        <v>325</v>
      </c>
      <c r="B180" s="2" t="s">
        <v>186</v>
      </c>
      <c r="C180" s="10">
        <v>2304025</v>
      </c>
      <c r="D180" s="10" t="s">
        <v>1162</v>
      </c>
      <c r="E180" s="10">
        <v>2319819</v>
      </c>
      <c r="F180" s="10" t="s">
        <v>1165</v>
      </c>
      <c r="G180" s="69">
        <v>-111.95</v>
      </c>
      <c r="H180" s="69">
        <v>192.56</v>
      </c>
      <c r="I180" s="69">
        <f t="shared" ref="I180:I187" si="45">H180*0.5</f>
        <v>96.28</v>
      </c>
      <c r="J180" s="70">
        <v>1</v>
      </c>
      <c r="K180" s="69">
        <f t="shared" ref="K180:K187" si="46">(G180+I180)*J180*0.85+(-H180*0.4*0.15)*J180*0.3+H180*0.1*0.85*J180*0.3</f>
        <v>-11.875300000000003</v>
      </c>
      <c r="L180" s="79" t="s">
        <v>468</v>
      </c>
      <c r="M180" s="61">
        <f t="shared" ref="M180:M187" si="47">(-H180*0.4*0.15)*J180*0.7-(-H180*0.05*0.15)*J180</f>
        <v>-6.6433199999999992</v>
      </c>
      <c r="N180" s="61">
        <f t="shared" ref="N180:N187" si="48">H180*0.1*0.85*J180*0.7+H180*0.05*0.85*J180</f>
        <v>19.641120000000001</v>
      </c>
      <c r="O180" s="61"/>
      <c r="P180" s="2"/>
      <c r="Q180" s="2"/>
      <c r="R180" s="32"/>
      <c r="S180" s="32"/>
      <c r="T180" s="32"/>
      <c r="U180" s="32"/>
      <c r="V180" s="2"/>
      <c r="W180" s="2"/>
      <c r="X180" s="2"/>
      <c r="Y180" s="2"/>
      <c r="Z180" s="2"/>
    </row>
    <row r="181" spans="1:26" ht="13.8" x14ac:dyDescent="0.3">
      <c r="A181" s="32" t="s">
        <v>325</v>
      </c>
      <c r="B181" s="2" t="s">
        <v>186</v>
      </c>
      <c r="C181" s="10">
        <v>2304025</v>
      </c>
      <c r="D181" s="10" t="s">
        <v>1162</v>
      </c>
      <c r="E181" s="10">
        <v>2381522</v>
      </c>
      <c r="F181" s="10" t="s">
        <v>1166</v>
      </c>
      <c r="G181" s="69">
        <v>-109.16</v>
      </c>
      <c r="H181" s="69">
        <v>11.26</v>
      </c>
      <c r="I181" s="69">
        <f t="shared" si="45"/>
        <v>5.63</v>
      </c>
      <c r="J181" s="70">
        <v>1</v>
      </c>
      <c r="K181" s="69">
        <f t="shared" si="46"/>
        <v>-87.916049999999998</v>
      </c>
      <c r="L181" s="79" t="s">
        <v>468</v>
      </c>
      <c r="M181" s="61">
        <f t="shared" si="47"/>
        <v>-0.38846999999999998</v>
      </c>
      <c r="N181" s="61">
        <f t="shared" si="48"/>
        <v>1.14852</v>
      </c>
      <c r="O181" s="61"/>
      <c r="P181" s="2"/>
      <c r="Q181" s="2"/>
      <c r="R181" s="32"/>
      <c r="S181" s="32"/>
      <c r="T181" s="32"/>
      <c r="U181" s="32"/>
      <c r="V181" s="2"/>
      <c r="W181" s="2"/>
      <c r="X181" s="2"/>
      <c r="Y181" s="2"/>
      <c r="Z181" s="2"/>
    </row>
    <row r="182" spans="1:26" ht="13.8" x14ac:dyDescent="0.3">
      <c r="A182" s="32" t="s">
        <v>325</v>
      </c>
      <c r="B182" s="2" t="s">
        <v>186</v>
      </c>
      <c r="C182" s="10">
        <v>2304025</v>
      </c>
      <c r="D182" s="10" t="s">
        <v>1162</v>
      </c>
      <c r="E182" s="10">
        <v>2420208</v>
      </c>
      <c r="F182" s="10" t="s">
        <v>1170</v>
      </c>
      <c r="G182" s="69">
        <v>934.08</v>
      </c>
      <c r="H182" s="69">
        <v>124.1</v>
      </c>
      <c r="I182" s="69">
        <f t="shared" si="45"/>
        <v>62.05</v>
      </c>
      <c r="J182" s="70">
        <v>1</v>
      </c>
      <c r="K182" s="69">
        <f t="shared" si="46"/>
        <v>847.64125000000001</v>
      </c>
      <c r="L182" s="79" t="s">
        <v>468</v>
      </c>
      <c r="M182" s="61">
        <f t="shared" si="47"/>
        <v>-4.2814499999999995</v>
      </c>
      <c r="N182" s="61">
        <f t="shared" si="48"/>
        <v>12.658200000000001</v>
      </c>
      <c r="O182" s="61"/>
      <c r="P182" s="2"/>
      <c r="Q182" s="2"/>
      <c r="R182" s="32"/>
      <c r="S182" s="32"/>
      <c r="T182" s="32"/>
      <c r="U182" s="32"/>
      <c r="V182" s="2"/>
      <c r="W182" s="2"/>
      <c r="X182" s="2"/>
      <c r="Y182" s="2"/>
      <c r="Z182" s="2"/>
    </row>
    <row r="183" spans="1:26" ht="13.8" x14ac:dyDescent="0.3">
      <c r="A183" s="32" t="s">
        <v>325</v>
      </c>
      <c r="B183" s="2" t="s">
        <v>186</v>
      </c>
      <c r="C183" s="10">
        <v>2304025</v>
      </c>
      <c r="D183" s="10" t="s">
        <v>1162</v>
      </c>
      <c r="E183" s="10">
        <v>2471540</v>
      </c>
      <c r="F183" s="10" t="s">
        <v>1172</v>
      </c>
      <c r="G183" s="69">
        <v>423.37</v>
      </c>
      <c r="H183" s="69">
        <v>65.58</v>
      </c>
      <c r="I183" s="69">
        <f t="shared" si="45"/>
        <v>32.79</v>
      </c>
      <c r="J183" s="70">
        <v>1</v>
      </c>
      <c r="K183" s="69">
        <f t="shared" si="46"/>
        <v>388.22784999999999</v>
      </c>
      <c r="L183" s="79" t="s">
        <v>468</v>
      </c>
      <c r="M183" s="61">
        <f t="shared" si="47"/>
        <v>-2.2625099999999998</v>
      </c>
      <c r="N183" s="61">
        <f t="shared" si="48"/>
        <v>6.6891599999999993</v>
      </c>
      <c r="O183" s="61"/>
      <c r="P183" s="2"/>
      <c r="Q183" s="2"/>
      <c r="R183" s="32"/>
      <c r="S183" s="32"/>
      <c r="T183" s="32"/>
      <c r="U183" s="32"/>
      <c r="V183" s="2"/>
      <c r="W183" s="2"/>
      <c r="X183" s="2"/>
      <c r="Y183" s="2"/>
      <c r="Z183" s="2"/>
    </row>
    <row r="184" spans="1:26" ht="13.8" x14ac:dyDescent="0.3">
      <c r="A184" s="32" t="s">
        <v>325</v>
      </c>
      <c r="B184" s="2" t="s">
        <v>186</v>
      </c>
      <c r="C184" s="10">
        <v>2304025</v>
      </c>
      <c r="D184" s="10" t="s">
        <v>1162</v>
      </c>
      <c r="E184" s="10">
        <v>2514199</v>
      </c>
      <c r="F184" s="10" t="s">
        <v>1175</v>
      </c>
      <c r="G184" s="69">
        <v>-138.25</v>
      </c>
      <c r="H184" s="69">
        <v>112.19</v>
      </c>
      <c r="I184" s="69">
        <f t="shared" si="45"/>
        <v>56.094999999999999</v>
      </c>
      <c r="J184" s="70">
        <v>1</v>
      </c>
      <c r="K184" s="69">
        <f t="shared" si="46"/>
        <v>-68.990324999999999</v>
      </c>
      <c r="L184" s="79" t="s">
        <v>468</v>
      </c>
      <c r="M184" s="61">
        <f t="shared" si="47"/>
        <v>-3.8705550000000004</v>
      </c>
      <c r="N184" s="61">
        <f t="shared" si="48"/>
        <v>11.443380000000001</v>
      </c>
      <c r="O184" s="61"/>
      <c r="P184" s="2"/>
      <c r="Q184" s="2"/>
      <c r="R184" s="32"/>
      <c r="S184" s="32"/>
      <c r="T184" s="32"/>
      <c r="U184" s="32"/>
      <c r="V184" s="2"/>
      <c r="W184" s="2"/>
      <c r="X184" s="2"/>
      <c r="Y184" s="2"/>
      <c r="Z184" s="2"/>
    </row>
    <row r="185" spans="1:26" ht="13.8" x14ac:dyDescent="0.3">
      <c r="A185" s="32" t="s">
        <v>325</v>
      </c>
      <c r="B185" s="2" t="s">
        <v>186</v>
      </c>
      <c r="C185" s="10">
        <v>2304025</v>
      </c>
      <c r="D185" s="10" t="s">
        <v>1162</v>
      </c>
      <c r="E185" s="10">
        <v>2531191</v>
      </c>
      <c r="F185" s="10" t="s">
        <v>1259</v>
      </c>
      <c r="G185" s="69">
        <v>5.79</v>
      </c>
      <c r="H185" s="69">
        <v>0.11</v>
      </c>
      <c r="I185" s="69">
        <f t="shared" si="45"/>
        <v>5.5E-2</v>
      </c>
      <c r="J185" s="70">
        <v>1</v>
      </c>
      <c r="K185" s="69">
        <f t="shared" si="46"/>
        <v>4.9690750000000001</v>
      </c>
      <c r="L185" s="79" t="s">
        <v>468</v>
      </c>
      <c r="M185" s="61">
        <f t="shared" si="47"/>
        <v>-3.7949999999999998E-3</v>
      </c>
      <c r="N185" s="61">
        <f t="shared" si="48"/>
        <v>1.1220000000000001E-2</v>
      </c>
      <c r="O185" s="61"/>
      <c r="P185" s="2"/>
      <c r="Q185" s="2"/>
      <c r="R185" s="32"/>
      <c r="S185" s="32"/>
      <c r="T185" s="32"/>
      <c r="U185" s="32"/>
      <c r="V185" s="2"/>
      <c r="W185" s="2"/>
      <c r="X185" s="2"/>
      <c r="Y185" s="2"/>
      <c r="Z185" s="2"/>
    </row>
    <row r="186" spans="1:26" ht="13.8" x14ac:dyDescent="0.3">
      <c r="A186" s="32" t="s">
        <v>325</v>
      </c>
      <c r="B186" s="2" t="s">
        <v>186</v>
      </c>
      <c r="C186" s="10">
        <v>2304025</v>
      </c>
      <c r="D186" s="10" t="s">
        <v>1162</v>
      </c>
      <c r="E186" s="10">
        <v>2535371</v>
      </c>
      <c r="F186" s="10" t="s">
        <v>1250</v>
      </c>
      <c r="G186" s="69">
        <v>-252</v>
      </c>
      <c r="H186" s="69">
        <v>23.93</v>
      </c>
      <c r="I186" s="69">
        <f t="shared" si="45"/>
        <v>11.965</v>
      </c>
      <c r="J186" s="70">
        <v>1</v>
      </c>
      <c r="K186" s="69">
        <f t="shared" si="46"/>
        <v>-203.85027499999995</v>
      </c>
      <c r="L186" s="79" t="s">
        <v>468</v>
      </c>
      <c r="M186" s="61">
        <f t="shared" si="47"/>
        <v>-0.82558500000000001</v>
      </c>
      <c r="N186" s="61">
        <f t="shared" si="48"/>
        <v>2.4408599999999998</v>
      </c>
      <c r="O186" s="61"/>
      <c r="P186" s="2"/>
      <c r="Q186" s="2"/>
      <c r="R186" s="32"/>
      <c r="S186" s="32"/>
      <c r="T186" s="32"/>
      <c r="U186" s="32"/>
      <c r="V186" s="2"/>
      <c r="W186" s="2"/>
      <c r="X186" s="2"/>
      <c r="Y186" s="2"/>
      <c r="Z186" s="2"/>
    </row>
    <row r="187" spans="1:26" ht="13.8" x14ac:dyDescent="0.3">
      <c r="A187" s="32" t="s">
        <v>325</v>
      </c>
      <c r="B187" s="2" t="s">
        <v>186</v>
      </c>
      <c r="C187" s="10">
        <v>2523689</v>
      </c>
      <c r="D187" s="10" t="s">
        <v>1179</v>
      </c>
      <c r="E187" s="10">
        <v>2525136</v>
      </c>
      <c r="F187" s="10" t="s">
        <v>1205</v>
      </c>
      <c r="G187" s="69">
        <v>-23.01</v>
      </c>
      <c r="H187" s="69">
        <v>7.05</v>
      </c>
      <c r="I187" s="69">
        <f t="shared" si="45"/>
        <v>3.5249999999999999</v>
      </c>
      <c r="J187" s="70">
        <v>1</v>
      </c>
      <c r="K187" s="69">
        <f t="shared" si="46"/>
        <v>-16.509375000000002</v>
      </c>
      <c r="L187" s="79" t="s">
        <v>468</v>
      </c>
      <c r="M187" s="61">
        <f t="shared" si="47"/>
        <v>-0.24322500000000002</v>
      </c>
      <c r="N187" s="61">
        <f t="shared" si="48"/>
        <v>0.71910000000000007</v>
      </c>
      <c r="O187" s="61"/>
      <c r="P187" s="2"/>
      <c r="Q187" s="2"/>
      <c r="R187" s="32"/>
      <c r="S187" s="32"/>
      <c r="T187" s="32"/>
      <c r="U187" s="32"/>
      <c r="V187" s="2"/>
      <c r="W187" s="2"/>
      <c r="X187" s="2"/>
      <c r="Y187" s="2"/>
      <c r="Z187" s="2"/>
    </row>
    <row r="188" spans="1:26" ht="13.8" x14ac:dyDescent="0.3">
      <c r="A188" s="2" t="s">
        <v>325</v>
      </c>
      <c r="B188" s="29" t="s">
        <v>35</v>
      </c>
      <c r="C188" s="10" t="s">
        <v>1114</v>
      </c>
      <c r="D188" s="10" t="s">
        <v>1115</v>
      </c>
      <c r="E188" s="10" t="s">
        <v>1116</v>
      </c>
      <c r="F188" s="10" t="s">
        <v>1117</v>
      </c>
      <c r="G188" s="69">
        <v>-290</v>
      </c>
      <c r="H188" s="69">
        <v>23.73</v>
      </c>
      <c r="I188" s="69">
        <f t="shared" ref="I188:I199" si="49">H188*0.79</f>
        <v>18.746700000000001</v>
      </c>
      <c r="J188" s="75">
        <v>0.26577000000000001</v>
      </c>
      <c r="K188" s="69">
        <f t="shared" ref="K188:K200" si="50">(G188+I188)*J188</f>
        <v>-72.090989541000013</v>
      </c>
      <c r="L188" s="78">
        <f t="shared" ref="L188:L199" si="51">H188*0.05*J188</f>
        <v>0.31533610500000003</v>
      </c>
      <c r="M188" s="61">
        <v>0</v>
      </c>
      <c r="N188" s="61">
        <f t="shared" ref="N188:N199" si="52">H188*0.04*J188</f>
        <v>0.25226888400000003</v>
      </c>
      <c r="O188" s="61"/>
      <c r="P188" s="2"/>
      <c r="Q188" s="2"/>
      <c r="R188" s="32"/>
      <c r="S188" s="32"/>
      <c r="T188" s="32"/>
      <c r="U188" s="32"/>
      <c r="V188" s="2"/>
      <c r="W188" s="2"/>
      <c r="X188" s="2"/>
      <c r="Y188" s="2"/>
      <c r="Z188" s="2"/>
    </row>
    <row r="189" spans="1:26" ht="13.8" x14ac:dyDescent="0.3">
      <c r="A189" s="2" t="s">
        <v>325</v>
      </c>
      <c r="B189" s="29" t="s">
        <v>35</v>
      </c>
      <c r="C189" s="10" t="s">
        <v>1234</v>
      </c>
      <c r="D189" s="10" t="s">
        <v>1235</v>
      </c>
      <c r="E189" s="10" t="s">
        <v>1130</v>
      </c>
      <c r="F189" s="10" t="s">
        <v>1131</v>
      </c>
      <c r="G189" s="69">
        <v>841.24</v>
      </c>
      <c r="H189" s="69">
        <v>474.78</v>
      </c>
      <c r="I189" s="69">
        <f t="shared" si="49"/>
        <v>375.07619999999997</v>
      </c>
      <c r="J189" s="75">
        <v>0.26577000000000001</v>
      </c>
      <c r="K189" s="69">
        <f t="shared" si="50"/>
        <v>323.26035647399999</v>
      </c>
      <c r="L189" s="78">
        <f t="shared" si="51"/>
        <v>6.3091140299999999</v>
      </c>
      <c r="M189" s="61">
        <v>0</v>
      </c>
      <c r="N189" s="61">
        <f t="shared" si="52"/>
        <v>5.0472912240000003</v>
      </c>
      <c r="O189" s="61"/>
      <c r="P189" s="2"/>
      <c r="Q189" s="2"/>
      <c r="R189" s="32"/>
      <c r="S189" s="32"/>
      <c r="T189" s="32"/>
      <c r="U189" s="32"/>
      <c r="V189" s="2"/>
      <c r="W189" s="2"/>
      <c r="X189" s="2"/>
      <c r="Y189" s="2"/>
      <c r="Z189" s="2"/>
    </row>
    <row r="190" spans="1:26" ht="13.8" x14ac:dyDescent="0.3">
      <c r="A190" s="2" t="s">
        <v>325</v>
      </c>
      <c r="B190" s="29" t="s">
        <v>35</v>
      </c>
      <c r="C190" s="10" t="s">
        <v>1234</v>
      </c>
      <c r="D190" s="10" t="s">
        <v>1235</v>
      </c>
      <c r="E190" s="10" t="s">
        <v>1132</v>
      </c>
      <c r="F190" s="10" t="s">
        <v>1133</v>
      </c>
      <c r="G190" s="69">
        <v>9632.06</v>
      </c>
      <c r="H190" s="69">
        <v>1361.45</v>
      </c>
      <c r="I190" s="69">
        <f t="shared" si="49"/>
        <v>1075.5455000000002</v>
      </c>
      <c r="J190" s="75">
        <v>0.26577000000000001</v>
      </c>
      <c r="K190" s="69">
        <f t="shared" si="50"/>
        <v>2845.7603137350002</v>
      </c>
      <c r="L190" s="78">
        <f t="shared" si="51"/>
        <v>18.091628325000002</v>
      </c>
      <c r="M190" s="61">
        <v>0</v>
      </c>
      <c r="N190" s="61">
        <f t="shared" si="52"/>
        <v>14.473302660000002</v>
      </c>
      <c r="O190" s="61"/>
      <c r="P190" s="2"/>
      <c r="Q190" s="2"/>
      <c r="R190" s="32"/>
      <c r="S190" s="32"/>
      <c r="T190" s="32"/>
      <c r="U190" s="32"/>
      <c r="V190" s="2"/>
      <c r="W190" s="2"/>
      <c r="X190" s="2"/>
      <c r="Y190" s="2"/>
      <c r="Z190" s="2"/>
    </row>
    <row r="191" spans="1:26" ht="13.8" x14ac:dyDescent="0.3">
      <c r="A191" s="2" t="s">
        <v>325</v>
      </c>
      <c r="B191" s="29" t="s">
        <v>35</v>
      </c>
      <c r="C191" s="10" t="s">
        <v>1118</v>
      </c>
      <c r="D191" s="10" t="s">
        <v>1119</v>
      </c>
      <c r="E191" s="10" t="s">
        <v>1120</v>
      </c>
      <c r="F191" s="10" t="s">
        <v>1121</v>
      </c>
      <c r="G191" s="69">
        <v>-50.34</v>
      </c>
      <c r="H191" s="69">
        <v>5.49</v>
      </c>
      <c r="I191" s="69">
        <f t="shared" si="49"/>
        <v>4.3371000000000004</v>
      </c>
      <c r="J191" s="75">
        <v>0.26577000000000001</v>
      </c>
      <c r="K191" s="69">
        <f t="shared" si="50"/>
        <v>-12.226190733000001</v>
      </c>
      <c r="L191" s="78">
        <f t="shared" si="51"/>
        <v>7.2953865000000007E-2</v>
      </c>
      <c r="M191" s="61">
        <v>0</v>
      </c>
      <c r="N191" s="61">
        <f t="shared" si="52"/>
        <v>5.8363092000000005E-2</v>
      </c>
      <c r="O191" s="61"/>
      <c r="P191" s="2"/>
      <c r="Q191" s="2"/>
      <c r="R191" s="32"/>
      <c r="S191" s="32"/>
      <c r="T191" s="32"/>
      <c r="U191" s="32"/>
      <c r="V191" s="2"/>
      <c r="W191" s="2"/>
      <c r="X191" s="2"/>
      <c r="Y191" s="2"/>
      <c r="Z191" s="2"/>
    </row>
    <row r="192" spans="1:26" ht="13.8" x14ac:dyDescent="0.3">
      <c r="A192" s="2" t="s">
        <v>325</v>
      </c>
      <c r="B192" s="29" t="s">
        <v>35</v>
      </c>
      <c r="C192" s="10" t="s">
        <v>1118</v>
      </c>
      <c r="D192" s="10" t="s">
        <v>1119</v>
      </c>
      <c r="E192" s="10" t="s">
        <v>1123</v>
      </c>
      <c r="F192" s="10" t="s">
        <v>1124</v>
      </c>
      <c r="G192" s="69">
        <v>270.12</v>
      </c>
      <c r="H192" s="69">
        <v>152.47</v>
      </c>
      <c r="I192" s="69">
        <f t="shared" si="49"/>
        <v>120.4513</v>
      </c>
      <c r="J192" s="75">
        <v>0.26577000000000001</v>
      </c>
      <c r="K192" s="69">
        <f t="shared" si="50"/>
        <v>103.802134401</v>
      </c>
      <c r="L192" s="78">
        <f t="shared" si="51"/>
        <v>2.026097595</v>
      </c>
      <c r="M192" s="61">
        <v>0</v>
      </c>
      <c r="N192" s="61">
        <f t="shared" si="52"/>
        <v>1.6208780759999999</v>
      </c>
      <c r="O192" s="61"/>
      <c r="P192" s="2"/>
      <c r="Q192" s="2"/>
      <c r="R192" s="32"/>
      <c r="S192" s="32"/>
      <c r="T192" s="32"/>
      <c r="U192" s="32"/>
      <c r="V192" s="2"/>
      <c r="W192" s="2"/>
      <c r="X192" s="2"/>
      <c r="Y192" s="2"/>
      <c r="Z192" s="2"/>
    </row>
    <row r="193" spans="1:26" ht="13.8" x14ac:dyDescent="0.3">
      <c r="A193" s="2" t="s">
        <v>325</v>
      </c>
      <c r="B193" s="29" t="s">
        <v>35</v>
      </c>
      <c r="C193" s="10" t="s">
        <v>1126</v>
      </c>
      <c r="D193" s="10" t="s">
        <v>1127</v>
      </c>
      <c r="E193" s="10" t="s">
        <v>1135</v>
      </c>
      <c r="F193" s="10" t="s">
        <v>1136</v>
      </c>
      <c r="G193" s="69">
        <v>192.92</v>
      </c>
      <c r="H193" s="69">
        <v>2155.61</v>
      </c>
      <c r="I193" s="69">
        <f t="shared" si="49"/>
        <v>1702.9319000000003</v>
      </c>
      <c r="J193" s="75">
        <v>0.26577000000000001</v>
      </c>
      <c r="K193" s="69">
        <f t="shared" si="50"/>
        <v>503.86055946300013</v>
      </c>
      <c r="L193" s="78">
        <f t="shared" si="51"/>
        <v>28.644823485000007</v>
      </c>
      <c r="M193" s="61">
        <v>0</v>
      </c>
      <c r="N193" s="61">
        <f t="shared" si="52"/>
        <v>22.915858788000001</v>
      </c>
      <c r="O193" s="61"/>
      <c r="P193" s="2"/>
      <c r="Q193" s="2"/>
      <c r="R193" s="32"/>
      <c r="S193" s="32"/>
      <c r="T193" s="32"/>
      <c r="U193" s="32"/>
      <c r="V193" s="2"/>
      <c r="W193" s="2"/>
      <c r="X193" s="2"/>
      <c r="Y193" s="2"/>
      <c r="Z193" s="2"/>
    </row>
    <row r="194" spans="1:26" ht="13.8" x14ac:dyDescent="0.3">
      <c r="A194" s="2" t="s">
        <v>325</v>
      </c>
      <c r="B194" s="29" t="s">
        <v>35</v>
      </c>
      <c r="C194" s="10" t="s">
        <v>1264</v>
      </c>
      <c r="D194" s="10" t="s">
        <v>1265</v>
      </c>
      <c r="E194" s="10" t="s">
        <v>1266</v>
      </c>
      <c r="F194" s="10" t="s">
        <v>1267</v>
      </c>
      <c r="G194" s="69">
        <v>-26.5</v>
      </c>
      <c r="H194" s="69">
        <v>12.83</v>
      </c>
      <c r="I194" s="69">
        <f t="shared" si="49"/>
        <v>10.1357</v>
      </c>
      <c r="J194" s="75">
        <v>0.26577000000000001</v>
      </c>
      <c r="K194" s="69">
        <f t="shared" si="50"/>
        <v>-4.3491400110000002</v>
      </c>
      <c r="L194" s="78">
        <f t="shared" si="51"/>
        <v>0.17049145500000001</v>
      </c>
      <c r="M194" s="61">
        <v>0</v>
      </c>
      <c r="N194" s="61">
        <f t="shared" si="52"/>
        <v>0.13639316400000001</v>
      </c>
      <c r="O194" s="61"/>
      <c r="P194" s="2"/>
      <c r="Q194" s="2"/>
      <c r="R194" s="32"/>
      <c r="S194" s="32"/>
      <c r="T194" s="32"/>
      <c r="U194" s="32"/>
      <c r="V194" s="2"/>
      <c r="W194" s="2"/>
      <c r="X194" s="2"/>
      <c r="Y194" s="2"/>
      <c r="Z194" s="2"/>
    </row>
    <row r="195" spans="1:26" ht="13.8" x14ac:dyDescent="0.3">
      <c r="A195" s="2" t="s">
        <v>325</v>
      </c>
      <c r="B195" s="29" t="s">
        <v>35</v>
      </c>
      <c r="C195" s="10" t="s">
        <v>1138</v>
      </c>
      <c r="D195" s="10" t="s">
        <v>1139</v>
      </c>
      <c r="E195" s="10" t="s">
        <v>1140</v>
      </c>
      <c r="F195" s="10" t="s">
        <v>1141</v>
      </c>
      <c r="G195" s="69">
        <v>44</v>
      </c>
      <c r="H195" s="69">
        <v>5</v>
      </c>
      <c r="I195" s="69">
        <f t="shared" si="49"/>
        <v>3.95</v>
      </c>
      <c r="J195" s="75">
        <v>0.26577000000000001</v>
      </c>
      <c r="K195" s="69">
        <f t="shared" si="50"/>
        <v>12.743671500000001</v>
      </c>
      <c r="L195" s="78">
        <f t="shared" si="51"/>
        <v>6.6442500000000002E-2</v>
      </c>
      <c r="M195" s="61">
        <v>0</v>
      </c>
      <c r="N195" s="61">
        <f t="shared" si="52"/>
        <v>5.3154000000000007E-2</v>
      </c>
      <c r="O195" s="61"/>
      <c r="P195" s="2"/>
      <c r="Q195" s="2"/>
      <c r="R195" s="32"/>
      <c r="S195" s="32"/>
      <c r="T195" s="32"/>
      <c r="U195" s="32"/>
      <c r="V195" s="2"/>
      <c r="W195" s="2"/>
      <c r="X195" s="2"/>
      <c r="Y195" s="2"/>
      <c r="Z195" s="2"/>
    </row>
    <row r="196" spans="1:26" ht="13.8" x14ac:dyDescent="0.3">
      <c r="A196" s="2" t="s">
        <v>325</v>
      </c>
      <c r="B196" s="29" t="s">
        <v>35</v>
      </c>
      <c r="C196" s="10" t="s">
        <v>1138</v>
      </c>
      <c r="D196" s="10" t="s">
        <v>1139</v>
      </c>
      <c r="E196" s="10" t="s">
        <v>1238</v>
      </c>
      <c r="F196" s="10" t="s">
        <v>1239</v>
      </c>
      <c r="G196" s="69">
        <v>-1550.92</v>
      </c>
      <c r="H196" s="69">
        <v>174.13</v>
      </c>
      <c r="I196" s="69">
        <f t="shared" si="49"/>
        <v>137.56270000000001</v>
      </c>
      <c r="J196" s="75">
        <v>0.26577000000000001</v>
      </c>
      <c r="K196" s="69">
        <f t="shared" si="50"/>
        <v>-375.62796962100003</v>
      </c>
      <c r="L196" s="78">
        <f t="shared" si="51"/>
        <v>2.313926505</v>
      </c>
      <c r="M196" s="61">
        <v>0</v>
      </c>
      <c r="N196" s="61">
        <f t="shared" si="52"/>
        <v>1.8511412040000002</v>
      </c>
      <c r="O196" s="61"/>
      <c r="P196" s="2"/>
      <c r="Q196" s="2"/>
      <c r="R196" s="32"/>
      <c r="S196" s="32"/>
      <c r="T196" s="32"/>
      <c r="U196" s="32"/>
      <c r="V196" s="2"/>
      <c r="W196" s="2"/>
      <c r="X196" s="2"/>
      <c r="Y196" s="2"/>
      <c r="Z196" s="2"/>
    </row>
    <row r="197" spans="1:26" ht="13.8" x14ac:dyDescent="0.3">
      <c r="A197" s="2" t="s">
        <v>325</v>
      </c>
      <c r="B197" s="29" t="s">
        <v>35</v>
      </c>
      <c r="C197" s="10" t="s">
        <v>1138</v>
      </c>
      <c r="D197" s="10" t="s">
        <v>1139</v>
      </c>
      <c r="E197" s="10" t="s">
        <v>1143</v>
      </c>
      <c r="F197" s="10" t="s">
        <v>1144</v>
      </c>
      <c r="G197" s="69">
        <v>788.93</v>
      </c>
      <c r="H197" s="69">
        <v>281.06</v>
      </c>
      <c r="I197" s="69">
        <f t="shared" si="49"/>
        <v>222.03740000000002</v>
      </c>
      <c r="J197" s="75">
        <v>0.26577000000000001</v>
      </c>
      <c r="K197" s="69">
        <f t="shared" si="50"/>
        <v>268.68480589799998</v>
      </c>
      <c r="L197" s="78">
        <f t="shared" si="51"/>
        <v>3.7348658100000005</v>
      </c>
      <c r="M197" s="61">
        <v>0</v>
      </c>
      <c r="N197" s="61">
        <f t="shared" si="52"/>
        <v>2.9878926479999999</v>
      </c>
      <c r="O197" s="61"/>
      <c r="P197" s="2"/>
      <c r="Q197" s="2"/>
      <c r="R197" s="32"/>
      <c r="S197" s="32"/>
      <c r="T197" s="32"/>
      <c r="U197" s="32"/>
      <c r="V197" s="2"/>
      <c r="W197" s="2"/>
      <c r="X197" s="2"/>
      <c r="Y197" s="2"/>
      <c r="Z197" s="2"/>
    </row>
    <row r="198" spans="1:26" ht="13.8" x14ac:dyDescent="0.3">
      <c r="A198" s="2" t="s">
        <v>325</v>
      </c>
      <c r="B198" s="29" t="s">
        <v>35</v>
      </c>
      <c r="C198" s="10" t="s">
        <v>1138</v>
      </c>
      <c r="D198" s="10" t="s">
        <v>1139</v>
      </c>
      <c r="E198" s="10" t="s">
        <v>1240</v>
      </c>
      <c r="F198" s="10" t="s">
        <v>1241</v>
      </c>
      <c r="G198" s="69">
        <v>1365.32</v>
      </c>
      <c r="H198" s="69">
        <v>415.97</v>
      </c>
      <c r="I198" s="69">
        <f t="shared" si="49"/>
        <v>328.61630000000002</v>
      </c>
      <c r="J198" s="75">
        <v>0.26577000000000001</v>
      </c>
      <c r="K198" s="69">
        <f t="shared" si="50"/>
        <v>450.19745045099995</v>
      </c>
      <c r="L198" s="78">
        <f t="shared" si="51"/>
        <v>5.5276173450000012</v>
      </c>
      <c r="M198" s="61">
        <v>0</v>
      </c>
      <c r="N198" s="61">
        <f t="shared" si="52"/>
        <v>4.4220938759999999</v>
      </c>
      <c r="O198" s="61"/>
      <c r="P198" s="2"/>
      <c r="Q198" s="2"/>
      <c r="R198" s="32"/>
      <c r="S198" s="32"/>
      <c r="T198" s="32"/>
      <c r="U198" s="32"/>
      <c r="V198" s="2"/>
      <c r="W198" s="2"/>
      <c r="X198" s="2"/>
      <c r="Y198" s="2"/>
      <c r="Z198" s="2"/>
    </row>
    <row r="199" spans="1:26" ht="13.8" x14ac:dyDescent="0.3">
      <c r="A199" s="2" t="s">
        <v>325</v>
      </c>
      <c r="B199" s="29" t="s">
        <v>35</v>
      </c>
      <c r="C199" s="10" t="s">
        <v>1138</v>
      </c>
      <c r="D199" s="10" t="s">
        <v>1139</v>
      </c>
      <c r="E199" s="10" t="s">
        <v>1268</v>
      </c>
      <c r="F199" s="10" t="s">
        <v>1269</v>
      </c>
      <c r="G199" s="69">
        <v>-206.13</v>
      </c>
      <c r="H199" s="69">
        <v>1607.23</v>
      </c>
      <c r="I199" s="69">
        <f t="shared" si="49"/>
        <v>1269.7117000000001</v>
      </c>
      <c r="J199" s="75">
        <v>0.26577000000000001</v>
      </c>
      <c r="K199" s="69">
        <f t="shared" si="50"/>
        <v>282.66810840900007</v>
      </c>
      <c r="L199" s="78">
        <f t="shared" si="51"/>
        <v>21.357675855000004</v>
      </c>
      <c r="M199" s="61">
        <v>0</v>
      </c>
      <c r="N199" s="61">
        <f t="shared" si="52"/>
        <v>17.086140684000004</v>
      </c>
      <c r="O199" s="61"/>
      <c r="P199" s="2"/>
      <c r="Q199" s="2"/>
      <c r="R199" s="32"/>
      <c r="S199" s="32"/>
      <c r="T199" s="32"/>
      <c r="U199" s="32"/>
      <c r="V199" s="2"/>
      <c r="W199" s="2"/>
      <c r="X199" s="2"/>
      <c r="Y199" s="2"/>
      <c r="Z199" s="2"/>
    </row>
    <row r="200" spans="1:26" ht="13.8" x14ac:dyDescent="0.3">
      <c r="A200" s="2" t="s">
        <v>325</v>
      </c>
      <c r="B200" s="32" t="s">
        <v>61</v>
      </c>
      <c r="C200" s="10" t="s">
        <v>1230</v>
      </c>
      <c r="D200" s="10" t="s">
        <v>1231</v>
      </c>
      <c r="E200" s="2" t="s">
        <v>1230</v>
      </c>
      <c r="F200" s="2" t="s">
        <v>1231</v>
      </c>
      <c r="G200" s="69">
        <v>-365.69</v>
      </c>
      <c r="H200" s="69">
        <v>130.9</v>
      </c>
      <c r="I200" s="69">
        <f>H200*0.57</f>
        <v>74.613</v>
      </c>
      <c r="J200" s="70">
        <v>1.1501399999999999</v>
      </c>
      <c r="K200" s="69">
        <f t="shared" si="50"/>
        <v>-334.77930077999997</v>
      </c>
      <c r="L200" s="78" t="s">
        <v>468</v>
      </c>
      <c r="M200" s="61">
        <v>0</v>
      </c>
      <c r="N200" s="61">
        <f>H200*0.08*J200</f>
        <v>12.044266080000002</v>
      </c>
      <c r="O200" s="58"/>
      <c r="P200" s="2"/>
      <c r="Q200" s="2"/>
      <c r="R200" s="32"/>
      <c r="S200" s="32"/>
      <c r="T200" s="32"/>
      <c r="U200" s="32"/>
      <c r="V200" s="2"/>
      <c r="W200" s="2"/>
      <c r="X200" s="2"/>
      <c r="Y200" s="2"/>
      <c r="Z200" s="2"/>
    </row>
    <row r="201" spans="1:26" ht="13.8" x14ac:dyDescent="0.3">
      <c r="A201" s="32" t="s">
        <v>332</v>
      </c>
      <c r="B201" s="32" t="s">
        <v>107</v>
      </c>
      <c r="C201" s="10" t="s">
        <v>15</v>
      </c>
      <c r="D201" s="10" t="s">
        <v>15</v>
      </c>
      <c r="E201" s="10">
        <v>2404538</v>
      </c>
      <c r="F201" s="32" t="s">
        <v>1219</v>
      </c>
      <c r="G201" s="69">
        <v>-20</v>
      </c>
      <c r="H201" s="69">
        <v>2</v>
      </c>
      <c r="I201" s="69">
        <v>0</v>
      </c>
      <c r="J201" s="70">
        <v>1</v>
      </c>
      <c r="K201" s="69">
        <f t="shared" ref="K201:K204" si="53">(-H201*0.25*0.04)*J201*0.3+H201*0.15*0.96*J201*0.3</f>
        <v>8.0399999999999985E-2</v>
      </c>
      <c r="L201" s="79" t="s">
        <v>468</v>
      </c>
      <c r="M201" s="61">
        <v>0</v>
      </c>
      <c r="N201" s="61">
        <v>0</v>
      </c>
      <c r="O201" s="61"/>
      <c r="P201" s="2"/>
      <c r="Q201" s="2"/>
      <c r="R201" s="32"/>
      <c r="S201" s="32"/>
      <c r="T201" s="32"/>
      <c r="U201" s="32"/>
      <c r="V201" s="2"/>
      <c r="W201" s="2"/>
      <c r="X201" s="2"/>
      <c r="Y201" s="2"/>
      <c r="Z201" s="2"/>
    </row>
    <row r="202" spans="1:26" ht="13.8" x14ac:dyDescent="0.3">
      <c r="A202" s="32" t="s">
        <v>332</v>
      </c>
      <c r="B202" s="32" t="s">
        <v>107</v>
      </c>
      <c r="C202" s="10" t="s">
        <v>15</v>
      </c>
      <c r="D202" s="10" t="s">
        <v>15</v>
      </c>
      <c r="E202" s="10">
        <v>2405286</v>
      </c>
      <c r="F202" s="2" t="s">
        <v>1220</v>
      </c>
      <c r="G202" s="69">
        <v>167.2</v>
      </c>
      <c r="H202" s="69">
        <v>2</v>
      </c>
      <c r="I202" s="69">
        <v>0</v>
      </c>
      <c r="J202" s="70">
        <v>1</v>
      </c>
      <c r="K202" s="69">
        <f t="shared" si="53"/>
        <v>8.0399999999999985E-2</v>
      </c>
      <c r="L202" s="79" t="s">
        <v>468</v>
      </c>
      <c r="M202" s="61">
        <v>0</v>
      </c>
      <c r="N202" s="61">
        <v>0</v>
      </c>
      <c r="O202" s="61"/>
      <c r="P202" s="2"/>
      <c r="Q202" s="2"/>
      <c r="R202" s="32"/>
      <c r="S202" s="32"/>
      <c r="T202" s="32"/>
      <c r="U202" s="32"/>
      <c r="V202" s="2"/>
      <c r="W202" s="2"/>
      <c r="X202" s="2"/>
      <c r="Y202" s="2"/>
      <c r="Z202" s="2"/>
    </row>
    <row r="203" spans="1:26" ht="13.8" x14ac:dyDescent="0.3">
      <c r="A203" s="32" t="s">
        <v>332</v>
      </c>
      <c r="B203" s="32" t="s">
        <v>107</v>
      </c>
      <c r="C203" s="10" t="s">
        <v>15</v>
      </c>
      <c r="D203" s="10" t="s">
        <v>15</v>
      </c>
      <c r="E203" s="10">
        <v>2405626</v>
      </c>
      <c r="F203" s="32" t="s">
        <v>1221</v>
      </c>
      <c r="G203" s="69">
        <v>48.31</v>
      </c>
      <c r="H203" s="69">
        <v>2</v>
      </c>
      <c r="I203" s="69">
        <v>0</v>
      </c>
      <c r="J203" s="70">
        <v>1</v>
      </c>
      <c r="K203" s="69">
        <f t="shared" si="53"/>
        <v>8.0399999999999985E-2</v>
      </c>
      <c r="L203" s="79" t="s">
        <v>468</v>
      </c>
      <c r="M203" s="61">
        <v>0</v>
      </c>
      <c r="N203" s="61">
        <v>0</v>
      </c>
      <c r="O203" s="61"/>
      <c r="P203" s="2"/>
      <c r="Q203" s="2"/>
      <c r="R203" s="32"/>
      <c r="S203" s="32"/>
      <c r="T203" s="32"/>
      <c r="U203" s="32"/>
      <c r="V203" s="2"/>
      <c r="W203" s="2"/>
      <c r="X203" s="2"/>
      <c r="Y203" s="2"/>
      <c r="Z203" s="2"/>
    </row>
    <row r="204" spans="1:26" ht="13.8" x14ac:dyDescent="0.3">
      <c r="A204" s="32" t="s">
        <v>332</v>
      </c>
      <c r="B204" s="32" t="s">
        <v>107</v>
      </c>
      <c r="C204" s="10" t="s">
        <v>15</v>
      </c>
      <c r="D204" s="10" t="s">
        <v>15</v>
      </c>
      <c r="E204" s="10">
        <v>2409185</v>
      </c>
      <c r="F204" s="32" t="s">
        <v>1222</v>
      </c>
      <c r="G204" s="69">
        <v>-20</v>
      </c>
      <c r="H204" s="69">
        <v>2</v>
      </c>
      <c r="I204" s="69">
        <v>0</v>
      </c>
      <c r="J204" s="70">
        <v>1</v>
      </c>
      <c r="K204" s="69">
        <f t="shared" si="53"/>
        <v>8.0399999999999985E-2</v>
      </c>
      <c r="L204" s="79" t="s">
        <v>468</v>
      </c>
      <c r="M204" s="61">
        <v>0</v>
      </c>
      <c r="N204" s="61">
        <v>0</v>
      </c>
      <c r="O204" s="61"/>
      <c r="P204" s="2"/>
      <c r="Q204" s="2"/>
      <c r="R204" s="32"/>
      <c r="S204" s="32"/>
      <c r="T204" s="32"/>
      <c r="U204" s="32"/>
      <c r="V204" s="2"/>
      <c r="W204" s="2"/>
      <c r="X204" s="2"/>
      <c r="Y204" s="2"/>
      <c r="Z204" s="2"/>
    </row>
    <row r="205" spans="1:26" ht="13.8" x14ac:dyDescent="0.3">
      <c r="A205" s="32" t="s">
        <v>332</v>
      </c>
      <c r="B205" s="2" t="s">
        <v>107</v>
      </c>
      <c r="C205" s="10">
        <v>2304025</v>
      </c>
      <c r="D205" s="10" t="s">
        <v>1162</v>
      </c>
      <c r="E205" s="10">
        <v>2420208</v>
      </c>
      <c r="F205" s="10" t="s">
        <v>1170</v>
      </c>
      <c r="G205" s="69">
        <v>-342.03</v>
      </c>
      <c r="H205" s="69">
        <v>63.56</v>
      </c>
      <c r="I205" s="69">
        <f t="shared" ref="I205:I220" si="54">H205*0.65</f>
        <v>41.314</v>
      </c>
      <c r="J205" s="70">
        <v>1</v>
      </c>
      <c r="K205" s="69">
        <f t="shared" ref="K205:K220" si="55">(G205+I205)*J205*0.8+(G205*0.05-H205*0.25*0.15)*J205*0.3+(H205*0.1*0.85+I205*0.05)*J205*0.3</f>
        <v>-244.17780999999997</v>
      </c>
      <c r="L205" s="79" t="s">
        <v>468</v>
      </c>
      <c r="M205" s="61">
        <f t="shared" ref="M205:M219" si="56">(G205*0.05-H205*0.25*0.15)*J205*0.7-(-H205*0.03*0.15)*J205</f>
        <v>-13.353479999999998</v>
      </c>
      <c r="N205" s="61">
        <f t="shared" ref="N205:N219" si="57">(H205*0.1*0.85+I205*0.05)*J205*0.7+H205*0.03*0.85*J205</f>
        <v>6.8485900000000006</v>
      </c>
      <c r="O205" s="61"/>
      <c r="P205" s="2"/>
      <c r="Q205" s="2"/>
      <c r="R205" s="32"/>
      <c r="S205" s="32"/>
      <c r="T205" s="32"/>
      <c r="U205" s="32"/>
      <c r="V205" s="2"/>
      <c r="W205" s="2"/>
      <c r="X205" s="2"/>
      <c r="Y205" s="2"/>
      <c r="Z205" s="2"/>
    </row>
    <row r="206" spans="1:26" ht="13.8" x14ac:dyDescent="0.3">
      <c r="A206" s="32" t="s">
        <v>332</v>
      </c>
      <c r="B206" s="2" t="s">
        <v>107</v>
      </c>
      <c r="C206" s="10">
        <v>2304025</v>
      </c>
      <c r="D206" s="10" t="s">
        <v>1162</v>
      </c>
      <c r="E206" s="10">
        <v>2435202</v>
      </c>
      <c r="F206" s="10" t="s">
        <v>1223</v>
      </c>
      <c r="G206" s="69">
        <v>108.64</v>
      </c>
      <c r="H206" s="69">
        <v>154.66999999999999</v>
      </c>
      <c r="I206" s="69">
        <f t="shared" si="54"/>
        <v>100.5355</v>
      </c>
      <c r="J206" s="70">
        <v>1</v>
      </c>
      <c r="K206" s="69">
        <f t="shared" si="55"/>
        <v>172.68208000000001</v>
      </c>
      <c r="L206" s="79" t="s">
        <v>468</v>
      </c>
      <c r="M206" s="61">
        <f t="shared" si="56"/>
        <v>0.43832750000000054</v>
      </c>
      <c r="N206" s="61">
        <f t="shared" si="57"/>
        <v>16.665692499999999</v>
      </c>
      <c r="O206" s="61"/>
      <c r="P206" s="2"/>
      <c r="Q206" s="2"/>
      <c r="R206" s="32"/>
      <c r="S206" s="32"/>
      <c r="T206" s="32"/>
      <c r="U206" s="32"/>
      <c r="V206" s="2"/>
      <c r="W206" s="2"/>
      <c r="X206" s="2"/>
      <c r="Y206" s="2"/>
      <c r="Z206" s="2"/>
    </row>
    <row r="207" spans="1:26" ht="13.8" x14ac:dyDescent="0.3">
      <c r="A207" s="32" t="s">
        <v>332</v>
      </c>
      <c r="B207" s="2" t="s">
        <v>107</v>
      </c>
      <c r="C207" s="10">
        <v>2304025</v>
      </c>
      <c r="D207" s="10" t="s">
        <v>1162</v>
      </c>
      <c r="E207" s="10">
        <v>2435203</v>
      </c>
      <c r="F207" s="10" t="s">
        <v>1224</v>
      </c>
      <c r="G207" s="69">
        <v>-202.49</v>
      </c>
      <c r="H207" s="69">
        <v>155.83000000000001</v>
      </c>
      <c r="I207" s="69">
        <f t="shared" si="54"/>
        <v>101.28950000000002</v>
      </c>
      <c r="J207" s="70">
        <v>1</v>
      </c>
      <c r="K207" s="69">
        <f t="shared" si="55"/>
        <v>-80.257829999999984</v>
      </c>
      <c r="L207" s="79" t="s">
        <v>468</v>
      </c>
      <c r="M207" s="61">
        <f t="shared" si="56"/>
        <v>-10.476452499999999</v>
      </c>
      <c r="N207" s="61">
        <f t="shared" si="57"/>
        <v>16.790682500000003</v>
      </c>
      <c r="O207" s="61"/>
      <c r="P207" s="2"/>
      <c r="Q207" s="2"/>
      <c r="R207" s="32"/>
      <c r="S207" s="32"/>
      <c r="T207" s="32"/>
      <c r="U207" s="32"/>
      <c r="V207" s="2"/>
      <c r="W207" s="2"/>
      <c r="X207" s="2"/>
      <c r="Y207" s="2"/>
      <c r="Z207" s="2"/>
    </row>
    <row r="208" spans="1:26" ht="13.8" x14ac:dyDescent="0.3">
      <c r="A208" s="32" t="s">
        <v>332</v>
      </c>
      <c r="B208" s="2" t="s">
        <v>107</v>
      </c>
      <c r="C208" s="10">
        <v>2304025</v>
      </c>
      <c r="D208" s="10" t="s">
        <v>1162</v>
      </c>
      <c r="E208" s="10">
        <v>2435206</v>
      </c>
      <c r="F208" s="10" t="s">
        <v>1225</v>
      </c>
      <c r="G208" s="69">
        <v>-262.7</v>
      </c>
      <c r="H208" s="69">
        <v>90.3</v>
      </c>
      <c r="I208" s="69">
        <f t="shared" si="54"/>
        <v>58.695</v>
      </c>
      <c r="J208" s="70">
        <v>1</v>
      </c>
      <c r="K208" s="69">
        <f t="shared" si="55"/>
        <v>-164.97730000000001</v>
      </c>
      <c r="L208" s="79" t="s">
        <v>468</v>
      </c>
      <c r="M208" s="61">
        <f t="shared" si="56"/>
        <v>-11.158524999999999</v>
      </c>
      <c r="N208" s="61">
        <f t="shared" si="57"/>
        <v>9.7298249999999999</v>
      </c>
      <c r="O208" s="61"/>
      <c r="P208" s="2"/>
      <c r="Q208" s="2"/>
      <c r="R208" s="32"/>
      <c r="S208" s="32"/>
      <c r="T208" s="32"/>
      <c r="U208" s="32"/>
      <c r="V208" s="2"/>
      <c r="W208" s="2"/>
      <c r="X208" s="2"/>
      <c r="Y208" s="2"/>
      <c r="Z208" s="2"/>
    </row>
    <row r="209" spans="1:26" ht="13.8" x14ac:dyDescent="0.3">
      <c r="A209" s="32" t="s">
        <v>332</v>
      </c>
      <c r="B209" s="2" t="s">
        <v>107</v>
      </c>
      <c r="C209" s="10">
        <v>2304025</v>
      </c>
      <c r="D209" s="10" t="s">
        <v>1162</v>
      </c>
      <c r="E209" s="10">
        <v>2471540</v>
      </c>
      <c r="F209" s="10" t="s">
        <v>1172</v>
      </c>
      <c r="G209" s="69">
        <v>533.94000000000005</v>
      </c>
      <c r="H209" s="69">
        <v>45.17</v>
      </c>
      <c r="I209" s="69">
        <f t="shared" si="54"/>
        <v>29.360500000000002</v>
      </c>
      <c r="J209" s="70">
        <v>1</v>
      </c>
      <c r="K209" s="69">
        <f t="shared" si="55"/>
        <v>459.73358000000007</v>
      </c>
      <c r="L209" s="79" t="s">
        <v>468</v>
      </c>
      <c r="M209" s="61">
        <f t="shared" si="56"/>
        <v>17.7054525</v>
      </c>
      <c r="N209" s="61">
        <f t="shared" si="57"/>
        <v>4.8670675000000001</v>
      </c>
      <c r="O209" s="61"/>
      <c r="P209" s="2"/>
      <c r="Q209" s="2"/>
      <c r="R209" s="32"/>
      <c r="S209" s="32"/>
      <c r="T209" s="32"/>
      <c r="U209" s="32"/>
      <c r="V209" s="2"/>
      <c r="W209" s="2"/>
      <c r="X209" s="2"/>
      <c r="Y209" s="2"/>
      <c r="Z209" s="2"/>
    </row>
    <row r="210" spans="1:26" ht="13.8" x14ac:dyDescent="0.3">
      <c r="A210" s="32" t="s">
        <v>332</v>
      </c>
      <c r="B210" s="2" t="s">
        <v>107</v>
      </c>
      <c r="C210" s="10">
        <v>2304025</v>
      </c>
      <c r="D210" s="10" t="s">
        <v>1162</v>
      </c>
      <c r="E210" s="10">
        <v>2514199</v>
      </c>
      <c r="F210" s="10" t="s">
        <v>1175</v>
      </c>
      <c r="G210" s="69">
        <v>-1276.4000000000001</v>
      </c>
      <c r="H210" s="69">
        <v>21.64</v>
      </c>
      <c r="I210" s="69">
        <f t="shared" si="54"/>
        <v>14.066000000000001</v>
      </c>
      <c r="J210" s="70">
        <v>1</v>
      </c>
      <c r="K210" s="69">
        <f t="shared" si="55"/>
        <v>-1028.4938400000001</v>
      </c>
      <c r="L210" s="79" t="s">
        <v>468</v>
      </c>
      <c r="M210" s="61">
        <f t="shared" si="56"/>
        <v>-45.144669999999998</v>
      </c>
      <c r="N210" s="61">
        <f t="shared" si="57"/>
        <v>2.3317099999999997</v>
      </c>
      <c r="O210" s="61"/>
      <c r="P210" s="2"/>
      <c r="Q210" s="2"/>
      <c r="R210" s="32"/>
      <c r="S210" s="32"/>
      <c r="T210" s="32"/>
      <c r="U210" s="32"/>
      <c r="V210" s="2"/>
      <c r="W210" s="2"/>
      <c r="X210" s="2"/>
      <c r="Y210" s="2"/>
      <c r="Z210" s="2"/>
    </row>
    <row r="211" spans="1:26" ht="13.8" x14ac:dyDescent="0.3">
      <c r="A211" s="32" t="s">
        <v>332</v>
      </c>
      <c r="B211" s="2" t="s">
        <v>107</v>
      </c>
      <c r="C211" s="10">
        <v>2304025</v>
      </c>
      <c r="D211" s="10" t="s">
        <v>1162</v>
      </c>
      <c r="E211" s="10">
        <v>2523431</v>
      </c>
      <c r="F211" s="10" t="s">
        <v>1199</v>
      </c>
      <c r="G211" s="69">
        <v>-102.97</v>
      </c>
      <c r="H211" s="69">
        <v>14.51</v>
      </c>
      <c r="I211" s="69">
        <f t="shared" si="54"/>
        <v>9.4314999999999998</v>
      </c>
      <c r="J211" s="70">
        <v>1</v>
      </c>
      <c r="K211" s="69">
        <f t="shared" si="55"/>
        <v>-76.027109999999993</v>
      </c>
      <c r="L211" s="79" t="s">
        <v>468</v>
      </c>
      <c r="M211" s="61">
        <f t="shared" si="56"/>
        <v>-3.9195425000000004</v>
      </c>
      <c r="N211" s="61">
        <f t="shared" si="57"/>
        <v>1.5634524999999999</v>
      </c>
      <c r="O211" s="61"/>
      <c r="P211" s="2"/>
      <c r="Q211" s="2"/>
      <c r="R211" s="32"/>
      <c r="S211" s="32"/>
      <c r="T211" s="32"/>
      <c r="U211" s="32"/>
      <c r="V211" s="2"/>
      <c r="W211" s="2"/>
      <c r="X211" s="2"/>
      <c r="Y211" s="2"/>
      <c r="Z211" s="2"/>
    </row>
    <row r="212" spans="1:26" ht="13.8" x14ac:dyDescent="0.3">
      <c r="A212" s="32" t="s">
        <v>332</v>
      </c>
      <c r="B212" s="2" t="s">
        <v>107</v>
      </c>
      <c r="C212" s="10">
        <v>2304025</v>
      </c>
      <c r="D212" s="10" t="s">
        <v>1162</v>
      </c>
      <c r="E212" s="10">
        <v>2531140</v>
      </c>
      <c r="F212" s="10" t="s">
        <v>1257</v>
      </c>
      <c r="G212" s="69">
        <v>-33.869999999999997</v>
      </c>
      <c r="H212" s="69">
        <v>28.32</v>
      </c>
      <c r="I212" s="69">
        <f t="shared" si="54"/>
        <v>18.408000000000001</v>
      </c>
      <c r="J212" s="70">
        <v>1</v>
      </c>
      <c r="K212" s="69">
        <f t="shared" si="55"/>
        <v>-12.19797</v>
      </c>
      <c r="L212" s="79" t="s">
        <v>468</v>
      </c>
      <c r="M212" s="61">
        <f t="shared" si="56"/>
        <v>-1.80141</v>
      </c>
      <c r="N212" s="61">
        <f t="shared" si="57"/>
        <v>3.0514800000000002</v>
      </c>
      <c r="O212" s="61"/>
      <c r="P212" s="2"/>
      <c r="Q212" s="2"/>
      <c r="R212" s="32"/>
      <c r="S212" s="32"/>
      <c r="T212" s="32"/>
      <c r="U212" s="32"/>
      <c r="V212" s="2"/>
      <c r="W212" s="2"/>
      <c r="X212" s="2"/>
      <c r="Y212" s="2"/>
      <c r="Z212" s="2"/>
    </row>
    <row r="213" spans="1:26" ht="13.8" x14ac:dyDescent="0.3">
      <c r="A213" s="32" t="s">
        <v>332</v>
      </c>
      <c r="B213" s="2" t="s">
        <v>107</v>
      </c>
      <c r="C213" s="10">
        <v>2304025</v>
      </c>
      <c r="D213" s="10" t="s">
        <v>1162</v>
      </c>
      <c r="E213" s="10">
        <v>2531141</v>
      </c>
      <c r="F213" s="10" t="s">
        <v>1258</v>
      </c>
      <c r="G213" s="69">
        <v>456.88</v>
      </c>
      <c r="H213" s="69">
        <v>249.03</v>
      </c>
      <c r="I213" s="69">
        <f t="shared" si="54"/>
        <v>161.86950000000002</v>
      </c>
      <c r="J213" s="70">
        <v>1</v>
      </c>
      <c r="K213" s="69">
        <f t="shared" si="55"/>
        <v>507.82952</v>
      </c>
      <c r="L213" s="79" t="s">
        <v>468</v>
      </c>
      <c r="M213" s="61">
        <f t="shared" si="56"/>
        <v>10.5743975</v>
      </c>
      <c r="N213" s="61">
        <f t="shared" si="57"/>
        <v>26.8329825</v>
      </c>
      <c r="O213" s="61"/>
      <c r="P213" s="2"/>
      <c r="Q213" s="2"/>
      <c r="R213" s="32"/>
      <c r="S213" s="32"/>
      <c r="T213" s="32"/>
      <c r="U213" s="32"/>
      <c r="V213" s="2"/>
      <c r="W213" s="2"/>
      <c r="X213" s="2"/>
      <c r="Y213" s="2"/>
      <c r="Z213" s="2"/>
    </row>
    <row r="214" spans="1:26" ht="13.8" x14ac:dyDescent="0.3">
      <c r="A214" s="32" t="s">
        <v>332</v>
      </c>
      <c r="B214" s="2" t="s">
        <v>107</v>
      </c>
      <c r="C214" s="10">
        <v>2304025</v>
      </c>
      <c r="D214" s="10" t="s">
        <v>1162</v>
      </c>
      <c r="E214" s="10">
        <v>2531145</v>
      </c>
      <c r="F214" s="10" t="s">
        <v>1226</v>
      </c>
      <c r="G214" s="69">
        <v>-997.89</v>
      </c>
      <c r="H214" s="69">
        <v>435.71</v>
      </c>
      <c r="I214" s="69">
        <f t="shared" si="54"/>
        <v>283.2115</v>
      </c>
      <c r="J214" s="70">
        <v>1</v>
      </c>
      <c r="K214" s="69">
        <f t="shared" si="55"/>
        <v>-576.25410999999997</v>
      </c>
      <c r="L214" s="79" t="s">
        <v>468</v>
      </c>
      <c r="M214" s="61">
        <f t="shared" si="56"/>
        <v>-44.402842499999998</v>
      </c>
      <c r="N214" s="61">
        <f t="shared" si="57"/>
        <v>46.947752499999993</v>
      </c>
      <c r="O214" s="61"/>
      <c r="P214" s="2"/>
      <c r="Q214" s="2"/>
      <c r="R214" s="32"/>
      <c r="S214" s="32"/>
      <c r="T214" s="32"/>
      <c r="U214" s="32"/>
      <c r="V214" s="2"/>
      <c r="W214" s="2"/>
      <c r="X214" s="2"/>
      <c r="Y214" s="2"/>
      <c r="Z214" s="2"/>
    </row>
    <row r="215" spans="1:26" ht="13.8" x14ac:dyDescent="0.3">
      <c r="A215" s="32" t="s">
        <v>332</v>
      </c>
      <c r="B215" s="2" t="s">
        <v>107</v>
      </c>
      <c r="C215" s="10">
        <v>2304025</v>
      </c>
      <c r="D215" s="10" t="s">
        <v>1162</v>
      </c>
      <c r="E215" s="10">
        <v>2531146</v>
      </c>
      <c r="F215" s="10" t="s">
        <v>1227</v>
      </c>
      <c r="G215" s="69">
        <v>-602.14</v>
      </c>
      <c r="H215" s="69">
        <v>265.20999999999998</v>
      </c>
      <c r="I215" s="69">
        <f t="shared" si="54"/>
        <v>172.38649999999998</v>
      </c>
      <c r="J215" s="70">
        <v>1</v>
      </c>
      <c r="K215" s="69">
        <f t="shared" si="55"/>
        <v>-346.46986000000004</v>
      </c>
      <c r="L215" s="79" t="s">
        <v>468</v>
      </c>
      <c r="M215" s="61">
        <f t="shared" si="56"/>
        <v>-26.843217499999994</v>
      </c>
      <c r="N215" s="61">
        <f t="shared" si="57"/>
        <v>28.5763775</v>
      </c>
      <c r="O215" s="61"/>
      <c r="P215" s="2"/>
      <c r="Q215" s="2"/>
      <c r="R215" s="32"/>
      <c r="S215" s="32"/>
      <c r="T215" s="32"/>
      <c r="U215" s="32"/>
      <c r="V215" s="2"/>
      <c r="W215" s="2"/>
      <c r="X215" s="2"/>
      <c r="Y215" s="2"/>
      <c r="Z215" s="2"/>
    </row>
    <row r="216" spans="1:26" ht="13.8" x14ac:dyDescent="0.3">
      <c r="A216" s="32" t="s">
        <v>332</v>
      </c>
      <c r="B216" s="2" t="s">
        <v>107</v>
      </c>
      <c r="C216" s="10">
        <v>2304025</v>
      </c>
      <c r="D216" s="10" t="s">
        <v>1162</v>
      </c>
      <c r="E216" s="10">
        <v>2531365</v>
      </c>
      <c r="F216" s="10" t="s">
        <v>1228</v>
      </c>
      <c r="G216" s="69">
        <v>93.38</v>
      </c>
      <c r="H216" s="69">
        <v>57.14</v>
      </c>
      <c r="I216" s="69">
        <f t="shared" si="54"/>
        <v>37.140999999999998</v>
      </c>
      <c r="J216" s="70">
        <v>1</v>
      </c>
      <c r="K216" s="69">
        <f t="shared" si="55"/>
        <v>107.18885999999999</v>
      </c>
      <c r="L216" s="79" t="s">
        <v>468</v>
      </c>
      <c r="M216" s="61">
        <f t="shared" si="56"/>
        <v>2.0255049999999994</v>
      </c>
      <c r="N216" s="61">
        <f t="shared" si="57"/>
        <v>6.1568350000000001</v>
      </c>
      <c r="O216" s="61"/>
      <c r="P216" s="2"/>
      <c r="Q216" s="2"/>
      <c r="R216" s="32"/>
      <c r="S216" s="32"/>
      <c r="T216" s="32"/>
      <c r="U216" s="32"/>
      <c r="V216" s="2"/>
      <c r="W216" s="2"/>
      <c r="X216" s="2"/>
      <c r="Y216" s="2"/>
      <c r="Z216" s="2"/>
    </row>
    <row r="217" spans="1:26" ht="13.8" x14ac:dyDescent="0.3">
      <c r="A217" s="32" t="s">
        <v>332</v>
      </c>
      <c r="B217" s="2" t="s">
        <v>107</v>
      </c>
      <c r="C217" s="10">
        <v>2304025</v>
      </c>
      <c r="D217" s="10" t="s">
        <v>1162</v>
      </c>
      <c r="E217" s="10">
        <v>2531390</v>
      </c>
      <c r="F217" s="10" t="s">
        <v>1229</v>
      </c>
      <c r="G217" s="69">
        <v>282.08999999999997</v>
      </c>
      <c r="H217" s="69">
        <v>30.02</v>
      </c>
      <c r="I217" s="69">
        <f t="shared" si="54"/>
        <v>19.513000000000002</v>
      </c>
      <c r="J217" s="70">
        <v>1</v>
      </c>
      <c r="K217" s="69">
        <f t="shared" si="55"/>
        <v>246.23422999999994</v>
      </c>
      <c r="L217" s="79" t="s">
        <v>468</v>
      </c>
      <c r="M217" s="61">
        <f t="shared" si="56"/>
        <v>9.2202149999999996</v>
      </c>
      <c r="N217" s="61">
        <f t="shared" si="57"/>
        <v>3.2346550000000001</v>
      </c>
      <c r="O217" s="61"/>
      <c r="P217" s="2"/>
      <c r="Q217" s="2"/>
      <c r="R217" s="32"/>
      <c r="S217" s="32"/>
      <c r="T217" s="32"/>
      <c r="U217" s="32"/>
      <c r="V217" s="2"/>
      <c r="W217" s="2"/>
      <c r="X217" s="2"/>
      <c r="Y217" s="2"/>
      <c r="Z217" s="2"/>
    </row>
    <row r="218" spans="1:26" ht="13.8" x14ac:dyDescent="0.3">
      <c r="A218" s="32" t="s">
        <v>332</v>
      </c>
      <c r="B218" s="2" t="s">
        <v>107</v>
      </c>
      <c r="C218" s="10">
        <v>2304025</v>
      </c>
      <c r="D218" s="10" t="s">
        <v>1162</v>
      </c>
      <c r="E218" s="10">
        <v>2541423</v>
      </c>
      <c r="F218" s="10" t="s">
        <v>1263</v>
      </c>
      <c r="G218" s="69">
        <v>-152.96</v>
      </c>
      <c r="H218" s="69">
        <v>43.33</v>
      </c>
      <c r="I218" s="69">
        <f t="shared" si="54"/>
        <v>28.1645</v>
      </c>
      <c r="J218" s="70">
        <v>1</v>
      </c>
      <c r="K218" s="69">
        <f t="shared" si="55"/>
        <v>-101.09088000000001</v>
      </c>
      <c r="L218" s="79" t="s">
        <v>468</v>
      </c>
      <c r="M218" s="61">
        <f t="shared" si="56"/>
        <v>-6.2960275000000001</v>
      </c>
      <c r="N218" s="61">
        <f t="shared" si="57"/>
        <v>4.6688074999999998</v>
      </c>
      <c r="O218" s="61"/>
      <c r="P218" s="2"/>
      <c r="Q218" s="2"/>
      <c r="R218" s="32"/>
      <c r="S218" s="32"/>
      <c r="T218" s="32"/>
      <c r="U218" s="32"/>
      <c r="V218" s="2"/>
      <c r="W218" s="2"/>
      <c r="X218" s="2"/>
      <c r="Y218" s="2"/>
      <c r="Z218" s="2"/>
    </row>
    <row r="219" spans="1:26" ht="13.8" x14ac:dyDescent="0.3">
      <c r="A219" s="32" t="s">
        <v>332</v>
      </c>
      <c r="B219" s="2" t="s">
        <v>107</v>
      </c>
      <c r="C219" s="10">
        <v>2304025</v>
      </c>
      <c r="D219" s="10" t="s">
        <v>1162</v>
      </c>
      <c r="E219" s="10">
        <v>2554720</v>
      </c>
      <c r="F219" s="10" t="s">
        <v>1270</v>
      </c>
      <c r="G219" s="69">
        <v>-1.5</v>
      </c>
      <c r="H219" s="69">
        <v>0</v>
      </c>
      <c r="I219" s="69">
        <f t="shared" si="54"/>
        <v>0</v>
      </c>
      <c r="J219" s="70">
        <v>1</v>
      </c>
      <c r="K219" s="69">
        <f t="shared" si="55"/>
        <v>-1.2225000000000001</v>
      </c>
      <c r="L219" s="79" t="s">
        <v>468</v>
      </c>
      <c r="M219" s="61">
        <f t="shared" si="56"/>
        <v>-5.2500000000000005E-2</v>
      </c>
      <c r="N219" s="61">
        <f t="shared" si="57"/>
        <v>0</v>
      </c>
      <c r="O219" s="61"/>
      <c r="P219" s="2"/>
      <c r="Q219" s="2"/>
      <c r="R219" s="32"/>
      <c r="S219" s="32"/>
      <c r="T219" s="32"/>
      <c r="U219" s="32"/>
      <c r="V219" s="2"/>
      <c r="W219" s="2"/>
      <c r="X219" s="2"/>
      <c r="Y219" s="2"/>
      <c r="Z219" s="2"/>
    </row>
    <row r="220" spans="1:26" ht="13.8" x14ac:dyDescent="0.3">
      <c r="A220" s="32" t="s">
        <v>332</v>
      </c>
      <c r="B220" s="2" t="s">
        <v>107</v>
      </c>
      <c r="C220" s="10">
        <v>2523689</v>
      </c>
      <c r="D220" s="10" t="s">
        <v>1179</v>
      </c>
      <c r="E220" s="10">
        <v>2525136</v>
      </c>
      <c r="F220" s="10" t="s">
        <v>1205</v>
      </c>
      <c r="G220" s="69">
        <v>6.36</v>
      </c>
      <c r="H220" s="69">
        <v>7.7</v>
      </c>
      <c r="I220" s="69">
        <f t="shared" si="54"/>
        <v>5.0049999999999999</v>
      </c>
      <c r="J220" s="70">
        <v>1</v>
      </c>
      <c r="K220" s="69">
        <f t="shared" si="55"/>
        <v>9.3722000000000012</v>
      </c>
      <c r="L220" s="79" t="s">
        <v>468</v>
      </c>
      <c r="M220" s="61">
        <f>(G220*0.05-H220*0.25*0.15)*J220*0.7-(-H220*0.02*0.15)*J220</f>
        <v>4.357500000000003E-2</v>
      </c>
      <c r="N220" s="61">
        <f>(H220*0.1*0.85+I220*0.05)*J220*0.7+H220*0.02*0.85*J220</f>
        <v>0.76422499999999993</v>
      </c>
      <c r="O220" s="61"/>
      <c r="P220" s="2"/>
      <c r="Q220" s="2"/>
      <c r="R220" s="32"/>
      <c r="S220" s="32"/>
      <c r="T220" s="32"/>
      <c r="U220" s="32"/>
      <c r="V220" s="2"/>
      <c r="W220" s="2"/>
      <c r="X220" s="2"/>
      <c r="Y220" s="2"/>
      <c r="Z220" s="2"/>
    </row>
    <row r="221" spans="1:26" ht="13.8" x14ac:dyDescent="0.3">
      <c r="A221" s="32" t="s">
        <v>332</v>
      </c>
      <c r="B221" s="2" t="s">
        <v>186</v>
      </c>
      <c r="C221" s="10" t="s">
        <v>15</v>
      </c>
      <c r="D221" s="10" t="s">
        <v>15</v>
      </c>
      <c r="E221" s="10">
        <v>1714680</v>
      </c>
      <c r="F221" s="76" t="s">
        <v>535</v>
      </c>
      <c r="G221" s="69">
        <v>-342.51</v>
      </c>
      <c r="H221" s="69">
        <v>178.45</v>
      </c>
      <c r="I221" s="69">
        <v>0</v>
      </c>
      <c r="J221" s="70">
        <v>1</v>
      </c>
      <c r="K221" s="69">
        <f>(-H221*0.4*0.15+G221*0.25)*J221*0.3+(H221*0.1*0.85+H221*0.5*0.25)*J221*0.3</f>
        <v>-17.657999999999994</v>
      </c>
      <c r="L221" s="79" t="s">
        <v>468</v>
      </c>
      <c r="M221" s="61">
        <v>0</v>
      </c>
      <c r="N221" s="61">
        <v>0</v>
      </c>
      <c r="O221" s="61"/>
      <c r="P221" s="2"/>
      <c r="Q221" s="2"/>
      <c r="R221" s="32"/>
      <c r="S221" s="32"/>
      <c r="T221" s="32"/>
      <c r="U221" s="32"/>
      <c r="V221" s="2"/>
      <c r="W221" s="2"/>
      <c r="X221" s="2"/>
      <c r="Y221" s="2"/>
      <c r="Z221" s="2"/>
    </row>
    <row r="222" spans="1:26" ht="13.8" x14ac:dyDescent="0.3">
      <c r="A222" s="32" t="s">
        <v>332</v>
      </c>
      <c r="B222" s="2" t="s">
        <v>186</v>
      </c>
      <c r="C222" s="10">
        <v>1792134</v>
      </c>
      <c r="D222" s="10" t="s">
        <v>1161</v>
      </c>
      <c r="E222" s="10">
        <v>1792134</v>
      </c>
      <c r="F222" s="10" t="s">
        <v>1161</v>
      </c>
      <c r="G222" s="69">
        <v>-51.1</v>
      </c>
      <c r="H222" s="69">
        <v>34.26</v>
      </c>
      <c r="I222" s="69">
        <f t="shared" ref="I222:I235" si="58">H222*0.5</f>
        <v>17.13</v>
      </c>
      <c r="J222" s="70">
        <v>1</v>
      </c>
      <c r="K222" s="69">
        <f t="shared" ref="K222:K235" si="59">(G222+I222)*J222*0.85+(-H222*0.4*0.15)*J222*0.3+H222*0.1*0.85*J222*0.3</f>
        <v>-28.617549999999998</v>
      </c>
      <c r="L222" s="79" t="s">
        <v>468</v>
      </c>
      <c r="M222" s="61">
        <f t="shared" ref="M222:M235" si="60">(-H222*0.4*0.15)*J222*0.7-(-H222*0.05*0.15)*J222</f>
        <v>-1.18197</v>
      </c>
      <c r="N222" s="61">
        <f t="shared" ref="N222:N235" si="61">H222*0.1*0.85*J222*0.7+H222*0.05*0.85*J222</f>
        <v>3.4945199999999996</v>
      </c>
      <c r="O222" s="61"/>
      <c r="P222" s="2"/>
      <c r="Q222" s="2"/>
      <c r="R222" s="32"/>
      <c r="S222" s="32"/>
      <c r="T222" s="32"/>
      <c r="U222" s="32"/>
      <c r="V222" s="2"/>
      <c r="W222" s="2"/>
      <c r="X222" s="2"/>
      <c r="Y222" s="2"/>
      <c r="Z222" s="2"/>
    </row>
    <row r="223" spans="1:26" ht="13.8" x14ac:dyDescent="0.3">
      <c r="A223" s="32" t="s">
        <v>332</v>
      </c>
      <c r="B223" s="2" t="s">
        <v>186</v>
      </c>
      <c r="C223" s="10">
        <v>1792134</v>
      </c>
      <c r="D223" s="10" t="s">
        <v>1161</v>
      </c>
      <c r="E223" s="10">
        <v>2548855</v>
      </c>
      <c r="F223" s="10" t="s">
        <v>1254</v>
      </c>
      <c r="G223" s="69">
        <v>-834.09</v>
      </c>
      <c r="H223" s="69">
        <v>225.41</v>
      </c>
      <c r="I223" s="69">
        <f t="shared" si="58"/>
        <v>112.705</v>
      </c>
      <c r="J223" s="70">
        <v>1</v>
      </c>
      <c r="K223" s="69">
        <f t="shared" si="59"/>
        <v>-611.48667499999988</v>
      </c>
      <c r="L223" s="79" t="s">
        <v>468</v>
      </c>
      <c r="M223" s="61">
        <f t="shared" si="60"/>
        <v>-7.7766449999999994</v>
      </c>
      <c r="N223" s="61">
        <f t="shared" si="61"/>
        <v>22.991819999999997</v>
      </c>
      <c r="O223" s="61"/>
      <c r="P223" s="2"/>
      <c r="Q223" s="2"/>
      <c r="R223" s="32"/>
      <c r="S223" s="32"/>
      <c r="T223" s="32"/>
      <c r="U223" s="32"/>
      <c r="V223" s="2"/>
      <c r="W223" s="2"/>
      <c r="X223" s="2"/>
      <c r="Y223" s="2"/>
      <c r="Z223" s="2"/>
    </row>
    <row r="224" spans="1:26" ht="13.8" x14ac:dyDescent="0.3">
      <c r="A224" s="32" t="s">
        <v>332</v>
      </c>
      <c r="B224" s="2" t="s">
        <v>186</v>
      </c>
      <c r="C224" s="10">
        <v>2304025</v>
      </c>
      <c r="D224" s="10" t="s">
        <v>1162</v>
      </c>
      <c r="E224" s="10">
        <v>2319819</v>
      </c>
      <c r="F224" s="10" t="s">
        <v>1165</v>
      </c>
      <c r="G224" s="69">
        <v>59.89</v>
      </c>
      <c r="H224" s="69">
        <v>6.38</v>
      </c>
      <c r="I224" s="69">
        <f t="shared" si="58"/>
        <v>3.19</v>
      </c>
      <c r="J224" s="70">
        <v>1</v>
      </c>
      <c r="K224" s="69">
        <f t="shared" si="59"/>
        <v>53.665849999999992</v>
      </c>
      <c r="L224" s="79" t="s">
        <v>468</v>
      </c>
      <c r="M224" s="61">
        <f t="shared" si="60"/>
        <v>-0.22010999999999997</v>
      </c>
      <c r="N224" s="61">
        <f t="shared" si="61"/>
        <v>0.65076000000000001</v>
      </c>
      <c r="O224" s="61"/>
      <c r="P224" s="2"/>
      <c r="Q224" s="2"/>
      <c r="R224" s="32"/>
      <c r="S224" s="32"/>
      <c r="T224" s="32"/>
      <c r="U224" s="32"/>
      <c r="V224" s="2"/>
      <c r="W224" s="2"/>
      <c r="X224" s="2"/>
      <c r="Y224" s="2"/>
      <c r="Z224" s="2"/>
    </row>
    <row r="225" spans="1:26" ht="13.8" x14ac:dyDescent="0.3">
      <c r="A225" s="32" t="s">
        <v>332</v>
      </c>
      <c r="B225" s="2" t="s">
        <v>186</v>
      </c>
      <c r="C225" s="10">
        <v>2304025</v>
      </c>
      <c r="D225" s="10" t="s">
        <v>1162</v>
      </c>
      <c r="E225" s="10">
        <v>2381522</v>
      </c>
      <c r="F225" s="10" t="s">
        <v>1166</v>
      </c>
      <c r="G225" s="69">
        <v>63.42</v>
      </c>
      <c r="H225" s="69">
        <v>6.87</v>
      </c>
      <c r="I225" s="69">
        <f t="shared" si="58"/>
        <v>3.4350000000000001</v>
      </c>
      <c r="J225" s="70">
        <v>1</v>
      </c>
      <c r="K225" s="69">
        <f t="shared" si="59"/>
        <v>56.878275000000002</v>
      </c>
      <c r="L225" s="79" t="s">
        <v>468</v>
      </c>
      <c r="M225" s="61">
        <f t="shared" si="60"/>
        <v>-0.23701499999999998</v>
      </c>
      <c r="N225" s="61">
        <f t="shared" si="61"/>
        <v>0.70074000000000014</v>
      </c>
      <c r="O225" s="61"/>
      <c r="P225" s="2"/>
      <c r="Q225" s="2"/>
      <c r="R225" s="32"/>
      <c r="S225" s="32"/>
      <c r="T225" s="32"/>
      <c r="U225" s="32"/>
      <c r="V225" s="2"/>
      <c r="W225" s="2"/>
      <c r="X225" s="2"/>
      <c r="Y225" s="2"/>
      <c r="Z225" s="2"/>
    </row>
    <row r="226" spans="1:26" ht="13.8" x14ac:dyDescent="0.3">
      <c r="A226" s="32" t="s">
        <v>332</v>
      </c>
      <c r="B226" s="2" t="s">
        <v>186</v>
      </c>
      <c r="C226" s="10">
        <v>2304025</v>
      </c>
      <c r="D226" s="10" t="s">
        <v>1162</v>
      </c>
      <c r="E226" s="10">
        <v>2391366</v>
      </c>
      <c r="F226" s="10" t="s">
        <v>1168</v>
      </c>
      <c r="G226" s="69">
        <v>-241.19</v>
      </c>
      <c r="H226" s="69">
        <v>26.51</v>
      </c>
      <c r="I226" s="69">
        <f t="shared" si="58"/>
        <v>13.255000000000001</v>
      </c>
      <c r="J226" s="70">
        <v>1</v>
      </c>
      <c r="K226" s="69">
        <f t="shared" si="59"/>
        <v>-193.54592500000001</v>
      </c>
      <c r="L226" s="79" t="s">
        <v>468</v>
      </c>
      <c r="M226" s="61">
        <f t="shared" si="60"/>
        <v>-0.91459499999999982</v>
      </c>
      <c r="N226" s="61">
        <f t="shared" si="61"/>
        <v>2.7040199999999999</v>
      </c>
      <c r="O226" s="61"/>
      <c r="P226" s="2"/>
      <c r="Q226" s="2"/>
      <c r="R226" s="32"/>
      <c r="S226" s="32"/>
      <c r="T226" s="32"/>
      <c r="U226" s="32"/>
      <c r="V226" s="2"/>
      <c r="W226" s="2"/>
      <c r="X226" s="2"/>
      <c r="Y226" s="2"/>
      <c r="Z226" s="2"/>
    </row>
    <row r="227" spans="1:26" ht="13.8" x14ac:dyDescent="0.3">
      <c r="A227" s="32" t="s">
        <v>332</v>
      </c>
      <c r="B227" s="2" t="s">
        <v>186</v>
      </c>
      <c r="C227" s="10">
        <v>2304025</v>
      </c>
      <c r="D227" s="10" t="s">
        <v>1162</v>
      </c>
      <c r="E227" s="10">
        <v>2420208</v>
      </c>
      <c r="F227" s="10" t="s">
        <v>1170</v>
      </c>
      <c r="G227" s="69">
        <v>54.92</v>
      </c>
      <c r="H227" s="69">
        <v>33.99</v>
      </c>
      <c r="I227" s="69">
        <f t="shared" si="58"/>
        <v>16.995000000000001</v>
      </c>
      <c r="J227" s="70">
        <v>1</v>
      </c>
      <c r="K227" s="69">
        <f t="shared" si="59"/>
        <v>61.382675000000006</v>
      </c>
      <c r="L227" s="79" t="s">
        <v>468</v>
      </c>
      <c r="M227" s="61">
        <f t="shared" si="60"/>
        <v>-1.172655</v>
      </c>
      <c r="N227" s="61">
        <f t="shared" si="61"/>
        <v>3.4669800000000004</v>
      </c>
      <c r="O227" s="61"/>
      <c r="P227" s="2"/>
      <c r="Q227" s="2"/>
      <c r="R227" s="32"/>
      <c r="S227" s="32"/>
      <c r="T227" s="32"/>
      <c r="U227" s="32"/>
      <c r="V227" s="2"/>
      <c r="W227" s="2"/>
      <c r="X227" s="2"/>
      <c r="Y227" s="2"/>
      <c r="Z227" s="2"/>
    </row>
    <row r="228" spans="1:26" ht="13.8" x14ac:dyDescent="0.3">
      <c r="A228" s="32" t="s">
        <v>332</v>
      </c>
      <c r="B228" s="2" t="s">
        <v>186</v>
      </c>
      <c r="C228" s="10">
        <v>2304025</v>
      </c>
      <c r="D228" s="10" t="s">
        <v>1162</v>
      </c>
      <c r="E228" s="10">
        <v>2441686</v>
      </c>
      <c r="F228" s="10" t="s">
        <v>1271</v>
      </c>
      <c r="G228" s="69">
        <v>-843.4</v>
      </c>
      <c r="H228" s="69">
        <v>102.64</v>
      </c>
      <c r="I228" s="69">
        <f t="shared" si="58"/>
        <v>51.32</v>
      </c>
      <c r="J228" s="70">
        <v>1</v>
      </c>
      <c r="K228" s="69">
        <f t="shared" si="59"/>
        <v>-672.4982</v>
      </c>
      <c r="L228" s="79" t="s">
        <v>468</v>
      </c>
      <c r="M228" s="61">
        <f t="shared" si="60"/>
        <v>-3.54108</v>
      </c>
      <c r="N228" s="61">
        <f t="shared" si="61"/>
        <v>10.469280000000001</v>
      </c>
      <c r="O228" s="61"/>
      <c r="P228" s="2"/>
      <c r="Q228" s="2"/>
      <c r="R228" s="32"/>
      <c r="S228" s="32"/>
      <c r="T228" s="32"/>
      <c r="U228" s="32"/>
      <c r="V228" s="2"/>
      <c r="W228" s="2"/>
      <c r="X228" s="2"/>
      <c r="Y228" s="2"/>
      <c r="Z228" s="2"/>
    </row>
    <row r="229" spans="1:26" ht="13.8" x14ac:dyDescent="0.3">
      <c r="A229" s="32" t="s">
        <v>332</v>
      </c>
      <c r="B229" s="2" t="s">
        <v>186</v>
      </c>
      <c r="C229" s="10">
        <v>2304025</v>
      </c>
      <c r="D229" s="10" t="s">
        <v>1162</v>
      </c>
      <c r="E229" s="10">
        <v>2471540</v>
      </c>
      <c r="F229" s="10" t="s">
        <v>1172</v>
      </c>
      <c r="G229" s="69">
        <v>102.31</v>
      </c>
      <c r="H229" s="69">
        <v>147.16999999999999</v>
      </c>
      <c r="I229" s="69">
        <f t="shared" si="58"/>
        <v>73.584999999999994</v>
      </c>
      <c r="J229" s="70">
        <v>1</v>
      </c>
      <c r="K229" s="69">
        <f t="shared" si="59"/>
        <v>150.61452499999999</v>
      </c>
      <c r="L229" s="79" t="s">
        <v>468</v>
      </c>
      <c r="M229" s="61">
        <f t="shared" si="60"/>
        <v>-5.0773649999999995</v>
      </c>
      <c r="N229" s="61">
        <f t="shared" si="61"/>
        <v>15.011339999999997</v>
      </c>
      <c r="O229" s="61"/>
      <c r="P229" s="2"/>
      <c r="Q229" s="2"/>
      <c r="R229" s="32"/>
      <c r="S229" s="32"/>
      <c r="T229" s="32"/>
      <c r="U229" s="32"/>
      <c r="V229" s="2"/>
      <c r="W229" s="2"/>
      <c r="X229" s="2"/>
      <c r="Y229" s="2"/>
      <c r="Z229" s="2"/>
    </row>
    <row r="230" spans="1:26" ht="13.8" x14ac:dyDescent="0.3">
      <c r="A230" s="32" t="s">
        <v>332</v>
      </c>
      <c r="B230" s="2" t="s">
        <v>186</v>
      </c>
      <c r="C230" s="10">
        <v>2304025</v>
      </c>
      <c r="D230" s="10" t="s">
        <v>1162</v>
      </c>
      <c r="E230" s="10">
        <v>2531140</v>
      </c>
      <c r="F230" s="10" t="s">
        <v>1257</v>
      </c>
      <c r="G230" s="69">
        <v>1559.31</v>
      </c>
      <c r="H230" s="69">
        <v>79.94</v>
      </c>
      <c r="I230" s="69">
        <f t="shared" si="58"/>
        <v>39.97</v>
      </c>
      <c r="J230" s="70">
        <v>1</v>
      </c>
      <c r="K230" s="69">
        <f t="shared" si="59"/>
        <v>1359.9875499999998</v>
      </c>
      <c r="L230" s="79" t="s">
        <v>468</v>
      </c>
      <c r="M230" s="61">
        <f t="shared" si="60"/>
        <v>-2.7579299999999995</v>
      </c>
      <c r="N230" s="61">
        <f t="shared" si="61"/>
        <v>8.1538799999999991</v>
      </c>
      <c r="O230" s="61"/>
      <c r="P230" s="2"/>
      <c r="Q230" s="2"/>
      <c r="R230" s="32"/>
      <c r="S230" s="32"/>
      <c r="T230" s="32"/>
      <c r="U230" s="32"/>
      <c r="V230" s="2"/>
      <c r="W230" s="2"/>
      <c r="X230" s="2"/>
      <c r="Y230" s="2"/>
      <c r="Z230" s="2"/>
    </row>
    <row r="231" spans="1:26" ht="13.8" x14ac:dyDescent="0.3">
      <c r="A231" s="32" t="s">
        <v>332</v>
      </c>
      <c r="B231" s="2" t="s">
        <v>186</v>
      </c>
      <c r="C231" s="10">
        <v>2304025</v>
      </c>
      <c r="D231" s="10" t="s">
        <v>1162</v>
      </c>
      <c r="E231" s="10">
        <v>2531191</v>
      </c>
      <c r="F231" s="10" t="s">
        <v>1259</v>
      </c>
      <c r="G231" s="69">
        <v>7.35</v>
      </c>
      <c r="H231" s="69">
        <v>0</v>
      </c>
      <c r="I231" s="69">
        <f t="shared" si="58"/>
        <v>0</v>
      </c>
      <c r="J231" s="70">
        <v>1</v>
      </c>
      <c r="K231" s="69">
        <f t="shared" si="59"/>
        <v>6.2474999999999996</v>
      </c>
      <c r="L231" s="79" t="s">
        <v>468</v>
      </c>
      <c r="M231" s="61">
        <f t="shared" si="60"/>
        <v>0</v>
      </c>
      <c r="N231" s="61">
        <f t="shared" si="61"/>
        <v>0</v>
      </c>
      <c r="O231" s="61"/>
      <c r="P231" s="2"/>
      <c r="Q231" s="2"/>
      <c r="R231" s="32"/>
      <c r="S231" s="32"/>
      <c r="T231" s="32"/>
      <c r="U231" s="32"/>
      <c r="V231" s="2"/>
      <c r="W231" s="2"/>
      <c r="X231" s="2"/>
      <c r="Y231" s="2"/>
      <c r="Z231" s="2"/>
    </row>
    <row r="232" spans="1:26" ht="13.8" x14ac:dyDescent="0.3">
      <c r="A232" s="32" t="s">
        <v>332</v>
      </c>
      <c r="B232" s="2" t="s">
        <v>186</v>
      </c>
      <c r="C232" s="10">
        <v>2304025</v>
      </c>
      <c r="D232" s="10" t="s">
        <v>1162</v>
      </c>
      <c r="E232" s="10">
        <v>2531390</v>
      </c>
      <c r="F232" s="10" t="s">
        <v>1229</v>
      </c>
      <c r="G232" s="69">
        <v>101.11</v>
      </c>
      <c r="H232" s="69">
        <v>0.11</v>
      </c>
      <c r="I232" s="69">
        <f t="shared" si="58"/>
        <v>5.5E-2</v>
      </c>
      <c r="J232" s="70">
        <v>1</v>
      </c>
      <c r="K232" s="69">
        <f t="shared" si="59"/>
        <v>85.991074999999995</v>
      </c>
      <c r="L232" s="79" t="s">
        <v>468</v>
      </c>
      <c r="M232" s="61">
        <f t="shared" si="60"/>
        <v>-3.7949999999999998E-3</v>
      </c>
      <c r="N232" s="61">
        <f t="shared" si="61"/>
        <v>1.1220000000000001E-2</v>
      </c>
      <c r="O232" s="61"/>
      <c r="P232" s="2"/>
      <c r="Q232" s="2"/>
      <c r="R232" s="32"/>
      <c r="S232" s="32"/>
      <c r="T232" s="32"/>
      <c r="U232" s="32"/>
      <c r="V232" s="2"/>
      <c r="W232" s="2"/>
      <c r="X232" s="2"/>
      <c r="Y232" s="2"/>
      <c r="Z232" s="2"/>
    </row>
    <row r="233" spans="1:26" ht="13.8" x14ac:dyDescent="0.3">
      <c r="A233" s="32" t="s">
        <v>332</v>
      </c>
      <c r="B233" s="2" t="s">
        <v>186</v>
      </c>
      <c r="C233" s="10">
        <v>2304025</v>
      </c>
      <c r="D233" s="10" t="s">
        <v>1162</v>
      </c>
      <c r="E233" s="10">
        <v>2535371</v>
      </c>
      <c r="F233" s="10" t="s">
        <v>1250</v>
      </c>
      <c r="G233" s="69">
        <v>-281.32</v>
      </c>
      <c r="H233" s="69">
        <v>23.49</v>
      </c>
      <c r="I233" s="69">
        <f t="shared" si="58"/>
        <v>11.744999999999999</v>
      </c>
      <c r="J233" s="70">
        <v>1</v>
      </c>
      <c r="K233" s="69">
        <f t="shared" si="59"/>
        <v>-228.96257499999999</v>
      </c>
      <c r="L233" s="79" t="s">
        <v>468</v>
      </c>
      <c r="M233" s="61">
        <f t="shared" si="60"/>
        <v>-0.81040499999999982</v>
      </c>
      <c r="N233" s="61">
        <f t="shared" si="61"/>
        <v>2.3959799999999998</v>
      </c>
      <c r="O233" s="61"/>
      <c r="P233" s="2"/>
      <c r="Q233" s="2"/>
      <c r="R233" s="32"/>
      <c r="S233" s="32"/>
      <c r="T233" s="32"/>
      <c r="U233" s="32"/>
      <c r="V233" s="2"/>
      <c r="W233" s="2"/>
      <c r="X233" s="2"/>
      <c r="Y233" s="2"/>
      <c r="Z233" s="2"/>
    </row>
    <row r="234" spans="1:26" ht="13.8" x14ac:dyDescent="0.3">
      <c r="A234" s="32" t="s">
        <v>332</v>
      </c>
      <c r="B234" s="2" t="s">
        <v>186</v>
      </c>
      <c r="C234" s="10">
        <v>2304025</v>
      </c>
      <c r="D234" s="10" t="s">
        <v>1162</v>
      </c>
      <c r="E234" s="10">
        <v>2554720</v>
      </c>
      <c r="F234" s="10" t="s">
        <v>1270</v>
      </c>
      <c r="G234" s="69">
        <v>256.32</v>
      </c>
      <c r="H234" s="69">
        <v>42.23</v>
      </c>
      <c r="I234" s="69">
        <f t="shared" si="58"/>
        <v>21.114999999999998</v>
      </c>
      <c r="J234" s="70">
        <v>1</v>
      </c>
      <c r="K234" s="69">
        <f t="shared" si="59"/>
        <v>236.13647499999999</v>
      </c>
      <c r="L234" s="79" t="s">
        <v>468</v>
      </c>
      <c r="M234" s="61">
        <f t="shared" si="60"/>
        <v>-1.4569349999999999</v>
      </c>
      <c r="N234" s="61">
        <f t="shared" si="61"/>
        <v>4.307459999999999</v>
      </c>
      <c r="O234" s="61"/>
      <c r="P234" s="2"/>
      <c r="Q234" s="2"/>
      <c r="R234" s="32"/>
      <c r="S234" s="32"/>
      <c r="T234" s="32"/>
      <c r="U234" s="32"/>
      <c r="V234" s="2"/>
      <c r="W234" s="2"/>
      <c r="X234" s="2"/>
      <c r="Y234" s="2"/>
      <c r="Z234" s="2"/>
    </row>
    <row r="235" spans="1:26" ht="13.8" x14ac:dyDescent="0.3">
      <c r="A235" s="32" t="s">
        <v>332</v>
      </c>
      <c r="B235" s="2" t="s">
        <v>186</v>
      </c>
      <c r="C235" s="10">
        <v>2523689</v>
      </c>
      <c r="D235" s="10" t="s">
        <v>1179</v>
      </c>
      <c r="E235" s="10">
        <v>2525136</v>
      </c>
      <c r="F235" s="10" t="s">
        <v>1205</v>
      </c>
      <c r="G235" s="69">
        <v>-198.84</v>
      </c>
      <c r="H235" s="69">
        <v>68.23</v>
      </c>
      <c r="I235" s="69">
        <f t="shared" si="58"/>
        <v>34.115000000000002</v>
      </c>
      <c r="J235" s="70">
        <v>1</v>
      </c>
      <c r="K235" s="69">
        <f t="shared" si="59"/>
        <v>-139.50452499999997</v>
      </c>
      <c r="L235" s="79" t="s">
        <v>468</v>
      </c>
      <c r="M235" s="61">
        <f t="shared" si="60"/>
        <v>-2.3539349999999999</v>
      </c>
      <c r="N235" s="61">
        <f t="shared" si="61"/>
        <v>6.95946</v>
      </c>
      <c r="O235" s="61"/>
      <c r="P235" s="2"/>
      <c r="Q235" s="2"/>
      <c r="R235" s="32"/>
      <c r="S235" s="32"/>
      <c r="T235" s="32"/>
      <c r="U235" s="32"/>
      <c r="V235" s="2"/>
      <c r="W235" s="2"/>
      <c r="X235" s="2"/>
      <c r="Y235" s="2"/>
      <c r="Z235" s="2"/>
    </row>
    <row r="236" spans="1:26" ht="13.8" x14ac:dyDescent="0.3">
      <c r="A236" s="2" t="s">
        <v>332</v>
      </c>
      <c r="B236" s="29" t="s">
        <v>35</v>
      </c>
      <c r="C236" s="10" t="s">
        <v>1114</v>
      </c>
      <c r="D236" s="10" t="s">
        <v>1115</v>
      </c>
      <c r="E236" s="10" t="s">
        <v>1116</v>
      </c>
      <c r="F236" s="10" t="s">
        <v>1117</v>
      </c>
      <c r="G236" s="69">
        <v>-450</v>
      </c>
      <c r="H236" s="69">
        <v>24.31</v>
      </c>
      <c r="I236" s="69">
        <f t="shared" ref="I236:I243" si="62">H236*0.79</f>
        <v>19.204899999999999</v>
      </c>
      <c r="J236" s="75">
        <v>0.27323999999999998</v>
      </c>
      <c r="K236" s="69">
        <f t="shared" ref="K236:K243" si="63">(G236+I236)*J236</f>
        <v>-117.710453124</v>
      </c>
      <c r="L236" s="78">
        <f t="shared" ref="L236:L243" si="64">H236*0.05*J236</f>
        <v>0.33212322</v>
      </c>
      <c r="M236" s="61">
        <v>0</v>
      </c>
      <c r="N236" s="61">
        <f t="shared" ref="N236:N243" si="65">H236*0.04*J236</f>
        <v>0.26569857599999996</v>
      </c>
      <c r="O236" s="61"/>
      <c r="P236" s="2"/>
      <c r="Q236" s="2"/>
      <c r="R236" s="32"/>
      <c r="S236" s="32"/>
      <c r="T236" s="32"/>
      <c r="U236" s="32"/>
      <c r="V236" s="2"/>
      <c r="W236" s="2"/>
      <c r="X236" s="2"/>
      <c r="Y236" s="2"/>
      <c r="Z236" s="2"/>
    </row>
    <row r="237" spans="1:26" ht="13.8" x14ac:dyDescent="0.3">
      <c r="A237" s="2" t="s">
        <v>332</v>
      </c>
      <c r="B237" s="29" t="s">
        <v>35</v>
      </c>
      <c r="C237" s="10" t="s">
        <v>1234</v>
      </c>
      <c r="D237" s="10" t="s">
        <v>1235</v>
      </c>
      <c r="E237" s="10" t="s">
        <v>1130</v>
      </c>
      <c r="F237" s="10" t="s">
        <v>1131</v>
      </c>
      <c r="G237" s="69">
        <v>-4475.58</v>
      </c>
      <c r="H237" s="69">
        <v>1707.6</v>
      </c>
      <c r="I237" s="69">
        <f t="shared" si="62"/>
        <v>1349.0039999999999</v>
      </c>
      <c r="J237" s="75">
        <v>0.27323999999999998</v>
      </c>
      <c r="K237" s="69">
        <f t="shared" si="63"/>
        <v>-854.30562623999992</v>
      </c>
      <c r="L237" s="78">
        <f t="shared" si="64"/>
        <v>23.329231199999999</v>
      </c>
      <c r="M237" s="61">
        <v>0</v>
      </c>
      <c r="N237" s="61">
        <f t="shared" si="65"/>
        <v>18.663384959999998</v>
      </c>
      <c r="O237" s="61"/>
      <c r="P237" s="2"/>
      <c r="Q237" s="2"/>
      <c r="R237" s="32"/>
      <c r="S237" s="32"/>
      <c r="T237" s="32"/>
      <c r="U237" s="32"/>
      <c r="V237" s="2"/>
      <c r="W237" s="2"/>
      <c r="X237" s="2"/>
      <c r="Y237" s="2"/>
      <c r="Z237" s="2"/>
    </row>
    <row r="238" spans="1:26" ht="13.8" x14ac:dyDescent="0.3">
      <c r="A238" s="2" t="s">
        <v>332</v>
      </c>
      <c r="B238" s="29" t="s">
        <v>35</v>
      </c>
      <c r="C238" s="10" t="s">
        <v>1234</v>
      </c>
      <c r="D238" s="10" t="s">
        <v>1235</v>
      </c>
      <c r="E238" s="10" t="s">
        <v>1132</v>
      </c>
      <c r="F238" s="10" t="s">
        <v>1133</v>
      </c>
      <c r="G238" s="69">
        <v>-4530.5600000000004</v>
      </c>
      <c r="H238" s="69">
        <v>1329.6</v>
      </c>
      <c r="I238" s="69">
        <f t="shared" si="62"/>
        <v>1050.384</v>
      </c>
      <c r="J238" s="75">
        <v>0.27323999999999998</v>
      </c>
      <c r="K238" s="69">
        <f t="shared" si="63"/>
        <v>-950.92329024000003</v>
      </c>
      <c r="L238" s="78">
        <f t="shared" si="64"/>
        <v>18.1649952</v>
      </c>
      <c r="M238" s="61">
        <v>0</v>
      </c>
      <c r="N238" s="61">
        <f t="shared" si="65"/>
        <v>14.531996159999998</v>
      </c>
      <c r="O238" s="61"/>
      <c r="P238" s="2"/>
      <c r="Q238" s="2"/>
      <c r="R238" s="32"/>
      <c r="S238" s="32"/>
      <c r="T238" s="32"/>
      <c r="U238" s="32"/>
      <c r="V238" s="2"/>
      <c r="W238" s="2"/>
      <c r="X238" s="2"/>
      <c r="Y238" s="2"/>
      <c r="Z238" s="2"/>
    </row>
    <row r="239" spans="1:26" ht="13.8" x14ac:dyDescent="0.3">
      <c r="A239" s="2" t="s">
        <v>332</v>
      </c>
      <c r="B239" s="29" t="s">
        <v>35</v>
      </c>
      <c r="C239" s="10" t="s">
        <v>1118</v>
      </c>
      <c r="D239" s="10" t="s">
        <v>1119</v>
      </c>
      <c r="E239" s="10" t="s">
        <v>1123</v>
      </c>
      <c r="F239" s="10" t="s">
        <v>1124</v>
      </c>
      <c r="G239" s="69">
        <v>-232.93</v>
      </c>
      <c r="H239" s="69">
        <v>198.57</v>
      </c>
      <c r="I239" s="69">
        <f t="shared" si="62"/>
        <v>156.87030000000001</v>
      </c>
      <c r="J239" s="75">
        <v>0.27323999999999998</v>
      </c>
      <c r="K239" s="69">
        <f t="shared" si="63"/>
        <v>-20.782552427999995</v>
      </c>
      <c r="L239" s="78">
        <f t="shared" si="64"/>
        <v>2.7128633399999997</v>
      </c>
      <c r="M239" s="61">
        <v>0</v>
      </c>
      <c r="N239" s="61">
        <f t="shared" si="65"/>
        <v>2.1702906719999997</v>
      </c>
      <c r="O239" s="61"/>
      <c r="P239" s="2"/>
      <c r="Q239" s="2"/>
      <c r="R239" s="32"/>
      <c r="S239" s="32"/>
      <c r="T239" s="32"/>
      <c r="U239" s="32"/>
      <c r="V239" s="2"/>
      <c r="W239" s="2"/>
      <c r="X239" s="2"/>
      <c r="Y239" s="2"/>
      <c r="Z239" s="2"/>
    </row>
    <row r="240" spans="1:26" ht="13.8" x14ac:dyDescent="0.3">
      <c r="A240" s="2" t="s">
        <v>332</v>
      </c>
      <c r="B240" s="29" t="s">
        <v>35</v>
      </c>
      <c r="C240" s="10" t="s">
        <v>1126</v>
      </c>
      <c r="D240" s="10" t="s">
        <v>1127</v>
      </c>
      <c r="E240" s="10" t="s">
        <v>1135</v>
      </c>
      <c r="F240" s="10" t="s">
        <v>1136</v>
      </c>
      <c r="G240" s="69">
        <v>-12889.67</v>
      </c>
      <c r="H240" s="69">
        <v>2258.09</v>
      </c>
      <c r="I240" s="69">
        <f t="shared" si="62"/>
        <v>1783.8911000000003</v>
      </c>
      <c r="J240" s="75">
        <v>0.27323999999999998</v>
      </c>
      <c r="K240" s="69">
        <f t="shared" si="63"/>
        <v>-3034.5430266359995</v>
      </c>
      <c r="L240" s="78">
        <f t="shared" si="64"/>
        <v>30.850025580000001</v>
      </c>
      <c r="M240" s="61">
        <v>0</v>
      </c>
      <c r="N240" s="61">
        <f t="shared" si="65"/>
        <v>24.680020464000002</v>
      </c>
      <c r="O240" s="61"/>
      <c r="P240" s="2"/>
      <c r="Q240" s="2"/>
      <c r="R240" s="32"/>
      <c r="S240" s="32"/>
      <c r="T240" s="32"/>
      <c r="U240" s="32"/>
      <c r="V240" s="2"/>
      <c r="W240" s="2"/>
      <c r="X240" s="2"/>
      <c r="Y240" s="2"/>
      <c r="Z240" s="2"/>
    </row>
    <row r="241" spans="1:26" ht="13.8" x14ac:dyDescent="0.3">
      <c r="A241" s="2" t="s">
        <v>332</v>
      </c>
      <c r="B241" s="29" t="s">
        <v>35</v>
      </c>
      <c r="C241" s="10" t="s">
        <v>1264</v>
      </c>
      <c r="D241" s="10" t="s">
        <v>1265</v>
      </c>
      <c r="E241" s="10" t="s">
        <v>1266</v>
      </c>
      <c r="F241" s="10" t="s">
        <v>1267</v>
      </c>
      <c r="G241" s="69">
        <v>30.78</v>
      </c>
      <c r="H241" s="69">
        <v>5.68</v>
      </c>
      <c r="I241" s="69">
        <f t="shared" si="62"/>
        <v>4.4871999999999996</v>
      </c>
      <c r="J241" s="75">
        <v>0.27323999999999998</v>
      </c>
      <c r="K241" s="69">
        <f t="shared" si="63"/>
        <v>9.6364097280000003</v>
      </c>
      <c r="L241" s="78">
        <f t="shared" si="64"/>
        <v>7.7600159999999987E-2</v>
      </c>
      <c r="M241" s="61">
        <v>0</v>
      </c>
      <c r="N241" s="61">
        <f t="shared" si="65"/>
        <v>6.2080127999999991E-2</v>
      </c>
      <c r="O241" s="61"/>
      <c r="P241" s="2"/>
      <c r="Q241" s="2"/>
      <c r="R241" s="32"/>
      <c r="S241" s="32"/>
      <c r="T241" s="32"/>
      <c r="U241" s="32"/>
      <c r="V241" s="2"/>
      <c r="W241" s="2"/>
      <c r="X241" s="2"/>
      <c r="Y241" s="2"/>
      <c r="Z241" s="2"/>
    </row>
    <row r="242" spans="1:26" ht="13.8" x14ac:dyDescent="0.3">
      <c r="A242" s="2" t="s">
        <v>332</v>
      </c>
      <c r="B242" s="29" t="s">
        <v>35</v>
      </c>
      <c r="C242" s="10" t="s">
        <v>1138</v>
      </c>
      <c r="D242" s="10" t="s">
        <v>1139</v>
      </c>
      <c r="E242" s="10" t="s">
        <v>1143</v>
      </c>
      <c r="F242" s="10" t="s">
        <v>1144</v>
      </c>
      <c r="G242" s="69">
        <v>-495.5</v>
      </c>
      <c r="H242" s="69">
        <v>74.98</v>
      </c>
      <c r="I242" s="69">
        <f t="shared" si="62"/>
        <v>59.234200000000008</v>
      </c>
      <c r="J242" s="75">
        <v>0.27323999999999998</v>
      </c>
      <c r="K242" s="69">
        <f t="shared" si="63"/>
        <v>-119.20526719199999</v>
      </c>
      <c r="L242" s="78">
        <f t="shared" si="64"/>
        <v>1.02437676</v>
      </c>
      <c r="M242" s="61">
        <v>0</v>
      </c>
      <c r="N242" s="61">
        <f t="shared" si="65"/>
        <v>0.81950140799999993</v>
      </c>
      <c r="O242" s="61"/>
      <c r="P242" s="2"/>
      <c r="Q242" s="2"/>
      <c r="R242" s="32"/>
      <c r="S242" s="32"/>
      <c r="T242" s="32"/>
      <c r="U242" s="32"/>
      <c r="V242" s="2"/>
      <c r="W242" s="2"/>
      <c r="X242" s="2"/>
      <c r="Y242" s="2"/>
      <c r="Z242" s="2"/>
    </row>
    <row r="243" spans="1:26" ht="13.8" x14ac:dyDescent="0.3">
      <c r="A243" s="2" t="s">
        <v>332</v>
      </c>
      <c r="B243" s="29" t="s">
        <v>35</v>
      </c>
      <c r="C243" s="10" t="s">
        <v>1138</v>
      </c>
      <c r="D243" s="10" t="s">
        <v>1139</v>
      </c>
      <c r="E243" s="10" t="s">
        <v>1268</v>
      </c>
      <c r="F243" s="10" t="s">
        <v>1269</v>
      </c>
      <c r="G243" s="69">
        <v>-312.62</v>
      </c>
      <c r="H243" s="69">
        <v>642.69000000000005</v>
      </c>
      <c r="I243" s="69">
        <f t="shared" si="62"/>
        <v>507.72510000000005</v>
      </c>
      <c r="J243" s="75">
        <v>0.27323999999999998</v>
      </c>
      <c r="K243" s="69">
        <f t="shared" si="63"/>
        <v>53.310517524000012</v>
      </c>
      <c r="L243" s="78">
        <f t="shared" si="64"/>
        <v>8.7804307799999997</v>
      </c>
      <c r="M243" s="61">
        <v>0</v>
      </c>
      <c r="N243" s="61">
        <f t="shared" si="65"/>
        <v>7.0243446240000003</v>
      </c>
      <c r="O243" s="61"/>
      <c r="P243" s="2"/>
      <c r="Q243" s="2"/>
      <c r="R243" s="32"/>
      <c r="S243" s="32"/>
      <c r="T243" s="32"/>
      <c r="U243" s="32"/>
      <c r="V243" s="2"/>
      <c r="W243" s="2"/>
      <c r="X243" s="2"/>
      <c r="Y243" s="2"/>
      <c r="Z243" s="2"/>
    </row>
    <row r="244" spans="1:26" ht="13.8" x14ac:dyDescent="0.3">
      <c r="A244" s="2" t="s">
        <v>332</v>
      </c>
      <c r="B244" s="2" t="s">
        <v>244</v>
      </c>
      <c r="C244" s="10">
        <v>1792134</v>
      </c>
      <c r="D244" s="10" t="s">
        <v>1161</v>
      </c>
      <c r="E244" s="10">
        <v>1792134</v>
      </c>
      <c r="F244" s="10" t="s">
        <v>1161</v>
      </c>
      <c r="G244" s="69">
        <v>682.97</v>
      </c>
      <c r="H244" s="69">
        <v>656.43</v>
      </c>
      <c r="I244" s="69">
        <f t="shared" ref="I244:I269" si="66">H244*0.7</f>
        <v>459.50099999999992</v>
      </c>
      <c r="J244" s="70">
        <v>1</v>
      </c>
      <c r="K244" s="69">
        <f t="shared" ref="K244:K268" si="67">(G244+I244)*0.85+(G244*0.15-(G244+H244)*0.15)*J244*0.3+I244*0.15*J244*0.3</f>
        <v>962.23854499999993</v>
      </c>
      <c r="L244" s="79" t="s">
        <v>468</v>
      </c>
      <c r="M244" s="61">
        <f t="shared" ref="M244:M268" si="68">(G244*0.15-(G244+H244)*0.15)*J244*0.7</f>
        <v>-68.925150000000002</v>
      </c>
      <c r="N244" s="61">
        <f t="shared" ref="N244:N268" si="69">I244*0.15*J244*0.7+H244*0.05*J244</f>
        <v>81.069104999999979</v>
      </c>
      <c r="O244" s="61"/>
      <c r="P244" s="2"/>
      <c r="Q244" s="2"/>
      <c r="R244" s="32"/>
      <c r="S244" s="32"/>
      <c r="T244" s="32"/>
      <c r="U244" s="32"/>
      <c r="V244" s="2"/>
      <c r="W244" s="2"/>
      <c r="X244" s="2"/>
      <c r="Y244" s="2"/>
      <c r="Z244" s="2"/>
    </row>
    <row r="245" spans="1:26" ht="13.8" x14ac:dyDescent="0.3">
      <c r="A245" s="2" t="s">
        <v>332</v>
      </c>
      <c r="B245" s="2" t="s">
        <v>244</v>
      </c>
      <c r="C245" s="10">
        <v>1792134</v>
      </c>
      <c r="D245" s="10" t="s">
        <v>1161</v>
      </c>
      <c r="E245" s="10">
        <v>2548855</v>
      </c>
      <c r="F245" s="10" t="s">
        <v>1254</v>
      </c>
      <c r="G245" s="69">
        <v>-7909.85</v>
      </c>
      <c r="H245" s="69">
        <v>1332.68</v>
      </c>
      <c r="I245" s="69">
        <f t="shared" si="66"/>
        <v>932.87599999999998</v>
      </c>
      <c r="J245" s="70">
        <v>1</v>
      </c>
      <c r="K245" s="69">
        <f t="shared" si="67"/>
        <v>-5948.4190799999997</v>
      </c>
      <c r="L245" s="79" t="s">
        <v>468</v>
      </c>
      <c r="M245" s="61">
        <f t="shared" si="68"/>
        <v>-139.93140000000002</v>
      </c>
      <c r="N245" s="61">
        <f t="shared" si="69"/>
        <v>164.58598000000001</v>
      </c>
      <c r="O245" s="61"/>
      <c r="P245" s="2"/>
      <c r="Q245" s="2"/>
      <c r="R245" s="32"/>
      <c r="S245" s="32"/>
      <c r="T245" s="32"/>
      <c r="U245" s="32"/>
      <c r="V245" s="2"/>
      <c r="W245" s="2"/>
      <c r="X245" s="2"/>
      <c r="Y245" s="2"/>
      <c r="Z245" s="2"/>
    </row>
    <row r="246" spans="1:26" ht="13.8" x14ac:dyDescent="0.3">
      <c r="A246" s="2" t="s">
        <v>332</v>
      </c>
      <c r="B246" s="2" t="s">
        <v>244</v>
      </c>
      <c r="C246" s="10">
        <v>2304025</v>
      </c>
      <c r="D246" s="10" t="s">
        <v>1162</v>
      </c>
      <c r="E246" s="10">
        <v>2319819</v>
      </c>
      <c r="F246" s="10" t="s">
        <v>1165</v>
      </c>
      <c r="G246" s="69">
        <v>419.28</v>
      </c>
      <c r="H246" s="69">
        <v>62.54</v>
      </c>
      <c r="I246" s="69">
        <f t="shared" si="66"/>
        <v>43.777999999999999</v>
      </c>
      <c r="J246" s="70">
        <v>1</v>
      </c>
      <c r="K246" s="69">
        <f t="shared" si="67"/>
        <v>392.75500999999997</v>
      </c>
      <c r="L246" s="79" t="s">
        <v>468</v>
      </c>
      <c r="M246" s="61">
        <f t="shared" si="68"/>
        <v>-6.5667</v>
      </c>
      <c r="N246" s="61">
        <f t="shared" si="69"/>
        <v>7.7236899999999995</v>
      </c>
      <c r="O246" s="61"/>
      <c r="P246" s="2"/>
      <c r="Q246" s="2"/>
      <c r="R246" s="32"/>
      <c r="S246" s="32"/>
      <c r="T246" s="32"/>
      <c r="U246" s="32"/>
      <c r="V246" s="2"/>
      <c r="W246" s="2"/>
      <c r="X246" s="2"/>
      <c r="Y246" s="2"/>
      <c r="Z246" s="2"/>
    </row>
    <row r="247" spans="1:26" ht="13.8" x14ac:dyDescent="0.3">
      <c r="A247" s="2" t="s">
        <v>332</v>
      </c>
      <c r="B247" s="2" t="s">
        <v>244</v>
      </c>
      <c r="C247" s="10">
        <v>2304025</v>
      </c>
      <c r="D247" s="10" t="s">
        <v>1162</v>
      </c>
      <c r="E247" s="10">
        <v>2371488</v>
      </c>
      <c r="F247" s="10" t="s">
        <v>1190</v>
      </c>
      <c r="G247" s="69">
        <v>162.91</v>
      </c>
      <c r="H247" s="69">
        <v>17.7</v>
      </c>
      <c r="I247" s="69">
        <f t="shared" si="66"/>
        <v>12.389999999999999</v>
      </c>
      <c r="J247" s="70">
        <v>1</v>
      </c>
      <c r="K247" s="69">
        <f t="shared" si="67"/>
        <v>148.76604999999998</v>
      </c>
      <c r="L247" s="79" t="s">
        <v>468</v>
      </c>
      <c r="M247" s="61">
        <f t="shared" si="68"/>
        <v>-1.8584999999999983</v>
      </c>
      <c r="N247" s="61">
        <f t="shared" si="69"/>
        <v>2.1859500000000001</v>
      </c>
      <c r="O247" s="61"/>
      <c r="P247" s="2"/>
      <c r="Q247" s="2"/>
      <c r="R247" s="32"/>
      <c r="S247" s="32"/>
      <c r="T247" s="32"/>
      <c r="U247" s="32"/>
      <c r="V247" s="2"/>
      <c r="W247" s="2"/>
      <c r="X247" s="2"/>
      <c r="Y247" s="2"/>
      <c r="Z247" s="2"/>
    </row>
    <row r="248" spans="1:26" ht="13.8" x14ac:dyDescent="0.3">
      <c r="A248" s="2" t="s">
        <v>332</v>
      </c>
      <c r="B248" s="2" t="s">
        <v>244</v>
      </c>
      <c r="C248" s="10">
        <v>2304025</v>
      </c>
      <c r="D248" s="10" t="s">
        <v>1162</v>
      </c>
      <c r="E248" s="10">
        <v>2380008</v>
      </c>
      <c r="F248" s="10" t="s">
        <v>1192</v>
      </c>
      <c r="G248" s="69">
        <v>-144.47999999999999</v>
      </c>
      <c r="H248" s="69">
        <v>57.71</v>
      </c>
      <c r="I248" s="69">
        <f t="shared" si="66"/>
        <v>40.396999999999998</v>
      </c>
      <c r="J248" s="70">
        <v>1</v>
      </c>
      <c r="K248" s="69">
        <f t="shared" si="67"/>
        <v>-89.249634999999998</v>
      </c>
      <c r="L248" s="79" t="s">
        <v>468</v>
      </c>
      <c r="M248" s="61">
        <f t="shared" si="68"/>
        <v>-6.0595499999999989</v>
      </c>
      <c r="N248" s="61">
        <f t="shared" si="69"/>
        <v>7.1271849999999999</v>
      </c>
      <c r="O248" s="61"/>
      <c r="P248" s="2"/>
      <c r="Q248" s="2"/>
      <c r="R248" s="32"/>
      <c r="S248" s="32"/>
      <c r="T248" s="32"/>
      <c r="U248" s="32"/>
      <c r="V248" s="2"/>
      <c r="W248" s="2"/>
      <c r="X248" s="2"/>
      <c r="Y248" s="2"/>
      <c r="Z248" s="2"/>
    </row>
    <row r="249" spans="1:26" ht="13.8" x14ac:dyDescent="0.3">
      <c r="A249" s="2" t="s">
        <v>332</v>
      </c>
      <c r="B249" s="2" t="s">
        <v>244</v>
      </c>
      <c r="C249" s="10">
        <v>2304025</v>
      </c>
      <c r="D249" s="10" t="s">
        <v>1162</v>
      </c>
      <c r="E249" s="10">
        <v>2391366</v>
      </c>
      <c r="F249" s="10" t="s">
        <v>1168</v>
      </c>
      <c r="G249" s="69">
        <v>84.34</v>
      </c>
      <c r="H249" s="69">
        <v>37.159999999999997</v>
      </c>
      <c r="I249" s="69">
        <f t="shared" si="66"/>
        <v>26.011999999999997</v>
      </c>
      <c r="J249" s="70">
        <v>1</v>
      </c>
      <c r="K249" s="69">
        <f t="shared" si="67"/>
        <v>93.297539999999998</v>
      </c>
      <c r="L249" s="79" t="s">
        <v>468</v>
      </c>
      <c r="M249" s="61">
        <f t="shared" si="68"/>
        <v>-3.9017999999999984</v>
      </c>
      <c r="N249" s="61">
        <f t="shared" si="69"/>
        <v>4.5892599999999995</v>
      </c>
      <c r="O249" s="61"/>
      <c r="P249" s="2"/>
      <c r="Q249" s="2"/>
      <c r="R249" s="32"/>
      <c r="S249" s="32"/>
      <c r="T249" s="32"/>
      <c r="U249" s="32"/>
      <c r="V249" s="2"/>
      <c r="W249" s="2"/>
      <c r="X249" s="2"/>
      <c r="Y249" s="2"/>
      <c r="Z249" s="2"/>
    </row>
    <row r="250" spans="1:26" ht="13.8" x14ac:dyDescent="0.3">
      <c r="A250" s="2" t="s">
        <v>332</v>
      </c>
      <c r="B250" s="2" t="s">
        <v>244</v>
      </c>
      <c r="C250" s="10">
        <v>2304025</v>
      </c>
      <c r="D250" s="10" t="s">
        <v>1162</v>
      </c>
      <c r="E250" s="10">
        <v>2420208</v>
      </c>
      <c r="F250" s="10" t="s">
        <v>1170</v>
      </c>
      <c r="G250" s="69">
        <v>1645</v>
      </c>
      <c r="H250" s="69">
        <v>39.24</v>
      </c>
      <c r="I250" s="69">
        <f t="shared" si="66"/>
        <v>27.468</v>
      </c>
      <c r="J250" s="70">
        <v>1</v>
      </c>
      <c r="K250" s="69">
        <f t="shared" si="67"/>
        <v>1421.0680600000001</v>
      </c>
      <c r="L250" s="79" t="s">
        <v>468</v>
      </c>
      <c r="M250" s="61">
        <f t="shared" si="68"/>
        <v>-4.120199999999997</v>
      </c>
      <c r="N250" s="61">
        <f t="shared" si="69"/>
        <v>4.8461400000000001</v>
      </c>
      <c r="O250" s="61"/>
      <c r="P250" s="2"/>
      <c r="Q250" s="2"/>
      <c r="R250" s="32"/>
      <c r="S250" s="32"/>
      <c r="T250" s="32"/>
      <c r="U250" s="32"/>
      <c r="V250" s="2"/>
      <c r="W250" s="2"/>
      <c r="X250" s="2"/>
      <c r="Y250" s="2"/>
      <c r="Z250" s="2"/>
    </row>
    <row r="251" spans="1:26" ht="13.8" x14ac:dyDescent="0.3">
      <c r="A251" s="2" t="s">
        <v>332</v>
      </c>
      <c r="B251" s="2" t="s">
        <v>244</v>
      </c>
      <c r="C251" s="10">
        <v>2304025</v>
      </c>
      <c r="D251" s="10" t="s">
        <v>1162</v>
      </c>
      <c r="E251" s="10">
        <v>2435202</v>
      </c>
      <c r="F251" s="10" t="s">
        <v>1223</v>
      </c>
      <c r="G251" s="69">
        <v>241.28</v>
      </c>
      <c r="H251" s="69">
        <v>45.21</v>
      </c>
      <c r="I251" s="69">
        <f t="shared" si="66"/>
        <v>31.646999999999998</v>
      </c>
      <c r="J251" s="70">
        <v>1</v>
      </c>
      <c r="K251" s="69">
        <f t="shared" si="67"/>
        <v>231.37761500000002</v>
      </c>
      <c r="L251" s="79" t="s">
        <v>468</v>
      </c>
      <c r="M251" s="61">
        <f t="shared" si="68"/>
        <v>-4.7470500000000007</v>
      </c>
      <c r="N251" s="61">
        <f t="shared" si="69"/>
        <v>5.5834349999999997</v>
      </c>
      <c r="O251" s="61"/>
      <c r="P251" s="2"/>
      <c r="Q251" s="2"/>
      <c r="R251" s="32"/>
      <c r="S251" s="32"/>
      <c r="T251" s="32"/>
      <c r="U251" s="32"/>
      <c r="V251" s="2"/>
      <c r="W251" s="2"/>
      <c r="X251" s="2"/>
      <c r="Y251" s="2"/>
      <c r="Z251" s="2"/>
    </row>
    <row r="252" spans="1:26" ht="13.8" x14ac:dyDescent="0.3">
      <c r="A252" s="2" t="s">
        <v>332</v>
      </c>
      <c r="B252" s="2" t="s">
        <v>244</v>
      </c>
      <c r="C252" s="10">
        <v>2304025</v>
      </c>
      <c r="D252" s="10" t="s">
        <v>1162</v>
      </c>
      <c r="E252" s="10">
        <v>2435203</v>
      </c>
      <c r="F252" s="10" t="s">
        <v>1224</v>
      </c>
      <c r="G252" s="69">
        <v>818.16</v>
      </c>
      <c r="H252" s="69">
        <v>95.16</v>
      </c>
      <c r="I252" s="69">
        <f t="shared" si="66"/>
        <v>66.611999999999995</v>
      </c>
      <c r="J252" s="70">
        <v>1</v>
      </c>
      <c r="K252" s="69">
        <f t="shared" si="67"/>
        <v>750.77153999999985</v>
      </c>
      <c r="L252" s="79" t="s">
        <v>468</v>
      </c>
      <c r="M252" s="61">
        <f t="shared" si="68"/>
        <v>-9.9917999999999996</v>
      </c>
      <c r="N252" s="61">
        <f t="shared" si="69"/>
        <v>11.75226</v>
      </c>
      <c r="O252" s="61"/>
      <c r="P252" s="2"/>
      <c r="Q252" s="2"/>
      <c r="R252" s="32"/>
      <c r="S252" s="32"/>
      <c r="T252" s="32"/>
      <c r="U252" s="32"/>
      <c r="V252" s="2"/>
      <c r="W252" s="2"/>
      <c r="X252" s="2"/>
      <c r="Y252" s="2"/>
      <c r="Z252" s="2"/>
    </row>
    <row r="253" spans="1:26" ht="13.8" x14ac:dyDescent="0.3">
      <c r="A253" s="2" t="s">
        <v>332</v>
      </c>
      <c r="B253" s="2" t="s">
        <v>244</v>
      </c>
      <c r="C253" s="10">
        <v>2304025</v>
      </c>
      <c r="D253" s="10" t="s">
        <v>1162</v>
      </c>
      <c r="E253" s="10">
        <v>2435206</v>
      </c>
      <c r="F253" s="10" t="s">
        <v>1225</v>
      </c>
      <c r="G253" s="69">
        <v>598.72</v>
      </c>
      <c r="H253" s="69">
        <v>84.29</v>
      </c>
      <c r="I253" s="69">
        <f t="shared" si="66"/>
        <v>59.003</v>
      </c>
      <c r="J253" s="70">
        <v>1</v>
      </c>
      <c r="K253" s="69">
        <f t="shared" si="67"/>
        <v>557.92663500000003</v>
      </c>
      <c r="L253" s="79" t="s">
        <v>468</v>
      </c>
      <c r="M253" s="61">
        <f t="shared" si="68"/>
        <v>-8.8504499999999915</v>
      </c>
      <c r="N253" s="61">
        <f t="shared" si="69"/>
        <v>10.409815</v>
      </c>
      <c r="O253" s="61"/>
      <c r="P253" s="2"/>
      <c r="Q253" s="2"/>
      <c r="R253" s="32"/>
      <c r="S253" s="32"/>
      <c r="T253" s="32"/>
      <c r="U253" s="32"/>
      <c r="V253" s="2"/>
      <c r="W253" s="2"/>
      <c r="X253" s="2"/>
      <c r="Y253" s="2"/>
      <c r="Z253" s="2"/>
    </row>
    <row r="254" spans="1:26" ht="13.8" x14ac:dyDescent="0.3">
      <c r="A254" s="2" t="s">
        <v>332</v>
      </c>
      <c r="B254" s="2" t="s">
        <v>244</v>
      </c>
      <c r="C254" s="10">
        <v>2304025</v>
      </c>
      <c r="D254" s="10" t="s">
        <v>1162</v>
      </c>
      <c r="E254" s="10">
        <v>2471540</v>
      </c>
      <c r="F254" s="10" t="s">
        <v>1172</v>
      </c>
      <c r="G254" s="69">
        <v>479.75</v>
      </c>
      <c r="H254" s="69">
        <v>99</v>
      </c>
      <c r="I254" s="69">
        <f t="shared" si="66"/>
        <v>69.3</v>
      </c>
      <c r="J254" s="70">
        <v>1</v>
      </c>
      <c r="K254" s="69">
        <f t="shared" si="67"/>
        <v>465.35599999999994</v>
      </c>
      <c r="L254" s="79" t="s">
        <v>468</v>
      </c>
      <c r="M254" s="61">
        <f t="shared" si="68"/>
        <v>-10.395000000000005</v>
      </c>
      <c r="N254" s="61">
        <f t="shared" si="69"/>
        <v>12.2265</v>
      </c>
      <c r="O254" s="61"/>
      <c r="P254" s="2"/>
      <c r="Q254" s="2"/>
      <c r="R254" s="32"/>
      <c r="S254" s="32"/>
      <c r="T254" s="32"/>
      <c r="U254" s="32"/>
      <c r="V254" s="2"/>
      <c r="W254" s="2"/>
      <c r="X254" s="2"/>
      <c r="Y254" s="2"/>
      <c r="Z254" s="2"/>
    </row>
    <row r="255" spans="1:26" ht="13.8" x14ac:dyDescent="0.3">
      <c r="A255" s="2" t="s">
        <v>332</v>
      </c>
      <c r="B255" s="2" t="s">
        <v>244</v>
      </c>
      <c r="C255" s="10">
        <v>2304025</v>
      </c>
      <c r="D255" s="10" t="s">
        <v>1162</v>
      </c>
      <c r="E255" s="10">
        <v>2484990</v>
      </c>
      <c r="F255" s="10" t="s">
        <v>1251</v>
      </c>
      <c r="G255" s="69">
        <v>-1</v>
      </c>
      <c r="H255" s="69">
        <v>0.11</v>
      </c>
      <c r="I255" s="69">
        <f t="shared" si="66"/>
        <v>7.6999999999999999E-2</v>
      </c>
      <c r="J255" s="70">
        <v>1</v>
      </c>
      <c r="K255" s="69">
        <f t="shared" si="67"/>
        <v>-0.78603499999999993</v>
      </c>
      <c r="L255" s="79" t="s">
        <v>468</v>
      </c>
      <c r="M255" s="61">
        <f t="shared" si="68"/>
        <v>-1.1549999999999991E-2</v>
      </c>
      <c r="N255" s="61">
        <f t="shared" si="69"/>
        <v>1.3585E-2</v>
      </c>
      <c r="O255" s="61"/>
      <c r="P255" s="2"/>
      <c r="Q255" s="2"/>
      <c r="R255" s="32"/>
      <c r="S255" s="32"/>
      <c r="T255" s="32"/>
      <c r="U255" s="32"/>
      <c r="V255" s="2"/>
      <c r="W255" s="2"/>
      <c r="X255" s="2"/>
      <c r="Y255" s="2"/>
      <c r="Z255" s="2"/>
    </row>
    <row r="256" spans="1:26" ht="13.8" x14ac:dyDescent="0.3">
      <c r="A256" s="2" t="s">
        <v>332</v>
      </c>
      <c r="B256" s="2" t="s">
        <v>244</v>
      </c>
      <c r="C256" s="10">
        <v>2304025</v>
      </c>
      <c r="D256" s="10" t="s">
        <v>1162</v>
      </c>
      <c r="E256" s="10">
        <v>2493795</v>
      </c>
      <c r="F256" s="10" t="s">
        <v>1174</v>
      </c>
      <c r="G256" s="69">
        <v>121.17</v>
      </c>
      <c r="H256" s="69">
        <v>12.28</v>
      </c>
      <c r="I256" s="69">
        <f t="shared" si="66"/>
        <v>8.5959999999999983</v>
      </c>
      <c r="J256" s="70">
        <v>1</v>
      </c>
      <c r="K256" s="69">
        <f t="shared" si="67"/>
        <v>110.13531999999999</v>
      </c>
      <c r="L256" s="79" t="s">
        <v>468</v>
      </c>
      <c r="M256" s="61">
        <f t="shared" si="68"/>
        <v>-1.289399999999999</v>
      </c>
      <c r="N256" s="61">
        <f t="shared" si="69"/>
        <v>1.5165799999999998</v>
      </c>
      <c r="O256" s="61"/>
      <c r="P256" s="2"/>
      <c r="Q256" s="2"/>
      <c r="R256" s="32"/>
      <c r="S256" s="32"/>
      <c r="T256" s="32"/>
      <c r="U256" s="32"/>
      <c r="V256" s="2"/>
      <c r="W256" s="2"/>
      <c r="X256" s="2"/>
      <c r="Y256" s="2"/>
      <c r="Z256" s="2"/>
    </row>
    <row r="257" spans="1:26" ht="13.8" x14ac:dyDescent="0.3">
      <c r="A257" s="2" t="s">
        <v>332</v>
      </c>
      <c r="B257" s="2" t="s">
        <v>244</v>
      </c>
      <c r="C257" s="10">
        <v>2304025</v>
      </c>
      <c r="D257" s="10" t="s">
        <v>1162</v>
      </c>
      <c r="E257" s="10">
        <v>2523424</v>
      </c>
      <c r="F257" s="10" t="s">
        <v>1177</v>
      </c>
      <c r="G257" s="69">
        <v>-34.950000000000003</v>
      </c>
      <c r="H257" s="69">
        <v>49.98</v>
      </c>
      <c r="I257" s="69">
        <f t="shared" si="66"/>
        <v>34.985999999999997</v>
      </c>
      <c r="J257" s="70">
        <v>1</v>
      </c>
      <c r="K257" s="69">
        <f t="shared" si="67"/>
        <v>-0.64413000000000475</v>
      </c>
      <c r="L257" s="79" t="s">
        <v>468</v>
      </c>
      <c r="M257" s="61">
        <f t="shared" si="68"/>
        <v>-5.2478999999999996</v>
      </c>
      <c r="N257" s="61">
        <f t="shared" si="69"/>
        <v>6.1725300000000001</v>
      </c>
      <c r="O257" s="61"/>
      <c r="P257" s="2"/>
      <c r="Q257" s="2"/>
      <c r="R257" s="32"/>
      <c r="S257" s="32"/>
      <c r="T257" s="32"/>
      <c r="U257" s="32"/>
      <c r="V257" s="2"/>
      <c r="W257" s="2"/>
      <c r="X257" s="2"/>
      <c r="Y257" s="2"/>
      <c r="Z257" s="2"/>
    </row>
    <row r="258" spans="1:26" ht="13.8" x14ac:dyDescent="0.3">
      <c r="A258" s="2" t="s">
        <v>332</v>
      </c>
      <c r="B258" s="2" t="s">
        <v>244</v>
      </c>
      <c r="C258" s="10">
        <v>2304025</v>
      </c>
      <c r="D258" s="10" t="s">
        <v>1162</v>
      </c>
      <c r="E258" s="10">
        <v>2523431</v>
      </c>
      <c r="F258" s="10" t="s">
        <v>1199</v>
      </c>
      <c r="G258" s="69">
        <v>60.24</v>
      </c>
      <c r="H258" s="69">
        <v>14.34</v>
      </c>
      <c r="I258" s="69">
        <f t="shared" si="66"/>
        <v>10.037999999999998</v>
      </c>
      <c r="J258" s="70">
        <v>1</v>
      </c>
      <c r="K258" s="69">
        <f t="shared" si="67"/>
        <v>59.54271</v>
      </c>
      <c r="L258" s="79" t="s">
        <v>468</v>
      </c>
      <c r="M258" s="61">
        <f t="shared" si="68"/>
        <v>-1.5056999999999998</v>
      </c>
      <c r="N258" s="61">
        <f t="shared" si="69"/>
        <v>1.7709899999999998</v>
      </c>
      <c r="O258" s="61"/>
      <c r="P258" s="2"/>
      <c r="Q258" s="2"/>
      <c r="R258" s="32"/>
      <c r="S258" s="32"/>
      <c r="T258" s="32"/>
      <c r="U258" s="32"/>
      <c r="V258" s="2"/>
      <c r="W258" s="2"/>
      <c r="X258" s="2"/>
      <c r="Y258" s="2"/>
      <c r="Z258" s="2"/>
    </row>
    <row r="259" spans="1:26" ht="13.8" x14ac:dyDescent="0.3">
      <c r="A259" s="2" t="s">
        <v>332</v>
      </c>
      <c r="B259" s="2" t="s">
        <v>244</v>
      </c>
      <c r="C259" s="10">
        <v>2304025</v>
      </c>
      <c r="D259" s="10" t="s">
        <v>1162</v>
      </c>
      <c r="E259" s="10">
        <v>2531140</v>
      </c>
      <c r="F259" s="10" t="s">
        <v>1257</v>
      </c>
      <c r="G259" s="69">
        <v>-575.26</v>
      </c>
      <c r="H259" s="69">
        <v>46.5</v>
      </c>
      <c r="I259" s="69">
        <f t="shared" si="66"/>
        <v>32.549999999999997</v>
      </c>
      <c r="J259" s="70">
        <v>1</v>
      </c>
      <c r="K259" s="69">
        <f t="shared" si="67"/>
        <v>-461.93125000000009</v>
      </c>
      <c r="L259" s="79" t="s">
        <v>468</v>
      </c>
      <c r="M259" s="61">
        <f t="shared" si="68"/>
        <v>-4.8825000000000056</v>
      </c>
      <c r="N259" s="61">
        <f t="shared" si="69"/>
        <v>5.7427499999999991</v>
      </c>
      <c r="O259" s="61"/>
      <c r="P259" s="2"/>
      <c r="Q259" s="2"/>
      <c r="R259" s="32"/>
      <c r="S259" s="32"/>
      <c r="T259" s="32"/>
      <c r="U259" s="32"/>
      <c r="V259" s="2"/>
      <c r="W259" s="2"/>
      <c r="X259" s="2"/>
      <c r="Y259" s="2"/>
      <c r="Z259" s="2"/>
    </row>
    <row r="260" spans="1:26" ht="13.8" x14ac:dyDescent="0.3">
      <c r="A260" s="2" t="s">
        <v>332</v>
      </c>
      <c r="B260" s="2" t="s">
        <v>244</v>
      </c>
      <c r="C260" s="10">
        <v>2304025</v>
      </c>
      <c r="D260" s="10" t="s">
        <v>1162</v>
      </c>
      <c r="E260" s="10">
        <v>2531141</v>
      </c>
      <c r="F260" s="10" t="s">
        <v>1258</v>
      </c>
      <c r="G260" s="69">
        <v>-1010.16</v>
      </c>
      <c r="H260" s="69">
        <v>75.64</v>
      </c>
      <c r="I260" s="69">
        <f t="shared" si="66"/>
        <v>52.948</v>
      </c>
      <c r="J260" s="70">
        <v>1</v>
      </c>
      <c r="K260" s="69">
        <f t="shared" si="67"/>
        <v>-814.65134</v>
      </c>
      <c r="L260" s="79" t="s">
        <v>468</v>
      </c>
      <c r="M260" s="61">
        <f t="shared" si="68"/>
        <v>-7.9422000000000024</v>
      </c>
      <c r="N260" s="61">
        <f t="shared" si="69"/>
        <v>9.3415399999999984</v>
      </c>
      <c r="O260" s="61"/>
      <c r="P260" s="2"/>
      <c r="Q260" s="2"/>
      <c r="R260" s="32"/>
      <c r="S260" s="32"/>
      <c r="T260" s="32"/>
      <c r="U260" s="32"/>
      <c r="V260" s="2"/>
      <c r="W260" s="2"/>
      <c r="X260" s="2"/>
      <c r="Y260" s="2"/>
      <c r="Z260" s="2"/>
    </row>
    <row r="261" spans="1:26" ht="13.8" x14ac:dyDescent="0.3">
      <c r="A261" s="2" t="s">
        <v>332</v>
      </c>
      <c r="B261" s="2" t="s">
        <v>244</v>
      </c>
      <c r="C261" s="10">
        <v>2304025</v>
      </c>
      <c r="D261" s="10" t="s">
        <v>1162</v>
      </c>
      <c r="E261" s="10">
        <v>2531146</v>
      </c>
      <c r="F261" s="10" t="s">
        <v>1227</v>
      </c>
      <c r="G261" s="69">
        <v>-102.39</v>
      </c>
      <c r="H261" s="69">
        <v>74.59</v>
      </c>
      <c r="I261" s="69">
        <f t="shared" si="66"/>
        <v>52.213000000000001</v>
      </c>
      <c r="J261" s="70">
        <v>1</v>
      </c>
      <c r="K261" s="69">
        <f t="shared" si="67"/>
        <v>-43.657415</v>
      </c>
      <c r="L261" s="79" t="s">
        <v>468</v>
      </c>
      <c r="M261" s="61">
        <f t="shared" si="68"/>
        <v>-7.83195</v>
      </c>
      <c r="N261" s="61">
        <f t="shared" si="69"/>
        <v>9.2118649999999995</v>
      </c>
      <c r="O261" s="61"/>
      <c r="P261" s="2"/>
      <c r="Q261" s="2"/>
      <c r="R261" s="32"/>
      <c r="S261" s="32"/>
      <c r="T261" s="32"/>
      <c r="U261" s="32"/>
      <c r="V261" s="2"/>
      <c r="W261" s="2"/>
      <c r="X261" s="2"/>
      <c r="Y261" s="2"/>
      <c r="Z261" s="2"/>
    </row>
    <row r="262" spans="1:26" ht="13.8" x14ac:dyDescent="0.3">
      <c r="A262" s="2" t="s">
        <v>332</v>
      </c>
      <c r="B262" s="2" t="s">
        <v>244</v>
      </c>
      <c r="C262" s="10">
        <v>2304025</v>
      </c>
      <c r="D262" s="10" t="s">
        <v>1162</v>
      </c>
      <c r="E262" s="10">
        <v>2531191</v>
      </c>
      <c r="F262" s="10" t="s">
        <v>1259</v>
      </c>
      <c r="G262" s="69">
        <v>14.52</v>
      </c>
      <c r="H262" s="69">
        <v>2.06</v>
      </c>
      <c r="I262" s="69">
        <f t="shared" si="66"/>
        <v>1.4419999999999999</v>
      </c>
      <c r="J262" s="70">
        <v>1</v>
      </c>
      <c r="K262" s="69">
        <f t="shared" si="67"/>
        <v>13.53989</v>
      </c>
      <c r="L262" s="79" t="s">
        <v>468</v>
      </c>
      <c r="M262" s="61">
        <f t="shared" si="68"/>
        <v>-0.2162999999999998</v>
      </c>
      <c r="N262" s="61">
        <f t="shared" si="69"/>
        <v>0.25441000000000003</v>
      </c>
      <c r="O262" s="61"/>
      <c r="P262" s="2"/>
      <c r="Q262" s="2"/>
      <c r="R262" s="32"/>
      <c r="S262" s="32"/>
      <c r="T262" s="32"/>
      <c r="U262" s="32"/>
      <c r="V262" s="2"/>
      <c r="W262" s="2"/>
      <c r="X262" s="2"/>
      <c r="Y262" s="2"/>
      <c r="Z262" s="2"/>
    </row>
    <row r="263" spans="1:26" ht="13.8" x14ac:dyDescent="0.3">
      <c r="A263" s="2" t="s">
        <v>332</v>
      </c>
      <c r="B263" s="2" t="s">
        <v>244</v>
      </c>
      <c r="C263" s="10">
        <v>2304025</v>
      </c>
      <c r="D263" s="10" t="s">
        <v>1162</v>
      </c>
      <c r="E263" s="10">
        <v>2531390</v>
      </c>
      <c r="F263" s="10" t="s">
        <v>1229</v>
      </c>
      <c r="G263" s="69">
        <v>10.86</v>
      </c>
      <c r="H263" s="69">
        <v>11.47</v>
      </c>
      <c r="I263" s="69">
        <f t="shared" si="66"/>
        <v>8.0289999999999999</v>
      </c>
      <c r="J263" s="70">
        <v>1</v>
      </c>
      <c r="K263" s="69">
        <f t="shared" si="67"/>
        <v>15.900805</v>
      </c>
      <c r="L263" s="79" t="s">
        <v>468</v>
      </c>
      <c r="M263" s="61">
        <f t="shared" si="68"/>
        <v>-1.2043499999999998</v>
      </c>
      <c r="N263" s="61">
        <f t="shared" si="69"/>
        <v>1.4165449999999999</v>
      </c>
      <c r="O263" s="61"/>
      <c r="P263" s="2"/>
      <c r="Q263" s="2"/>
      <c r="R263" s="32"/>
      <c r="S263" s="32"/>
      <c r="T263" s="32"/>
      <c r="U263" s="32"/>
      <c r="V263" s="2"/>
      <c r="W263" s="2"/>
      <c r="X263" s="2"/>
      <c r="Y263" s="2"/>
      <c r="Z263" s="2"/>
    </row>
    <row r="264" spans="1:26" ht="13.8" x14ac:dyDescent="0.3">
      <c r="A264" s="2" t="s">
        <v>332</v>
      </c>
      <c r="B264" s="2" t="s">
        <v>244</v>
      </c>
      <c r="C264" s="10">
        <v>2304025</v>
      </c>
      <c r="D264" s="10" t="s">
        <v>1162</v>
      </c>
      <c r="E264" s="10">
        <v>2538386</v>
      </c>
      <c r="F264" s="10" t="s">
        <v>1260</v>
      </c>
      <c r="G264" s="69">
        <v>-279.85000000000002</v>
      </c>
      <c r="H264" s="69">
        <v>10.23</v>
      </c>
      <c r="I264" s="69">
        <f t="shared" si="66"/>
        <v>7.1609999999999996</v>
      </c>
      <c r="J264" s="70">
        <v>1</v>
      </c>
      <c r="K264" s="69">
        <f t="shared" si="67"/>
        <v>-231.923755</v>
      </c>
      <c r="L264" s="79" t="s">
        <v>468</v>
      </c>
      <c r="M264" s="61">
        <f t="shared" si="68"/>
        <v>-1.0741500000000008</v>
      </c>
      <c r="N264" s="61">
        <f t="shared" si="69"/>
        <v>1.2634050000000001</v>
      </c>
      <c r="O264" s="61"/>
      <c r="P264" s="2"/>
      <c r="Q264" s="2"/>
      <c r="R264" s="32"/>
      <c r="S264" s="32"/>
      <c r="T264" s="32"/>
      <c r="U264" s="32"/>
      <c r="V264" s="2"/>
      <c r="W264" s="2"/>
      <c r="X264" s="2"/>
      <c r="Y264" s="2"/>
      <c r="Z264" s="2"/>
    </row>
    <row r="265" spans="1:26" ht="13.8" x14ac:dyDescent="0.3">
      <c r="A265" s="2" t="s">
        <v>332</v>
      </c>
      <c r="B265" s="2" t="s">
        <v>244</v>
      </c>
      <c r="C265" s="10">
        <v>2304025</v>
      </c>
      <c r="D265" s="10" t="s">
        <v>1162</v>
      </c>
      <c r="E265" s="10">
        <v>2540293</v>
      </c>
      <c r="F265" s="10" t="s">
        <v>1261</v>
      </c>
      <c r="G265" s="69">
        <v>120.47</v>
      </c>
      <c r="H265" s="69">
        <v>15.15</v>
      </c>
      <c r="I265" s="69">
        <f t="shared" si="66"/>
        <v>10.605</v>
      </c>
      <c r="J265" s="70">
        <v>1</v>
      </c>
      <c r="K265" s="69">
        <f t="shared" si="67"/>
        <v>111.209225</v>
      </c>
      <c r="L265" s="79" t="s">
        <v>468</v>
      </c>
      <c r="M265" s="61">
        <f t="shared" si="68"/>
        <v>-1.5907500000000006</v>
      </c>
      <c r="N265" s="61">
        <f t="shared" si="69"/>
        <v>1.8710250000000002</v>
      </c>
      <c r="O265" s="61"/>
      <c r="P265" s="2"/>
      <c r="Q265" s="2"/>
      <c r="R265" s="32"/>
      <c r="S265" s="32"/>
      <c r="T265" s="32"/>
      <c r="U265" s="32"/>
      <c r="V265" s="2"/>
      <c r="W265" s="2"/>
      <c r="X265" s="2"/>
      <c r="Y265" s="2"/>
      <c r="Z265" s="2"/>
    </row>
    <row r="266" spans="1:26" ht="13.8" x14ac:dyDescent="0.3">
      <c r="A266" s="2" t="s">
        <v>332</v>
      </c>
      <c r="B266" s="2" t="s">
        <v>244</v>
      </c>
      <c r="C266" s="10">
        <v>2304025</v>
      </c>
      <c r="D266" s="10" t="s">
        <v>1162</v>
      </c>
      <c r="E266" s="10">
        <v>2541423</v>
      </c>
      <c r="F266" s="10" t="s">
        <v>1263</v>
      </c>
      <c r="G266" s="69">
        <v>-9</v>
      </c>
      <c r="H266" s="69">
        <v>0</v>
      </c>
      <c r="I266" s="69">
        <f t="shared" si="66"/>
        <v>0</v>
      </c>
      <c r="J266" s="70">
        <v>1</v>
      </c>
      <c r="K266" s="69">
        <f t="shared" si="67"/>
        <v>-7.6499999999999995</v>
      </c>
      <c r="L266" s="79" t="s">
        <v>468</v>
      </c>
      <c r="M266" s="61">
        <f t="shared" si="68"/>
        <v>0</v>
      </c>
      <c r="N266" s="61">
        <f t="shared" si="69"/>
        <v>0</v>
      </c>
      <c r="O266" s="61"/>
      <c r="P266" s="2"/>
      <c r="Q266" s="2"/>
      <c r="R266" s="32"/>
      <c r="S266" s="32"/>
      <c r="T266" s="32"/>
      <c r="U266" s="32"/>
      <c r="V266" s="2"/>
      <c r="W266" s="2"/>
      <c r="X266" s="2"/>
      <c r="Y266" s="2"/>
      <c r="Z266" s="2"/>
    </row>
    <row r="267" spans="1:26" ht="13.8" x14ac:dyDescent="0.3">
      <c r="A267" s="2" t="s">
        <v>332</v>
      </c>
      <c r="B267" s="2" t="s">
        <v>244</v>
      </c>
      <c r="C267" s="10">
        <v>2304025</v>
      </c>
      <c r="D267" s="10" t="s">
        <v>1162</v>
      </c>
      <c r="E267" s="10">
        <v>2554720</v>
      </c>
      <c r="F267" s="10" t="s">
        <v>1270</v>
      </c>
      <c r="G267" s="69">
        <v>289.74</v>
      </c>
      <c r="H267" s="69">
        <v>28.22</v>
      </c>
      <c r="I267" s="69">
        <f t="shared" si="66"/>
        <v>19.753999999999998</v>
      </c>
      <c r="J267" s="70">
        <v>1</v>
      </c>
      <c r="K267" s="69">
        <f t="shared" si="67"/>
        <v>262.68893000000003</v>
      </c>
      <c r="L267" s="79" t="s">
        <v>468</v>
      </c>
      <c r="M267" s="61">
        <f t="shared" si="68"/>
        <v>-2.9631000000000025</v>
      </c>
      <c r="N267" s="61">
        <f t="shared" si="69"/>
        <v>3.4851699999999997</v>
      </c>
      <c r="O267" s="61"/>
      <c r="P267" s="2"/>
      <c r="Q267" s="2"/>
      <c r="R267" s="32"/>
      <c r="S267" s="32"/>
      <c r="T267" s="32"/>
      <c r="U267" s="32"/>
      <c r="V267" s="2"/>
      <c r="W267" s="2"/>
      <c r="X267" s="2"/>
      <c r="Y267" s="2"/>
      <c r="Z267" s="2"/>
    </row>
    <row r="268" spans="1:26" ht="13.8" x14ac:dyDescent="0.3">
      <c r="A268" s="2" t="s">
        <v>332</v>
      </c>
      <c r="B268" s="2" t="s">
        <v>244</v>
      </c>
      <c r="C268" s="10">
        <v>2523689</v>
      </c>
      <c r="D268" s="10" t="s">
        <v>1179</v>
      </c>
      <c r="E268" s="10">
        <v>2525136</v>
      </c>
      <c r="F268" s="10" t="s">
        <v>1205</v>
      </c>
      <c r="G268" s="69">
        <v>12.24</v>
      </c>
      <c r="H268" s="69">
        <v>2.61</v>
      </c>
      <c r="I268" s="69">
        <f t="shared" si="66"/>
        <v>1.8269999999999997</v>
      </c>
      <c r="J268" s="70">
        <v>1</v>
      </c>
      <c r="K268" s="69">
        <f t="shared" si="67"/>
        <v>11.921714999999999</v>
      </c>
      <c r="L268" s="79" t="s">
        <v>468</v>
      </c>
      <c r="M268" s="61">
        <f t="shared" si="68"/>
        <v>-0.27405000000000013</v>
      </c>
      <c r="N268" s="61">
        <f t="shared" si="69"/>
        <v>0.32233499999999993</v>
      </c>
      <c r="O268" s="61"/>
      <c r="P268" s="2"/>
      <c r="Q268" s="2"/>
      <c r="R268" s="32"/>
      <c r="S268" s="32"/>
      <c r="T268" s="32"/>
      <c r="U268" s="32"/>
      <c r="V268" s="2"/>
      <c r="W268" s="2"/>
      <c r="X268" s="2"/>
      <c r="Y268" s="2"/>
      <c r="Z268" s="2"/>
    </row>
    <row r="269" spans="1:26" ht="13.8" x14ac:dyDescent="0.3">
      <c r="A269" s="2" t="s">
        <v>332</v>
      </c>
      <c r="B269" s="2" t="s">
        <v>244</v>
      </c>
      <c r="C269" s="10">
        <v>2550550</v>
      </c>
      <c r="D269" s="10" t="s">
        <v>1272</v>
      </c>
      <c r="E269" s="10">
        <v>2550550</v>
      </c>
      <c r="F269" s="10" t="s">
        <v>1272</v>
      </c>
      <c r="G269" s="69">
        <v>-415</v>
      </c>
      <c r="H269" s="69">
        <v>41.5</v>
      </c>
      <c r="I269" s="69">
        <f t="shared" si="66"/>
        <v>29.049999999999997</v>
      </c>
      <c r="J269" s="70">
        <v>1</v>
      </c>
      <c r="K269" s="69">
        <f>(G269+I269)*J269*0.96+(G269*0.04-(G269+H269)*0.04)*J269*0.3+I269*0.04*J269*0.3</f>
        <v>-370.66140000000001</v>
      </c>
      <c r="L269" s="79" t="s">
        <v>468</v>
      </c>
      <c r="M269" s="61">
        <f>(G269*0.04-(G269+H269)*0.04)*J269*0.7</f>
        <v>-1.1620000000000013</v>
      </c>
      <c r="N269" s="61">
        <f>I269*0.04*J269*0.7+H269*0.05*J269</f>
        <v>2.8883999999999999</v>
      </c>
      <c r="O269" s="61"/>
      <c r="P269" s="2"/>
      <c r="Q269" s="2"/>
      <c r="R269" s="32"/>
      <c r="S269" s="32"/>
      <c r="T269" s="32"/>
      <c r="U269" s="32"/>
      <c r="V269" s="2"/>
      <c r="W269" s="2"/>
      <c r="X269" s="2"/>
      <c r="Y269" s="2"/>
      <c r="Z269" s="2"/>
    </row>
    <row r="270" spans="1:26" ht="13.8" x14ac:dyDescent="0.3">
      <c r="A270" s="32" t="s">
        <v>332</v>
      </c>
      <c r="B270" s="32" t="s">
        <v>61</v>
      </c>
      <c r="C270" s="10" t="s">
        <v>1230</v>
      </c>
      <c r="D270" s="10" t="s">
        <v>1231</v>
      </c>
      <c r="E270" s="2" t="s">
        <v>1230</v>
      </c>
      <c r="F270" s="2" t="s">
        <v>1231</v>
      </c>
      <c r="G270" s="69">
        <v>-362.98</v>
      </c>
      <c r="H270" s="69">
        <v>516.75</v>
      </c>
      <c r="I270" s="69">
        <f>H270*0.57</f>
        <v>294.54749999999996</v>
      </c>
      <c r="J270" s="70">
        <v>1.15785</v>
      </c>
      <c r="K270" s="69">
        <f t="shared" ref="K270:K274" si="70">(G270+I270)*J270</f>
        <v>-79.234570125000076</v>
      </c>
      <c r="L270" s="78" t="s">
        <v>468</v>
      </c>
      <c r="M270" s="61">
        <v>0</v>
      </c>
      <c r="N270" s="61">
        <f>H270*0.08*J270</f>
        <v>47.865519000000006</v>
      </c>
      <c r="O270" s="58"/>
      <c r="P270" s="2"/>
      <c r="Q270" s="2"/>
      <c r="R270" s="32"/>
      <c r="S270" s="32"/>
      <c r="T270" s="32"/>
      <c r="U270" s="32"/>
      <c r="V270" s="2"/>
      <c r="W270" s="2"/>
      <c r="X270" s="2"/>
      <c r="Y270" s="2"/>
      <c r="Z270" s="2"/>
    </row>
    <row r="271" spans="1:26" ht="13.8" x14ac:dyDescent="0.3">
      <c r="A271" s="2" t="s">
        <v>340</v>
      </c>
      <c r="B271" s="29" t="s">
        <v>35</v>
      </c>
      <c r="C271" s="10" t="s">
        <v>1114</v>
      </c>
      <c r="D271" s="10" t="s">
        <v>1115</v>
      </c>
      <c r="E271" s="10" t="s">
        <v>1116</v>
      </c>
      <c r="F271" s="10" t="s">
        <v>1117</v>
      </c>
      <c r="G271" s="69">
        <v>-762.02</v>
      </c>
      <c r="H271" s="69">
        <v>275.27999999999997</v>
      </c>
      <c r="I271" s="69">
        <f t="shared" ref="I271:I274" si="71">H271*0.79</f>
        <v>217.47119999999998</v>
      </c>
      <c r="J271" s="75">
        <v>0.27211000000000002</v>
      </c>
      <c r="K271" s="69">
        <f t="shared" si="70"/>
        <v>-148.17717396800001</v>
      </c>
      <c r="L271" s="78">
        <f t="shared" ref="L271:L274" si="72">H271*0.05*J271</f>
        <v>3.74532204</v>
      </c>
      <c r="M271" s="61">
        <v>0</v>
      </c>
      <c r="N271" s="61">
        <f t="shared" ref="N271:N274" si="73">H271*0.04*J271</f>
        <v>2.9962576319999998</v>
      </c>
      <c r="O271" s="61"/>
      <c r="P271" s="2"/>
      <c r="Q271" s="2"/>
      <c r="R271" s="32"/>
      <c r="S271" s="32"/>
      <c r="T271" s="32"/>
      <c r="U271" s="32"/>
      <c r="V271" s="2"/>
      <c r="W271" s="2"/>
      <c r="X271" s="2"/>
      <c r="Y271" s="2"/>
      <c r="Z271" s="2"/>
    </row>
    <row r="272" spans="1:26" ht="13.8" x14ac:dyDescent="0.3">
      <c r="A272" s="2" t="s">
        <v>340</v>
      </c>
      <c r="B272" s="29" t="s">
        <v>35</v>
      </c>
      <c r="C272" s="10" t="s">
        <v>1234</v>
      </c>
      <c r="D272" s="10" t="s">
        <v>1235</v>
      </c>
      <c r="E272" s="10" t="s">
        <v>1132</v>
      </c>
      <c r="F272" s="10" t="s">
        <v>1133</v>
      </c>
      <c r="G272" s="69">
        <v>-10150</v>
      </c>
      <c r="H272" s="69">
        <v>125</v>
      </c>
      <c r="I272" s="69">
        <f t="shared" si="71"/>
        <v>98.75</v>
      </c>
      <c r="J272" s="75">
        <v>0.27211000000000002</v>
      </c>
      <c r="K272" s="69">
        <f t="shared" si="70"/>
        <v>-2735.0456375000003</v>
      </c>
      <c r="L272" s="78">
        <f t="shared" si="72"/>
        <v>1.7006875000000001</v>
      </c>
      <c r="M272" s="61">
        <v>0</v>
      </c>
      <c r="N272" s="61">
        <f t="shared" si="73"/>
        <v>1.3605500000000001</v>
      </c>
      <c r="O272" s="61"/>
      <c r="P272" s="2"/>
      <c r="Q272" s="2"/>
      <c r="R272" s="32"/>
      <c r="S272" s="32"/>
      <c r="T272" s="32"/>
      <c r="U272" s="32"/>
      <c r="V272" s="2"/>
      <c r="W272" s="2"/>
      <c r="X272" s="2"/>
      <c r="Y272" s="2"/>
      <c r="Z272" s="2"/>
    </row>
    <row r="273" spans="1:26" ht="13.8" x14ac:dyDescent="0.3">
      <c r="A273" s="2" t="s">
        <v>340</v>
      </c>
      <c r="B273" s="29" t="s">
        <v>35</v>
      </c>
      <c r="C273" s="10" t="s">
        <v>1138</v>
      </c>
      <c r="D273" s="10" t="s">
        <v>1139</v>
      </c>
      <c r="E273" s="10" t="s">
        <v>1240</v>
      </c>
      <c r="F273" s="10" t="s">
        <v>1241</v>
      </c>
      <c r="G273" s="69">
        <v>-12.8</v>
      </c>
      <c r="H273" s="69">
        <v>2.62</v>
      </c>
      <c r="I273" s="69">
        <f t="shared" si="71"/>
        <v>2.0698000000000003</v>
      </c>
      <c r="J273" s="75">
        <v>0.27211000000000002</v>
      </c>
      <c r="K273" s="69">
        <f t="shared" si="70"/>
        <v>-2.9197947220000002</v>
      </c>
      <c r="L273" s="78">
        <f t="shared" si="72"/>
        <v>3.5646410000000003E-2</v>
      </c>
      <c r="M273" s="61">
        <v>0</v>
      </c>
      <c r="N273" s="61">
        <f t="shared" si="73"/>
        <v>2.8517128000000003E-2</v>
      </c>
      <c r="O273" s="61"/>
      <c r="P273" s="2"/>
      <c r="Q273" s="2"/>
      <c r="R273" s="32"/>
      <c r="S273" s="32"/>
      <c r="T273" s="32"/>
      <c r="U273" s="32"/>
      <c r="V273" s="2"/>
      <c r="W273" s="2"/>
      <c r="X273" s="2"/>
      <c r="Y273" s="2"/>
      <c r="Z273" s="2"/>
    </row>
    <row r="274" spans="1:26" ht="13.8" x14ac:dyDescent="0.3">
      <c r="A274" s="2" t="s">
        <v>340</v>
      </c>
      <c r="B274" s="29" t="s">
        <v>35</v>
      </c>
      <c r="C274" s="10" t="s">
        <v>1138</v>
      </c>
      <c r="D274" s="10" t="s">
        <v>1139</v>
      </c>
      <c r="E274" s="10" t="s">
        <v>1268</v>
      </c>
      <c r="F274" s="10" t="s">
        <v>1269</v>
      </c>
      <c r="G274" s="69">
        <v>-286.35000000000002</v>
      </c>
      <c r="H274" s="69">
        <v>7.43</v>
      </c>
      <c r="I274" s="69">
        <f t="shared" si="71"/>
        <v>5.8696999999999999</v>
      </c>
      <c r="J274" s="75">
        <v>0.27211000000000002</v>
      </c>
      <c r="K274" s="69">
        <f t="shared" si="70"/>
        <v>-76.321494432999998</v>
      </c>
      <c r="L274" s="78">
        <f t="shared" si="72"/>
        <v>0.101088865</v>
      </c>
      <c r="M274" s="61">
        <v>0</v>
      </c>
      <c r="N274" s="61">
        <f t="shared" si="73"/>
        <v>8.0871092000000006E-2</v>
      </c>
      <c r="O274" s="61"/>
      <c r="P274" s="2"/>
      <c r="Q274" s="2"/>
      <c r="R274" s="32"/>
      <c r="S274" s="32"/>
      <c r="T274" s="32"/>
      <c r="U274" s="32"/>
      <c r="V274" s="2"/>
      <c r="W274" s="2"/>
      <c r="X274" s="2"/>
      <c r="Y274" s="2"/>
      <c r="Z274" s="2"/>
    </row>
    <row r="275" spans="1:26" ht="13.8" x14ac:dyDescent="0.3">
      <c r="A275" s="2" t="s">
        <v>340</v>
      </c>
      <c r="B275" s="2" t="s">
        <v>186</v>
      </c>
      <c r="C275" s="10" t="s">
        <v>15</v>
      </c>
      <c r="D275" s="10" t="s">
        <v>15</v>
      </c>
      <c r="E275" s="10">
        <v>1714680</v>
      </c>
      <c r="F275" s="76" t="s">
        <v>535</v>
      </c>
      <c r="G275" s="69">
        <v>-1596.34</v>
      </c>
      <c r="H275" s="69">
        <v>301.12</v>
      </c>
      <c r="I275" s="69">
        <v>0</v>
      </c>
      <c r="J275" s="70">
        <v>1</v>
      </c>
      <c r="K275" s="69">
        <f>(-H275*0.4*0.15+G275*0.25)*J275*0.3+(H275*0.1*0.85+H275*0.5*0.25)*J275*0.3</f>
        <v>-106.17509999999999</v>
      </c>
      <c r="L275" s="79" t="s">
        <v>468</v>
      </c>
      <c r="M275" s="61">
        <v>0</v>
      </c>
      <c r="N275" s="61">
        <v>0</v>
      </c>
      <c r="O275" s="61"/>
      <c r="P275" s="2"/>
      <c r="Q275" s="2"/>
      <c r="R275" s="32"/>
      <c r="S275" s="32"/>
      <c r="T275" s="32"/>
      <c r="U275" s="32"/>
      <c r="V275" s="2"/>
      <c r="W275" s="2"/>
      <c r="X275" s="2"/>
      <c r="Y275" s="2"/>
      <c r="Z275" s="2"/>
    </row>
    <row r="276" spans="1:26" ht="13.8" x14ac:dyDescent="0.3">
      <c r="A276" s="2" t="s">
        <v>340</v>
      </c>
      <c r="B276" s="2" t="s">
        <v>186</v>
      </c>
      <c r="C276" s="10">
        <v>2304025</v>
      </c>
      <c r="D276" s="10" t="s">
        <v>1162</v>
      </c>
      <c r="E276" s="10">
        <v>2319819</v>
      </c>
      <c r="F276" s="10" t="s">
        <v>1165</v>
      </c>
      <c r="G276" s="69">
        <v>-56</v>
      </c>
      <c r="H276" s="69">
        <v>7.2</v>
      </c>
      <c r="I276" s="69">
        <f t="shared" ref="I276:I286" si="74">H276*0.5</f>
        <v>3.6</v>
      </c>
      <c r="J276" s="70">
        <v>1</v>
      </c>
      <c r="K276" s="69">
        <f t="shared" ref="K276:K286" si="75">(G276+I276)*J276*0.85+(-H276*0.4*0.15)*J276*0.3+H276*0.1*0.85*J276*0.3</f>
        <v>-44.486000000000004</v>
      </c>
      <c r="L276" s="79" t="s">
        <v>468</v>
      </c>
      <c r="M276" s="61">
        <f t="shared" ref="M276:M286" si="76">(-H276*0.4*0.15)*J276*0.7-(-H276*0.05*0.15)*J276</f>
        <v>-0.24840000000000001</v>
      </c>
      <c r="N276" s="61">
        <f t="shared" ref="N276:N286" si="77">H276*0.1*0.85*J276*0.7+H276*0.05*0.85*J276</f>
        <v>0.73440000000000016</v>
      </c>
      <c r="O276" s="61"/>
      <c r="P276" s="2"/>
      <c r="Q276" s="2"/>
      <c r="R276" s="32"/>
      <c r="S276" s="32"/>
      <c r="T276" s="32"/>
      <c r="U276" s="32"/>
      <c r="V276" s="2"/>
      <c r="W276" s="2"/>
      <c r="X276" s="2"/>
      <c r="Y276" s="2"/>
      <c r="Z276" s="2"/>
    </row>
    <row r="277" spans="1:26" ht="13.8" x14ac:dyDescent="0.3">
      <c r="A277" s="2" t="s">
        <v>340</v>
      </c>
      <c r="B277" s="2" t="s">
        <v>186</v>
      </c>
      <c r="C277" s="10">
        <v>2304025</v>
      </c>
      <c r="D277" s="10" t="s">
        <v>1162</v>
      </c>
      <c r="E277" s="10">
        <v>2380008</v>
      </c>
      <c r="F277" s="10" t="s">
        <v>1192</v>
      </c>
      <c r="G277" s="69">
        <v>113.28</v>
      </c>
      <c r="H277" s="69">
        <v>46.92</v>
      </c>
      <c r="I277" s="69">
        <f t="shared" si="74"/>
        <v>23.46</v>
      </c>
      <c r="J277" s="70">
        <v>1</v>
      </c>
      <c r="K277" s="69">
        <f t="shared" si="75"/>
        <v>116.5809</v>
      </c>
      <c r="L277" s="79" t="s">
        <v>468</v>
      </c>
      <c r="M277" s="61">
        <f t="shared" si="76"/>
        <v>-1.6187399999999998</v>
      </c>
      <c r="N277" s="61">
        <f t="shared" si="77"/>
        <v>4.7858400000000003</v>
      </c>
      <c r="O277" s="61"/>
      <c r="P277" s="2"/>
      <c r="Q277" s="2"/>
      <c r="R277" s="32"/>
      <c r="S277" s="32"/>
      <c r="T277" s="32"/>
      <c r="U277" s="32"/>
      <c r="V277" s="2"/>
      <c r="W277" s="2"/>
      <c r="X277" s="2"/>
      <c r="Y277" s="2"/>
      <c r="Z277" s="2"/>
    </row>
    <row r="278" spans="1:26" ht="13.8" x14ac:dyDescent="0.3">
      <c r="A278" s="2" t="s">
        <v>340</v>
      </c>
      <c r="B278" s="2" t="s">
        <v>186</v>
      </c>
      <c r="C278" s="10">
        <v>2304025</v>
      </c>
      <c r="D278" s="10" t="s">
        <v>1162</v>
      </c>
      <c r="E278" s="10">
        <v>2381522</v>
      </c>
      <c r="F278" s="10" t="s">
        <v>1166</v>
      </c>
      <c r="G278" s="69">
        <v>396.18</v>
      </c>
      <c r="H278" s="69">
        <v>28.42</v>
      </c>
      <c r="I278" s="69">
        <f t="shared" si="74"/>
        <v>14.21</v>
      </c>
      <c r="J278" s="70">
        <v>1</v>
      </c>
      <c r="K278" s="69">
        <f t="shared" si="75"/>
        <v>349.04465000000005</v>
      </c>
      <c r="L278" s="79" t="s">
        <v>468</v>
      </c>
      <c r="M278" s="61">
        <f t="shared" si="76"/>
        <v>-0.98048999999999997</v>
      </c>
      <c r="N278" s="61">
        <f t="shared" si="77"/>
        <v>2.8988399999999999</v>
      </c>
      <c r="O278" s="61"/>
      <c r="P278" s="2"/>
      <c r="Q278" s="2"/>
      <c r="R278" s="32"/>
      <c r="S278" s="32"/>
      <c r="T278" s="32"/>
      <c r="U278" s="32"/>
      <c r="V278" s="2"/>
      <c r="W278" s="2"/>
      <c r="X278" s="2"/>
      <c r="Y278" s="2"/>
      <c r="Z278" s="2"/>
    </row>
    <row r="279" spans="1:26" ht="13.8" x14ac:dyDescent="0.3">
      <c r="A279" s="2" t="s">
        <v>340</v>
      </c>
      <c r="B279" s="2" t="s">
        <v>186</v>
      </c>
      <c r="C279" s="10">
        <v>2304025</v>
      </c>
      <c r="D279" s="10" t="s">
        <v>1162</v>
      </c>
      <c r="E279" s="10">
        <v>2391366</v>
      </c>
      <c r="F279" s="10" t="s">
        <v>1168</v>
      </c>
      <c r="G279" s="69">
        <v>336.9</v>
      </c>
      <c r="H279" s="69">
        <v>19.39</v>
      </c>
      <c r="I279" s="69">
        <f t="shared" si="74"/>
        <v>9.6950000000000003</v>
      </c>
      <c r="J279" s="70">
        <v>1</v>
      </c>
      <c r="K279" s="69">
        <f t="shared" si="75"/>
        <v>294.75117499999993</v>
      </c>
      <c r="L279" s="79" t="s">
        <v>468</v>
      </c>
      <c r="M279" s="61">
        <f t="shared" si="76"/>
        <v>-0.66895499999999997</v>
      </c>
      <c r="N279" s="61">
        <f t="shared" si="77"/>
        <v>1.9777800000000001</v>
      </c>
      <c r="O279" s="61"/>
      <c r="P279" s="2"/>
      <c r="Q279" s="2"/>
      <c r="R279" s="32"/>
      <c r="S279" s="32"/>
      <c r="T279" s="32"/>
      <c r="U279" s="32"/>
      <c r="V279" s="2"/>
      <c r="W279" s="2"/>
      <c r="X279" s="2"/>
      <c r="Y279" s="2"/>
      <c r="Z279" s="2"/>
    </row>
    <row r="280" spans="1:26" ht="13.8" x14ac:dyDescent="0.3">
      <c r="A280" s="2" t="s">
        <v>340</v>
      </c>
      <c r="B280" s="2" t="s">
        <v>186</v>
      </c>
      <c r="C280" s="10">
        <v>2304025</v>
      </c>
      <c r="D280" s="10" t="s">
        <v>1162</v>
      </c>
      <c r="E280" s="10">
        <v>2420208</v>
      </c>
      <c r="F280" s="10" t="s">
        <v>1170</v>
      </c>
      <c r="G280" s="69">
        <v>804.81</v>
      </c>
      <c r="H280" s="69">
        <v>84.7</v>
      </c>
      <c r="I280" s="69">
        <f t="shared" si="74"/>
        <v>42.35</v>
      </c>
      <c r="J280" s="70">
        <v>1</v>
      </c>
      <c r="K280" s="69">
        <f t="shared" si="75"/>
        <v>720.72124999999994</v>
      </c>
      <c r="L280" s="79" t="s">
        <v>468</v>
      </c>
      <c r="M280" s="61">
        <f t="shared" si="76"/>
        <v>-2.9221499999999994</v>
      </c>
      <c r="N280" s="61">
        <f t="shared" si="77"/>
        <v>8.6394000000000002</v>
      </c>
      <c r="O280" s="61"/>
      <c r="P280" s="2"/>
      <c r="Q280" s="2"/>
      <c r="R280" s="32"/>
      <c r="S280" s="32"/>
      <c r="T280" s="32"/>
      <c r="U280" s="32"/>
      <c r="V280" s="2"/>
      <c r="W280" s="2"/>
      <c r="X280" s="2"/>
      <c r="Y280" s="2"/>
      <c r="Z280" s="2"/>
    </row>
    <row r="281" spans="1:26" ht="13.8" x14ac:dyDescent="0.3">
      <c r="A281" s="2" t="s">
        <v>340</v>
      </c>
      <c r="B281" s="2" t="s">
        <v>186</v>
      </c>
      <c r="C281" s="10">
        <v>2304025</v>
      </c>
      <c r="D281" s="10" t="s">
        <v>1162</v>
      </c>
      <c r="E281" s="10">
        <v>2471540</v>
      </c>
      <c r="F281" s="10" t="s">
        <v>1172</v>
      </c>
      <c r="G281" s="69">
        <v>517.72</v>
      </c>
      <c r="H281" s="69">
        <v>48.31</v>
      </c>
      <c r="I281" s="69">
        <f t="shared" si="74"/>
        <v>24.155000000000001</v>
      </c>
      <c r="J281" s="70">
        <v>1</v>
      </c>
      <c r="K281" s="69">
        <f t="shared" si="75"/>
        <v>460.956075</v>
      </c>
      <c r="L281" s="79" t="s">
        <v>468</v>
      </c>
      <c r="M281" s="61">
        <f t="shared" si="76"/>
        <v>-1.666695</v>
      </c>
      <c r="N281" s="61">
        <f t="shared" si="77"/>
        <v>4.9276199999999992</v>
      </c>
      <c r="O281" s="61"/>
      <c r="P281" s="2"/>
      <c r="Q281" s="2"/>
      <c r="R281" s="32"/>
      <c r="S281" s="32"/>
      <c r="T281" s="32"/>
      <c r="U281" s="32"/>
      <c r="V281" s="2"/>
      <c r="W281" s="2"/>
      <c r="X281" s="2"/>
      <c r="Y281" s="2"/>
      <c r="Z281" s="2"/>
    </row>
    <row r="282" spans="1:26" ht="13.8" x14ac:dyDescent="0.3">
      <c r="A282" s="2" t="s">
        <v>340</v>
      </c>
      <c r="B282" s="2" t="s">
        <v>186</v>
      </c>
      <c r="C282" s="10">
        <v>2304025</v>
      </c>
      <c r="D282" s="10" t="s">
        <v>1162</v>
      </c>
      <c r="E282" s="10">
        <v>2531140</v>
      </c>
      <c r="F282" s="10" t="s">
        <v>1257</v>
      </c>
      <c r="G282" s="69">
        <v>-1131.56</v>
      </c>
      <c r="H282" s="69">
        <v>50.23</v>
      </c>
      <c r="I282" s="69">
        <f t="shared" si="74"/>
        <v>25.114999999999998</v>
      </c>
      <c r="J282" s="70">
        <v>1</v>
      </c>
      <c r="K282" s="69">
        <f t="shared" si="75"/>
        <v>-940.10152499999992</v>
      </c>
      <c r="L282" s="79" t="s">
        <v>468</v>
      </c>
      <c r="M282" s="61">
        <f t="shared" si="76"/>
        <v>-1.7329349999999999</v>
      </c>
      <c r="N282" s="61">
        <f t="shared" si="77"/>
        <v>5.1234599999999997</v>
      </c>
      <c r="O282" s="61"/>
      <c r="P282" s="2"/>
      <c r="Q282" s="2"/>
      <c r="R282" s="32"/>
      <c r="S282" s="32"/>
      <c r="T282" s="32"/>
      <c r="U282" s="32"/>
      <c r="V282" s="2"/>
      <c r="W282" s="2"/>
      <c r="X282" s="2"/>
      <c r="Y282" s="2"/>
      <c r="Z282" s="2"/>
    </row>
    <row r="283" spans="1:26" ht="13.8" x14ac:dyDescent="0.3">
      <c r="A283" s="2" t="s">
        <v>340</v>
      </c>
      <c r="B283" s="2" t="s">
        <v>186</v>
      </c>
      <c r="C283" s="10">
        <v>2304025</v>
      </c>
      <c r="D283" s="10" t="s">
        <v>1162</v>
      </c>
      <c r="E283" s="10">
        <v>2531191</v>
      </c>
      <c r="F283" s="10" t="s">
        <v>1259</v>
      </c>
      <c r="G283" s="69">
        <v>1.78</v>
      </c>
      <c r="H283" s="69">
        <v>1.44</v>
      </c>
      <c r="I283" s="69">
        <f t="shared" si="74"/>
        <v>0.72</v>
      </c>
      <c r="J283" s="70">
        <v>1</v>
      </c>
      <c r="K283" s="69">
        <f t="shared" si="75"/>
        <v>2.1357999999999997</v>
      </c>
      <c r="L283" s="79" t="s">
        <v>468</v>
      </c>
      <c r="M283" s="61">
        <f t="shared" si="76"/>
        <v>-4.9679999999999995E-2</v>
      </c>
      <c r="N283" s="61">
        <f t="shared" si="77"/>
        <v>0.14687999999999996</v>
      </c>
      <c r="O283" s="61"/>
      <c r="P283" s="2"/>
      <c r="Q283" s="2"/>
      <c r="R283" s="32"/>
      <c r="S283" s="32"/>
      <c r="T283" s="32"/>
      <c r="U283" s="32"/>
      <c r="V283" s="2"/>
      <c r="W283" s="2"/>
      <c r="X283" s="2"/>
      <c r="Y283" s="2"/>
      <c r="Z283" s="2"/>
    </row>
    <row r="284" spans="1:26" ht="13.8" x14ac:dyDescent="0.3">
      <c r="A284" s="2" t="s">
        <v>340</v>
      </c>
      <c r="B284" s="2" t="s">
        <v>186</v>
      </c>
      <c r="C284" s="10">
        <v>2304025</v>
      </c>
      <c r="D284" s="10" t="s">
        <v>1162</v>
      </c>
      <c r="E284" s="10">
        <v>2535371</v>
      </c>
      <c r="F284" s="10" t="s">
        <v>1250</v>
      </c>
      <c r="G284" s="69">
        <v>-191.62</v>
      </c>
      <c r="H284" s="69">
        <v>18.13</v>
      </c>
      <c r="I284" s="69">
        <f t="shared" si="74"/>
        <v>9.0649999999999995</v>
      </c>
      <c r="J284" s="70">
        <v>1</v>
      </c>
      <c r="K284" s="69">
        <f t="shared" si="75"/>
        <v>-155.035775</v>
      </c>
      <c r="L284" s="79" t="s">
        <v>468</v>
      </c>
      <c r="M284" s="61">
        <f t="shared" si="76"/>
        <v>-0.62548499999999996</v>
      </c>
      <c r="N284" s="61">
        <f t="shared" si="77"/>
        <v>1.8492599999999997</v>
      </c>
      <c r="O284" s="61"/>
      <c r="P284" s="2"/>
      <c r="Q284" s="2"/>
      <c r="R284" s="32"/>
      <c r="S284" s="32"/>
      <c r="T284" s="32"/>
      <c r="U284" s="32"/>
      <c r="V284" s="2"/>
      <c r="W284" s="2"/>
      <c r="X284" s="2"/>
      <c r="Y284" s="2"/>
      <c r="Z284" s="2"/>
    </row>
    <row r="285" spans="1:26" ht="13.8" x14ac:dyDescent="0.3">
      <c r="A285" s="2" t="s">
        <v>340</v>
      </c>
      <c r="B285" s="2" t="s">
        <v>186</v>
      </c>
      <c r="C285" s="10">
        <v>2304025</v>
      </c>
      <c r="D285" s="10" t="s">
        <v>1162</v>
      </c>
      <c r="E285" s="10">
        <v>2554720</v>
      </c>
      <c r="F285" s="10" t="s">
        <v>1270</v>
      </c>
      <c r="G285" s="69">
        <v>-287.87</v>
      </c>
      <c r="H285" s="69">
        <v>46.06</v>
      </c>
      <c r="I285" s="69">
        <f t="shared" si="74"/>
        <v>23.03</v>
      </c>
      <c r="J285" s="70">
        <v>1</v>
      </c>
      <c r="K285" s="69">
        <f t="shared" si="75"/>
        <v>-224.76855000000003</v>
      </c>
      <c r="L285" s="79" t="s">
        <v>468</v>
      </c>
      <c r="M285" s="61">
        <f t="shared" si="76"/>
        <v>-1.58907</v>
      </c>
      <c r="N285" s="61">
        <f t="shared" si="77"/>
        <v>4.6981200000000012</v>
      </c>
      <c r="O285" s="61"/>
      <c r="P285" s="2"/>
      <c r="Q285" s="2"/>
      <c r="R285" s="32"/>
      <c r="S285" s="32"/>
      <c r="T285" s="32"/>
      <c r="U285" s="32"/>
      <c r="V285" s="2"/>
      <c r="W285" s="2"/>
      <c r="X285" s="2"/>
      <c r="Y285" s="2"/>
      <c r="Z285" s="2"/>
    </row>
    <row r="286" spans="1:26" ht="13.8" x14ac:dyDescent="0.3">
      <c r="A286" s="2" t="s">
        <v>340</v>
      </c>
      <c r="B286" s="2" t="s">
        <v>186</v>
      </c>
      <c r="C286" s="10">
        <v>2523689</v>
      </c>
      <c r="D286" s="10" t="s">
        <v>1179</v>
      </c>
      <c r="E286" s="10">
        <v>2525136</v>
      </c>
      <c r="F286" s="10" t="s">
        <v>1205</v>
      </c>
      <c r="G286" s="69">
        <v>197.75</v>
      </c>
      <c r="H286" s="69">
        <v>43.33</v>
      </c>
      <c r="I286" s="69">
        <f t="shared" si="74"/>
        <v>21.664999999999999</v>
      </c>
      <c r="J286" s="70">
        <v>1</v>
      </c>
      <c r="K286" s="69">
        <f t="shared" si="75"/>
        <v>186.82772499999999</v>
      </c>
      <c r="L286" s="79" t="s">
        <v>468</v>
      </c>
      <c r="M286" s="61">
        <f t="shared" si="76"/>
        <v>-1.494885</v>
      </c>
      <c r="N286" s="61">
        <f t="shared" si="77"/>
        <v>4.4196600000000004</v>
      </c>
      <c r="O286" s="61"/>
      <c r="P286" s="2"/>
      <c r="Q286" s="2"/>
      <c r="R286" s="32"/>
      <c r="S286" s="32"/>
      <c r="T286" s="32"/>
      <c r="U286" s="32"/>
      <c r="V286" s="2"/>
      <c r="W286" s="2"/>
      <c r="X286" s="2"/>
      <c r="Y286" s="2"/>
      <c r="Z286" s="2"/>
    </row>
    <row r="287" spans="1:26" ht="13.8" x14ac:dyDescent="0.3">
      <c r="A287" s="2" t="s">
        <v>340</v>
      </c>
      <c r="B287" s="2" t="s">
        <v>107</v>
      </c>
      <c r="C287" s="10" t="s">
        <v>15</v>
      </c>
      <c r="D287" s="10" t="s">
        <v>15</v>
      </c>
      <c r="E287" s="10">
        <v>2319777</v>
      </c>
      <c r="F287" s="10" t="s">
        <v>1273</v>
      </c>
      <c r="G287" s="69">
        <v>-75</v>
      </c>
      <c r="H287" s="69">
        <v>7.5</v>
      </c>
      <c r="I287" s="69">
        <v>0</v>
      </c>
      <c r="J287" s="70">
        <v>1</v>
      </c>
      <c r="K287" s="69">
        <f t="shared" ref="K287:K291" si="78">(-H287*0.25*0.04)*J287*0.3+H287*0.15*0.96*J287*0.3</f>
        <v>0.30149999999999999</v>
      </c>
      <c r="L287" s="79" t="s">
        <v>468</v>
      </c>
      <c r="M287" s="61">
        <v>0</v>
      </c>
      <c r="N287" s="61">
        <v>0</v>
      </c>
      <c r="O287" s="61"/>
      <c r="P287" s="2"/>
      <c r="Q287" s="2"/>
      <c r="R287" s="32"/>
      <c r="S287" s="32"/>
      <c r="T287" s="32"/>
      <c r="U287" s="32"/>
      <c r="V287" s="2"/>
      <c r="W287" s="2"/>
      <c r="X287" s="2"/>
      <c r="Y287" s="2"/>
      <c r="Z287" s="2"/>
    </row>
    <row r="288" spans="1:26" ht="13.8" x14ac:dyDescent="0.3">
      <c r="A288" s="2" t="s">
        <v>340</v>
      </c>
      <c r="B288" s="2" t="s">
        <v>107</v>
      </c>
      <c r="C288" s="10" t="s">
        <v>15</v>
      </c>
      <c r="D288" s="10" t="s">
        <v>15</v>
      </c>
      <c r="E288" s="10">
        <v>2405626</v>
      </c>
      <c r="F288" s="10" t="s">
        <v>1221</v>
      </c>
      <c r="G288" s="69">
        <v>-20</v>
      </c>
      <c r="H288" s="69">
        <v>2</v>
      </c>
      <c r="I288" s="69">
        <v>0</v>
      </c>
      <c r="J288" s="70">
        <v>1</v>
      </c>
      <c r="K288" s="69">
        <f t="shared" si="78"/>
        <v>8.0399999999999985E-2</v>
      </c>
      <c r="L288" s="79" t="s">
        <v>468</v>
      </c>
      <c r="M288" s="61">
        <v>0</v>
      </c>
      <c r="N288" s="61">
        <v>0</v>
      </c>
      <c r="O288" s="61"/>
      <c r="P288" s="2"/>
      <c r="Q288" s="2"/>
      <c r="R288" s="32"/>
      <c r="S288" s="32"/>
      <c r="T288" s="32"/>
      <c r="U288" s="32"/>
      <c r="V288" s="2"/>
      <c r="W288" s="2"/>
      <c r="X288" s="2"/>
      <c r="Y288" s="2"/>
      <c r="Z288" s="2"/>
    </row>
    <row r="289" spans="1:26" ht="13.8" x14ac:dyDescent="0.3">
      <c r="A289" s="2" t="s">
        <v>340</v>
      </c>
      <c r="B289" s="2" t="s">
        <v>107</v>
      </c>
      <c r="C289" s="10" t="s">
        <v>15</v>
      </c>
      <c r="D289" s="10" t="s">
        <v>15</v>
      </c>
      <c r="E289" s="10">
        <v>2409185</v>
      </c>
      <c r="F289" s="32" t="s">
        <v>1222</v>
      </c>
      <c r="G289" s="69">
        <v>-20</v>
      </c>
      <c r="H289" s="69">
        <v>2</v>
      </c>
      <c r="I289" s="69">
        <v>0</v>
      </c>
      <c r="J289" s="70">
        <v>1</v>
      </c>
      <c r="K289" s="69">
        <f t="shared" si="78"/>
        <v>8.0399999999999985E-2</v>
      </c>
      <c r="L289" s="79" t="s">
        <v>468</v>
      </c>
      <c r="M289" s="61">
        <v>0</v>
      </c>
      <c r="N289" s="61">
        <v>0</v>
      </c>
      <c r="O289" s="61"/>
      <c r="P289" s="2"/>
      <c r="Q289" s="2"/>
      <c r="R289" s="32"/>
      <c r="S289" s="32"/>
      <c r="T289" s="32"/>
      <c r="U289" s="32"/>
      <c r="V289" s="2"/>
      <c r="W289" s="2"/>
      <c r="X289" s="2"/>
      <c r="Y289" s="2"/>
      <c r="Z289" s="2"/>
    </row>
    <row r="290" spans="1:26" ht="13.8" x14ac:dyDescent="0.3">
      <c r="A290" s="2" t="s">
        <v>340</v>
      </c>
      <c r="B290" s="2" t="s">
        <v>107</v>
      </c>
      <c r="C290" s="10" t="s">
        <v>15</v>
      </c>
      <c r="D290" s="10" t="s">
        <v>15</v>
      </c>
      <c r="E290" s="10">
        <v>2471817</v>
      </c>
      <c r="F290" s="32" t="s">
        <v>1274</v>
      </c>
      <c r="G290" s="69">
        <v>-2.5</v>
      </c>
      <c r="H290" s="69">
        <v>2.5</v>
      </c>
      <c r="I290" s="69">
        <v>0</v>
      </c>
      <c r="J290" s="70">
        <v>1</v>
      </c>
      <c r="K290" s="69">
        <f t="shared" si="78"/>
        <v>0.10050000000000001</v>
      </c>
      <c r="L290" s="79" t="s">
        <v>468</v>
      </c>
      <c r="M290" s="61">
        <v>0</v>
      </c>
      <c r="N290" s="61">
        <v>0</v>
      </c>
      <c r="O290" s="61"/>
      <c r="P290" s="2"/>
      <c r="Q290" s="2"/>
      <c r="R290" s="32"/>
      <c r="S290" s="32"/>
      <c r="T290" s="32"/>
      <c r="U290" s="32"/>
      <c r="V290" s="2"/>
      <c r="W290" s="2"/>
      <c r="X290" s="2"/>
      <c r="Y290" s="2"/>
      <c r="Z290" s="2"/>
    </row>
    <row r="291" spans="1:26" ht="13.8" x14ac:dyDescent="0.3">
      <c r="A291" s="2" t="s">
        <v>340</v>
      </c>
      <c r="B291" s="2" t="s">
        <v>107</v>
      </c>
      <c r="C291" s="10" t="s">
        <v>15</v>
      </c>
      <c r="D291" s="10" t="s">
        <v>15</v>
      </c>
      <c r="E291" s="10">
        <v>2496019</v>
      </c>
      <c r="F291" s="32" t="s">
        <v>1275</v>
      </c>
      <c r="G291" s="69">
        <v>-25</v>
      </c>
      <c r="H291" s="69">
        <v>2.5</v>
      </c>
      <c r="I291" s="69">
        <v>0</v>
      </c>
      <c r="J291" s="70">
        <v>1</v>
      </c>
      <c r="K291" s="69">
        <f t="shared" si="78"/>
        <v>0.10050000000000001</v>
      </c>
      <c r="L291" s="79" t="s">
        <v>468</v>
      </c>
      <c r="M291" s="61">
        <v>0</v>
      </c>
      <c r="N291" s="61">
        <v>0</v>
      </c>
      <c r="O291" s="61"/>
      <c r="P291" s="2"/>
      <c r="Q291" s="2"/>
      <c r="R291" s="32"/>
      <c r="S291" s="32"/>
      <c r="T291" s="32"/>
      <c r="U291" s="32"/>
      <c r="V291" s="2"/>
      <c r="W291" s="2"/>
      <c r="X291" s="2"/>
      <c r="Y291" s="2"/>
      <c r="Z291" s="2"/>
    </row>
    <row r="292" spans="1:26" ht="13.8" x14ac:dyDescent="0.3">
      <c r="A292" s="2" t="s">
        <v>340</v>
      </c>
      <c r="B292" s="2" t="s">
        <v>107</v>
      </c>
      <c r="C292" s="10">
        <v>2304025</v>
      </c>
      <c r="D292" s="10" t="s">
        <v>1162</v>
      </c>
      <c r="E292" s="10">
        <v>2319819</v>
      </c>
      <c r="F292" s="10" t="s">
        <v>1165</v>
      </c>
      <c r="G292" s="69">
        <v>52.37</v>
      </c>
      <c r="H292" s="69">
        <v>13.65</v>
      </c>
      <c r="I292" s="69">
        <f t="shared" ref="I292:I307" si="79">H292*0.65</f>
        <v>8.8725000000000005</v>
      </c>
      <c r="J292" s="70">
        <v>1</v>
      </c>
      <c r="K292" s="69">
        <f t="shared" ref="K292:K307" si="80">(G292+I292)*J292*0.8+(G292*0.05-H292*0.25*0.15)*J292*0.3+(H292*0.1*0.85+I292*0.05)*J292*0.3</f>
        <v>50.107150000000004</v>
      </c>
      <c r="L292" s="79" t="s">
        <v>468</v>
      </c>
      <c r="M292" s="61">
        <f t="shared" ref="M292:M305" si="81">(G292*0.05-H292*0.25*0.15)*J292*0.7-(-H292*0.03*0.15)*J292</f>
        <v>1.5360625000000001</v>
      </c>
      <c r="N292" s="61">
        <f t="shared" ref="N292:N305" si="82">(H292*0.1*0.85+I292*0.05)*J292*0.7+H292*0.03*0.85*J292</f>
        <v>1.4707875000000001</v>
      </c>
      <c r="O292" s="61"/>
      <c r="P292" s="2"/>
      <c r="Q292" s="2"/>
      <c r="R292" s="32"/>
      <c r="S292" s="32"/>
      <c r="T292" s="32"/>
      <c r="U292" s="32"/>
      <c r="V292" s="2"/>
      <c r="W292" s="2"/>
      <c r="X292" s="2"/>
      <c r="Y292" s="2"/>
      <c r="Z292" s="2"/>
    </row>
    <row r="293" spans="1:26" ht="13.8" x14ac:dyDescent="0.3">
      <c r="A293" s="2" t="s">
        <v>340</v>
      </c>
      <c r="B293" s="2" t="s">
        <v>107</v>
      </c>
      <c r="C293" s="10">
        <v>2304025</v>
      </c>
      <c r="D293" s="10" t="s">
        <v>1162</v>
      </c>
      <c r="E293" s="10">
        <v>2420208</v>
      </c>
      <c r="F293" s="10" t="s">
        <v>1170</v>
      </c>
      <c r="G293" s="69">
        <v>-171.11</v>
      </c>
      <c r="H293" s="69">
        <v>16.47</v>
      </c>
      <c r="I293" s="69">
        <f t="shared" si="79"/>
        <v>10.705499999999999</v>
      </c>
      <c r="J293" s="70">
        <v>1</v>
      </c>
      <c r="K293" s="69">
        <f t="shared" si="80"/>
        <v>-130.49497000000002</v>
      </c>
      <c r="L293" s="79" t="s">
        <v>468</v>
      </c>
      <c r="M293" s="61">
        <f t="shared" si="81"/>
        <v>-6.3470725000000003</v>
      </c>
      <c r="N293" s="61">
        <f t="shared" si="82"/>
        <v>1.7746424999999997</v>
      </c>
      <c r="O293" s="61"/>
      <c r="P293" s="2"/>
      <c r="Q293" s="2"/>
      <c r="R293" s="32"/>
      <c r="S293" s="32"/>
      <c r="T293" s="32"/>
      <c r="U293" s="32"/>
      <c r="V293" s="2"/>
      <c r="W293" s="2"/>
      <c r="X293" s="2"/>
      <c r="Y293" s="2"/>
      <c r="Z293" s="2"/>
    </row>
    <row r="294" spans="1:26" ht="13.8" x14ac:dyDescent="0.3">
      <c r="A294" s="2" t="s">
        <v>340</v>
      </c>
      <c r="B294" s="2" t="s">
        <v>107</v>
      </c>
      <c r="C294" s="10">
        <v>2304025</v>
      </c>
      <c r="D294" s="10" t="s">
        <v>1162</v>
      </c>
      <c r="E294" s="10">
        <v>2435202</v>
      </c>
      <c r="F294" s="10" t="s">
        <v>1223</v>
      </c>
      <c r="G294" s="69">
        <v>526.04</v>
      </c>
      <c r="H294" s="69">
        <v>147.57</v>
      </c>
      <c r="I294" s="69">
        <f t="shared" si="79"/>
        <v>95.920500000000004</v>
      </c>
      <c r="J294" s="70">
        <v>1</v>
      </c>
      <c r="K294" s="69">
        <f t="shared" si="80"/>
        <v>509.00067999999993</v>
      </c>
      <c r="L294" s="79" t="s">
        <v>468</v>
      </c>
      <c r="M294" s="61">
        <f t="shared" si="81"/>
        <v>15.201752500000001</v>
      </c>
      <c r="N294" s="61">
        <f t="shared" si="82"/>
        <v>15.900667499999997</v>
      </c>
      <c r="O294" s="61"/>
      <c r="P294" s="2"/>
      <c r="Q294" s="2"/>
      <c r="R294" s="32"/>
      <c r="S294" s="32"/>
      <c r="T294" s="32"/>
      <c r="U294" s="32"/>
      <c r="V294" s="2"/>
      <c r="W294" s="2"/>
      <c r="X294" s="2"/>
      <c r="Y294" s="2"/>
      <c r="Z294" s="2"/>
    </row>
    <row r="295" spans="1:26" ht="13.8" x14ac:dyDescent="0.3">
      <c r="A295" s="2" t="s">
        <v>340</v>
      </c>
      <c r="B295" s="2" t="s">
        <v>107</v>
      </c>
      <c r="C295" s="10">
        <v>2304025</v>
      </c>
      <c r="D295" s="10" t="s">
        <v>1162</v>
      </c>
      <c r="E295" s="10">
        <v>2435203</v>
      </c>
      <c r="F295" s="10" t="s">
        <v>1224</v>
      </c>
      <c r="G295" s="69">
        <v>132.47999999999999</v>
      </c>
      <c r="H295" s="69">
        <v>72.81</v>
      </c>
      <c r="I295" s="69">
        <f t="shared" si="79"/>
        <v>47.326500000000003</v>
      </c>
      <c r="J295" s="70">
        <v>1</v>
      </c>
      <c r="K295" s="69">
        <f t="shared" si="80"/>
        <v>147.57984000000002</v>
      </c>
      <c r="L295" s="79" t="s">
        <v>468</v>
      </c>
      <c r="M295" s="61">
        <f t="shared" si="81"/>
        <v>3.0531824999999997</v>
      </c>
      <c r="N295" s="61">
        <f t="shared" si="82"/>
        <v>7.8452774999999999</v>
      </c>
      <c r="O295" s="61"/>
      <c r="P295" s="2"/>
      <c r="Q295" s="2"/>
      <c r="R295" s="32"/>
      <c r="S295" s="32"/>
      <c r="T295" s="32"/>
      <c r="U295" s="32"/>
      <c r="V295" s="2"/>
      <c r="W295" s="2"/>
      <c r="X295" s="2"/>
      <c r="Y295" s="2"/>
      <c r="Z295" s="2"/>
    </row>
    <row r="296" spans="1:26" ht="13.8" x14ac:dyDescent="0.3">
      <c r="A296" s="2" t="s">
        <v>340</v>
      </c>
      <c r="B296" s="2" t="s">
        <v>107</v>
      </c>
      <c r="C296" s="10">
        <v>2304025</v>
      </c>
      <c r="D296" s="10" t="s">
        <v>1162</v>
      </c>
      <c r="E296" s="10">
        <v>2435206</v>
      </c>
      <c r="F296" s="10" t="s">
        <v>1225</v>
      </c>
      <c r="G296" s="69">
        <v>649.38</v>
      </c>
      <c r="H296" s="69">
        <v>37.880000000000003</v>
      </c>
      <c r="I296" s="69">
        <f t="shared" si="79"/>
        <v>24.622000000000003</v>
      </c>
      <c r="J296" s="70">
        <v>1</v>
      </c>
      <c r="K296" s="69">
        <f t="shared" si="80"/>
        <v>549.85142000000008</v>
      </c>
      <c r="L296" s="79" t="s">
        <v>468</v>
      </c>
      <c r="M296" s="61">
        <f t="shared" si="81"/>
        <v>21.904409999999999</v>
      </c>
      <c r="N296" s="61">
        <f t="shared" si="82"/>
        <v>4.0815700000000001</v>
      </c>
      <c r="O296" s="61"/>
      <c r="P296" s="2"/>
      <c r="Q296" s="2"/>
      <c r="R296" s="32"/>
      <c r="S296" s="32"/>
      <c r="T296" s="32"/>
      <c r="U296" s="32"/>
      <c r="V296" s="2"/>
      <c r="W296" s="2"/>
      <c r="X296" s="2"/>
      <c r="Y296" s="2"/>
      <c r="Z296" s="2"/>
    </row>
    <row r="297" spans="1:26" ht="13.8" x14ac:dyDescent="0.3">
      <c r="A297" s="2" t="s">
        <v>340</v>
      </c>
      <c r="B297" s="2" t="s">
        <v>107</v>
      </c>
      <c r="C297" s="10">
        <v>2304025</v>
      </c>
      <c r="D297" s="10" t="s">
        <v>1162</v>
      </c>
      <c r="E297" s="10">
        <v>2471540</v>
      </c>
      <c r="F297" s="10" t="s">
        <v>1172</v>
      </c>
      <c r="G297" s="69">
        <v>-646.08000000000004</v>
      </c>
      <c r="H297" s="69">
        <v>198.21</v>
      </c>
      <c r="I297" s="69">
        <f t="shared" si="79"/>
        <v>128.8365</v>
      </c>
      <c r="J297" s="70">
        <v>1</v>
      </c>
      <c r="K297" s="69">
        <f t="shared" si="80"/>
        <v>-418.72896000000009</v>
      </c>
      <c r="L297" s="79" t="s">
        <v>468</v>
      </c>
      <c r="M297" s="61">
        <f t="shared" si="81"/>
        <v>-26.923867500000004</v>
      </c>
      <c r="N297" s="61">
        <f t="shared" si="82"/>
        <v>21.357127500000001</v>
      </c>
      <c r="O297" s="61"/>
      <c r="P297" s="2"/>
      <c r="Q297" s="2"/>
      <c r="R297" s="32"/>
      <c r="S297" s="32"/>
      <c r="T297" s="32"/>
      <c r="U297" s="32"/>
      <c r="V297" s="2"/>
      <c r="W297" s="2"/>
      <c r="X297" s="2"/>
      <c r="Y297" s="2"/>
      <c r="Z297" s="2"/>
    </row>
    <row r="298" spans="1:26" ht="13.8" x14ac:dyDescent="0.3">
      <c r="A298" s="2" t="s">
        <v>340</v>
      </c>
      <c r="B298" s="2" t="s">
        <v>107</v>
      </c>
      <c r="C298" s="10">
        <v>2304025</v>
      </c>
      <c r="D298" s="10" t="s">
        <v>1162</v>
      </c>
      <c r="E298" s="10">
        <v>2531140</v>
      </c>
      <c r="F298" s="10" t="s">
        <v>1257</v>
      </c>
      <c r="G298" s="69">
        <v>825.28</v>
      </c>
      <c r="H298" s="69">
        <v>219.57</v>
      </c>
      <c r="I298" s="69">
        <f t="shared" si="79"/>
        <v>142.72049999999999</v>
      </c>
      <c r="J298" s="70">
        <v>1</v>
      </c>
      <c r="K298" s="69">
        <f t="shared" si="80"/>
        <v>792.04927999999995</v>
      </c>
      <c r="L298" s="79" t="s">
        <v>468</v>
      </c>
      <c r="M298" s="61">
        <f t="shared" si="81"/>
        <v>24.1091525</v>
      </c>
      <c r="N298" s="61">
        <f t="shared" si="82"/>
        <v>23.6586675</v>
      </c>
      <c r="O298" s="61"/>
      <c r="P298" s="2"/>
      <c r="Q298" s="2"/>
      <c r="R298" s="32"/>
      <c r="S298" s="32"/>
      <c r="T298" s="32"/>
      <c r="U298" s="32"/>
      <c r="V298" s="2"/>
      <c r="W298" s="2"/>
      <c r="X298" s="2"/>
      <c r="Y298" s="2"/>
      <c r="Z298" s="2"/>
    </row>
    <row r="299" spans="1:26" ht="13.8" x14ac:dyDescent="0.3">
      <c r="A299" s="2" t="s">
        <v>340</v>
      </c>
      <c r="B299" s="2" t="s">
        <v>107</v>
      </c>
      <c r="C299" s="10">
        <v>2304025</v>
      </c>
      <c r="D299" s="10" t="s">
        <v>1162</v>
      </c>
      <c r="E299" s="10">
        <v>2531141</v>
      </c>
      <c r="F299" s="10" t="s">
        <v>1258</v>
      </c>
      <c r="G299" s="69">
        <v>-458.93</v>
      </c>
      <c r="H299" s="69">
        <v>96.42</v>
      </c>
      <c r="I299" s="69">
        <f t="shared" si="79"/>
        <v>62.673000000000002</v>
      </c>
      <c r="J299" s="70">
        <v>1</v>
      </c>
      <c r="K299" s="69">
        <f t="shared" si="80"/>
        <v>-321.57547000000005</v>
      </c>
      <c r="L299" s="79" t="s">
        <v>468</v>
      </c>
      <c r="M299" s="61">
        <f t="shared" si="81"/>
        <v>-18.159684999999996</v>
      </c>
      <c r="N299" s="61">
        <f t="shared" si="82"/>
        <v>10.389255</v>
      </c>
      <c r="O299" s="61"/>
      <c r="P299" s="2"/>
      <c r="Q299" s="2"/>
      <c r="R299" s="32"/>
      <c r="S299" s="32"/>
      <c r="T299" s="32"/>
      <c r="U299" s="32"/>
      <c r="V299" s="2"/>
      <c r="W299" s="2"/>
      <c r="X299" s="2"/>
      <c r="Y299" s="2"/>
      <c r="Z299" s="2"/>
    </row>
    <row r="300" spans="1:26" ht="13.8" x14ac:dyDescent="0.3">
      <c r="A300" s="2" t="s">
        <v>340</v>
      </c>
      <c r="B300" s="2" t="s">
        <v>107</v>
      </c>
      <c r="C300" s="10">
        <v>2304025</v>
      </c>
      <c r="D300" s="10" t="s">
        <v>1162</v>
      </c>
      <c r="E300" s="10">
        <v>2531145</v>
      </c>
      <c r="F300" s="10" t="s">
        <v>1226</v>
      </c>
      <c r="G300" s="69">
        <v>359.31</v>
      </c>
      <c r="H300" s="69">
        <v>418.72</v>
      </c>
      <c r="I300" s="69">
        <f t="shared" si="79"/>
        <v>272.16800000000001</v>
      </c>
      <c r="J300" s="70">
        <v>1</v>
      </c>
      <c r="K300" s="69">
        <f t="shared" si="80"/>
        <v>520.62133000000006</v>
      </c>
      <c r="L300" s="79" t="s">
        <v>468</v>
      </c>
      <c r="M300" s="61">
        <f t="shared" si="81"/>
        <v>3.4686900000000014</v>
      </c>
      <c r="N300" s="61">
        <f t="shared" si="82"/>
        <v>45.117080000000009</v>
      </c>
      <c r="O300" s="61"/>
      <c r="P300" s="2"/>
      <c r="Q300" s="2"/>
      <c r="R300" s="32"/>
      <c r="S300" s="32"/>
      <c r="T300" s="32"/>
      <c r="U300" s="32"/>
      <c r="V300" s="2"/>
      <c r="W300" s="2"/>
      <c r="X300" s="2"/>
      <c r="Y300" s="2"/>
      <c r="Z300" s="2"/>
    </row>
    <row r="301" spans="1:26" ht="13.8" x14ac:dyDescent="0.3">
      <c r="A301" s="2" t="s">
        <v>340</v>
      </c>
      <c r="B301" s="2" t="s">
        <v>107</v>
      </c>
      <c r="C301" s="10">
        <v>2304025</v>
      </c>
      <c r="D301" s="10" t="s">
        <v>1162</v>
      </c>
      <c r="E301" s="10">
        <v>2531146</v>
      </c>
      <c r="F301" s="10" t="s">
        <v>1227</v>
      </c>
      <c r="G301" s="69">
        <v>136.28</v>
      </c>
      <c r="H301" s="69">
        <v>250.54</v>
      </c>
      <c r="I301" s="69">
        <f t="shared" si="79"/>
        <v>162.851</v>
      </c>
      <c r="J301" s="70">
        <v>1</v>
      </c>
      <c r="K301" s="69">
        <f t="shared" si="80"/>
        <v>247.36196000000001</v>
      </c>
      <c r="L301" s="79" t="s">
        <v>468</v>
      </c>
      <c r="M301" s="61">
        <f t="shared" si="81"/>
        <v>-0.67944499999999919</v>
      </c>
      <c r="N301" s="61">
        <f t="shared" si="82"/>
        <v>26.995684999999995</v>
      </c>
      <c r="O301" s="61"/>
      <c r="P301" s="2"/>
      <c r="Q301" s="2"/>
      <c r="R301" s="32"/>
      <c r="S301" s="32"/>
      <c r="T301" s="32"/>
      <c r="U301" s="32"/>
      <c r="V301" s="2"/>
      <c r="W301" s="2"/>
      <c r="X301" s="2"/>
      <c r="Y301" s="2"/>
      <c r="Z301" s="2"/>
    </row>
    <row r="302" spans="1:26" ht="13.8" x14ac:dyDescent="0.3">
      <c r="A302" s="2" t="s">
        <v>340</v>
      </c>
      <c r="B302" s="2" t="s">
        <v>107</v>
      </c>
      <c r="C302" s="10">
        <v>2304025</v>
      </c>
      <c r="D302" s="10" t="s">
        <v>1162</v>
      </c>
      <c r="E302" s="10">
        <v>2531365</v>
      </c>
      <c r="F302" s="10" t="s">
        <v>1228</v>
      </c>
      <c r="G302" s="69">
        <v>-172.87</v>
      </c>
      <c r="H302" s="69">
        <v>13.05</v>
      </c>
      <c r="I302" s="69">
        <f t="shared" si="79"/>
        <v>8.4824999999999999</v>
      </c>
      <c r="J302" s="70">
        <v>1</v>
      </c>
      <c r="K302" s="69">
        <f t="shared" si="80"/>
        <v>-133.78985</v>
      </c>
      <c r="L302" s="79" t="s">
        <v>468</v>
      </c>
      <c r="M302" s="61">
        <f t="shared" si="81"/>
        <v>-6.3342875000000012</v>
      </c>
      <c r="N302" s="61">
        <f t="shared" si="82"/>
        <v>1.4061375</v>
      </c>
      <c r="O302" s="61"/>
      <c r="P302" s="2"/>
      <c r="Q302" s="2"/>
      <c r="R302" s="32"/>
      <c r="S302" s="32"/>
      <c r="T302" s="32"/>
      <c r="U302" s="32"/>
      <c r="V302" s="2"/>
      <c r="W302" s="2"/>
      <c r="X302" s="2"/>
      <c r="Y302" s="2"/>
      <c r="Z302" s="2"/>
    </row>
    <row r="303" spans="1:26" ht="13.8" x14ac:dyDescent="0.3">
      <c r="A303" s="2" t="s">
        <v>340</v>
      </c>
      <c r="B303" s="2" t="s">
        <v>107</v>
      </c>
      <c r="C303" s="10">
        <v>2304025</v>
      </c>
      <c r="D303" s="10" t="s">
        <v>1162</v>
      </c>
      <c r="E303" s="10">
        <v>2531390</v>
      </c>
      <c r="F303" s="10" t="s">
        <v>1229</v>
      </c>
      <c r="G303" s="69">
        <v>-115.74</v>
      </c>
      <c r="H303" s="69">
        <v>57.69</v>
      </c>
      <c r="I303" s="69">
        <f t="shared" si="79"/>
        <v>37.4985</v>
      </c>
      <c r="J303" s="70">
        <v>1</v>
      </c>
      <c r="K303" s="69">
        <f t="shared" si="80"/>
        <v>-62.944740000000003</v>
      </c>
      <c r="L303" s="79" t="s">
        <v>468</v>
      </c>
      <c r="M303" s="61">
        <f t="shared" si="81"/>
        <v>-5.3056574999999997</v>
      </c>
      <c r="N303" s="61">
        <f t="shared" si="82"/>
        <v>6.2160975000000001</v>
      </c>
      <c r="O303" s="61"/>
      <c r="P303" s="2"/>
      <c r="Q303" s="2"/>
      <c r="R303" s="32"/>
      <c r="S303" s="32"/>
      <c r="T303" s="32"/>
      <c r="U303" s="32"/>
      <c r="V303" s="2"/>
      <c r="W303" s="2"/>
      <c r="X303" s="2"/>
      <c r="Y303" s="2"/>
      <c r="Z303" s="2"/>
    </row>
    <row r="304" spans="1:26" ht="13.8" x14ac:dyDescent="0.3">
      <c r="A304" s="2" t="s">
        <v>340</v>
      </c>
      <c r="B304" s="2" t="s">
        <v>107</v>
      </c>
      <c r="C304" s="10">
        <v>2304025</v>
      </c>
      <c r="D304" s="10" t="s">
        <v>1162</v>
      </c>
      <c r="E304" s="10">
        <v>2541423</v>
      </c>
      <c r="F304" s="10" t="s">
        <v>1263</v>
      </c>
      <c r="G304" s="69">
        <v>-248.51</v>
      </c>
      <c r="H304" s="69">
        <v>18.53</v>
      </c>
      <c r="I304" s="69">
        <f t="shared" si="79"/>
        <v>12.044500000000001</v>
      </c>
      <c r="J304" s="70">
        <v>1</v>
      </c>
      <c r="K304" s="69">
        <f t="shared" si="80"/>
        <v>-192.45533</v>
      </c>
      <c r="L304" s="79" t="s">
        <v>468</v>
      </c>
      <c r="M304" s="61">
        <f t="shared" si="81"/>
        <v>-9.1008774999999993</v>
      </c>
      <c r="N304" s="61">
        <f t="shared" si="82"/>
        <v>1.9966075000000001</v>
      </c>
      <c r="O304" s="61"/>
      <c r="P304" s="2"/>
      <c r="Q304" s="2"/>
      <c r="R304" s="32"/>
      <c r="S304" s="32"/>
      <c r="T304" s="32"/>
      <c r="U304" s="32"/>
      <c r="V304" s="2"/>
      <c r="W304" s="2"/>
      <c r="X304" s="2"/>
      <c r="Y304" s="2"/>
      <c r="Z304" s="2"/>
    </row>
    <row r="305" spans="1:26" ht="13.8" x14ac:dyDescent="0.3">
      <c r="A305" s="2" t="s">
        <v>340</v>
      </c>
      <c r="B305" s="2" t="s">
        <v>107</v>
      </c>
      <c r="C305" s="10">
        <v>2304025</v>
      </c>
      <c r="D305" s="10" t="s">
        <v>1162</v>
      </c>
      <c r="E305" s="10">
        <v>2554720</v>
      </c>
      <c r="F305" s="10" t="s">
        <v>1270</v>
      </c>
      <c r="G305" s="69">
        <v>-13.17</v>
      </c>
      <c r="H305" s="69">
        <v>3.89</v>
      </c>
      <c r="I305" s="69">
        <f t="shared" si="79"/>
        <v>2.5285000000000002</v>
      </c>
      <c r="J305" s="70">
        <v>1</v>
      </c>
      <c r="K305" s="69">
        <f t="shared" si="80"/>
        <v>-8.6173900000000003</v>
      </c>
      <c r="L305" s="79" t="s">
        <v>468</v>
      </c>
      <c r="M305" s="61">
        <f t="shared" si="81"/>
        <v>-0.54555750000000003</v>
      </c>
      <c r="N305" s="61">
        <f t="shared" si="82"/>
        <v>0.41914749999999995</v>
      </c>
      <c r="O305" s="61"/>
      <c r="P305" s="2"/>
      <c r="Q305" s="2"/>
      <c r="R305" s="32"/>
      <c r="S305" s="32"/>
      <c r="T305" s="32"/>
      <c r="U305" s="32"/>
      <c r="V305" s="2"/>
      <c r="W305" s="2"/>
      <c r="X305" s="2"/>
      <c r="Y305" s="2"/>
      <c r="Z305" s="2"/>
    </row>
    <row r="306" spans="1:26" ht="13.8" x14ac:dyDescent="0.3">
      <c r="A306" s="2" t="s">
        <v>340</v>
      </c>
      <c r="B306" s="2" t="s">
        <v>107</v>
      </c>
      <c r="C306" s="10">
        <v>2523689</v>
      </c>
      <c r="D306" s="10" t="s">
        <v>1179</v>
      </c>
      <c r="E306" s="10">
        <v>2525136</v>
      </c>
      <c r="F306" s="10" t="s">
        <v>1205</v>
      </c>
      <c r="G306" s="69">
        <v>-0.5</v>
      </c>
      <c r="H306" s="69">
        <v>0</v>
      </c>
      <c r="I306" s="69">
        <f t="shared" si="79"/>
        <v>0</v>
      </c>
      <c r="J306" s="70">
        <v>1</v>
      </c>
      <c r="K306" s="69">
        <f t="shared" si="80"/>
        <v>-0.40750000000000003</v>
      </c>
      <c r="L306" s="79" t="s">
        <v>468</v>
      </c>
      <c r="M306" s="61">
        <f t="shared" ref="M306:M307" si="83">(G306*0.05-H306*0.25*0.15)*J306*0.7-(-H306*0.02*0.15)*J306</f>
        <v>-1.7499999999999998E-2</v>
      </c>
      <c r="N306" s="61">
        <f t="shared" ref="N306:N307" si="84">(H306*0.1*0.85+I306*0.05)*J306*0.7+H306*0.02*0.85*J306</f>
        <v>0</v>
      </c>
      <c r="O306" s="61"/>
      <c r="P306" s="2"/>
      <c r="Q306" s="2"/>
      <c r="R306" s="32"/>
      <c r="S306" s="32"/>
      <c r="T306" s="32"/>
      <c r="U306" s="32"/>
      <c r="V306" s="2"/>
      <c r="W306" s="2"/>
      <c r="X306" s="2"/>
      <c r="Y306" s="2"/>
      <c r="Z306" s="2"/>
    </row>
    <row r="307" spans="1:26" ht="13.8" x14ac:dyDescent="0.3">
      <c r="A307" s="2" t="s">
        <v>340</v>
      </c>
      <c r="B307" s="2" t="s">
        <v>107</v>
      </c>
      <c r="C307" s="10">
        <v>2566294</v>
      </c>
      <c r="D307" s="10" t="s">
        <v>1276</v>
      </c>
      <c r="E307" s="10">
        <v>2525032</v>
      </c>
      <c r="F307" s="10" t="s">
        <v>1277</v>
      </c>
      <c r="G307" s="69">
        <v>2291.7600000000002</v>
      </c>
      <c r="H307" s="69">
        <v>124.86</v>
      </c>
      <c r="I307" s="69">
        <f t="shared" si="79"/>
        <v>81.159000000000006</v>
      </c>
      <c r="J307" s="70">
        <v>1</v>
      </c>
      <c r="K307" s="69">
        <f t="shared" si="80"/>
        <v>1935.7082400000006</v>
      </c>
      <c r="L307" s="79" t="s">
        <v>468</v>
      </c>
      <c r="M307" s="61">
        <f t="shared" si="83"/>
        <v>77.308605000000014</v>
      </c>
      <c r="N307" s="61">
        <f t="shared" si="84"/>
        <v>12.392355</v>
      </c>
      <c r="O307" s="61"/>
      <c r="P307" s="2"/>
      <c r="Q307" s="2"/>
      <c r="R307" s="32"/>
      <c r="S307" s="32"/>
      <c r="T307" s="32"/>
      <c r="U307" s="32"/>
      <c r="V307" s="2"/>
      <c r="W307" s="2"/>
      <c r="X307" s="2"/>
      <c r="Y307" s="2"/>
      <c r="Z307" s="2"/>
    </row>
    <row r="308" spans="1:26" ht="13.8" x14ac:dyDescent="0.3">
      <c r="A308" s="2" t="s">
        <v>340</v>
      </c>
      <c r="B308" s="2" t="s">
        <v>244</v>
      </c>
      <c r="C308" s="10">
        <v>2304025</v>
      </c>
      <c r="D308" s="10" t="s">
        <v>1162</v>
      </c>
      <c r="E308" s="10">
        <v>2319819</v>
      </c>
      <c r="F308" s="10" t="s">
        <v>1165</v>
      </c>
      <c r="G308" s="69">
        <v>1404.63</v>
      </c>
      <c r="H308" s="69">
        <v>137.84</v>
      </c>
      <c r="I308" s="69">
        <f t="shared" ref="I308:I329" si="85">H308*0.7</f>
        <v>96.488</v>
      </c>
      <c r="J308" s="70">
        <v>1</v>
      </c>
      <c r="K308" s="69">
        <f t="shared" ref="K308:K327" si="86">(G308+I308)*0.85+(G308*0.15-(G308+H308)*0.15)*J308*0.3+I308*0.15*J308*0.3</f>
        <v>1274.0894600000001</v>
      </c>
      <c r="L308" s="79" t="s">
        <v>468</v>
      </c>
      <c r="M308" s="61">
        <f t="shared" ref="M308:M327" si="87">(G308*0.15-(G308+H308)*0.15)*J308*0.7</f>
        <v>-14.47319999999999</v>
      </c>
      <c r="N308" s="61">
        <f t="shared" ref="N308:N327" si="88">I308*0.15*J308*0.7+H308*0.05*J308</f>
        <v>17.023239999999998</v>
      </c>
      <c r="O308" s="61"/>
      <c r="P308" s="2"/>
      <c r="Q308" s="2"/>
      <c r="R308" s="32"/>
      <c r="S308" s="32"/>
      <c r="T308" s="32"/>
      <c r="U308" s="32"/>
      <c r="V308" s="2"/>
      <c r="W308" s="2"/>
      <c r="X308" s="2"/>
      <c r="Y308" s="2"/>
      <c r="Z308" s="2"/>
    </row>
    <row r="309" spans="1:26" ht="13.8" x14ac:dyDescent="0.3">
      <c r="A309" s="2" t="s">
        <v>340</v>
      </c>
      <c r="B309" s="2" t="s">
        <v>244</v>
      </c>
      <c r="C309" s="10">
        <v>2304025</v>
      </c>
      <c r="D309" s="10" t="s">
        <v>1162</v>
      </c>
      <c r="E309" s="10">
        <v>2371488</v>
      </c>
      <c r="F309" s="10" t="s">
        <v>1190</v>
      </c>
      <c r="G309" s="69">
        <v>-24.71</v>
      </c>
      <c r="H309" s="69">
        <v>6.52</v>
      </c>
      <c r="I309" s="69">
        <f t="shared" si="85"/>
        <v>4.5639999999999992</v>
      </c>
      <c r="J309" s="70">
        <v>1</v>
      </c>
      <c r="K309" s="69">
        <f t="shared" si="86"/>
        <v>-17.212119999999995</v>
      </c>
      <c r="L309" s="79" t="s">
        <v>468</v>
      </c>
      <c r="M309" s="61">
        <f t="shared" si="87"/>
        <v>-0.6846000000000001</v>
      </c>
      <c r="N309" s="61">
        <f t="shared" si="88"/>
        <v>0.80521999999999982</v>
      </c>
      <c r="O309" s="61"/>
      <c r="P309" s="2"/>
      <c r="Q309" s="2"/>
      <c r="R309" s="32"/>
      <c r="S309" s="32"/>
      <c r="T309" s="32"/>
      <c r="U309" s="32"/>
      <c r="V309" s="2"/>
      <c r="W309" s="2"/>
      <c r="X309" s="2"/>
      <c r="Y309" s="2"/>
      <c r="Z309" s="2"/>
    </row>
    <row r="310" spans="1:26" ht="13.8" x14ac:dyDescent="0.3">
      <c r="A310" s="2" t="s">
        <v>340</v>
      </c>
      <c r="B310" s="2" t="s">
        <v>244</v>
      </c>
      <c r="C310" s="10">
        <v>2304025</v>
      </c>
      <c r="D310" s="10" t="s">
        <v>1162</v>
      </c>
      <c r="E310" s="10">
        <v>2380008</v>
      </c>
      <c r="F310" s="10" t="s">
        <v>1192</v>
      </c>
      <c r="G310" s="69">
        <v>57.62</v>
      </c>
      <c r="H310" s="69">
        <v>2.59</v>
      </c>
      <c r="I310" s="69">
        <f t="shared" si="85"/>
        <v>1.8129999999999997</v>
      </c>
      <c r="J310" s="70">
        <v>1</v>
      </c>
      <c r="K310" s="69">
        <f t="shared" si="86"/>
        <v>50.483084999999996</v>
      </c>
      <c r="L310" s="79" t="s">
        <v>468</v>
      </c>
      <c r="M310" s="61">
        <f t="shared" si="87"/>
        <v>-0.27195000000000036</v>
      </c>
      <c r="N310" s="61">
        <f t="shared" si="88"/>
        <v>0.31986499999999995</v>
      </c>
      <c r="O310" s="61"/>
      <c r="P310" s="2"/>
      <c r="Q310" s="2"/>
      <c r="R310" s="32"/>
      <c r="S310" s="32"/>
      <c r="T310" s="32"/>
      <c r="U310" s="32"/>
      <c r="V310" s="2"/>
      <c r="W310" s="2"/>
      <c r="X310" s="2"/>
      <c r="Y310" s="2"/>
      <c r="Z310" s="2"/>
    </row>
    <row r="311" spans="1:26" ht="13.8" x14ac:dyDescent="0.3">
      <c r="A311" s="2" t="s">
        <v>340</v>
      </c>
      <c r="B311" s="2" t="s">
        <v>244</v>
      </c>
      <c r="C311" s="10">
        <v>2304025</v>
      </c>
      <c r="D311" s="10" t="s">
        <v>1162</v>
      </c>
      <c r="E311" s="10">
        <v>2381522</v>
      </c>
      <c r="F311" s="10" t="s">
        <v>1166</v>
      </c>
      <c r="G311" s="69">
        <v>-14.37</v>
      </c>
      <c r="H311" s="69">
        <v>19.34</v>
      </c>
      <c r="I311" s="69">
        <f t="shared" si="85"/>
        <v>13.537999999999998</v>
      </c>
      <c r="J311" s="70">
        <v>1</v>
      </c>
      <c r="K311" s="69">
        <f t="shared" si="86"/>
        <v>-0.96829000000000076</v>
      </c>
      <c r="L311" s="79" t="s">
        <v>468</v>
      </c>
      <c r="M311" s="61">
        <f t="shared" si="87"/>
        <v>-2.0306999999999999</v>
      </c>
      <c r="N311" s="61">
        <f t="shared" si="88"/>
        <v>2.3884899999999996</v>
      </c>
      <c r="O311" s="61"/>
      <c r="P311" s="2"/>
      <c r="Q311" s="2"/>
      <c r="R311" s="32"/>
      <c r="S311" s="32"/>
      <c r="T311" s="32"/>
      <c r="U311" s="32"/>
      <c r="V311" s="2"/>
      <c r="W311" s="2"/>
      <c r="X311" s="2"/>
      <c r="Y311" s="2"/>
      <c r="Z311" s="2"/>
    </row>
    <row r="312" spans="1:26" ht="13.8" x14ac:dyDescent="0.3">
      <c r="A312" s="2" t="s">
        <v>340</v>
      </c>
      <c r="B312" s="2" t="s">
        <v>244</v>
      </c>
      <c r="C312" s="10">
        <v>2304025</v>
      </c>
      <c r="D312" s="10" t="s">
        <v>1162</v>
      </c>
      <c r="E312" s="10">
        <v>2420208</v>
      </c>
      <c r="F312" s="10" t="s">
        <v>1170</v>
      </c>
      <c r="G312" s="69">
        <v>778.81</v>
      </c>
      <c r="H312" s="69">
        <v>327.08</v>
      </c>
      <c r="I312" s="69">
        <f t="shared" si="85"/>
        <v>228.95599999999996</v>
      </c>
      <c r="J312" s="70">
        <v>1</v>
      </c>
      <c r="K312" s="69">
        <f t="shared" si="86"/>
        <v>852.18551999999977</v>
      </c>
      <c r="L312" s="79" t="s">
        <v>468</v>
      </c>
      <c r="M312" s="61">
        <f t="shared" si="87"/>
        <v>-34.343399999999988</v>
      </c>
      <c r="N312" s="61">
        <f t="shared" si="88"/>
        <v>40.394379999999998</v>
      </c>
      <c r="O312" s="61"/>
      <c r="P312" s="2"/>
      <c r="Q312" s="2"/>
      <c r="R312" s="32"/>
      <c r="S312" s="32"/>
      <c r="T312" s="32"/>
      <c r="U312" s="32"/>
      <c r="V312" s="2"/>
      <c r="W312" s="2"/>
      <c r="X312" s="2"/>
      <c r="Y312" s="2"/>
      <c r="Z312" s="2"/>
    </row>
    <row r="313" spans="1:26" ht="13.8" x14ac:dyDescent="0.3">
      <c r="A313" s="2" t="s">
        <v>340</v>
      </c>
      <c r="B313" s="2" t="s">
        <v>244</v>
      </c>
      <c r="C313" s="10">
        <v>2304025</v>
      </c>
      <c r="D313" s="10" t="s">
        <v>1162</v>
      </c>
      <c r="E313" s="10">
        <v>2435202</v>
      </c>
      <c r="F313" s="10" t="s">
        <v>1223</v>
      </c>
      <c r="G313" s="69">
        <v>-5.28</v>
      </c>
      <c r="H313" s="69">
        <v>31.57</v>
      </c>
      <c r="I313" s="69">
        <f t="shared" si="85"/>
        <v>22.099</v>
      </c>
      <c r="J313" s="70">
        <v>1</v>
      </c>
      <c r="K313" s="69">
        <f t="shared" si="86"/>
        <v>13.869954999999999</v>
      </c>
      <c r="L313" s="79" t="s">
        <v>468</v>
      </c>
      <c r="M313" s="61">
        <f t="shared" si="87"/>
        <v>-3.3148499999999999</v>
      </c>
      <c r="N313" s="61">
        <f t="shared" si="88"/>
        <v>3.8988949999999996</v>
      </c>
      <c r="O313" s="61"/>
      <c r="P313" s="2"/>
      <c r="Q313" s="2"/>
      <c r="R313" s="32"/>
      <c r="S313" s="32"/>
      <c r="T313" s="32"/>
      <c r="U313" s="32"/>
      <c r="V313" s="2"/>
      <c r="W313" s="2"/>
      <c r="X313" s="2"/>
      <c r="Y313" s="2"/>
      <c r="Z313" s="2"/>
    </row>
    <row r="314" spans="1:26" ht="13.8" x14ac:dyDescent="0.3">
      <c r="A314" s="2" t="s">
        <v>340</v>
      </c>
      <c r="B314" s="2" t="s">
        <v>244</v>
      </c>
      <c r="C314" s="10">
        <v>2304025</v>
      </c>
      <c r="D314" s="10" t="s">
        <v>1162</v>
      </c>
      <c r="E314" s="10">
        <v>2435203</v>
      </c>
      <c r="F314" s="10" t="s">
        <v>1224</v>
      </c>
      <c r="G314" s="69">
        <v>-23.75</v>
      </c>
      <c r="H314" s="69">
        <v>101.19</v>
      </c>
      <c r="I314" s="69">
        <f t="shared" si="85"/>
        <v>70.832999999999998</v>
      </c>
      <c r="J314" s="70">
        <v>1</v>
      </c>
      <c r="K314" s="69">
        <f t="shared" si="86"/>
        <v>38.654485000000001</v>
      </c>
      <c r="L314" s="79" t="s">
        <v>468</v>
      </c>
      <c r="M314" s="61">
        <f t="shared" si="87"/>
        <v>-10.624949999999998</v>
      </c>
      <c r="N314" s="61">
        <f t="shared" si="88"/>
        <v>12.496964999999999</v>
      </c>
      <c r="O314" s="61"/>
      <c r="P314" s="2"/>
      <c r="Q314" s="2"/>
      <c r="R314" s="32"/>
      <c r="S314" s="32"/>
      <c r="T314" s="32"/>
      <c r="U314" s="32"/>
      <c r="V314" s="2"/>
      <c r="W314" s="2"/>
      <c r="X314" s="2"/>
      <c r="Y314" s="2"/>
      <c r="Z314" s="2"/>
    </row>
    <row r="315" spans="1:26" ht="13.8" x14ac:dyDescent="0.3">
      <c r="A315" s="2" t="s">
        <v>340</v>
      </c>
      <c r="B315" s="2" t="s">
        <v>244</v>
      </c>
      <c r="C315" s="10">
        <v>2304025</v>
      </c>
      <c r="D315" s="10" t="s">
        <v>1162</v>
      </c>
      <c r="E315" s="10">
        <v>2435206</v>
      </c>
      <c r="F315" s="10" t="s">
        <v>1225</v>
      </c>
      <c r="G315" s="69">
        <v>-138.03</v>
      </c>
      <c r="H315" s="69">
        <v>105.99</v>
      </c>
      <c r="I315" s="69">
        <f t="shared" si="85"/>
        <v>74.192999999999998</v>
      </c>
      <c r="J315" s="70">
        <v>1</v>
      </c>
      <c r="K315" s="69">
        <f t="shared" si="86"/>
        <v>-55.692315000000008</v>
      </c>
      <c r="L315" s="79" t="s">
        <v>468</v>
      </c>
      <c r="M315" s="61">
        <f t="shared" si="87"/>
        <v>-11.128949999999998</v>
      </c>
      <c r="N315" s="61">
        <f t="shared" si="88"/>
        <v>13.089765</v>
      </c>
      <c r="O315" s="61"/>
      <c r="P315" s="2"/>
      <c r="Q315" s="2"/>
      <c r="R315" s="32"/>
      <c r="S315" s="32"/>
      <c r="T315" s="32"/>
      <c r="U315" s="32"/>
      <c r="V315" s="2"/>
      <c r="W315" s="2"/>
      <c r="X315" s="2"/>
      <c r="Y315" s="2"/>
      <c r="Z315" s="2"/>
    </row>
    <row r="316" spans="1:26" ht="13.8" x14ac:dyDescent="0.3">
      <c r="A316" s="2" t="s">
        <v>340</v>
      </c>
      <c r="B316" s="2" t="s">
        <v>244</v>
      </c>
      <c r="C316" s="10">
        <v>2304025</v>
      </c>
      <c r="D316" s="10" t="s">
        <v>1162</v>
      </c>
      <c r="E316" s="10">
        <v>2471540</v>
      </c>
      <c r="F316" s="10" t="s">
        <v>1172</v>
      </c>
      <c r="G316" s="69">
        <v>830.2</v>
      </c>
      <c r="H316" s="69">
        <v>148.15</v>
      </c>
      <c r="I316" s="69">
        <f t="shared" si="85"/>
        <v>103.705</v>
      </c>
      <c r="J316" s="70">
        <v>1</v>
      </c>
      <c r="K316" s="69">
        <f t="shared" si="86"/>
        <v>791.81922500000007</v>
      </c>
      <c r="L316" s="79" t="s">
        <v>468</v>
      </c>
      <c r="M316" s="61">
        <f t="shared" si="87"/>
        <v>-15.555749999999996</v>
      </c>
      <c r="N316" s="61">
        <f t="shared" si="88"/>
        <v>18.296524999999999</v>
      </c>
      <c r="O316" s="61"/>
      <c r="P316" s="2"/>
      <c r="Q316" s="2"/>
      <c r="R316" s="32"/>
      <c r="S316" s="32"/>
      <c r="T316" s="32"/>
      <c r="U316" s="32"/>
      <c r="V316" s="2"/>
      <c r="W316" s="2"/>
      <c r="X316" s="2"/>
      <c r="Y316" s="2"/>
      <c r="Z316" s="2"/>
    </row>
    <row r="317" spans="1:26" ht="13.8" x14ac:dyDescent="0.3">
      <c r="A317" s="2" t="s">
        <v>340</v>
      </c>
      <c r="B317" s="2" t="s">
        <v>244</v>
      </c>
      <c r="C317" s="10">
        <v>2304025</v>
      </c>
      <c r="D317" s="10" t="s">
        <v>1162</v>
      </c>
      <c r="E317" s="10">
        <v>2493795</v>
      </c>
      <c r="F317" s="10" t="s">
        <v>1174</v>
      </c>
      <c r="G317" s="69">
        <v>119.4</v>
      </c>
      <c r="H317" s="69">
        <v>24.32</v>
      </c>
      <c r="I317" s="69">
        <f t="shared" si="85"/>
        <v>17.023999999999997</v>
      </c>
      <c r="J317" s="70">
        <v>1</v>
      </c>
      <c r="K317" s="69">
        <f t="shared" si="86"/>
        <v>115.63208000000002</v>
      </c>
      <c r="L317" s="79" t="s">
        <v>468</v>
      </c>
      <c r="M317" s="61">
        <f t="shared" si="87"/>
        <v>-2.5535999999999994</v>
      </c>
      <c r="N317" s="61">
        <f t="shared" si="88"/>
        <v>3.00352</v>
      </c>
      <c r="O317" s="61"/>
      <c r="P317" s="2"/>
      <c r="Q317" s="2"/>
      <c r="R317" s="32"/>
      <c r="S317" s="32"/>
      <c r="T317" s="32"/>
      <c r="U317" s="32"/>
      <c r="V317" s="2"/>
      <c r="W317" s="2"/>
      <c r="X317" s="2"/>
      <c r="Y317" s="2"/>
      <c r="Z317" s="2"/>
    </row>
    <row r="318" spans="1:26" ht="13.8" x14ac:dyDescent="0.3">
      <c r="A318" s="2" t="s">
        <v>340</v>
      </c>
      <c r="B318" s="2" t="s">
        <v>244</v>
      </c>
      <c r="C318" s="10">
        <v>2304025</v>
      </c>
      <c r="D318" s="10" t="s">
        <v>1162</v>
      </c>
      <c r="E318" s="10">
        <v>2531140</v>
      </c>
      <c r="F318" s="10" t="s">
        <v>1257</v>
      </c>
      <c r="G318" s="69">
        <v>678.69</v>
      </c>
      <c r="H318" s="69">
        <v>216.59</v>
      </c>
      <c r="I318" s="69">
        <f t="shared" si="85"/>
        <v>151.613</v>
      </c>
      <c r="J318" s="70">
        <v>1</v>
      </c>
      <c r="K318" s="69">
        <f t="shared" si="86"/>
        <v>702.83358500000008</v>
      </c>
      <c r="L318" s="79" t="s">
        <v>468</v>
      </c>
      <c r="M318" s="61">
        <f t="shared" si="87"/>
        <v>-22.741949999999999</v>
      </c>
      <c r="N318" s="61">
        <f t="shared" si="88"/>
        <v>26.748865000000002</v>
      </c>
      <c r="O318" s="61"/>
      <c r="P318" s="2"/>
      <c r="Q318" s="2"/>
      <c r="R318" s="32"/>
      <c r="S318" s="32"/>
      <c r="T318" s="32"/>
      <c r="U318" s="32"/>
      <c r="V318" s="2"/>
      <c r="W318" s="2"/>
      <c r="X318" s="2"/>
      <c r="Y318" s="2"/>
      <c r="Z318" s="2"/>
    </row>
    <row r="319" spans="1:26" ht="13.8" x14ac:dyDescent="0.3">
      <c r="A319" s="2" t="s">
        <v>340</v>
      </c>
      <c r="B319" s="2" t="s">
        <v>244</v>
      </c>
      <c r="C319" s="10">
        <v>2304025</v>
      </c>
      <c r="D319" s="10" t="s">
        <v>1162</v>
      </c>
      <c r="E319" s="10">
        <v>2531145</v>
      </c>
      <c r="F319" s="10" t="s">
        <v>1226</v>
      </c>
      <c r="G319" s="69">
        <v>711.67</v>
      </c>
      <c r="H319" s="69">
        <v>35.590000000000003</v>
      </c>
      <c r="I319" s="69">
        <f t="shared" si="85"/>
        <v>24.913</v>
      </c>
      <c r="J319" s="70">
        <v>1</v>
      </c>
      <c r="K319" s="69">
        <f t="shared" si="86"/>
        <v>625.61508500000002</v>
      </c>
      <c r="L319" s="79" t="s">
        <v>468</v>
      </c>
      <c r="M319" s="61">
        <f t="shared" si="87"/>
        <v>-3.7369500000000069</v>
      </c>
      <c r="N319" s="61">
        <f t="shared" si="88"/>
        <v>4.395365</v>
      </c>
      <c r="O319" s="61"/>
      <c r="P319" s="2"/>
      <c r="Q319" s="2"/>
      <c r="R319" s="32"/>
      <c r="S319" s="32"/>
      <c r="T319" s="32"/>
      <c r="U319" s="32"/>
      <c r="V319" s="2"/>
      <c r="W319" s="2"/>
      <c r="X319" s="2"/>
      <c r="Y319" s="2"/>
      <c r="Z319" s="2"/>
    </row>
    <row r="320" spans="1:26" ht="13.8" x14ac:dyDescent="0.3">
      <c r="A320" s="2" t="s">
        <v>340</v>
      </c>
      <c r="B320" s="2" t="s">
        <v>244</v>
      </c>
      <c r="C320" s="10">
        <v>2304025</v>
      </c>
      <c r="D320" s="10" t="s">
        <v>1162</v>
      </c>
      <c r="E320" s="10">
        <v>2531146</v>
      </c>
      <c r="F320" s="10" t="s">
        <v>1227</v>
      </c>
      <c r="G320" s="69">
        <v>-1250.94</v>
      </c>
      <c r="H320" s="69">
        <v>134.08000000000001</v>
      </c>
      <c r="I320" s="69">
        <f t="shared" si="85"/>
        <v>93.856000000000009</v>
      </c>
      <c r="J320" s="70">
        <v>1</v>
      </c>
      <c r="K320" s="69">
        <f t="shared" si="86"/>
        <v>-985.33147999999994</v>
      </c>
      <c r="L320" s="79" t="s">
        <v>468</v>
      </c>
      <c r="M320" s="61">
        <f t="shared" si="87"/>
        <v>-14.078399999999975</v>
      </c>
      <c r="N320" s="61">
        <f t="shared" si="88"/>
        <v>16.558880000000002</v>
      </c>
      <c r="O320" s="61"/>
      <c r="P320" s="2"/>
      <c r="Q320" s="2"/>
      <c r="R320" s="32"/>
      <c r="S320" s="32"/>
      <c r="T320" s="32"/>
      <c r="U320" s="32"/>
      <c r="V320" s="2"/>
      <c r="W320" s="2"/>
      <c r="X320" s="2"/>
      <c r="Y320" s="2"/>
      <c r="Z320" s="2"/>
    </row>
    <row r="321" spans="1:26" ht="13.8" x14ac:dyDescent="0.3">
      <c r="A321" s="2" t="s">
        <v>340</v>
      </c>
      <c r="B321" s="2" t="s">
        <v>244</v>
      </c>
      <c r="C321" s="10">
        <v>2304025</v>
      </c>
      <c r="D321" s="10" t="s">
        <v>1162</v>
      </c>
      <c r="E321" s="10">
        <v>2531191</v>
      </c>
      <c r="F321" s="10" t="s">
        <v>1259</v>
      </c>
      <c r="G321" s="69">
        <v>-48.44</v>
      </c>
      <c r="H321" s="69">
        <v>3.66</v>
      </c>
      <c r="I321" s="69">
        <f t="shared" si="85"/>
        <v>2.5619999999999998</v>
      </c>
      <c r="J321" s="70">
        <v>1</v>
      </c>
      <c r="K321" s="69">
        <f t="shared" si="86"/>
        <v>-39.04571</v>
      </c>
      <c r="L321" s="79" t="s">
        <v>468</v>
      </c>
      <c r="M321" s="61">
        <f t="shared" si="87"/>
        <v>-0.38429999999999964</v>
      </c>
      <c r="N321" s="61">
        <f t="shared" si="88"/>
        <v>0.45201000000000002</v>
      </c>
      <c r="O321" s="61"/>
      <c r="P321" s="2"/>
      <c r="Q321" s="2"/>
      <c r="R321" s="32"/>
      <c r="S321" s="32"/>
      <c r="T321" s="32"/>
      <c r="U321" s="32"/>
      <c r="V321" s="2"/>
      <c r="W321" s="2"/>
      <c r="X321" s="2"/>
      <c r="Y321" s="2"/>
      <c r="Z321" s="2"/>
    </row>
    <row r="322" spans="1:26" ht="13.8" x14ac:dyDescent="0.3">
      <c r="A322" s="2" t="s">
        <v>340</v>
      </c>
      <c r="B322" s="2" t="s">
        <v>244</v>
      </c>
      <c r="C322" s="10">
        <v>2304025</v>
      </c>
      <c r="D322" s="10" t="s">
        <v>1162</v>
      </c>
      <c r="E322" s="10">
        <v>2532223</v>
      </c>
      <c r="F322" s="10" t="s">
        <v>1278</v>
      </c>
      <c r="G322" s="69">
        <v>-12.06</v>
      </c>
      <c r="H322" s="69">
        <v>44.5</v>
      </c>
      <c r="I322" s="69">
        <f t="shared" si="85"/>
        <v>31.15</v>
      </c>
      <c r="J322" s="70">
        <v>1</v>
      </c>
      <c r="K322" s="69">
        <f t="shared" si="86"/>
        <v>15.625749999999998</v>
      </c>
      <c r="L322" s="79" t="s">
        <v>468</v>
      </c>
      <c r="M322" s="61">
        <f t="shared" si="87"/>
        <v>-4.6724999999999994</v>
      </c>
      <c r="N322" s="61">
        <f t="shared" si="88"/>
        <v>5.4957499999999992</v>
      </c>
      <c r="O322" s="61"/>
      <c r="P322" s="2"/>
      <c r="Q322" s="2"/>
      <c r="R322" s="32"/>
      <c r="S322" s="32"/>
      <c r="T322" s="32"/>
      <c r="U322" s="32"/>
      <c r="V322" s="2"/>
      <c r="W322" s="2"/>
      <c r="X322" s="2"/>
      <c r="Y322" s="2"/>
      <c r="Z322" s="2"/>
    </row>
    <row r="323" spans="1:26" ht="13.8" x14ac:dyDescent="0.3">
      <c r="A323" s="2" t="s">
        <v>340</v>
      </c>
      <c r="B323" s="2" t="s">
        <v>244</v>
      </c>
      <c r="C323" s="10">
        <v>2304025</v>
      </c>
      <c r="D323" s="10" t="s">
        <v>1162</v>
      </c>
      <c r="E323" s="10">
        <v>2538386</v>
      </c>
      <c r="F323" s="10" t="s">
        <v>1260</v>
      </c>
      <c r="G323" s="69">
        <v>55.6</v>
      </c>
      <c r="H323" s="69">
        <v>10.039999999999999</v>
      </c>
      <c r="I323" s="69">
        <f t="shared" si="85"/>
        <v>7.0279999999999987</v>
      </c>
      <c r="J323" s="70">
        <v>1</v>
      </c>
      <c r="K323" s="69">
        <f t="shared" si="86"/>
        <v>53.098260000000003</v>
      </c>
      <c r="L323" s="79" t="s">
        <v>468</v>
      </c>
      <c r="M323" s="61">
        <f t="shared" si="87"/>
        <v>-1.0542</v>
      </c>
      <c r="N323" s="61">
        <f t="shared" si="88"/>
        <v>1.2399399999999998</v>
      </c>
      <c r="O323" s="61"/>
      <c r="P323" s="2"/>
      <c r="Q323" s="2"/>
      <c r="R323" s="32"/>
      <c r="S323" s="32"/>
      <c r="T323" s="32"/>
      <c r="U323" s="32"/>
      <c r="V323" s="2"/>
      <c r="W323" s="2"/>
      <c r="X323" s="2"/>
      <c r="Y323" s="2"/>
      <c r="Z323" s="2"/>
    </row>
    <row r="324" spans="1:26" ht="13.8" x14ac:dyDescent="0.3">
      <c r="A324" s="2" t="s">
        <v>340</v>
      </c>
      <c r="B324" s="2" t="s">
        <v>244</v>
      </c>
      <c r="C324" s="10">
        <v>2304025</v>
      </c>
      <c r="D324" s="10" t="s">
        <v>1162</v>
      </c>
      <c r="E324" s="10">
        <v>2540315</v>
      </c>
      <c r="F324" s="10" t="s">
        <v>1262</v>
      </c>
      <c r="G324" s="69">
        <v>66.069999999999993</v>
      </c>
      <c r="H324" s="69">
        <v>2.1</v>
      </c>
      <c r="I324" s="69">
        <f t="shared" si="85"/>
        <v>1.47</v>
      </c>
      <c r="J324" s="70">
        <v>1</v>
      </c>
      <c r="K324" s="69">
        <f t="shared" si="86"/>
        <v>57.380649999999996</v>
      </c>
      <c r="L324" s="79" t="s">
        <v>468</v>
      </c>
      <c r="M324" s="61">
        <f t="shared" si="87"/>
        <v>-0.22049999999999964</v>
      </c>
      <c r="N324" s="61">
        <f t="shared" si="88"/>
        <v>0.25934999999999997</v>
      </c>
      <c r="O324" s="61"/>
      <c r="P324" s="2"/>
      <c r="Q324" s="2"/>
      <c r="R324" s="32"/>
      <c r="S324" s="32"/>
      <c r="T324" s="32"/>
      <c r="U324" s="32"/>
      <c r="V324" s="2"/>
      <c r="W324" s="2"/>
      <c r="X324" s="2"/>
      <c r="Y324" s="2"/>
      <c r="Z324" s="2"/>
    </row>
    <row r="325" spans="1:26" ht="13.8" x14ac:dyDescent="0.3">
      <c r="A325" s="2" t="s">
        <v>340</v>
      </c>
      <c r="B325" s="2" t="s">
        <v>244</v>
      </c>
      <c r="C325" s="10">
        <v>2304025</v>
      </c>
      <c r="D325" s="10" t="s">
        <v>1162</v>
      </c>
      <c r="E325" s="10">
        <v>2541423</v>
      </c>
      <c r="F325" s="10" t="s">
        <v>1263</v>
      </c>
      <c r="G325" s="69">
        <v>1331.06</v>
      </c>
      <c r="H325" s="69">
        <v>133.77000000000001</v>
      </c>
      <c r="I325" s="69">
        <f t="shared" si="85"/>
        <v>93.638999999999996</v>
      </c>
      <c r="J325" s="70">
        <v>1</v>
      </c>
      <c r="K325" s="69">
        <f t="shared" si="86"/>
        <v>1209.1882549999998</v>
      </c>
      <c r="L325" s="79" t="s">
        <v>468</v>
      </c>
      <c r="M325" s="61">
        <f t="shared" si="87"/>
        <v>-14.045849999999989</v>
      </c>
      <c r="N325" s="61">
        <f t="shared" si="88"/>
        <v>16.520595</v>
      </c>
      <c r="O325" s="61"/>
      <c r="P325" s="2"/>
      <c r="Q325" s="2"/>
      <c r="R325" s="32"/>
      <c r="S325" s="32"/>
      <c r="T325" s="32"/>
      <c r="U325" s="32"/>
      <c r="V325" s="2"/>
      <c r="W325" s="2"/>
      <c r="X325" s="2"/>
      <c r="Y325" s="2"/>
      <c r="Z325" s="2"/>
    </row>
    <row r="326" spans="1:26" ht="13.8" x14ac:dyDescent="0.3">
      <c r="A326" s="2" t="s">
        <v>340</v>
      </c>
      <c r="B326" s="2" t="s">
        <v>244</v>
      </c>
      <c r="C326" s="10">
        <v>2304025</v>
      </c>
      <c r="D326" s="10" t="s">
        <v>1162</v>
      </c>
      <c r="E326" s="10">
        <v>2554720</v>
      </c>
      <c r="F326" s="10" t="s">
        <v>1270</v>
      </c>
      <c r="G326" s="69">
        <v>451.11</v>
      </c>
      <c r="H326" s="69">
        <v>21.15</v>
      </c>
      <c r="I326" s="69">
        <f t="shared" si="85"/>
        <v>14.804999999999998</v>
      </c>
      <c r="J326" s="70">
        <v>1</v>
      </c>
      <c r="K326" s="69">
        <f t="shared" si="86"/>
        <v>395.74222500000002</v>
      </c>
      <c r="L326" s="79" t="s">
        <v>468</v>
      </c>
      <c r="M326" s="61">
        <f t="shared" si="87"/>
        <v>-2.2207499999999993</v>
      </c>
      <c r="N326" s="61">
        <f t="shared" si="88"/>
        <v>2.6120249999999996</v>
      </c>
      <c r="O326" s="61"/>
      <c r="P326" s="2"/>
      <c r="Q326" s="2"/>
      <c r="R326" s="32"/>
      <c r="S326" s="32"/>
      <c r="T326" s="32"/>
      <c r="U326" s="32"/>
      <c r="V326" s="2"/>
      <c r="W326" s="2"/>
      <c r="X326" s="2"/>
      <c r="Y326" s="2"/>
      <c r="Z326" s="2"/>
    </row>
    <row r="327" spans="1:26" ht="13.8" x14ac:dyDescent="0.3">
      <c r="A327" s="2" t="s">
        <v>340</v>
      </c>
      <c r="B327" s="2" t="s">
        <v>244</v>
      </c>
      <c r="C327" s="10">
        <v>2523689</v>
      </c>
      <c r="D327" s="10" t="s">
        <v>1179</v>
      </c>
      <c r="E327" s="10">
        <v>2525136</v>
      </c>
      <c r="F327" s="10" t="s">
        <v>1205</v>
      </c>
      <c r="G327" s="69">
        <v>-111.6</v>
      </c>
      <c r="H327" s="69">
        <v>42.55</v>
      </c>
      <c r="I327" s="69">
        <f t="shared" si="85"/>
        <v>29.784999999999997</v>
      </c>
      <c r="J327" s="70">
        <v>1</v>
      </c>
      <c r="K327" s="69">
        <f t="shared" si="86"/>
        <v>-70.117175000000003</v>
      </c>
      <c r="L327" s="79" t="s">
        <v>468</v>
      </c>
      <c r="M327" s="61">
        <f t="shared" si="87"/>
        <v>-4.4677499999999988</v>
      </c>
      <c r="N327" s="61">
        <f t="shared" si="88"/>
        <v>5.2549250000000001</v>
      </c>
      <c r="O327" s="61"/>
      <c r="P327" s="2"/>
      <c r="Q327" s="2"/>
      <c r="R327" s="32"/>
      <c r="S327" s="32"/>
      <c r="T327" s="32"/>
      <c r="U327" s="32"/>
      <c r="V327" s="2"/>
      <c r="W327" s="2"/>
      <c r="X327" s="2"/>
      <c r="Y327" s="2"/>
      <c r="Z327" s="2"/>
    </row>
    <row r="328" spans="1:26" ht="13.8" x14ac:dyDescent="0.3">
      <c r="A328" s="2" t="s">
        <v>340</v>
      </c>
      <c r="B328" s="2" t="s">
        <v>244</v>
      </c>
      <c r="C328" s="10">
        <v>2550550</v>
      </c>
      <c r="D328" s="10" t="s">
        <v>1272</v>
      </c>
      <c r="E328" s="10">
        <v>2550550</v>
      </c>
      <c r="F328" s="10" t="s">
        <v>1272</v>
      </c>
      <c r="G328" s="69">
        <v>-300</v>
      </c>
      <c r="H328" s="69">
        <v>30</v>
      </c>
      <c r="I328" s="69">
        <f t="shared" si="85"/>
        <v>21</v>
      </c>
      <c r="J328" s="70">
        <v>1</v>
      </c>
      <c r="K328" s="69">
        <f>(G328+I328)*J328*0.96+(G328*0.04-(G328+H328)*0.04)*J328*0.3+I328*0.04*J328*0.3</f>
        <v>-267.94799999999998</v>
      </c>
      <c r="L328" s="19" t="s">
        <v>468</v>
      </c>
      <c r="M328" s="61">
        <f>(G328*0.04-(G328+H328)*0.04)*J328*0.7</f>
        <v>-0.83999999999999941</v>
      </c>
      <c r="N328" s="61">
        <f>I328*0.04*J328*0.7+H328*0.05*J328</f>
        <v>2.0880000000000001</v>
      </c>
      <c r="O328" s="58"/>
      <c r="P328" s="2"/>
      <c r="Q328" s="2"/>
      <c r="R328" s="32"/>
      <c r="S328" s="32"/>
      <c r="T328" s="32"/>
      <c r="U328" s="32"/>
      <c r="V328" s="2"/>
      <c r="W328" s="2"/>
      <c r="X328" s="2"/>
      <c r="Y328" s="2"/>
      <c r="Z328" s="2"/>
    </row>
    <row r="329" spans="1:26" ht="13.8" x14ac:dyDescent="0.3">
      <c r="A329" s="2" t="s">
        <v>340</v>
      </c>
      <c r="B329" s="2" t="s">
        <v>244</v>
      </c>
      <c r="C329" s="10">
        <v>2566294</v>
      </c>
      <c r="D329" s="10" t="s">
        <v>1276</v>
      </c>
      <c r="E329" s="10">
        <v>2525032</v>
      </c>
      <c r="F329" s="10" t="s">
        <v>1277</v>
      </c>
      <c r="G329" s="69">
        <v>-2539.58</v>
      </c>
      <c r="H329" s="69">
        <v>405.29</v>
      </c>
      <c r="I329" s="69">
        <f t="shared" si="85"/>
        <v>283.70299999999997</v>
      </c>
      <c r="J329" s="70">
        <v>1</v>
      </c>
      <c r="K329" s="69">
        <f>(G329+I329)*0.85+(G329*0.15-(G329+H329)*0.15)*J329*0.3+I329*0.15*J329*0.3</f>
        <v>-1922.9668649999999</v>
      </c>
      <c r="L329" s="79" t="s">
        <v>468</v>
      </c>
      <c r="M329" s="61">
        <f>(G329*0.15-(G329+H329)*0.15)*J329*0.7</f>
        <v>-42.555449999999993</v>
      </c>
      <c r="N329" s="61">
        <f>I329*0.15*J329*0.7+H329*0.05*J329</f>
        <v>50.053314999999998</v>
      </c>
      <c r="O329" s="61"/>
      <c r="P329" s="2"/>
      <c r="Q329" s="2"/>
      <c r="R329" s="32"/>
      <c r="S329" s="32"/>
      <c r="T329" s="32"/>
      <c r="U329" s="32"/>
      <c r="V329" s="2"/>
      <c r="W329" s="2"/>
      <c r="X329" s="2"/>
      <c r="Y329" s="2"/>
      <c r="Z329" s="2"/>
    </row>
    <row r="330" spans="1:26" ht="13.8" x14ac:dyDescent="0.3">
      <c r="A330" s="32" t="s">
        <v>359</v>
      </c>
      <c r="B330" s="2" t="s">
        <v>186</v>
      </c>
      <c r="C330" s="10">
        <v>2304025</v>
      </c>
      <c r="D330" s="10" t="s">
        <v>1162</v>
      </c>
      <c r="E330" s="10">
        <v>2380008</v>
      </c>
      <c r="F330" s="10" t="s">
        <v>1192</v>
      </c>
      <c r="G330" s="69">
        <v>-348.88</v>
      </c>
      <c r="H330" s="69">
        <v>22.26</v>
      </c>
      <c r="I330" s="69">
        <f t="shared" ref="I330:I337" si="89">H330*0.5</f>
        <v>11.13</v>
      </c>
      <c r="J330" s="70">
        <v>1</v>
      </c>
      <c r="K330" s="69">
        <f t="shared" ref="K330:K337" si="90">(G330+I330)*J330*0.85+(-H330*0.4*0.15)*J330*0.3+H330*0.1*0.85*J330*0.3</f>
        <v>-286.92054999999999</v>
      </c>
      <c r="L330" s="79" t="s">
        <v>468</v>
      </c>
      <c r="M330" s="61">
        <f t="shared" ref="M330:M337" si="91">(-H330*0.4*0.15)*J330*0.7-(-H330*0.05*0.15)*J330</f>
        <v>-0.76796999999999993</v>
      </c>
      <c r="N330" s="61">
        <f t="shared" ref="N330:N337" si="92">H330*0.1*0.85*J330*0.7+H330*0.05*0.85*J330</f>
        <v>2.2705200000000003</v>
      </c>
      <c r="O330" s="61"/>
      <c r="P330" s="2"/>
      <c r="Q330" s="2"/>
      <c r="R330" s="32"/>
      <c r="S330" s="32"/>
      <c r="T330" s="32"/>
      <c r="U330" s="32"/>
      <c r="V330" s="2"/>
      <c r="W330" s="2"/>
      <c r="X330" s="2"/>
      <c r="Y330" s="2"/>
      <c r="Z330" s="2"/>
    </row>
    <row r="331" spans="1:26" ht="13.8" x14ac:dyDescent="0.3">
      <c r="A331" s="32" t="s">
        <v>359</v>
      </c>
      <c r="B331" s="2" t="s">
        <v>186</v>
      </c>
      <c r="C331" s="10">
        <v>2304025</v>
      </c>
      <c r="D331" s="10" t="s">
        <v>1162</v>
      </c>
      <c r="E331" s="10">
        <v>2381522</v>
      </c>
      <c r="F331" s="10" t="s">
        <v>1166</v>
      </c>
      <c r="G331" s="69">
        <v>343.76</v>
      </c>
      <c r="H331" s="69">
        <v>9.31</v>
      </c>
      <c r="I331" s="69">
        <f t="shared" si="89"/>
        <v>4.6550000000000002</v>
      </c>
      <c r="J331" s="70">
        <v>1</v>
      </c>
      <c r="K331" s="69">
        <f t="shared" si="90"/>
        <v>296.22257500000001</v>
      </c>
      <c r="L331" s="79" t="s">
        <v>468</v>
      </c>
      <c r="M331" s="61">
        <f t="shared" si="91"/>
        <v>-0.32119500000000001</v>
      </c>
      <c r="N331" s="61">
        <f t="shared" si="92"/>
        <v>0.94961999999999991</v>
      </c>
      <c r="O331" s="61"/>
      <c r="P331" s="2"/>
      <c r="Q331" s="2"/>
      <c r="R331" s="32"/>
      <c r="S331" s="32"/>
      <c r="T331" s="32"/>
      <c r="U331" s="32"/>
      <c r="V331" s="2"/>
      <c r="W331" s="2"/>
      <c r="X331" s="2"/>
      <c r="Y331" s="2"/>
      <c r="Z331" s="2"/>
    </row>
    <row r="332" spans="1:26" ht="13.8" x14ac:dyDescent="0.3">
      <c r="A332" s="32" t="s">
        <v>359</v>
      </c>
      <c r="B332" s="2" t="s">
        <v>186</v>
      </c>
      <c r="C332" s="10">
        <v>2304025</v>
      </c>
      <c r="D332" s="10" t="s">
        <v>1162</v>
      </c>
      <c r="E332" s="10">
        <v>2391366</v>
      </c>
      <c r="F332" s="10" t="s">
        <v>1168</v>
      </c>
      <c r="G332" s="69">
        <v>-218.68</v>
      </c>
      <c r="H332" s="69">
        <v>20.12</v>
      </c>
      <c r="I332" s="69">
        <f t="shared" si="89"/>
        <v>10.06</v>
      </c>
      <c r="J332" s="70">
        <v>1</v>
      </c>
      <c r="K332" s="69">
        <f t="shared" si="90"/>
        <v>-177.17609999999999</v>
      </c>
      <c r="L332" s="79" t="s">
        <v>468</v>
      </c>
      <c r="M332" s="61">
        <f t="shared" si="91"/>
        <v>-0.69413999999999998</v>
      </c>
      <c r="N332" s="61">
        <f t="shared" si="92"/>
        <v>2.0522399999999998</v>
      </c>
      <c r="O332" s="61"/>
      <c r="P332" s="2"/>
      <c r="Q332" s="2"/>
      <c r="R332" s="32"/>
      <c r="S332" s="32"/>
      <c r="T332" s="32"/>
      <c r="U332" s="32"/>
      <c r="V332" s="2"/>
      <c r="W332" s="2"/>
      <c r="X332" s="2"/>
      <c r="Y332" s="2"/>
      <c r="Z332" s="2"/>
    </row>
    <row r="333" spans="1:26" ht="13.8" x14ac:dyDescent="0.3">
      <c r="A333" s="32" t="s">
        <v>359</v>
      </c>
      <c r="B333" s="2" t="s">
        <v>186</v>
      </c>
      <c r="C333" s="10">
        <v>2304025</v>
      </c>
      <c r="D333" s="10" t="s">
        <v>1162</v>
      </c>
      <c r="E333" s="10">
        <v>2531191</v>
      </c>
      <c r="F333" s="10" t="s">
        <v>1259</v>
      </c>
      <c r="G333" s="69">
        <v>54.65</v>
      </c>
      <c r="H333" s="69">
        <v>9.84</v>
      </c>
      <c r="I333" s="69">
        <f t="shared" si="89"/>
        <v>4.92</v>
      </c>
      <c r="J333" s="70">
        <v>1</v>
      </c>
      <c r="K333" s="69">
        <f t="shared" si="90"/>
        <v>50.708299999999994</v>
      </c>
      <c r="L333" s="79" t="s">
        <v>468</v>
      </c>
      <c r="M333" s="61">
        <f t="shared" si="91"/>
        <v>-0.33947999999999995</v>
      </c>
      <c r="N333" s="61">
        <f t="shared" si="92"/>
        <v>1.0036799999999999</v>
      </c>
      <c r="O333" s="61"/>
      <c r="P333" s="2"/>
      <c r="Q333" s="2"/>
      <c r="R333" s="32"/>
      <c r="S333" s="32"/>
      <c r="T333" s="32"/>
      <c r="U333" s="32"/>
      <c r="V333" s="2"/>
      <c r="W333" s="2"/>
      <c r="X333" s="2"/>
      <c r="Y333" s="2"/>
      <c r="Z333" s="2"/>
    </row>
    <row r="334" spans="1:26" ht="13.8" x14ac:dyDescent="0.3">
      <c r="A334" s="32" t="s">
        <v>359</v>
      </c>
      <c r="B334" s="2" t="s">
        <v>186</v>
      </c>
      <c r="C334" s="10">
        <v>2304025</v>
      </c>
      <c r="D334" s="10" t="s">
        <v>1162</v>
      </c>
      <c r="E334" s="10">
        <v>2535371</v>
      </c>
      <c r="F334" s="10" t="s">
        <v>1250</v>
      </c>
      <c r="G334" s="69">
        <v>194.5</v>
      </c>
      <c r="H334" s="69">
        <v>5.2</v>
      </c>
      <c r="I334" s="69">
        <f t="shared" si="89"/>
        <v>2.6</v>
      </c>
      <c r="J334" s="70">
        <v>1</v>
      </c>
      <c r="K334" s="69">
        <f t="shared" si="90"/>
        <v>167.57399999999998</v>
      </c>
      <c r="L334" s="79" t="s">
        <v>468</v>
      </c>
      <c r="M334" s="61">
        <f t="shared" si="91"/>
        <v>-0.17939999999999998</v>
      </c>
      <c r="N334" s="61">
        <f t="shared" si="92"/>
        <v>0.53039999999999998</v>
      </c>
      <c r="O334" s="61"/>
      <c r="P334" s="2"/>
      <c r="Q334" s="2"/>
      <c r="R334" s="32"/>
      <c r="S334" s="32"/>
      <c r="T334" s="32"/>
      <c r="U334" s="32"/>
      <c r="V334" s="2"/>
      <c r="W334" s="2"/>
      <c r="X334" s="2"/>
      <c r="Y334" s="2"/>
      <c r="Z334" s="2"/>
    </row>
    <row r="335" spans="1:26" ht="13.8" x14ac:dyDescent="0.3">
      <c r="A335" s="32" t="s">
        <v>359</v>
      </c>
      <c r="B335" s="2" t="s">
        <v>186</v>
      </c>
      <c r="C335" s="10">
        <v>2304025</v>
      </c>
      <c r="D335" s="10" t="s">
        <v>1162</v>
      </c>
      <c r="E335" s="10">
        <v>2540293</v>
      </c>
      <c r="F335" s="10" t="s">
        <v>1261</v>
      </c>
      <c r="G335" s="69">
        <v>-27.62</v>
      </c>
      <c r="H335" s="69">
        <v>4.5</v>
      </c>
      <c r="I335" s="69">
        <f t="shared" si="89"/>
        <v>2.25</v>
      </c>
      <c r="J335" s="70">
        <v>1</v>
      </c>
      <c r="K335" s="69">
        <f t="shared" si="90"/>
        <v>-21.530749999999998</v>
      </c>
      <c r="L335" s="79" t="s">
        <v>468</v>
      </c>
      <c r="M335" s="61">
        <f t="shared" si="91"/>
        <v>-0.15525</v>
      </c>
      <c r="N335" s="61">
        <f t="shared" si="92"/>
        <v>0.45899999999999996</v>
      </c>
      <c r="O335" s="61"/>
      <c r="P335" s="2"/>
      <c r="Q335" s="2"/>
      <c r="R335" s="32"/>
      <c r="S335" s="32"/>
      <c r="T335" s="32"/>
      <c r="U335" s="32"/>
      <c r="V335" s="2"/>
      <c r="W335" s="2"/>
      <c r="X335" s="2"/>
      <c r="Y335" s="2"/>
      <c r="Z335" s="2"/>
    </row>
    <row r="336" spans="1:26" ht="13.8" x14ac:dyDescent="0.3">
      <c r="A336" s="32" t="s">
        <v>359</v>
      </c>
      <c r="B336" s="2" t="s">
        <v>186</v>
      </c>
      <c r="C336" s="10">
        <v>2304025</v>
      </c>
      <c r="D336" s="10" t="s">
        <v>1162</v>
      </c>
      <c r="E336" s="10">
        <v>2554720</v>
      </c>
      <c r="F336" s="10" t="s">
        <v>1270</v>
      </c>
      <c r="G336" s="69">
        <v>277.83999999999997</v>
      </c>
      <c r="H336" s="69">
        <v>46.26</v>
      </c>
      <c r="I336" s="69">
        <f t="shared" si="89"/>
        <v>23.13</v>
      </c>
      <c r="J336" s="70">
        <v>1</v>
      </c>
      <c r="K336" s="69">
        <f t="shared" si="90"/>
        <v>256.17144999999994</v>
      </c>
      <c r="L336" s="79" t="s">
        <v>468</v>
      </c>
      <c r="M336" s="61">
        <f t="shared" si="91"/>
        <v>-1.5959699999999999</v>
      </c>
      <c r="N336" s="61">
        <f t="shared" si="92"/>
        <v>4.7185199999999998</v>
      </c>
      <c r="O336" s="61"/>
      <c r="P336" s="2"/>
      <c r="Q336" s="2"/>
      <c r="R336" s="32"/>
      <c r="S336" s="32"/>
      <c r="T336" s="32"/>
      <c r="U336" s="32"/>
      <c r="V336" s="2"/>
      <c r="W336" s="2"/>
      <c r="X336" s="2"/>
      <c r="Y336" s="2"/>
      <c r="Z336" s="2"/>
    </row>
    <row r="337" spans="1:26" ht="13.8" x14ac:dyDescent="0.3">
      <c r="A337" s="32" t="s">
        <v>359</v>
      </c>
      <c r="B337" s="2" t="s">
        <v>186</v>
      </c>
      <c r="C337" s="10">
        <v>2523689</v>
      </c>
      <c r="D337" s="10" t="s">
        <v>1179</v>
      </c>
      <c r="E337" s="10">
        <v>2525136</v>
      </c>
      <c r="F337" s="10" t="s">
        <v>1205</v>
      </c>
      <c r="G337" s="69">
        <v>34.22</v>
      </c>
      <c r="H337" s="69">
        <v>31.95</v>
      </c>
      <c r="I337" s="69">
        <f t="shared" si="89"/>
        <v>15.975</v>
      </c>
      <c r="J337" s="70">
        <v>1</v>
      </c>
      <c r="K337" s="69">
        <f t="shared" si="90"/>
        <v>42.905374999999999</v>
      </c>
      <c r="L337" s="79" t="s">
        <v>468</v>
      </c>
      <c r="M337" s="61">
        <f t="shared" si="91"/>
        <v>-1.1022749999999999</v>
      </c>
      <c r="N337" s="61">
        <f t="shared" si="92"/>
        <v>3.2589000000000006</v>
      </c>
      <c r="O337" s="61"/>
      <c r="P337" s="2"/>
      <c r="Q337" s="2"/>
      <c r="R337" s="32"/>
      <c r="S337" s="32"/>
      <c r="T337" s="32"/>
      <c r="U337" s="32"/>
      <c r="V337" s="2"/>
      <c r="W337" s="2"/>
      <c r="X337" s="2"/>
      <c r="Y337" s="2"/>
      <c r="Z337" s="2"/>
    </row>
    <row r="338" spans="1:26" ht="13.8" x14ac:dyDescent="0.3">
      <c r="A338" s="32" t="s">
        <v>359</v>
      </c>
      <c r="B338" s="2" t="s">
        <v>107</v>
      </c>
      <c r="C338" s="10" t="s">
        <v>15</v>
      </c>
      <c r="D338" s="10" t="s">
        <v>15</v>
      </c>
      <c r="E338" s="10">
        <v>2319777</v>
      </c>
      <c r="F338" s="10" t="s">
        <v>1273</v>
      </c>
      <c r="G338" s="69">
        <v>178.28</v>
      </c>
      <c r="H338" s="69">
        <v>21.5</v>
      </c>
      <c r="I338" s="69">
        <v>0</v>
      </c>
      <c r="J338" s="70">
        <v>1</v>
      </c>
      <c r="K338" s="69">
        <f t="shared" ref="K338:K345" si="93">(-H338*0.25*0.04)*J338*0.3+H338*0.15*0.96*J338*0.3</f>
        <v>0.86429999999999996</v>
      </c>
      <c r="L338" s="79" t="s">
        <v>468</v>
      </c>
      <c r="M338" s="61">
        <v>0</v>
      </c>
      <c r="N338" s="61">
        <v>0</v>
      </c>
      <c r="O338" s="61"/>
      <c r="P338" s="2"/>
      <c r="Q338" s="2"/>
      <c r="R338" s="32"/>
      <c r="S338" s="32"/>
      <c r="T338" s="32"/>
      <c r="U338" s="32"/>
      <c r="V338" s="2"/>
      <c r="W338" s="2"/>
      <c r="X338" s="2"/>
      <c r="Y338" s="2"/>
      <c r="Z338" s="2"/>
    </row>
    <row r="339" spans="1:26" ht="13.8" x14ac:dyDescent="0.3">
      <c r="A339" s="32" t="s">
        <v>359</v>
      </c>
      <c r="B339" s="2" t="s">
        <v>107</v>
      </c>
      <c r="C339" s="10" t="s">
        <v>15</v>
      </c>
      <c r="D339" s="10" t="s">
        <v>15</v>
      </c>
      <c r="E339" s="10">
        <v>2404538</v>
      </c>
      <c r="F339" s="10" t="s">
        <v>1219</v>
      </c>
      <c r="G339" s="69">
        <v>-20</v>
      </c>
      <c r="H339" s="69">
        <v>2</v>
      </c>
      <c r="I339" s="69">
        <v>0</v>
      </c>
      <c r="J339" s="70">
        <v>1</v>
      </c>
      <c r="K339" s="69">
        <f t="shared" si="93"/>
        <v>8.0399999999999985E-2</v>
      </c>
      <c r="L339" s="79" t="s">
        <v>468</v>
      </c>
      <c r="M339" s="61">
        <v>0</v>
      </c>
      <c r="N339" s="61">
        <v>0</v>
      </c>
      <c r="O339" s="61"/>
      <c r="P339" s="2"/>
      <c r="Q339" s="2"/>
      <c r="R339" s="32"/>
      <c r="S339" s="32"/>
      <c r="T339" s="32"/>
      <c r="U339" s="32"/>
      <c r="V339" s="2"/>
      <c r="W339" s="2"/>
      <c r="X339" s="2"/>
      <c r="Y339" s="2"/>
      <c r="Z339" s="2"/>
    </row>
    <row r="340" spans="1:26" ht="13.8" x14ac:dyDescent="0.3">
      <c r="A340" s="32" t="s">
        <v>359</v>
      </c>
      <c r="B340" s="2" t="s">
        <v>107</v>
      </c>
      <c r="C340" s="10" t="s">
        <v>15</v>
      </c>
      <c r="D340" s="10" t="s">
        <v>15</v>
      </c>
      <c r="E340" s="10">
        <v>2405626</v>
      </c>
      <c r="F340" s="46" t="s">
        <v>1221</v>
      </c>
      <c r="G340" s="69">
        <v>-20</v>
      </c>
      <c r="H340" s="69">
        <v>2</v>
      </c>
      <c r="I340" s="69">
        <v>0</v>
      </c>
      <c r="J340" s="70">
        <v>1</v>
      </c>
      <c r="K340" s="69">
        <f t="shared" si="93"/>
        <v>8.0399999999999985E-2</v>
      </c>
      <c r="L340" s="79" t="s">
        <v>468</v>
      </c>
      <c r="M340" s="61">
        <v>0</v>
      </c>
      <c r="N340" s="61">
        <v>0</v>
      </c>
      <c r="O340" s="61"/>
      <c r="P340" s="2"/>
      <c r="Q340" s="2"/>
      <c r="R340" s="32"/>
      <c r="S340" s="32"/>
      <c r="T340" s="32"/>
      <c r="U340" s="32"/>
      <c r="V340" s="2"/>
      <c r="W340" s="2"/>
      <c r="X340" s="2"/>
      <c r="Y340" s="2"/>
      <c r="Z340" s="2"/>
    </row>
    <row r="341" spans="1:26" ht="13.8" x14ac:dyDescent="0.3">
      <c r="A341" s="32" t="s">
        <v>359</v>
      </c>
      <c r="B341" s="2" t="s">
        <v>107</v>
      </c>
      <c r="C341" s="10" t="s">
        <v>15</v>
      </c>
      <c r="D341" s="10" t="s">
        <v>15</v>
      </c>
      <c r="E341" s="10">
        <v>2471817</v>
      </c>
      <c r="F341" s="46" t="s">
        <v>1274</v>
      </c>
      <c r="G341" s="69">
        <v>-88.75</v>
      </c>
      <c r="H341" s="69">
        <v>14.5</v>
      </c>
      <c r="I341" s="69">
        <v>0</v>
      </c>
      <c r="J341" s="70">
        <v>1</v>
      </c>
      <c r="K341" s="69">
        <f t="shared" si="93"/>
        <v>0.58289999999999986</v>
      </c>
      <c r="L341" s="79" t="s">
        <v>468</v>
      </c>
      <c r="M341" s="61">
        <v>0</v>
      </c>
      <c r="N341" s="61">
        <v>0</v>
      </c>
      <c r="O341" s="61"/>
      <c r="P341" s="2"/>
      <c r="Q341" s="2"/>
      <c r="R341" s="32"/>
      <c r="S341" s="32"/>
      <c r="T341" s="32"/>
      <c r="U341" s="32"/>
      <c r="V341" s="2"/>
      <c r="W341" s="2"/>
      <c r="X341" s="2"/>
      <c r="Y341" s="2"/>
      <c r="Z341" s="2"/>
    </row>
    <row r="342" spans="1:26" ht="13.8" x14ac:dyDescent="0.3">
      <c r="A342" s="32" t="s">
        <v>359</v>
      </c>
      <c r="B342" s="2" t="s">
        <v>107</v>
      </c>
      <c r="C342" s="10" t="s">
        <v>15</v>
      </c>
      <c r="D342" s="10" t="s">
        <v>15</v>
      </c>
      <c r="E342" s="10">
        <v>2479329</v>
      </c>
      <c r="F342" s="10" t="s">
        <v>1279</v>
      </c>
      <c r="G342" s="69">
        <v>6.25</v>
      </c>
      <c r="H342" s="69">
        <v>9.5</v>
      </c>
      <c r="I342" s="69">
        <v>0</v>
      </c>
      <c r="J342" s="70">
        <v>1</v>
      </c>
      <c r="K342" s="69">
        <f t="shared" si="93"/>
        <v>0.38189999999999991</v>
      </c>
      <c r="L342" s="79" t="s">
        <v>468</v>
      </c>
      <c r="M342" s="61">
        <v>0</v>
      </c>
      <c r="N342" s="61">
        <v>0</v>
      </c>
      <c r="O342" s="61"/>
      <c r="P342" s="2"/>
      <c r="Q342" s="2"/>
      <c r="R342" s="32"/>
      <c r="S342" s="32"/>
      <c r="T342" s="32"/>
      <c r="U342" s="32"/>
      <c r="V342" s="2"/>
      <c r="W342" s="2"/>
      <c r="X342" s="2"/>
      <c r="Y342" s="2"/>
      <c r="Z342" s="2"/>
    </row>
    <row r="343" spans="1:26" ht="13.8" x14ac:dyDescent="0.3">
      <c r="A343" s="32" t="s">
        <v>359</v>
      </c>
      <c r="B343" s="2" t="s">
        <v>107</v>
      </c>
      <c r="C343" s="10" t="s">
        <v>15</v>
      </c>
      <c r="D343" s="10" t="s">
        <v>15</v>
      </c>
      <c r="E343" s="10">
        <v>2496019</v>
      </c>
      <c r="F343" s="46" t="s">
        <v>1275</v>
      </c>
      <c r="G343" s="69">
        <v>42.35</v>
      </c>
      <c r="H343" s="69">
        <v>13</v>
      </c>
      <c r="I343" s="69">
        <v>0</v>
      </c>
      <c r="J343" s="70">
        <v>1</v>
      </c>
      <c r="K343" s="69">
        <f t="shared" si="93"/>
        <v>0.52259999999999995</v>
      </c>
      <c r="L343" s="79" t="s">
        <v>468</v>
      </c>
      <c r="M343" s="61">
        <v>0</v>
      </c>
      <c r="N343" s="61">
        <v>0</v>
      </c>
      <c r="O343" s="61"/>
      <c r="P343" s="2"/>
      <c r="Q343" s="2"/>
      <c r="R343" s="32"/>
      <c r="S343" s="32"/>
      <c r="T343" s="32"/>
      <c r="U343" s="32"/>
      <c r="V343" s="2"/>
      <c r="W343" s="2"/>
      <c r="X343" s="2"/>
      <c r="Y343" s="2"/>
      <c r="Z343" s="2"/>
    </row>
    <row r="344" spans="1:26" ht="13.8" x14ac:dyDescent="0.3">
      <c r="A344" s="32" t="s">
        <v>359</v>
      </c>
      <c r="B344" s="2" t="s">
        <v>107</v>
      </c>
      <c r="C344" s="10" t="s">
        <v>15</v>
      </c>
      <c r="D344" s="10" t="s">
        <v>15</v>
      </c>
      <c r="E344" s="10">
        <v>2571823</v>
      </c>
      <c r="F344" s="10" t="s">
        <v>1280</v>
      </c>
      <c r="G344" s="69">
        <v>-165</v>
      </c>
      <c r="H344" s="69">
        <v>16.5</v>
      </c>
      <c r="I344" s="69">
        <v>0</v>
      </c>
      <c r="J344" s="70">
        <v>1</v>
      </c>
      <c r="K344" s="69">
        <f t="shared" si="93"/>
        <v>0.6633</v>
      </c>
      <c r="L344" s="79" t="s">
        <v>468</v>
      </c>
      <c r="M344" s="61">
        <v>0</v>
      </c>
      <c r="N344" s="61">
        <v>0</v>
      </c>
      <c r="O344" s="61"/>
      <c r="P344" s="2"/>
      <c r="Q344" s="2"/>
      <c r="R344" s="32"/>
      <c r="S344" s="32"/>
      <c r="T344" s="32"/>
      <c r="U344" s="32"/>
      <c r="V344" s="2"/>
      <c r="W344" s="2"/>
      <c r="X344" s="2"/>
      <c r="Y344" s="2"/>
      <c r="Z344" s="2"/>
    </row>
    <row r="345" spans="1:26" ht="13.8" x14ac:dyDescent="0.3">
      <c r="A345" s="32" t="s">
        <v>359</v>
      </c>
      <c r="B345" s="2" t="s">
        <v>107</v>
      </c>
      <c r="C345" s="10" t="s">
        <v>15</v>
      </c>
      <c r="D345" s="10" t="s">
        <v>15</v>
      </c>
      <c r="E345" s="10">
        <v>2573237</v>
      </c>
      <c r="F345" s="10" t="s">
        <v>1281</v>
      </c>
      <c r="G345" s="69">
        <v>-2.12</v>
      </c>
      <c r="H345" s="69">
        <v>9.5</v>
      </c>
      <c r="I345" s="69">
        <v>0</v>
      </c>
      <c r="J345" s="70">
        <v>1</v>
      </c>
      <c r="K345" s="69">
        <f t="shared" si="93"/>
        <v>0.38189999999999991</v>
      </c>
      <c r="L345" s="79" t="s">
        <v>468</v>
      </c>
      <c r="M345" s="61">
        <v>0</v>
      </c>
      <c r="N345" s="61">
        <v>0</v>
      </c>
      <c r="O345" s="61"/>
      <c r="P345" s="2"/>
      <c r="Q345" s="2"/>
      <c r="R345" s="32"/>
      <c r="S345" s="32"/>
      <c r="T345" s="32"/>
      <c r="U345" s="32"/>
      <c r="V345" s="2"/>
      <c r="W345" s="2"/>
      <c r="X345" s="2"/>
      <c r="Y345" s="2"/>
      <c r="Z345" s="2"/>
    </row>
    <row r="346" spans="1:26" ht="13.8" x14ac:dyDescent="0.3">
      <c r="A346" s="32" t="s">
        <v>359</v>
      </c>
      <c r="B346" s="2" t="s">
        <v>107</v>
      </c>
      <c r="C346" s="10">
        <v>2304025</v>
      </c>
      <c r="D346" s="10" t="s">
        <v>1162</v>
      </c>
      <c r="E346" s="10">
        <v>2435202</v>
      </c>
      <c r="F346" s="10" t="s">
        <v>1223</v>
      </c>
      <c r="G346" s="69">
        <v>80.239999999999995</v>
      </c>
      <c r="H346" s="69">
        <v>95.89</v>
      </c>
      <c r="I346" s="69">
        <f t="shared" ref="I346:I360" si="94">H346*0.65</f>
        <v>62.328500000000005</v>
      </c>
      <c r="J346" s="70">
        <v>1</v>
      </c>
      <c r="K346" s="69">
        <f t="shared" ref="K346:K360" si="95">(G346+I346)*J346*0.8+(G346*0.05-H346*0.25*0.15)*J346*0.3+(H346*0.1*0.85+I346*0.05)*J346*0.3</f>
        <v>117.55976</v>
      </c>
      <c r="L346" s="79" t="s">
        <v>468</v>
      </c>
      <c r="M346" s="61">
        <f t="shared" ref="M346:M359" si="96">(G346*0.05-H346*0.25*0.15)*J346*0.7-(-H346*0.03*0.15)*J346</f>
        <v>0.72279249999999973</v>
      </c>
      <c r="N346" s="61">
        <f t="shared" ref="N346:N359" si="97">(H346*0.1*0.85+I346*0.05)*J346*0.7+H346*0.03*0.85*J346</f>
        <v>10.332147500000001</v>
      </c>
      <c r="O346" s="61"/>
      <c r="P346" s="2"/>
      <c r="Q346" s="2"/>
      <c r="R346" s="32"/>
      <c r="S346" s="32"/>
      <c r="T346" s="32"/>
      <c r="U346" s="32"/>
      <c r="V346" s="2"/>
      <c r="W346" s="2"/>
      <c r="X346" s="2"/>
      <c r="Y346" s="2"/>
      <c r="Z346" s="2"/>
    </row>
    <row r="347" spans="1:26" ht="13.8" x14ac:dyDescent="0.3">
      <c r="A347" s="32" t="s">
        <v>359</v>
      </c>
      <c r="B347" s="2" t="s">
        <v>107</v>
      </c>
      <c r="C347" s="10">
        <v>2304025</v>
      </c>
      <c r="D347" s="10" t="s">
        <v>1162</v>
      </c>
      <c r="E347" s="10">
        <v>2435203</v>
      </c>
      <c r="F347" s="10" t="s">
        <v>1224</v>
      </c>
      <c r="G347" s="69">
        <v>734.06</v>
      </c>
      <c r="H347" s="69">
        <v>72.78</v>
      </c>
      <c r="I347" s="69">
        <f t="shared" si="94"/>
        <v>47.307000000000002</v>
      </c>
      <c r="J347" s="70">
        <v>1</v>
      </c>
      <c r="K347" s="69">
        <f t="shared" si="95"/>
        <v>637.85122000000013</v>
      </c>
      <c r="L347" s="79" t="s">
        <v>468</v>
      </c>
      <c r="M347" s="61">
        <f t="shared" si="96"/>
        <v>24.109134999999995</v>
      </c>
      <c r="N347" s="61">
        <f t="shared" si="97"/>
        <v>7.8420449999999997</v>
      </c>
      <c r="O347" s="61"/>
      <c r="P347" s="2"/>
      <c r="Q347" s="2"/>
      <c r="R347" s="32"/>
      <c r="S347" s="32"/>
      <c r="T347" s="32"/>
      <c r="U347" s="32"/>
      <c r="V347" s="2"/>
      <c r="W347" s="2"/>
      <c r="X347" s="2"/>
      <c r="Y347" s="2"/>
      <c r="Z347" s="2"/>
    </row>
    <row r="348" spans="1:26" ht="13.8" x14ac:dyDescent="0.3">
      <c r="A348" s="32" t="s">
        <v>359</v>
      </c>
      <c r="B348" s="2" t="s">
        <v>107</v>
      </c>
      <c r="C348" s="10">
        <v>2304025</v>
      </c>
      <c r="D348" s="10" t="s">
        <v>1162</v>
      </c>
      <c r="E348" s="10">
        <v>2435206</v>
      </c>
      <c r="F348" s="10" t="s">
        <v>1225</v>
      </c>
      <c r="G348" s="69">
        <v>-323.33999999999997</v>
      </c>
      <c r="H348" s="69">
        <v>32.15</v>
      </c>
      <c r="I348" s="69">
        <f t="shared" si="94"/>
        <v>20.897500000000001</v>
      </c>
      <c r="J348" s="70">
        <v>1</v>
      </c>
      <c r="K348" s="69">
        <f t="shared" si="95"/>
        <v>-246.03250000000003</v>
      </c>
      <c r="L348" s="79" t="s">
        <v>468</v>
      </c>
      <c r="M348" s="61">
        <f t="shared" si="96"/>
        <v>-12.0161625</v>
      </c>
      <c r="N348" s="61">
        <f t="shared" si="97"/>
        <v>3.4641624999999991</v>
      </c>
      <c r="O348" s="61"/>
      <c r="P348" s="2"/>
      <c r="Q348" s="2"/>
      <c r="R348" s="32"/>
      <c r="S348" s="32"/>
      <c r="T348" s="32"/>
      <c r="U348" s="32"/>
      <c r="V348" s="2"/>
      <c r="W348" s="2"/>
      <c r="X348" s="2"/>
      <c r="Y348" s="2"/>
      <c r="Z348" s="2"/>
    </row>
    <row r="349" spans="1:26" ht="13.8" x14ac:dyDescent="0.3">
      <c r="A349" s="32" t="s">
        <v>359</v>
      </c>
      <c r="B349" s="2" t="s">
        <v>107</v>
      </c>
      <c r="C349" s="10">
        <v>2304025</v>
      </c>
      <c r="D349" s="10" t="s">
        <v>1162</v>
      </c>
      <c r="E349" s="10">
        <v>2531140</v>
      </c>
      <c r="F349" s="10" t="s">
        <v>1257</v>
      </c>
      <c r="G349" s="69">
        <v>-67.33</v>
      </c>
      <c r="H349" s="69">
        <v>5.51</v>
      </c>
      <c r="I349" s="69">
        <f t="shared" si="94"/>
        <v>3.5815000000000001</v>
      </c>
      <c r="J349" s="70">
        <v>1</v>
      </c>
      <c r="K349" s="69">
        <f t="shared" si="95"/>
        <v>-51.876510000000003</v>
      </c>
      <c r="L349" s="79" t="s">
        <v>468</v>
      </c>
      <c r="M349" s="61">
        <f t="shared" si="96"/>
        <v>-2.4763924999999998</v>
      </c>
      <c r="N349" s="61">
        <f t="shared" si="97"/>
        <v>0.59370249999999991</v>
      </c>
      <c r="O349" s="61"/>
      <c r="P349" s="2"/>
      <c r="Q349" s="2"/>
      <c r="R349" s="32"/>
      <c r="S349" s="32"/>
      <c r="T349" s="32"/>
      <c r="U349" s="32"/>
      <c r="V349" s="2"/>
      <c r="W349" s="2"/>
      <c r="X349" s="2"/>
      <c r="Y349" s="2"/>
      <c r="Z349" s="2"/>
    </row>
    <row r="350" spans="1:26" ht="13.8" x14ac:dyDescent="0.3">
      <c r="A350" s="32" t="s">
        <v>359</v>
      </c>
      <c r="B350" s="2" t="s">
        <v>107</v>
      </c>
      <c r="C350" s="10">
        <v>2304025</v>
      </c>
      <c r="D350" s="10" t="s">
        <v>1162</v>
      </c>
      <c r="E350" s="10">
        <v>2531141</v>
      </c>
      <c r="F350" s="10" t="s">
        <v>1258</v>
      </c>
      <c r="G350" s="69">
        <v>1031.92</v>
      </c>
      <c r="H350" s="69">
        <v>38.35</v>
      </c>
      <c r="I350" s="69">
        <f t="shared" si="94"/>
        <v>24.927500000000002</v>
      </c>
      <c r="J350" s="70">
        <v>1</v>
      </c>
      <c r="K350" s="69">
        <f t="shared" si="95"/>
        <v>861.87720000000002</v>
      </c>
      <c r="L350" s="79" t="s">
        <v>468</v>
      </c>
      <c r="M350" s="61">
        <f t="shared" si="96"/>
        <v>35.283087500000001</v>
      </c>
      <c r="N350" s="61">
        <f t="shared" si="97"/>
        <v>4.1322125000000005</v>
      </c>
      <c r="O350" s="61"/>
      <c r="P350" s="2"/>
      <c r="Q350" s="2"/>
      <c r="R350" s="32"/>
      <c r="S350" s="32"/>
      <c r="T350" s="32"/>
      <c r="U350" s="32"/>
      <c r="V350" s="2"/>
      <c r="W350" s="2"/>
      <c r="X350" s="2"/>
      <c r="Y350" s="2"/>
      <c r="Z350" s="2"/>
    </row>
    <row r="351" spans="1:26" ht="13.8" x14ac:dyDescent="0.3">
      <c r="A351" s="32" t="s">
        <v>359</v>
      </c>
      <c r="B351" s="2" t="s">
        <v>107</v>
      </c>
      <c r="C351" s="10">
        <v>2304025</v>
      </c>
      <c r="D351" s="10" t="s">
        <v>1162</v>
      </c>
      <c r="E351" s="10">
        <v>2531145</v>
      </c>
      <c r="F351" s="10" t="s">
        <v>1226</v>
      </c>
      <c r="G351" s="69">
        <v>208.92</v>
      </c>
      <c r="H351" s="69">
        <v>135.19999999999999</v>
      </c>
      <c r="I351" s="69">
        <f t="shared" si="94"/>
        <v>87.88</v>
      </c>
      <c r="J351" s="70">
        <v>1</v>
      </c>
      <c r="K351" s="69">
        <f t="shared" si="95"/>
        <v>243.81859999999998</v>
      </c>
      <c r="L351" s="79" t="s">
        <v>468</v>
      </c>
      <c r="M351" s="61">
        <f t="shared" si="96"/>
        <v>4.3715999999999999</v>
      </c>
      <c r="N351" s="61">
        <f t="shared" si="97"/>
        <v>14.567799999999998</v>
      </c>
      <c r="O351" s="61"/>
      <c r="P351" s="2"/>
      <c r="Q351" s="2"/>
      <c r="R351" s="32"/>
      <c r="S351" s="32"/>
      <c r="T351" s="32"/>
      <c r="U351" s="32"/>
      <c r="V351" s="2"/>
      <c r="W351" s="2"/>
      <c r="X351" s="2"/>
      <c r="Y351" s="2"/>
      <c r="Z351" s="2"/>
    </row>
    <row r="352" spans="1:26" ht="13.8" x14ac:dyDescent="0.3">
      <c r="A352" s="32" t="s">
        <v>359</v>
      </c>
      <c r="B352" s="2" t="s">
        <v>107</v>
      </c>
      <c r="C352" s="10">
        <v>2304025</v>
      </c>
      <c r="D352" s="10" t="s">
        <v>1162</v>
      </c>
      <c r="E352" s="10">
        <v>2531146</v>
      </c>
      <c r="F352" s="10" t="s">
        <v>1227</v>
      </c>
      <c r="G352" s="69">
        <v>353.64</v>
      </c>
      <c r="H352" s="69">
        <v>26.35</v>
      </c>
      <c r="I352" s="69">
        <f t="shared" si="94"/>
        <v>17.127500000000001</v>
      </c>
      <c r="J352" s="70">
        <v>1</v>
      </c>
      <c r="K352" s="69">
        <f t="shared" si="95"/>
        <v>302.55099999999999</v>
      </c>
      <c r="L352" s="79" t="s">
        <v>468</v>
      </c>
      <c r="M352" s="61">
        <f t="shared" si="96"/>
        <v>11.804287499999997</v>
      </c>
      <c r="N352" s="61">
        <f t="shared" si="97"/>
        <v>2.8392125000000004</v>
      </c>
      <c r="O352" s="61"/>
      <c r="P352" s="2"/>
      <c r="Q352" s="2"/>
      <c r="R352" s="32"/>
      <c r="S352" s="32"/>
      <c r="T352" s="32"/>
      <c r="U352" s="32"/>
      <c r="V352" s="2"/>
      <c r="W352" s="2"/>
      <c r="X352" s="2"/>
      <c r="Y352" s="2"/>
      <c r="Z352" s="2"/>
    </row>
    <row r="353" spans="1:26" ht="13.8" x14ac:dyDescent="0.3">
      <c r="A353" s="32" t="s">
        <v>359</v>
      </c>
      <c r="B353" s="2" t="s">
        <v>107</v>
      </c>
      <c r="C353" s="10">
        <v>2304025</v>
      </c>
      <c r="D353" s="10" t="s">
        <v>1162</v>
      </c>
      <c r="E353" s="10">
        <v>2531365</v>
      </c>
      <c r="F353" s="10" t="s">
        <v>1228</v>
      </c>
      <c r="G353" s="69">
        <v>-156.41</v>
      </c>
      <c r="H353" s="69">
        <v>16.64</v>
      </c>
      <c r="I353" s="69">
        <f t="shared" si="94"/>
        <v>10.816000000000001</v>
      </c>
      <c r="J353" s="70">
        <v>1</v>
      </c>
      <c r="K353" s="69">
        <f t="shared" si="95"/>
        <v>-118.42198999999999</v>
      </c>
      <c r="L353" s="79" t="s">
        <v>468</v>
      </c>
      <c r="M353" s="61">
        <f t="shared" si="96"/>
        <v>-5.836269999999999</v>
      </c>
      <c r="N353" s="61">
        <f t="shared" si="97"/>
        <v>1.7929599999999999</v>
      </c>
      <c r="O353" s="61"/>
      <c r="P353" s="2"/>
      <c r="Q353" s="2"/>
      <c r="R353" s="32"/>
      <c r="S353" s="32"/>
      <c r="T353" s="32"/>
      <c r="U353" s="32"/>
      <c r="V353" s="2"/>
      <c r="W353" s="2"/>
      <c r="X353" s="2"/>
      <c r="Y353" s="2"/>
      <c r="Z353" s="2"/>
    </row>
    <row r="354" spans="1:26" ht="13.8" x14ac:dyDescent="0.3">
      <c r="A354" s="32" t="s">
        <v>359</v>
      </c>
      <c r="B354" s="2" t="s">
        <v>107</v>
      </c>
      <c r="C354" s="10">
        <v>2304025</v>
      </c>
      <c r="D354" s="10" t="s">
        <v>1162</v>
      </c>
      <c r="E354" s="10">
        <v>2531390</v>
      </c>
      <c r="F354" s="10" t="s">
        <v>1229</v>
      </c>
      <c r="G354" s="69">
        <v>415.47</v>
      </c>
      <c r="H354" s="69">
        <v>110.16</v>
      </c>
      <c r="I354" s="69">
        <f t="shared" si="94"/>
        <v>71.603999999999999</v>
      </c>
      <c r="J354" s="70">
        <v>1</v>
      </c>
      <c r="K354" s="69">
        <f t="shared" si="95"/>
        <v>398.53509000000008</v>
      </c>
      <c r="L354" s="79" t="s">
        <v>468</v>
      </c>
      <c r="M354" s="61">
        <f t="shared" si="96"/>
        <v>12.145470000000001</v>
      </c>
      <c r="N354" s="61">
        <f t="shared" si="97"/>
        <v>11.869739999999998</v>
      </c>
      <c r="O354" s="61"/>
      <c r="P354" s="2"/>
      <c r="Q354" s="2"/>
      <c r="R354" s="32"/>
      <c r="S354" s="32"/>
      <c r="T354" s="32"/>
      <c r="U354" s="32"/>
      <c r="V354" s="2"/>
      <c r="W354" s="2"/>
      <c r="X354" s="2"/>
      <c r="Y354" s="2"/>
      <c r="Z354" s="2"/>
    </row>
    <row r="355" spans="1:26" ht="13.8" x14ac:dyDescent="0.3">
      <c r="A355" s="32" t="s">
        <v>359</v>
      </c>
      <c r="B355" s="2" t="s">
        <v>107</v>
      </c>
      <c r="C355" s="10">
        <v>2304025</v>
      </c>
      <c r="D355" s="10" t="s">
        <v>1162</v>
      </c>
      <c r="E355" s="10">
        <v>2541423</v>
      </c>
      <c r="F355" s="10" t="s">
        <v>1263</v>
      </c>
      <c r="G355" s="69">
        <v>-11.25</v>
      </c>
      <c r="H355" s="69">
        <v>1.25</v>
      </c>
      <c r="I355" s="69">
        <f t="shared" si="94"/>
        <v>0.8125</v>
      </c>
      <c r="J355" s="70">
        <v>1</v>
      </c>
      <c r="K355" s="69">
        <f t="shared" si="95"/>
        <v>-8.4887499999999996</v>
      </c>
      <c r="L355" s="79" t="s">
        <v>468</v>
      </c>
      <c r="M355" s="61">
        <f t="shared" si="96"/>
        <v>-0.42093749999999996</v>
      </c>
      <c r="N355" s="61">
        <f t="shared" si="97"/>
        <v>0.13468750000000002</v>
      </c>
      <c r="O355" s="61"/>
      <c r="P355" s="2"/>
      <c r="Q355" s="2"/>
      <c r="R355" s="32"/>
      <c r="S355" s="32"/>
      <c r="T355" s="32"/>
      <c r="U355" s="32"/>
      <c r="V355" s="2"/>
      <c r="W355" s="2"/>
      <c r="X355" s="2"/>
      <c r="Y355" s="2"/>
      <c r="Z355" s="2"/>
    </row>
    <row r="356" spans="1:26" ht="13.8" x14ac:dyDescent="0.3">
      <c r="A356" s="32" t="s">
        <v>359</v>
      </c>
      <c r="B356" s="2" t="s">
        <v>107</v>
      </c>
      <c r="C356" s="10">
        <v>2304025</v>
      </c>
      <c r="D356" s="10" t="s">
        <v>1162</v>
      </c>
      <c r="E356" s="10">
        <v>2564684</v>
      </c>
      <c r="F356" s="10" t="s">
        <v>1282</v>
      </c>
      <c r="G356" s="69">
        <v>84.23</v>
      </c>
      <c r="H356" s="69">
        <v>2.98</v>
      </c>
      <c r="I356" s="69">
        <f t="shared" si="94"/>
        <v>1.9370000000000001</v>
      </c>
      <c r="J356" s="70">
        <v>1</v>
      </c>
      <c r="K356" s="69">
        <f t="shared" si="95"/>
        <v>70.268569999999997</v>
      </c>
      <c r="L356" s="79" t="s">
        <v>468</v>
      </c>
      <c r="M356" s="61">
        <f t="shared" si="96"/>
        <v>2.883235</v>
      </c>
      <c r="N356" s="61">
        <f t="shared" si="97"/>
        <v>0.32109499999999996</v>
      </c>
      <c r="O356" s="61"/>
      <c r="P356" s="2"/>
      <c r="Q356" s="2"/>
      <c r="R356" s="32"/>
      <c r="S356" s="32"/>
      <c r="T356" s="32"/>
      <c r="U356" s="32"/>
      <c r="V356" s="2"/>
      <c r="W356" s="2"/>
      <c r="X356" s="2"/>
      <c r="Y356" s="2"/>
      <c r="Z356" s="2"/>
    </row>
    <row r="357" spans="1:26" ht="13.8" x14ac:dyDescent="0.3">
      <c r="A357" s="32" t="s">
        <v>359</v>
      </c>
      <c r="B357" s="2" t="s">
        <v>107</v>
      </c>
      <c r="C357" s="10">
        <v>2304025</v>
      </c>
      <c r="D357" s="10" t="s">
        <v>1162</v>
      </c>
      <c r="E357" s="10">
        <v>2575716</v>
      </c>
      <c r="F357" s="10" t="s">
        <v>1283</v>
      </c>
      <c r="G357" s="69">
        <v>90.04</v>
      </c>
      <c r="H357" s="69">
        <v>8.66</v>
      </c>
      <c r="I357" s="69">
        <f t="shared" si="94"/>
        <v>5.6290000000000004</v>
      </c>
      <c r="J357" s="70">
        <v>1</v>
      </c>
      <c r="K357" s="69">
        <f t="shared" si="95"/>
        <v>78.093640000000022</v>
      </c>
      <c r="L357" s="79" t="s">
        <v>468</v>
      </c>
      <c r="M357" s="61">
        <f t="shared" si="96"/>
        <v>2.9630450000000002</v>
      </c>
      <c r="N357" s="61">
        <f t="shared" si="97"/>
        <v>0.93311500000000003</v>
      </c>
      <c r="O357" s="61"/>
      <c r="P357" s="2"/>
      <c r="Q357" s="2"/>
      <c r="R357" s="32"/>
      <c r="S357" s="32"/>
      <c r="T357" s="32"/>
      <c r="U357" s="32"/>
      <c r="V357" s="2"/>
      <c r="W357" s="2"/>
      <c r="X357" s="2"/>
      <c r="Y357" s="2"/>
      <c r="Z357" s="2"/>
    </row>
    <row r="358" spans="1:26" ht="13.8" x14ac:dyDescent="0.3">
      <c r="A358" s="32" t="s">
        <v>359</v>
      </c>
      <c r="B358" s="2" t="s">
        <v>107</v>
      </c>
      <c r="C358" s="10">
        <v>2304025</v>
      </c>
      <c r="D358" s="10" t="s">
        <v>1162</v>
      </c>
      <c r="E358" s="10">
        <v>2575824</v>
      </c>
      <c r="F358" s="10" t="s">
        <v>1284</v>
      </c>
      <c r="G358" s="69">
        <v>62.12</v>
      </c>
      <c r="H358" s="69">
        <v>1.76</v>
      </c>
      <c r="I358" s="69">
        <f t="shared" si="94"/>
        <v>1.1440000000000001</v>
      </c>
      <c r="J358" s="70">
        <v>1</v>
      </c>
      <c r="K358" s="69">
        <f t="shared" si="95"/>
        <v>51.585239999999999</v>
      </c>
      <c r="L358" s="79" t="s">
        <v>468</v>
      </c>
      <c r="M358" s="61">
        <f t="shared" si="96"/>
        <v>2.1359199999999996</v>
      </c>
      <c r="N358" s="61">
        <f t="shared" si="97"/>
        <v>0.18964</v>
      </c>
      <c r="O358" s="61"/>
      <c r="P358" s="2"/>
      <c r="Q358" s="2"/>
      <c r="R358" s="32"/>
      <c r="S358" s="32"/>
      <c r="T358" s="32"/>
      <c r="U358" s="32"/>
      <c r="V358" s="2"/>
      <c r="W358" s="2"/>
      <c r="X358" s="2"/>
      <c r="Y358" s="2"/>
      <c r="Z358" s="2"/>
    </row>
    <row r="359" spans="1:26" ht="13.8" x14ac:dyDescent="0.3">
      <c r="A359" s="32" t="s">
        <v>359</v>
      </c>
      <c r="B359" s="2" t="s">
        <v>107</v>
      </c>
      <c r="C359" s="10">
        <v>2304025</v>
      </c>
      <c r="D359" s="10" t="s">
        <v>1162</v>
      </c>
      <c r="E359" s="10">
        <v>2575978</v>
      </c>
      <c r="F359" s="10" t="s">
        <v>1285</v>
      </c>
      <c r="G359" s="69">
        <v>-13.76</v>
      </c>
      <c r="H359" s="69">
        <v>4.93</v>
      </c>
      <c r="I359" s="69">
        <f t="shared" si="94"/>
        <v>3.2044999999999999</v>
      </c>
      <c r="J359" s="70">
        <v>1</v>
      </c>
      <c r="K359" s="69">
        <f t="shared" si="95"/>
        <v>-8.5324799999999996</v>
      </c>
      <c r="L359" s="79" t="s">
        <v>468</v>
      </c>
      <c r="M359" s="61">
        <f t="shared" si="96"/>
        <v>-0.58882749999999995</v>
      </c>
      <c r="N359" s="61">
        <f t="shared" si="97"/>
        <v>0.53120749999999994</v>
      </c>
      <c r="O359" s="61"/>
      <c r="P359" s="2"/>
      <c r="Q359" s="2"/>
      <c r="R359" s="32"/>
      <c r="S359" s="32"/>
      <c r="T359" s="32"/>
      <c r="U359" s="32"/>
      <c r="V359" s="2"/>
      <c r="W359" s="2"/>
      <c r="X359" s="2"/>
      <c r="Y359" s="2"/>
      <c r="Z359" s="2"/>
    </row>
    <row r="360" spans="1:26" ht="13.8" x14ac:dyDescent="0.3">
      <c r="A360" s="32" t="s">
        <v>359</v>
      </c>
      <c r="B360" s="2" t="s">
        <v>107</v>
      </c>
      <c r="C360" s="10">
        <v>2566294</v>
      </c>
      <c r="D360" s="10" t="s">
        <v>1276</v>
      </c>
      <c r="E360" s="10">
        <v>2525032</v>
      </c>
      <c r="F360" s="10" t="s">
        <v>1277</v>
      </c>
      <c r="G360" s="69">
        <v>-4332.22</v>
      </c>
      <c r="H360" s="69">
        <v>466.64</v>
      </c>
      <c r="I360" s="69">
        <f t="shared" si="94"/>
        <v>303.31599999999997</v>
      </c>
      <c r="J360" s="70">
        <v>1</v>
      </c>
      <c r="K360" s="69">
        <f t="shared" si="95"/>
        <v>-3276.9071400000007</v>
      </c>
      <c r="L360" s="79" t="s">
        <v>468</v>
      </c>
      <c r="M360" s="61">
        <f>(G360*0.05-H360*0.25*0.15)*J360*0.7-(-H360*0.02*0.15)*J360</f>
        <v>-162.47708</v>
      </c>
      <c r="N360" s="61">
        <f>(H360*0.1*0.85+I360*0.05)*J360*0.7+H360*0.02*0.85*J360</f>
        <v>46.314019999999992</v>
      </c>
      <c r="O360" s="61"/>
      <c r="P360" s="2"/>
      <c r="Q360" s="2"/>
      <c r="R360" s="32"/>
      <c r="S360" s="32"/>
      <c r="T360" s="32"/>
      <c r="U360" s="32"/>
      <c r="V360" s="2"/>
      <c r="W360" s="2"/>
      <c r="X360" s="2"/>
      <c r="Y360" s="2"/>
      <c r="Z360" s="2"/>
    </row>
    <row r="361" spans="1:26" ht="13.8" x14ac:dyDescent="0.3">
      <c r="A361" s="32" t="s">
        <v>359</v>
      </c>
      <c r="B361" s="32" t="s">
        <v>61</v>
      </c>
      <c r="C361" s="10" t="s">
        <v>1230</v>
      </c>
      <c r="D361" s="10" t="s">
        <v>1231</v>
      </c>
      <c r="E361" s="2" t="s">
        <v>1230</v>
      </c>
      <c r="F361" s="2" t="s">
        <v>1231</v>
      </c>
      <c r="G361" s="69">
        <v>3617.85</v>
      </c>
      <c r="H361" s="69">
        <v>447.76</v>
      </c>
      <c r="I361" s="69">
        <f>H361*0.57</f>
        <v>255.22319999999996</v>
      </c>
      <c r="J361" s="70">
        <v>1.14192</v>
      </c>
      <c r="K361" s="69">
        <f t="shared" ref="K361:K365" si="98">(G361+I361)*J361</f>
        <v>4422.7397485439997</v>
      </c>
      <c r="L361" s="78" t="s">
        <v>468</v>
      </c>
      <c r="M361" s="61">
        <v>0</v>
      </c>
      <c r="N361" s="61">
        <f>H361*0.08*J361</f>
        <v>40.904487936000002</v>
      </c>
      <c r="O361" s="58"/>
      <c r="P361" s="2"/>
      <c r="Q361" s="2"/>
      <c r="R361" s="32"/>
      <c r="S361" s="32"/>
      <c r="T361" s="32"/>
      <c r="U361" s="32"/>
      <c r="V361" s="2"/>
      <c r="W361" s="2"/>
      <c r="X361" s="2"/>
      <c r="Y361" s="2"/>
      <c r="Z361" s="2"/>
    </row>
    <row r="362" spans="1:26" ht="13.8" x14ac:dyDescent="0.3">
      <c r="A362" s="32" t="s">
        <v>359</v>
      </c>
      <c r="B362" s="29" t="s">
        <v>35</v>
      </c>
      <c r="C362" s="10" t="s">
        <v>1234</v>
      </c>
      <c r="D362" s="10" t="s">
        <v>1235</v>
      </c>
      <c r="E362" s="10" t="s">
        <v>1132</v>
      </c>
      <c r="F362" s="10" t="s">
        <v>1133</v>
      </c>
      <c r="G362" s="69">
        <v>1131</v>
      </c>
      <c r="H362" s="69">
        <v>1024.0999999999999</v>
      </c>
      <c r="I362" s="69">
        <f t="shared" ref="I362:I365" si="99">H362*0.79</f>
        <v>809.03899999999999</v>
      </c>
      <c r="J362" s="75">
        <v>0.27339000000000002</v>
      </c>
      <c r="K362" s="69">
        <f t="shared" si="98"/>
        <v>530.38726221000002</v>
      </c>
      <c r="L362" s="78">
        <f t="shared" ref="L362:L365" si="100">H362*0.05*J362</f>
        <v>13.998934950000001</v>
      </c>
      <c r="M362" s="61">
        <v>0</v>
      </c>
      <c r="N362" s="61">
        <f t="shared" ref="N362:N365" si="101">H362*0.04*J362</f>
        <v>11.199147960000001</v>
      </c>
      <c r="O362" s="61"/>
      <c r="P362" s="2"/>
      <c r="Q362" s="2"/>
      <c r="R362" s="32"/>
      <c r="S362" s="32"/>
      <c r="T362" s="32"/>
      <c r="U362" s="32"/>
      <c r="V362" s="2"/>
      <c r="W362" s="2"/>
      <c r="X362" s="2"/>
      <c r="Y362" s="2"/>
      <c r="Z362" s="2"/>
    </row>
    <row r="363" spans="1:26" ht="13.8" x14ac:dyDescent="0.3">
      <c r="A363" s="32" t="s">
        <v>359</v>
      </c>
      <c r="B363" s="29" t="s">
        <v>35</v>
      </c>
      <c r="C363" s="10" t="s">
        <v>1138</v>
      </c>
      <c r="D363" s="10" t="s">
        <v>1139</v>
      </c>
      <c r="E363" s="10" t="s">
        <v>1143</v>
      </c>
      <c r="F363" s="10" t="s">
        <v>1144</v>
      </c>
      <c r="G363" s="69">
        <v>29</v>
      </c>
      <c r="H363" s="69">
        <v>4.25</v>
      </c>
      <c r="I363" s="69">
        <f t="shared" si="99"/>
        <v>3.3574999999999999</v>
      </c>
      <c r="J363" s="75">
        <v>0.27339000000000002</v>
      </c>
      <c r="K363" s="69">
        <f t="shared" si="98"/>
        <v>8.846216925000002</v>
      </c>
      <c r="L363" s="78">
        <f t="shared" si="100"/>
        <v>5.8095375000000012E-2</v>
      </c>
      <c r="M363" s="61">
        <v>0</v>
      </c>
      <c r="N363" s="61">
        <f t="shared" si="101"/>
        <v>4.6476300000000005E-2</v>
      </c>
      <c r="O363" s="61"/>
      <c r="P363" s="2"/>
      <c r="Q363" s="2"/>
      <c r="R363" s="32"/>
      <c r="S363" s="32"/>
      <c r="T363" s="32"/>
      <c r="U363" s="32"/>
      <c r="V363" s="2"/>
      <c r="W363" s="2"/>
      <c r="X363" s="2"/>
      <c r="Y363" s="2"/>
      <c r="Z363" s="2"/>
    </row>
    <row r="364" spans="1:26" ht="13.8" x14ac:dyDescent="0.3">
      <c r="A364" s="32" t="s">
        <v>359</v>
      </c>
      <c r="B364" s="29" t="s">
        <v>35</v>
      </c>
      <c r="C364" s="10" t="s">
        <v>1138</v>
      </c>
      <c r="D364" s="10" t="s">
        <v>1139</v>
      </c>
      <c r="E364" s="10" t="s">
        <v>1240</v>
      </c>
      <c r="F364" s="10" t="s">
        <v>1241</v>
      </c>
      <c r="G364" s="69">
        <v>45.16</v>
      </c>
      <c r="H364" s="69">
        <v>101.29</v>
      </c>
      <c r="I364" s="69">
        <f t="shared" si="99"/>
        <v>80.019100000000009</v>
      </c>
      <c r="J364" s="75">
        <v>0.27339000000000002</v>
      </c>
      <c r="K364" s="69">
        <f t="shared" si="98"/>
        <v>34.222714149000005</v>
      </c>
      <c r="L364" s="78">
        <f t="shared" si="100"/>
        <v>1.3845836550000004</v>
      </c>
      <c r="M364" s="61">
        <v>0</v>
      </c>
      <c r="N364" s="61">
        <f t="shared" si="101"/>
        <v>1.1076669240000003</v>
      </c>
      <c r="O364" s="61"/>
      <c r="P364" s="2"/>
      <c r="Q364" s="2"/>
      <c r="R364" s="32"/>
      <c r="S364" s="32"/>
      <c r="T364" s="32"/>
      <c r="U364" s="32"/>
      <c r="V364" s="2"/>
      <c r="W364" s="2"/>
      <c r="X364" s="2"/>
      <c r="Y364" s="2"/>
      <c r="Z364" s="2"/>
    </row>
    <row r="365" spans="1:26" ht="13.8" x14ac:dyDescent="0.3">
      <c r="A365" s="32" t="s">
        <v>359</v>
      </c>
      <c r="B365" s="29" t="s">
        <v>35</v>
      </c>
      <c r="C365" s="10" t="s">
        <v>1138</v>
      </c>
      <c r="D365" s="10" t="s">
        <v>1139</v>
      </c>
      <c r="E365" s="10" t="s">
        <v>1286</v>
      </c>
      <c r="F365" s="10" t="s">
        <v>1287</v>
      </c>
      <c r="G365" s="69">
        <v>-20.190000000000001</v>
      </c>
      <c r="H365" s="69">
        <v>80.569999999999993</v>
      </c>
      <c r="I365" s="69">
        <f t="shared" si="99"/>
        <v>63.650299999999994</v>
      </c>
      <c r="J365" s="75">
        <v>0.27339000000000002</v>
      </c>
      <c r="K365" s="69">
        <f t="shared" si="98"/>
        <v>11.881611416999998</v>
      </c>
      <c r="L365" s="78">
        <f t="shared" si="100"/>
        <v>1.1013516150000002</v>
      </c>
      <c r="M365" s="61">
        <v>0</v>
      </c>
      <c r="N365" s="61">
        <f t="shared" si="101"/>
        <v>0.88108129200000007</v>
      </c>
      <c r="O365" s="61"/>
      <c r="P365" s="2"/>
      <c r="Q365" s="2"/>
      <c r="R365" s="32"/>
      <c r="S365" s="32"/>
      <c r="T365" s="32"/>
      <c r="U365" s="32"/>
      <c r="V365" s="2"/>
      <c r="W365" s="2"/>
      <c r="X365" s="2"/>
      <c r="Y365" s="2"/>
      <c r="Z365" s="2"/>
    </row>
    <row r="366" spans="1:26" ht="13.8" x14ac:dyDescent="0.3">
      <c r="A366" s="32" t="s">
        <v>359</v>
      </c>
      <c r="B366" s="2" t="s">
        <v>244</v>
      </c>
      <c r="C366" s="10">
        <v>2304025</v>
      </c>
      <c r="D366" s="10" t="s">
        <v>1162</v>
      </c>
      <c r="E366" s="10">
        <v>2357222</v>
      </c>
      <c r="F366" s="10" t="s">
        <v>1188</v>
      </c>
      <c r="G366" s="69">
        <v>-300.69</v>
      </c>
      <c r="H366" s="69">
        <v>238.06</v>
      </c>
      <c r="I366" s="69">
        <f t="shared" ref="I366:I384" si="102">H366*0.7</f>
        <v>166.642</v>
      </c>
      <c r="J366" s="70">
        <v>1</v>
      </c>
      <c r="K366" s="69">
        <f t="shared" ref="K366:K381" si="103">(G366+I366)*0.85+(G366*0.15-(G366+H366)*0.15)*J366*0.3+I366*0.15*J366*0.3</f>
        <v>-117.15460999999999</v>
      </c>
      <c r="L366" s="79" t="s">
        <v>468</v>
      </c>
      <c r="M366" s="61">
        <f t="shared" ref="M366:M381" si="104">(G366*0.15-(G366+H366)*0.15)*J366*0.7</f>
        <v>-24.996299999999994</v>
      </c>
      <c r="N366" s="61">
        <f t="shared" ref="N366:N381" si="105">I366*0.15*J366*0.7+H366*0.05*J366</f>
        <v>29.400410000000001</v>
      </c>
      <c r="O366" s="61"/>
      <c r="P366" s="2"/>
      <c r="Q366" s="2"/>
      <c r="R366" s="32"/>
      <c r="S366" s="32"/>
      <c r="T366" s="32"/>
      <c r="U366" s="32"/>
      <c r="V366" s="2"/>
      <c r="W366" s="2"/>
      <c r="X366" s="2"/>
      <c r="Y366" s="2"/>
      <c r="Z366" s="2"/>
    </row>
    <row r="367" spans="1:26" ht="13.8" x14ac:dyDescent="0.3">
      <c r="A367" s="32" t="s">
        <v>359</v>
      </c>
      <c r="B367" s="2" t="s">
        <v>244</v>
      </c>
      <c r="C367" s="10">
        <v>2304025</v>
      </c>
      <c r="D367" s="10" t="s">
        <v>1162</v>
      </c>
      <c r="E367" s="10">
        <v>2380008</v>
      </c>
      <c r="F367" s="10" t="s">
        <v>1192</v>
      </c>
      <c r="G367" s="69">
        <v>-601.09</v>
      </c>
      <c r="H367" s="69">
        <v>60.34</v>
      </c>
      <c r="I367" s="69">
        <f t="shared" si="102"/>
        <v>42.238</v>
      </c>
      <c r="J367" s="70">
        <v>1</v>
      </c>
      <c r="K367" s="69">
        <f t="shared" si="103"/>
        <v>-475.83879000000007</v>
      </c>
      <c r="L367" s="79" t="s">
        <v>468</v>
      </c>
      <c r="M367" s="61">
        <f t="shared" si="104"/>
        <v>-6.335700000000001</v>
      </c>
      <c r="N367" s="61">
        <f t="shared" si="105"/>
        <v>7.4519900000000003</v>
      </c>
      <c r="O367" s="61"/>
      <c r="P367" s="2"/>
      <c r="Q367" s="2"/>
      <c r="R367" s="32"/>
      <c r="S367" s="32"/>
      <c r="T367" s="32"/>
      <c r="U367" s="32"/>
      <c r="V367" s="2"/>
      <c r="W367" s="2"/>
      <c r="X367" s="2"/>
      <c r="Y367" s="2"/>
      <c r="Z367" s="2"/>
    </row>
    <row r="368" spans="1:26" ht="13.8" x14ac:dyDescent="0.3">
      <c r="A368" s="32" t="s">
        <v>359</v>
      </c>
      <c r="B368" s="2" t="s">
        <v>244</v>
      </c>
      <c r="C368" s="10">
        <v>2304025</v>
      </c>
      <c r="D368" s="10" t="s">
        <v>1162</v>
      </c>
      <c r="E368" s="10">
        <v>2435203</v>
      </c>
      <c r="F368" s="10" t="s">
        <v>1224</v>
      </c>
      <c r="G368" s="69">
        <v>-372.73</v>
      </c>
      <c r="H368" s="69">
        <v>39.770000000000003</v>
      </c>
      <c r="I368" s="69">
        <f t="shared" si="102"/>
        <v>27.839000000000002</v>
      </c>
      <c r="J368" s="70">
        <v>1</v>
      </c>
      <c r="K368" s="69">
        <f t="shared" si="103"/>
        <v>-293.69424500000002</v>
      </c>
      <c r="L368" s="79" t="s">
        <v>468</v>
      </c>
      <c r="M368" s="61">
        <f t="shared" si="104"/>
        <v>-4.1758499999999987</v>
      </c>
      <c r="N368" s="61">
        <f t="shared" si="105"/>
        <v>4.9115950000000002</v>
      </c>
      <c r="O368" s="61"/>
      <c r="P368" s="2"/>
      <c r="Q368" s="2"/>
      <c r="R368" s="32"/>
      <c r="S368" s="32"/>
      <c r="T368" s="32"/>
      <c r="U368" s="32"/>
      <c r="V368" s="2"/>
      <c r="W368" s="2"/>
      <c r="X368" s="2"/>
      <c r="Y368" s="2"/>
      <c r="Z368" s="2"/>
    </row>
    <row r="369" spans="1:26" ht="13.8" x14ac:dyDescent="0.3">
      <c r="A369" s="32" t="s">
        <v>359</v>
      </c>
      <c r="B369" s="2" t="s">
        <v>244</v>
      </c>
      <c r="C369" s="10">
        <v>2304025</v>
      </c>
      <c r="D369" s="10" t="s">
        <v>1162</v>
      </c>
      <c r="E369" s="10">
        <v>2435206</v>
      </c>
      <c r="F369" s="10" t="s">
        <v>1225</v>
      </c>
      <c r="G369" s="69">
        <v>51.44</v>
      </c>
      <c r="H369" s="69">
        <v>80.010000000000005</v>
      </c>
      <c r="I369" s="69">
        <f t="shared" si="102"/>
        <v>56.006999999999998</v>
      </c>
      <c r="J369" s="70">
        <v>1</v>
      </c>
      <c r="K369" s="69">
        <f t="shared" si="103"/>
        <v>90.249814999999998</v>
      </c>
      <c r="L369" s="79" t="s">
        <v>468</v>
      </c>
      <c r="M369" s="61">
        <f t="shared" si="104"/>
        <v>-8.4010499999999979</v>
      </c>
      <c r="N369" s="61">
        <f t="shared" si="105"/>
        <v>9.8812350000000002</v>
      </c>
      <c r="O369" s="61"/>
      <c r="P369" s="2"/>
      <c r="Q369" s="2"/>
      <c r="R369" s="32"/>
      <c r="S369" s="32"/>
      <c r="T369" s="32"/>
      <c r="U369" s="32"/>
      <c r="V369" s="2"/>
      <c r="W369" s="2"/>
      <c r="X369" s="2"/>
      <c r="Y369" s="2"/>
      <c r="Z369" s="2"/>
    </row>
    <row r="370" spans="1:26" ht="13.8" x14ac:dyDescent="0.3">
      <c r="A370" s="32" t="s">
        <v>359</v>
      </c>
      <c r="B370" s="2" t="s">
        <v>244</v>
      </c>
      <c r="C370" s="10">
        <v>2304025</v>
      </c>
      <c r="D370" s="10" t="s">
        <v>1162</v>
      </c>
      <c r="E370" s="10">
        <v>2452300</v>
      </c>
      <c r="F370" s="10" t="s">
        <v>1288</v>
      </c>
      <c r="G370" s="69">
        <v>5.24</v>
      </c>
      <c r="H370" s="69">
        <v>14.48</v>
      </c>
      <c r="I370" s="69">
        <f t="shared" si="102"/>
        <v>10.135999999999999</v>
      </c>
      <c r="J370" s="70">
        <v>1</v>
      </c>
      <c r="K370" s="69">
        <f t="shared" si="103"/>
        <v>12.87412</v>
      </c>
      <c r="L370" s="79" t="s">
        <v>468</v>
      </c>
      <c r="M370" s="61">
        <f t="shared" si="104"/>
        <v>-1.5203999999999998</v>
      </c>
      <c r="N370" s="61">
        <f t="shared" si="105"/>
        <v>1.7882799999999999</v>
      </c>
      <c r="O370" s="61"/>
      <c r="P370" s="2"/>
      <c r="Q370" s="2"/>
      <c r="R370" s="32"/>
      <c r="S370" s="32"/>
      <c r="T370" s="32"/>
      <c r="U370" s="32"/>
      <c r="V370" s="2"/>
      <c r="W370" s="2"/>
      <c r="X370" s="2"/>
      <c r="Y370" s="2"/>
      <c r="Z370" s="2"/>
    </row>
    <row r="371" spans="1:26" ht="13.8" x14ac:dyDescent="0.3">
      <c r="A371" s="32" t="s">
        <v>359</v>
      </c>
      <c r="B371" s="2" t="s">
        <v>244</v>
      </c>
      <c r="C371" s="10">
        <v>2304025</v>
      </c>
      <c r="D371" s="10" t="s">
        <v>1162</v>
      </c>
      <c r="E371" s="10">
        <v>2531140</v>
      </c>
      <c r="F371" s="10" t="s">
        <v>1257</v>
      </c>
      <c r="G371" s="69">
        <v>-127.11</v>
      </c>
      <c r="H371" s="69">
        <v>141.69999999999999</v>
      </c>
      <c r="I371" s="69">
        <f t="shared" si="102"/>
        <v>99.189999999999984</v>
      </c>
      <c r="J371" s="70">
        <v>1</v>
      </c>
      <c r="K371" s="69">
        <f t="shared" si="103"/>
        <v>-25.644950000000016</v>
      </c>
      <c r="L371" s="79" t="s">
        <v>468</v>
      </c>
      <c r="M371" s="61">
        <f t="shared" si="104"/>
        <v>-14.878499999999995</v>
      </c>
      <c r="N371" s="61">
        <f t="shared" si="105"/>
        <v>17.499949999999998</v>
      </c>
      <c r="O371" s="61"/>
      <c r="P371" s="2"/>
      <c r="Q371" s="2"/>
      <c r="R371" s="32"/>
      <c r="S371" s="32"/>
      <c r="T371" s="32"/>
      <c r="U371" s="32"/>
      <c r="V371" s="2"/>
      <c r="W371" s="2"/>
      <c r="X371" s="2"/>
      <c r="Y371" s="2"/>
      <c r="Z371" s="2"/>
    </row>
    <row r="372" spans="1:26" ht="13.8" x14ac:dyDescent="0.3">
      <c r="A372" s="32" t="s">
        <v>359</v>
      </c>
      <c r="B372" s="2" t="s">
        <v>244</v>
      </c>
      <c r="C372" s="10">
        <v>2304025</v>
      </c>
      <c r="D372" s="10" t="s">
        <v>1162</v>
      </c>
      <c r="E372" s="10">
        <v>2531141</v>
      </c>
      <c r="F372" s="10" t="s">
        <v>1258</v>
      </c>
      <c r="G372" s="69">
        <v>595.70000000000005</v>
      </c>
      <c r="H372" s="69">
        <v>35.61</v>
      </c>
      <c r="I372" s="69">
        <f t="shared" si="102"/>
        <v>24.927</v>
      </c>
      <c r="J372" s="70">
        <v>1</v>
      </c>
      <c r="K372" s="69">
        <f t="shared" si="103"/>
        <v>527.05221500000005</v>
      </c>
      <c r="L372" s="79" t="s">
        <v>468</v>
      </c>
      <c r="M372" s="61">
        <f t="shared" si="104"/>
        <v>-3.7390499999999971</v>
      </c>
      <c r="N372" s="61">
        <f t="shared" si="105"/>
        <v>4.3978349999999997</v>
      </c>
      <c r="O372" s="61"/>
      <c r="P372" s="2"/>
      <c r="Q372" s="2"/>
      <c r="R372" s="32"/>
      <c r="S372" s="32"/>
      <c r="T372" s="32"/>
      <c r="U372" s="32"/>
      <c r="V372" s="2"/>
      <c r="W372" s="2"/>
      <c r="X372" s="2"/>
      <c r="Y372" s="2"/>
      <c r="Z372" s="2"/>
    </row>
    <row r="373" spans="1:26" ht="13.8" x14ac:dyDescent="0.3">
      <c r="A373" s="32" t="s">
        <v>359</v>
      </c>
      <c r="B373" s="2" t="s">
        <v>244</v>
      </c>
      <c r="C373" s="10">
        <v>2304025</v>
      </c>
      <c r="D373" s="10" t="s">
        <v>1162</v>
      </c>
      <c r="E373" s="10">
        <v>2531145</v>
      </c>
      <c r="F373" s="10" t="s">
        <v>1226</v>
      </c>
      <c r="G373" s="69">
        <v>2886.6</v>
      </c>
      <c r="H373" s="69">
        <v>31.5</v>
      </c>
      <c r="I373" s="69">
        <f t="shared" si="102"/>
        <v>22.049999999999997</v>
      </c>
      <c r="J373" s="70">
        <v>1</v>
      </c>
      <c r="K373" s="69">
        <f t="shared" si="103"/>
        <v>2471.9272499999997</v>
      </c>
      <c r="L373" s="79" t="s">
        <v>468</v>
      </c>
      <c r="M373" s="61">
        <f t="shared" si="104"/>
        <v>-3.3075000000000156</v>
      </c>
      <c r="N373" s="61">
        <f t="shared" si="105"/>
        <v>3.89025</v>
      </c>
      <c r="O373" s="61"/>
      <c r="P373" s="2"/>
      <c r="Q373" s="2"/>
      <c r="R373" s="32"/>
      <c r="S373" s="32"/>
      <c r="T373" s="32"/>
      <c r="U373" s="32"/>
      <c r="V373" s="2"/>
      <c r="W373" s="2"/>
      <c r="X373" s="2"/>
      <c r="Y373" s="2"/>
      <c r="Z373" s="2"/>
    </row>
    <row r="374" spans="1:26" ht="13.8" x14ac:dyDescent="0.3">
      <c r="A374" s="32" t="s">
        <v>359</v>
      </c>
      <c r="B374" s="2" t="s">
        <v>244</v>
      </c>
      <c r="C374" s="10">
        <v>2304025</v>
      </c>
      <c r="D374" s="10" t="s">
        <v>1162</v>
      </c>
      <c r="E374" s="10">
        <v>2531146</v>
      </c>
      <c r="F374" s="10" t="s">
        <v>1227</v>
      </c>
      <c r="G374" s="69">
        <v>597.19000000000005</v>
      </c>
      <c r="H374" s="69">
        <v>273.39999999999998</v>
      </c>
      <c r="I374" s="69">
        <f t="shared" si="102"/>
        <v>191.37999999999997</v>
      </c>
      <c r="J374" s="70">
        <v>1</v>
      </c>
      <c r="K374" s="69">
        <f t="shared" si="103"/>
        <v>666.59359999999992</v>
      </c>
      <c r="L374" s="79" t="s">
        <v>468</v>
      </c>
      <c r="M374" s="61">
        <f t="shared" si="104"/>
        <v>-28.707000000000001</v>
      </c>
      <c r="N374" s="61">
        <f t="shared" si="105"/>
        <v>33.764899999999997</v>
      </c>
      <c r="O374" s="61"/>
      <c r="P374" s="2"/>
      <c r="Q374" s="2"/>
      <c r="R374" s="32"/>
      <c r="S374" s="32"/>
      <c r="T374" s="32"/>
      <c r="U374" s="32"/>
      <c r="V374" s="2"/>
      <c r="W374" s="2"/>
      <c r="X374" s="2"/>
      <c r="Y374" s="2"/>
      <c r="Z374" s="2"/>
    </row>
    <row r="375" spans="1:26" ht="13.8" x14ac:dyDescent="0.3">
      <c r="A375" s="32" t="s">
        <v>359</v>
      </c>
      <c r="B375" s="2" t="s">
        <v>244</v>
      </c>
      <c r="C375" s="10">
        <v>2304025</v>
      </c>
      <c r="D375" s="10" t="s">
        <v>1162</v>
      </c>
      <c r="E375" s="10">
        <v>2531191</v>
      </c>
      <c r="F375" s="10" t="s">
        <v>1259</v>
      </c>
      <c r="G375" s="69">
        <v>17.66</v>
      </c>
      <c r="H375" s="69">
        <v>1.44</v>
      </c>
      <c r="I375" s="69">
        <f t="shared" si="102"/>
        <v>1.008</v>
      </c>
      <c r="J375" s="70">
        <v>1</v>
      </c>
      <c r="K375" s="69">
        <f t="shared" si="103"/>
        <v>15.84836</v>
      </c>
      <c r="L375" s="79" t="s">
        <v>468</v>
      </c>
      <c r="M375" s="61">
        <f t="shared" si="104"/>
        <v>-0.15120000000000011</v>
      </c>
      <c r="N375" s="61">
        <f t="shared" si="105"/>
        <v>0.17784</v>
      </c>
      <c r="O375" s="61"/>
      <c r="P375" s="2"/>
      <c r="Q375" s="2"/>
      <c r="R375" s="32"/>
      <c r="S375" s="32"/>
      <c r="T375" s="32"/>
      <c r="U375" s="32"/>
      <c r="V375" s="2"/>
      <c r="W375" s="2"/>
      <c r="X375" s="2"/>
      <c r="Y375" s="2"/>
      <c r="Z375" s="2"/>
    </row>
    <row r="376" spans="1:26" ht="13.8" x14ac:dyDescent="0.3">
      <c r="A376" s="32" t="s">
        <v>359</v>
      </c>
      <c r="B376" s="2" t="s">
        <v>244</v>
      </c>
      <c r="C376" s="10">
        <v>2304025</v>
      </c>
      <c r="D376" s="10" t="s">
        <v>1162</v>
      </c>
      <c r="E376" s="10">
        <v>2531390</v>
      </c>
      <c r="F376" s="10" t="s">
        <v>1229</v>
      </c>
      <c r="G376" s="69">
        <v>31</v>
      </c>
      <c r="H376" s="69">
        <v>1.1100000000000001</v>
      </c>
      <c r="I376" s="69">
        <f t="shared" si="102"/>
        <v>0.77700000000000002</v>
      </c>
      <c r="J376" s="70">
        <v>1</v>
      </c>
      <c r="K376" s="69">
        <f t="shared" si="103"/>
        <v>26.995464999999999</v>
      </c>
      <c r="L376" s="79" t="s">
        <v>468</v>
      </c>
      <c r="M376" s="61">
        <f t="shared" si="104"/>
        <v>-0.11655000000000006</v>
      </c>
      <c r="N376" s="61">
        <f t="shared" si="105"/>
        <v>0.13708500000000001</v>
      </c>
      <c r="O376" s="61"/>
      <c r="P376" s="2"/>
      <c r="Q376" s="2"/>
      <c r="R376" s="32"/>
      <c r="S376" s="32"/>
      <c r="T376" s="32"/>
      <c r="U376" s="32"/>
      <c r="V376" s="2"/>
      <c r="W376" s="2"/>
      <c r="X376" s="2"/>
      <c r="Y376" s="2"/>
      <c r="Z376" s="2"/>
    </row>
    <row r="377" spans="1:26" ht="13.8" x14ac:dyDescent="0.3">
      <c r="A377" s="32" t="s">
        <v>359</v>
      </c>
      <c r="B377" s="2" t="s">
        <v>244</v>
      </c>
      <c r="C377" s="10">
        <v>2304025</v>
      </c>
      <c r="D377" s="10" t="s">
        <v>1162</v>
      </c>
      <c r="E377" s="10">
        <v>2541423</v>
      </c>
      <c r="F377" s="10" t="s">
        <v>1263</v>
      </c>
      <c r="G377" s="69">
        <v>-12</v>
      </c>
      <c r="H377" s="69">
        <v>0</v>
      </c>
      <c r="I377" s="69">
        <f t="shared" si="102"/>
        <v>0</v>
      </c>
      <c r="J377" s="70">
        <v>1</v>
      </c>
      <c r="K377" s="69">
        <f t="shared" si="103"/>
        <v>-10.199999999999999</v>
      </c>
      <c r="L377" s="79" t="s">
        <v>468</v>
      </c>
      <c r="M377" s="61">
        <f t="shared" si="104"/>
        <v>0</v>
      </c>
      <c r="N377" s="61">
        <f t="shared" si="105"/>
        <v>0</v>
      </c>
      <c r="O377" s="61"/>
      <c r="P377" s="2"/>
      <c r="Q377" s="2"/>
      <c r="R377" s="32"/>
      <c r="S377" s="32"/>
      <c r="T377" s="32"/>
      <c r="U377" s="32"/>
      <c r="V377" s="2"/>
      <c r="W377" s="2"/>
      <c r="X377" s="2"/>
      <c r="Y377" s="2"/>
      <c r="Z377" s="2"/>
    </row>
    <row r="378" spans="1:26" ht="13.8" x14ac:dyDescent="0.3">
      <c r="A378" s="32" t="s">
        <v>359</v>
      </c>
      <c r="B378" s="2" t="s">
        <v>244</v>
      </c>
      <c r="C378" s="10">
        <v>2304025</v>
      </c>
      <c r="D378" s="10" t="s">
        <v>1162</v>
      </c>
      <c r="E378" s="10">
        <v>2554720</v>
      </c>
      <c r="F378" s="10" t="s">
        <v>1270</v>
      </c>
      <c r="G378" s="69">
        <v>812.87</v>
      </c>
      <c r="H378" s="69">
        <v>52.87</v>
      </c>
      <c r="I378" s="69">
        <f t="shared" si="102"/>
        <v>37.008999999999993</v>
      </c>
      <c r="J378" s="70">
        <v>1</v>
      </c>
      <c r="K378" s="69">
        <f t="shared" si="103"/>
        <v>721.68340499999999</v>
      </c>
      <c r="L378" s="79" t="s">
        <v>468</v>
      </c>
      <c r="M378" s="61">
        <f t="shared" si="104"/>
        <v>-5.5513499999999958</v>
      </c>
      <c r="N378" s="61">
        <f t="shared" si="105"/>
        <v>6.5294449999999991</v>
      </c>
      <c r="O378" s="61"/>
      <c r="P378" s="2"/>
      <c r="Q378" s="2"/>
      <c r="R378" s="32"/>
      <c r="S378" s="32"/>
      <c r="T378" s="32"/>
      <c r="U378" s="32"/>
      <c r="V378" s="2"/>
      <c r="W378" s="2"/>
      <c r="X378" s="2"/>
      <c r="Y378" s="2"/>
      <c r="Z378" s="2"/>
    </row>
    <row r="379" spans="1:26" ht="13.8" x14ac:dyDescent="0.3">
      <c r="A379" s="32" t="s">
        <v>359</v>
      </c>
      <c r="B379" s="2" t="s">
        <v>244</v>
      </c>
      <c r="C379" s="10">
        <v>2304025</v>
      </c>
      <c r="D379" s="10" t="s">
        <v>1162</v>
      </c>
      <c r="E379" s="10">
        <v>2575716</v>
      </c>
      <c r="F379" s="10" t="s">
        <v>1283</v>
      </c>
      <c r="G379" s="69">
        <v>-16.59</v>
      </c>
      <c r="H379" s="69">
        <v>3.68</v>
      </c>
      <c r="I379" s="69">
        <f t="shared" si="102"/>
        <v>2.5760000000000001</v>
      </c>
      <c r="J379" s="70">
        <v>1</v>
      </c>
      <c r="K379" s="69">
        <f t="shared" si="103"/>
        <v>-11.96158</v>
      </c>
      <c r="L379" s="79" t="s">
        <v>468</v>
      </c>
      <c r="M379" s="61">
        <f t="shared" si="104"/>
        <v>-0.38639999999999985</v>
      </c>
      <c r="N379" s="61">
        <f t="shared" si="105"/>
        <v>0.45448</v>
      </c>
      <c r="O379" s="61"/>
      <c r="P379" s="2"/>
      <c r="Q379" s="2"/>
      <c r="R379" s="32"/>
      <c r="S379" s="32"/>
      <c r="T379" s="32"/>
      <c r="U379" s="32"/>
      <c r="V379" s="2"/>
      <c r="W379" s="2"/>
      <c r="X379" s="2"/>
      <c r="Y379" s="2"/>
      <c r="Z379" s="2"/>
    </row>
    <row r="380" spans="1:26" ht="13.8" x14ac:dyDescent="0.3">
      <c r="A380" s="32" t="s">
        <v>359</v>
      </c>
      <c r="B380" s="2" t="s">
        <v>244</v>
      </c>
      <c r="C380" s="10">
        <v>2304025</v>
      </c>
      <c r="D380" s="10" t="s">
        <v>1162</v>
      </c>
      <c r="E380" s="10">
        <v>2575824</v>
      </c>
      <c r="F380" s="10" t="s">
        <v>1284</v>
      </c>
      <c r="G380" s="69">
        <v>-77.62</v>
      </c>
      <c r="H380" s="69">
        <v>11.55</v>
      </c>
      <c r="I380" s="69">
        <f t="shared" si="102"/>
        <v>8.0850000000000009</v>
      </c>
      <c r="J380" s="70">
        <v>1</v>
      </c>
      <c r="K380" s="69">
        <f t="shared" si="103"/>
        <v>-59.260674999999999</v>
      </c>
      <c r="L380" s="79" t="s">
        <v>468</v>
      </c>
      <c r="M380" s="61">
        <f t="shared" si="104"/>
        <v>-1.2127499999999998</v>
      </c>
      <c r="N380" s="61">
        <f t="shared" si="105"/>
        <v>1.4264250000000001</v>
      </c>
      <c r="O380" s="61"/>
      <c r="P380" s="2"/>
      <c r="Q380" s="2"/>
      <c r="R380" s="32"/>
      <c r="S380" s="32"/>
      <c r="T380" s="32"/>
      <c r="U380" s="32"/>
      <c r="V380" s="2"/>
      <c r="W380" s="2"/>
      <c r="X380" s="2"/>
      <c r="Y380" s="2"/>
      <c r="Z380" s="2"/>
    </row>
    <row r="381" spans="1:26" ht="13.8" x14ac:dyDescent="0.3">
      <c r="A381" s="32" t="s">
        <v>359</v>
      </c>
      <c r="B381" s="2" t="s">
        <v>244</v>
      </c>
      <c r="C381" s="10">
        <v>2523689</v>
      </c>
      <c r="D381" s="10" t="s">
        <v>1179</v>
      </c>
      <c r="E381" s="10">
        <v>2525136</v>
      </c>
      <c r="F381" s="10" t="s">
        <v>1205</v>
      </c>
      <c r="G381" s="69">
        <v>98.5</v>
      </c>
      <c r="H381" s="69">
        <v>1.25</v>
      </c>
      <c r="I381" s="69">
        <f t="shared" si="102"/>
        <v>0.875</v>
      </c>
      <c r="J381" s="70">
        <v>1</v>
      </c>
      <c r="K381" s="69">
        <f t="shared" si="103"/>
        <v>84.451875000000001</v>
      </c>
      <c r="L381" s="79" t="s">
        <v>468</v>
      </c>
      <c r="M381" s="61">
        <f t="shared" si="104"/>
        <v>-0.13124999999999998</v>
      </c>
      <c r="N381" s="61">
        <f t="shared" si="105"/>
        <v>0.15437499999999998</v>
      </c>
      <c r="O381" s="61"/>
      <c r="P381" s="2"/>
      <c r="Q381" s="2"/>
      <c r="R381" s="32"/>
      <c r="S381" s="32"/>
      <c r="T381" s="32"/>
      <c r="U381" s="32"/>
      <c r="V381" s="2"/>
      <c r="W381" s="2"/>
      <c r="X381" s="2"/>
      <c r="Y381" s="2"/>
      <c r="Z381" s="2"/>
    </row>
    <row r="382" spans="1:26" ht="13.8" x14ac:dyDescent="0.3">
      <c r="A382" s="32" t="s">
        <v>359</v>
      </c>
      <c r="B382" s="2" t="s">
        <v>244</v>
      </c>
      <c r="C382" s="10">
        <v>2550550</v>
      </c>
      <c r="D382" s="10" t="s">
        <v>1272</v>
      </c>
      <c r="E382" s="10">
        <v>2550550</v>
      </c>
      <c r="F382" s="10" t="s">
        <v>1272</v>
      </c>
      <c r="G382" s="69">
        <v>-150</v>
      </c>
      <c r="H382" s="69">
        <v>15</v>
      </c>
      <c r="I382" s="69">
        <f t="shared" si="102"/>
        <v>10.5</v>
      </c>
      <c r="J382" s="70">
        <v>1</v>
      </c>
      <c r="K382" s="69">
        <f t="shared" ref="K382:K383" si="106">(G382+I382)*J382*0.96+(G382*0.04-(G382+H382)*0.04)*J382*0.3+I382*0.04*J382*0.3</f>
        <v>-133.97399999999999</v>
      </c>
      <c r="L382" s="19" t="s">
        <v>468</v>
      </c>
      <c r="M382" s="61">
        <f t="shared" ref="M382:M383" si="107">(G382*0.04-(G382+H382)*0.04)*J382*0.7</f>
        <v>-0.41999999999999971</v>
      </c>
      <c r="N382" s="61">
        <f t="shared" ref="N382:N383" si="108">I382*0.04*J382*0.7+H382*0.05*J382</f>
        <v>1.044</v>
      </c>
      <c r="O382" s="58"/>
      <c r="P382" s="2"/>
      <c r="Q382" s="2"/>
      <c r="R382" s="32"/>
      <c r="S382" s="32"/>
      <c r="T382" s="32"/>
      <c r="U382" s="32"/>
      <c r="V382" s="2"/>
      <c r="W382" s="2"/>
      <c r="X382" s="2"/>
      <c r="Y382" s="2"/>
      <c r="Z382" s="2"/>
    </row>
    <row r="383" spans="1:26" ht="13.8" x14ac:dyDescent="0.3">
      <c r="A383" s="32" t="s">
        <v>359</v>
      </c>
      <c r="B383" s="2" t="s">
        <v>244</v>
      </c>
      <c r="C383" s="10">
        <v>2550550</v>
      </c>
      <c r="D383" s="10" t="s">
        <v>1272</v>
      </c>
      <c r="E383" s="10">
        <v>2573942</v>
      </c>
      <c r="F383" s="10" t="s">
        <v>1289</v>
      </c>
      <c r="G383" s="69">
        <v>-150</v>
      </c>
      <c r="H383" s="69">
        <v>15</v>
      </c>
      <c r="I383" s="69">
        <f t="shared" si="102"/>
        <v>10.5</v>
      </c>
      <c r="J383" s="70">
        <v>1</v>
      </c>
      <c r="K383" s="69">
        <f t="shared" si="106"/>
        <v>-133.97399999999999</v>
      </c>
      <c r="L383" s="19" t="s">
        <v>468</v>
      </c>
      <c r="M383" s="61">
        <f t="shared" si="107"/>
        <v>-0.41999999999999971</v>
      </c>
      <c r="N383" s="61">
        <f t="shared" si="108"/>
        <v>1.044</v>
      </c>
      <c r="O383" s="58"/>
      <c r="P383" s="2"/>
      <c r="Q383" s="2"/>
      <c r="R383" s="32"/>
      <c r="S383" s="32"/>
      <c r="T383" s="32"/>
      <c r="U383" s="32"/>
      <c r="V383" s="2"/>
      <c r="W383" s="2"/>
      <c r="X383" s="2"/>
      <c r="Y383" s="2"/>
      <c r="Z383" s="2"/>
    </row>
    <row r="384" spans="1:26" ht="13.8" x14ac:dyDescent="0.3">
      <c r="A384" s="32" t="s">
        <v>359</v>
      </c>
      <c r="B384" s="2" t="s">
        <v>244</v>
      </c>
      <c r="C384" s="10">
        <v>2566294</v>
      </c>
      <c r="D384" s="10" t="s">
        <v>1276</v>
      </c>
      <c r="E384" s="10">
        <v>2525032</v>
      </c>
      <c r="F384" s="10" t="s">
        <v>1277</v>
      </c>
      <c r="G384" s="69">
        <v>-1815.82</v>
      </c>
      <c r="H384" s="69">
        <v>324.79000000000002</v>
      </c>
      <c r="I384" s="69">
        <f t="shared" si="102"/>
        <v>227.35300000000001</v>
      </c>
      <c r="J384" s="70">
        <v>1</v>
      </c>
      <c r="K384" s="69">
        <f>(G384+I384)*0.85+(G384*0.15-(G384+H384)*0.15)*J384*0.3+I384*0.15*J384*0.3</f>
        <v>-1354.5816149999998</v>
      </c>
      <c r="L384" s="79" t="s">
        <v>468</v>
      </c>
      <c r="M384" s="61">
        <f>(G384*0.15-(G384+H384)*0.15)*J384*0.7</f>
        <v>-34.10295</v>
      </c>
      <c r="N384" s="61">
        <f>I384*0.15*J384*0.7+H384*0.05*J384</f>
        <v>40.111564999999999</v>
      </c>
      <c r="O384" s="61"/>
      <c r="P384" s="2"/>
      <c r="Q384" s="2"/>
      <c r="R384" s="32"/>
      <c r="S384" s="32"/>
      <c r="T384" s="32"/>
      <c r="U384" s="32"/>
      <c r="V384" s="2"/>
      <c r="W384" s="2"/>
      <c r="X384" s="2"/>
      <c r="Y384" s="2"/>
      <c r="Z384" s="2"/>
    </row>
    <row r="385" spans="1:26" ht="13.8" x14ac:dyDescent="0.3">
      <c r="A385" s="2" t="s">
        <v>366</v>
      </c>
      <c r="B385" s="32" t="s">
        <v>69</v>
      </c>
      <c r="C385" s="10" t="s">
        <v>1230</v>
      </c>
      <c r="D385" s="10" t="s">
        <v>1231</v>
      </c>
      <c r="E385" s="10" t="s">
        <v>1230</v>
      </c>
      <c r="F385" s="10" t="s">
        <v>1231</v>
      </c>
      <c r="G385" s="69">
        <v>-36.54</v>
      </c>
      <c r="H385" s="69">
        <v>193.63</v>
      </c>
      <c r="I385" s="69">
        <f t="shared" ref="I385:I387" si="109">H385*0.72</f>
        <v>139.4136</v>
      </c>
      <c r="J385" s="70">
        <v>1</v>
      </c>
      <c r="K385" s="69">
        <f t="shared" ref="K385:K390" si="110">(G385+I385)*J385</f>
        <v>102.87360000000001</v>
      </c>
      <c r="L385" s="78">
        <f t="shared" ref="L385:L390" si="111">H385*0.05*J385</f>
        <v>9.6814999999999998</v>
      </c>
      <c r="M385" s="61">
        <v>0</v>
      </c>
      <c r="N385" s="61">
        <f t="shared" ref="N385:N387" si="112">H385*0.08*J385</f>
        <v>15.490399999999999</v>
      </c>
      <c r="O385" s="58"/>
      <c r="P385" s="2"/>
      <c r="Q385" s="2"/>
      <c r="R385" s="32"/>
      <c r="S385" s="32"/>
      <c r="T385" s="32"/>
      <c r="U385" s="32"/>
      <c r="V385" s="2"/>
      <c r="W385" s="2"/>
      <c r="X385" s="2"/>
      <c r="Y385" s="2"/>
      <c r="Z385" s="2"/>
    </row>
    <row r="386" spans="1:26" ht="13.8" x14ac:dyDescent="0.3">
      <c r="A386" s="2" t="s">
        <v>366</v>
      </c>
      <c r="B386" s="32" t="s">
        <v>69</v>
      </c>
      <c r="C386" s="10" t="s">
        <v>1230</v>
      </c>
      <c r="D386" s="10" t="s">
        <v>1231</v>
      </c>
      <c r="E386" s="10" t="s">
        <v>1232</v>
      </c>
      <c r="F386" s="10" t="s">
        <v>1233</v>
      </c>
      <c r="G386" s="69">
        <v>-877.24</v>
      </c>
      <c r="H386" s="69">
        <v>287.19</v>
      </c>
      <c r="I386" s="69">
        <f t="shared" si="109"/>
        <v>206.77679999999998</v>
      </c>
      <c r="J386" s="70">
        <v>1</v>
      </c>
      <c r="K386" s="69">
        <f t="shared" si="110"/>
        <v>-670.46320000000003</v>
      </c>
      <c r="L386" s="78">
        <f t="shared" si="111"/>
        <v>14.359500000000001</v>
      </c>
      <c r="M386" s="61">
        <v>0</v>
      </c>
      <c r="N386" s="61">
        <f t="shared" si="112"/>
        <v>22.975200000000001</v>
      </c>
      <c r="O386" s="58"/>
      <c r="P386" s="2"/>
      <c r="Q386" s="2"/>
      <c r="R386" s="32"/>
      <c r="S386" s="32"/>
      <c r="T386" s="32"/>
      <c r="U386" s="32"/>
      <c r="V386" s="2"/>
      <c r="W386" s="2"/>
      <c r="X386" s="2"/>
      <c r="Y386" s="2"/>
      <c r="Z386" s="2"/>
    </row>
    <row r="387" spans="1:26" ht="13.8" x14ac:dyDescent="0.3">
      <c r="A387" s="2" t="s">
        <v>366</v>
      </c>
      <c r="B387" s="32" t="s">
        <v>69</v>
      </c>
      <c r="C387" s="10" t="s">
        <v>1290</v>
      </c>
      <c r="D387" s="10" t="s">
        <v>1291</v>
      </c>
      <c r="E387" s="10" t="s">
        <v>1292</v>
      </c>
      <c r="F387" s="10" t="s">
        <v>1293</v>
      </c>
      <c r="G387" s="69">
        <v>-10703.48</v>
      </c>
      <c r="H387" s="69">
        <v>2190.0700000000002</v>
      </c>
      <c r="I387" s="69">
        <f t="shared" si="109"/>
        <v>1576.8504</v>
      </c>
      <c r="J387" s="70">
        <v>1</v>
      </c>
      <c r="K387" s="69">
        <f t="shared" si="110"/>
        <v>-9126.6296000000002</v>
      </c>
      <c r="L387" s="78">
        <f t="shared" si="111"/>
        <v>109.50350000000002</v>
      </c>
      <c r="M387" s="61">
        <v>0</v>
      </c>
      <c r="N387" s="61">
        <f t="shared" si="112"/>
        <v>175.2056</v>
      </c>
      <c r="O387" s="58"/>
      <c r="P387" s="2"/>
      <c r="Q387" s="2"/>
      <c r="R387" s="32"/>
      <c r="S387" s="32"/>
      <c r="T387" s="32"/>
      <c r="U387" s="32"/>
      <c r="V387" s="2"/>
      <c r="W387" s="2"/>
      <c r="X387" s="2"/>
      <c r="Y387" s="2"/>
      <c r="Z387" s="2"/>
    </row>
    <row r="388" spans="1:26" ht="13.8" x14ac:dyDescent="0.3">
      <c r="A388" s="2" t="s">
        <v>366</v>
      </c>
      <c r="B388" s="29" t="s">
        <v>35</v>
      </c>
      <c r="C388" s="10" t="s">
        <v>1138</v>
      </c>
      <c r="D388" s="10" t="s">
        <v>1139</v>
      </c>
      <c r="E388" s="10" t="s">
        <v>1140</v>
      </c>
      <c r="F388" s="10" t="s">
        <v>1141</v>
      </c>
      <c r="G388" s="69">
        <v>-628.08000000000004</v>
      </c>
      <c r="H388" s="69">
        <v>57.48</v>
      </c>
      <c r="I388" s="69">
        <f t="shared" ref="I388:I390" si="113">H388*0.79</f>
        <v>45.409199999999998</v>
      </c>
      <c r="J388" s="75">
        <v>0.2752</v>
      </c>
      <c r="K388" s="69">
        <f t="shared" si="110"/>
        <v>-160.35100416000003</v>
      </c>
      <c r="L388" s="78">
        <f t="shared" si="111"/>
        <v>0.79092479999999998</v>
      </c>
      <c r="M388" s="61">
        <v>0</v>
      </c>
      <c r="N388" s="61">
        <f t="shared" ref="N388:N390" si="114">H388*0.04*J388</f>
        <v>0.63273983999999994</v>
      </c>
      <c r="O388" s="61"/>
      <c r="P388" s="2"/>
      <c r="Q388" s="2"/>
      <c r="R388" s="32"/>
      <c r="S388" s="32"/>
      <c r="T388" s="32"/>
      <c r="U388" s="32"/>
      <c r="V388" s="2"/>
      <c r="W388" s="2"/>
      <c r="X388" s="2"/>
      <c r="Y388" s="2"/>
      <c r="Z388" s="2"/>
    </row>
    <row r="389" spans="1:26" ht="13.8" x14ac:dyDescent="0.3">
      <c r="A389" s="2" t="s">
        <v>366</v>
      </c>
      <c r="B389" s="29" t="s">
        <v>35</v>
      </c>
      <c r="C389" s="10" t="s">
        <v>1138</v>
      </c>
      <c r="D389" s="10" t="s">
        <v>1139</v>
      </c>
      <c r="E389" s="10" t="s">
        <v>1294</v>
      </c>
      <c r="F389" s="10" t="s">
        <v>1295</v>
      </c>
      <c r="G389" s="69">
        <v>541.65</v>
      </c>
      <c r="H389" s="69">
        <v>55.33</v>
      </c>
      <c r="I389" s="69">
        <f t="shared" si="113"/>
        <v>43.710700000000003</v>
      </c>
      <c r="J389" s="75">
        <v>0.2752</v>
      </c>
      <c r="K389" s="69">
        <f t="shared" si="110"/>
        <v>161.09126463999999</v>
      </c>
      <c r="L389" s="78">
        <f t="shared" si="111"/>
        <v>0.76134080000000004</v>
      </c>
      <c r="M389" s="61">
        <v>0</v>
      </c>
      <c r="N389" s="61">
        <f t="shared" si="114"/>
        <v>0.60907264000000005</v>
      </c>
      <c r="O389" s="61"/>
      <c r="P389" s="2"/>
      <c r="Q389" s="2"/>
      <c r="R389" s="32"/>
      <c r="S389" s="32"/>
      <c r="T389" s="32"/>
      <c r="U389" s="32"/>
      <c r="V389" s="2"/>
      <c r="W389" s="2"/>
      <c r="X389" s="2"/>
      <c r="Y389" s="2"/>
      <c r="Z389" s="2"/>
    </row>
    <row r="390" spans="1:26" ht="13.8" x14ac:dyDescent="0.3">
      <c r="A390" s="2" t="s">
        <v>366</v>
      </c>
      <c r="B390" s="29" t="s">
        <v>35</v>
      </c>
      <c r="C390" s="10" t="s">
        <v>1138</v>
      </c>
      <c r="D390" s="10" t="s">
        <v>1139</v>
      </c>
      <c r="E390" s="10" t="s">
        <v>1286</v>
      </c>
      <c r="F390" s="10" t="s">
        <v>1287</v>
      </c>
      <c r="G390" s="69">
        <v>-448.22</v>
      </c>
      <c r="H390" s="69">
        <v>15.16</v>
      </c>
      <c r="I390" s="69">
        <f t="shared" si="113"/>
        <v>11.9764</v>
      </c>
      <c r="J390" s="75">
        <v>0.2752</v>
      </c>
      <c r="K390" s="69">
        <f t="shared" si="110"/>
        <v>-120.05423872</v>
      </c>
      <c r="L390" s="78">
        <f t="shared" si="111"/>
        <v>0.2086016</v>
      </c>
      <c r="M390" s="61">
        <v>0</v>
      </c>
      <c r="N390" s="61">
        <f t="shared" si="114"/>
        <v>0.16688128000000002</v>
      </c>
      <c r="O390" s="61"/>
      <c r="P390" s="2"/>
      <c r="Q390" s="2"/>
      <c r="R390" s="32"/>
      <c r="S390" s="32"/>
      <c r="T390" s="32"/>
      <c r="U390" s="32"/>
      <c r="V390" s="2"/>
      <c r="W390" s="2"/>
      <c r="X390" s="2"/>
      <c r="Y390" s="2"/>
      <c r="Z390" s="2"/>
    </row>
    <row r="391" spans="1:26" ht="13.8" x14ac:dyDescent="0.3">
      <c r="A391" s="2" t="s">
        <v>366</v>
      </c>
      <c r="B391" s="2" t="s">
        <v>186</v>
      </c>
      <c r="C391" s="10" t="s">
        <v>15</v>
      </c>
      <c r="D391" s="10" t="s">
        <v>15</v>
      </c>
      <c r="E391" s="10">
        <v>1714680</v>
      </c>
      <c r="F391" s="76" t="s">
        <v>535</v>
      </c>
      <c r="G391" s="69">
        <v>-23.76</v>
      </c>
      <c r="H391" s="69">
        <v>21.16</v>
      </c>
      <c r="I391" s="69">
        <v>0</v>
      </c>
      <c r="J391" s="70">
        <v>1</v>
      </c>
      <c r="K391" s="69">
        <f>(-H391*0.4*0.15+G391*0.25)*J391*0.3+(H391*0.1*0.85+H391*0.5*0.25)*J391*0.3</f>
        <v>-0.82979999999999987</v>
      </c>
      <c r="L391" s="79" t="s">
        <v>468</v>
      </c>
      <c r="M391" s="61">
        <v>0</v>
      </c>
      <c r="N391" s="61">
        <v>0</v>
      </c>
      <c r="O391" s="61"/>
      <c r="P391" s="2"/>
      <c r="Q391" s="2"/>
      <c r="R391" s="32"/>
      <c r="S391" s="32"/>
      <c r="T391" s="32"/>
      <c r="U391" s="32"/>
      <c r="V391" s="2"/>
      <c r="W391" s="2"/>
      <c r="X391" s="2"/>
      <c r="Y391" s="2"/>
      <c r="Z391" s="2"/>
    </row>
    <row r="392" spans="1:26" ht="13.8" x14ac:dyDescent="0.3">
      <c r="A392" s="2" t="s">
        <v>366</v>
      </c>
      <c r="B392" s="2" t="s">
        <v>186</v>
      </c>
      <c r="C392" s="10">
        <v>2304025</v>
      </c>
      <c r="D392" s="10" t="s">
        <v>1162</v>
      </c>
      <c r="E392" s="10">
        <v>2380008</v>
      </c>
      <c r="F392" s="10" t="s">
        <v>1192</v>
      </c>
      <c r="G392" s="69">
        <v>627.72</v>
      </c>
      <c r="H392" s="69">
        <v>45.03</v>
      </c>
      <c r="I392" s="69">
        <f t="shared" ref="I392:I401" si="115">H392*0.5</f>
        <v>22.515000000000001</v>
      </c>
      <c r="J392" s="70">
        <v>1</v>
      </c>
      <c r="K392" s="69">
        <f t="shared" ref="K392:K401" si="116">(G392+I392)*J392*0.85+(-H392*0.4*0.15)*J392*0.3+H392*0.1*0.85*J392*0.3</f>
        <v>553.03747500000009</v>
      </c>
      <c r="L392" s="79" t="s">
        <v>468</v>
      </c>
      <c r="M392" s="61">
        <f t="shared" ref="M392:M401" si="117">(-H392*0.4*0.15)*J392*0.7-(-H392*0.05*0.15)*J392</f>
        <v>-1.5535349999999999</v>
      </c>
      <c r="N392" s="61">
        <f t="shared" ref="N392:N401" si="118">H392*0.1*0.85*J392*0.7+H392*0.05*0.85*J392</f>
        <v>4.5930599999999995</v>
      </c>
      <c r="O392" s="61"/>
      <c r="P392" s="2"/>
      <c r="Q392" s="2"/>
      <c r="R392" s="32"/>
      <c r="S392" s="32"/>
      <c r="T392" s="32"/>
      <c r="U392" s="32"/>
      <c r="V392" s="2"/>
      <c r="W392" s="2"/>
      <c r="X392" s="2"/>
      <c r="Y392" s="2"/>
      <c r="Z392" s="2"/>
    </row>
    <row r="393" spans="1:26" ht="13.8" x14ac:dyDescent="0.3">
      <c r="A393" s="2" t="s">
        <v>366</v>
      </c>
      <c r="B393" s="2" t="s">
        <v>186</v>
      </c>
      <c r="C393" s="10">
        <v>2304025</v>
      </c>
      <c r="D393" s="10" t="s">
        <v>1162</v>
      </c>
      <c r="E393" s="10">
        <v>2381522</v>
      </c>
      <c r="F393" s="10" t="s">
        <v>1166</v>
      </c>
      <c r="G393" s="69">
        <v>20.82</v>
      </c>
      <c r="H393" s="69">
        <v>5.82</v>
      </c>
      <c r="I393" s="69">
        <f t="shared" si="115"/>
        <v>2.91</v>
      </c>
      <c r="J393" s="70">
        <v>1</v>
      </c>
      <c r="K393" s="69">
        <f t="shared" si="116"/>
        <v>20.21415</v>
      </c>
      <c r="L393" s="79" t="s">
        <v>468</v>
      </c>
      <c r="M393" s="61">
        <f t="shared" si="117"/>
        <v>-0.20079</v>
      </c>
      <c r="N393" s="61">
        <f t="shared" si="118"/>
        <v>0.59363999999999995</v>
      </c>
      <c r="O393" s="61"/>
      <c r="P393" s="2"/>
      <c r="Q393" s="2"/>
      <c r="R393" s="32"/>
      <c r="S393" s="32"/>
      <c r="T393" s="32"/>
      <c r="U393" s="32"/>
      <c r="V393" s="2"/>
      <c r="W393" s="2"/>
      <c r="X393" s="2"/>
      <c r="Y393" s="2"/>
      <c r="Z393" s="2"/>
    </row>
    <row r="394" spans="1:26" ht="13.8" x14ac:dyDescent="0.3">
      <c r="A394" s="2" t="s">
        <v>366</v>
      </c>
      <c r="B394" s="2" t="s">
        <v>186</v>
      </c>
      <c r="C394" s="10">
        <v>2304025</v>
      </c>
      <c r="D394" s="10" t="s">
        <v>1162</v>
      </c>
      <c r="E394" s="10">
        <v>2471540</v>
      </c>
      <c r="F394" s="10" t="s">
        <v>1172</v>
      </c>
      <c r="G394" s="69">
        <v>187.33</v>
      </c>
      <c r="H394" s="69">
        <v>14.5</v>
      </c>
      <c r="I394" s="69">
        <f t="shared" si="115"/>
        <v>7.25</v>
      </c>
      <c r="J394" s="70">
        <v>1</v>
      </c>
      <c r="K394" s="69">
        <f t="shared" si="116"/>
        <v>165.50175000000002</v>
      </c>
      <c r="L394" s="79" t="s">
        <v>468</v>
      </c>
      <c r="M394" s="61">
        <f t="shared" si="117"/>
        <v>-0.50024999999999997</v>
      </c>
      <c r="N394" s="61">
        <f t="shared" si="118"/>
        <v>1.4790000000000001</v>
      </c>
      <c r="O394" s="61"/>
      <c r="P394" s="2"/>
      <c r="Q394" s="2"/>
      <c r="R394" s="32"/>
      <c r="S394" s="32"/>
      <c r="T394" s="32"/>
      <c r="U394" s="32"/>
      <c r="V394" s="2"/>
      <c r="W394" s="2"/>
      <c r="X394" s="2"/>
      <c r="Y394" s="2"/>
      <c r="Z394" s="2"/>
    </row>
    <row r="395" spans="1:26" ht="13.8" x14ac:dyDescent="0.3">
      <c r="A395" s="2" t="s">
        <v>366</v>
      </c>
      <c r="B395" s="2" t="s">
        <v>186</v>
      </c>
      <c r="C395" s="10">
        <v>2304025</v>
      </c>
      <c r="D395" s="10" t="s">
        <v>1162</v>
      </c>
      <c r="E395" s="10">
        <v>2531191</v>
      </c>
      <c r="F395" s="10" t="s">
        <v>1259</v>
      </c>
      <c r="G395" s="69">
        <v>35.700000000000003</v>
      </c>
      <c r="H395" s="69">
        <v>0.36</v>
      </c>
      <c r="I395" s="69">
        <f t="shared" si="115"/>
        <v>0.18</v>
      </c>
      <c r="J395" s="70">
        <v>1</v>
      </c>
      <c r="K395" s="69">
        <f t="shared" si="116"/>
        <v>30.500700000000002</v>
      </c>
      <c r="L395" s="79" t="s">
        <v>468</v>
      </c>
      <c r="M395" s="61">
        <f t="shared" si="117"/>
        <v>-1.2419999999999999E-2</v>
      </c>
      <c r="N395" s="61">
        <f t="shared" si="118"/>
        <v>3.6719999999999989E-2</v>
      </c>
      <c r="O395" s="61"/>
      <c r="P395" s="2"/>
      <c r="Q395" s="2"/>
      <c r="R395" s="32"/>
      <c r="S395" s="32"/>
      <c r="T395" s="32"/>
      <c r="U395" s="32"/>
      <c r="V395" s="2"/>
      <c r="W395" s="2"/>
      <c r="X395" s="2"/>
      <c r="Y395" s="2"/>
      <c r="Z395" s="2"/>
    </row>
    <row r="396" spans="1:26" ht="13.8" x14ac:dyDescent="0.3">
      <c r="A396" s="2" t="s">
        <v>366</v>
      </c>
      <c r="B396" s="2" t="s">
        <v>186</v>
      </c>
      <c r="C396" s="10">
        <v>2304025</v>
      </c>
      <c r="D396" s="10" t="s">
        <v>1162</v>
      </c>
      <c r="E396" s="10">
        <v>2535371</v>
      </c>
      <c r="F396" s="10" t="s">
        <v>1250</v>
      </c>
      <c r="G396" s="69">
        <v>-199.28</v>
      </c>
      <c r="H396" s="69">
        <v>16.05</v>
      </c>
      <c r="I396" s="69">
        <f t="shared" si="115"/>
        <v>8.0250000000000004</v>
      </c>
      <c r="J396" s="70">
        <v>1</v>
      </c>
      <c r="K396" s="69">
        <f t="shared" si="116"/>
        <v>-162.44637499999999</v>
      </c>
      <c r="L396" s="79" t="s">
        <v>468</v>
      </c>
      <c r="M396" s="61">
        <f t="shared" si="117"/>
        <v>-0.55372500000000002</v>
      </c>
      <c r="N396" s="61">
        <f t="shared" si="118"/>
        <v>1.6371000000000002</v>
      </c>
      <c r="O396" s="61"/>
      <c r="P396" s="2"/>
      <c r="Q396" s="2"/>
      <c r="R396" s="32"/>
      <c r="S396" s="32"/>
      <c r="T396" s="32"/>
      <c r="U396" s="32"/>
      <c r="V396" s="2"/>
      <c r="W396" s="2"/>
      <c r="X396" s="2"/>
      <c r="Y396" s="2"/>
      <c r="Z396" s="2"/>
    </row>
    <row r="397" spans="1:26" ht="13.8" x14ac:dyDescent="0.3">
      <c r="A397" s="2" t="s">
        <v>366</v>
      </c>
      <c r="B397" s="2" t="s">
        <v>186</v>
      </c>
      <c r="C397" s="10">
        <v>2304025</v>
      </c>
      <c r="D397" s="10" t="s">
        <v>1162</v>
      </c>
      <c r="E397" s="10">
        <v>2540293</v>
      </c>
      <c r="F397" s="10" t="s">
        <v>1261</v>
      </c>
      <c r="G397" s="69">
        <v>14.35</v>
      </c>
      <c r="H397" s="69">
        <v>3.7</v>
      </c>
      <c r="I397" s="69">
        <f t="shared" si="115"/>
        <v>1.85</v>
      </c>
      <c r="J397" s="70">
        <v>1</v>
      </c>
      <c r="K397" s="69">
        <f t="shared" si="116"/>
        <v>13.797750000000001</v>
      </c>
      <c r="L397" s="79" t="s">
        <v>468</v>
      </c>
      <c r="M397" s="61">
        <f t="shared" si="117"/>
        <v>-0.12765000000000001</v>
      </c>
      <c r="N397" s="61">
        <f t="shared" si="118"/>
        <v>0.37740000000000007</v>
      </c>
      <c r="O397" s="61"/>
      <c r="P397" s="2"/>
      <c r="Q397" s="2"/>
      <c r="R397" s="32"/>
      <c r="S397" s="32"/>
      <c r="T397" s="32"/>
      <c r="U397" s="32"/>
      <c r="V397" s="2"/>
      <c r="W397" s="2"/>
      <c r="X397" s="2"/>
      <c r="Y397" s="2"/>
      <c r="Z397" s="2"/>
    </row>
    <row r="398" spans="1:26" ht="13.8" x14ac:dyDescent="0.3">
      <c r="A398" s="2" t="s">
        <v>366</v>
      </c>
      <c r="B398" s="2" t="s">
        <v>186</v>
      </c>
      <c r="C398" s="10">
        <v>2304025</v>
      </c>
      <c r="D398" s="10" t="s">
        <v>1162</v>
      </c>
      <c r="E398" s="10">
        <v>2554720</v>
      </c>
      <c r="F398" s="10" t="s">
        <v>1270</v>
      </c>
      <c r="G398" s="69">
        <v>-4.09</v>
      </c>
      <c r="H398" s="69">
        <v>149.93</v>
      </c>
      <c r="I398" s="69">
        <f t="shared" si="115"/>
        <v>74.965000000000003</v>
      </c>
      <c r="J398" s="70">
        <v>1</v>
      </c>
      <c r="K398" s="69">
        <f t="shared" si="116"/>
        <v>61.368224999999995</v>
      </c>
      <c r="L398" s="79" t="s">
        <v>468</v>
      </c>
      <c r="M398" s="61">
        <f t="shared" si="117"/>
        <v>-5.1725849999999998</v>
      </c>
      <c r="N398" s="61">
        <f t="shared" si="118"/>
        <v>15.292860000000001</v>
      </c>
      <c r="O398" s="61"/>
      <c r="P398" s="2"/>
      <c r="Q398" s="2"/>
      <c r="R398" s="32"/>
      <c r="S398" s="32"/>
      <c r="T398" s="32"/>
      <c r="U398" s="32"/>
      <c r="V398" s="2"/>
      <c r="W398" s="2"/>
      <c r="X398" s="2"/>
      <c r="Y398" s="2"/>
      <c r="Z398" s="2"/>
    </row>
    <row r="399" spans="1:26" ht="13.8" x14ac:dyDescent="0.3">
      <c r="A399" s="2" t="s">
        <v>366</v>
      </c>
      <c r="B399" s="2" t="s">
        <v>186</v>
      </c>
      <c r="C399" s="10">
        <v>2304025</v>
      </c>
      <c r="D399" s="10" t="s">
        <v>1162</v>
      </c>
      <c r="E399" s="10">
        <v>2575716</v>
      </c>
      <c r="F399" s="10" t="s">
        <v>1283</v>
      </c>
      <c r="G399" s="69">
        <v>-173.21</v>
      </c>
      <c r="H399" s="69">
        <v>14.95</v>
      </c>
      <c r="I399" s="69">
        <f t="shared" si="115"/>
        <v>7.4749999999999996</v>
      </c>
      <c r="J399" s="70">
        <v>1</v>
      </c>
      <c r="K399" s="69">
        <f t="shared" si="116"/>
        <v>-140.76262500000001</v>
      </c>
      <c r="L399" s="79" t="s">
        <v>468</v>
      </c>
      <c r="M399" s="61">
        <f t="shared" si="117"/>
        <v>-0.51577499999999998</v>
      </c>
      <c r="N399" s="61">
        <f t="shared" si="118"/>
        <v>1.5249000000000001</v>
      </c>
      <c r="O399" s="61"/>
      <c r="P399" s="2"/>
      <c r="Q399" s="2"/>
      <c r="R399" s="32"/>
      <c r="S399" s="32"/>
      <c r="T399" s="32"/>
      <c r="U399" s="32"/>
      <c r="V399" s="2"/>
      <c r="W399" s="2"/>
      <c r="X399" s="2"/>
      <c r="Y399" s="2"/>
      <c r="Z399" s="2"/>
    </row>
    <row r="400" spans="1:26" ht="13.8" x14ac:dyDescent="0.3">
      <c r="A400" s="2" t="s">
        <v>366</v>
      </c>
      <c r="B400" s="2" t="s">
        <v>186</v>
      </c>
      <c r="C400" s="10">
        <v>2304025</v>
      </c>
      <c r="D400" s="10" t="s">
        <v>1162</v>
      </c>
      <c r="E400" s="10">
        <v>2575824</v>
      </c>
      <c r="F400" s="10" t="s">
        <v>1284</v>
      </c>
      <c r="G400" s="69">
        <v>86.04</v>
      </c>
      <c r="H400" s="69">
        <v>11.78</v>
      </c>
      <c r="I400" s="69">
        <f t="shared" si="115"/>
        <v>5.89</v>
      </c>
      <c r="J400" s="70">
        <v>1</v>
      </c>
      <c r="K400" s="69">
        <f t="shared" si="116"/>
        <v>78.228849999999994</v>
      </c>
      <c r="L400" s="79" t="s">
        <v>468</v>
      </c>
      <c r="M400" s="61">
        <f t="shared" si="117"/>
        <v>-0.40640999999999999</v>
      </c>
      <c r="N400" s="61">
        <f t="shared" si="118"/>
        <v>1.2015599999999997</v>
      </c>
      <c r="O400" s="61"/>
      <c r="P400" s="2"/>
      <c r="Q400" s="2"/>
      <c r="R400" s="32"/>
      <c r="S400" s="32"/>
      <c r="T400" s="32"/>
      <c r="U400" s="32"/>
      <c r="V400" s="2"/>
      <c r="W400" s="2"/>
      <c r="X400" s="2"/>
      <c r="Y400" s="2"/>
      <c r="Z400" s="2"/>
    </row>
    <row r="401" spans="1:26" ht="13.8" x14ac:dyDescent="0.3">
      <c r="A401" s="2" t="s">
        <v>366</v>
      </c>
      <c r="B401" s="2" t="s">
        <v>186</v>
      </c>
      <c r="C401" s="10">
        <v>2304025</v>
      </c>
      <c r="D401" s="10" t="s">
        <v>1162</v>
      </c>
      <c r="E401" s="10">
        <v>2575978</v>
      </c>
      <c r="F401" s="10" t="s">
        <v>1285</v>
      </c>
      <c r="G401" s="69">
        <v>-7.26</v>
      </c>
      <c r="H401" s="69">
        <v>7.16</v>
      </c>
      <c r="I401" s="69">
        <f t="shared" si="115"/>
        <v>3.58</v>
      </c>
      <c r="J401" s="70">
        <v>1</v>
      </c>
      <c r="K401" s="69">
        <f t="shared" si="116"/>
        <v>-3.0742999999999996</v>
      </c>
      <c r="L401" s="79" t="s">
        <v>468</v>
      </c>
      <c r="M401" s="61">
        <f t="shared" si="117"/>
        <v>-0.24701999999999999</v>
      </c>
      <c r="N401" s="61">
        <f t="shared" si="118"/>
        <v>0.73032000000000008</v>
      </c>
      <c r="O401" s="61"/>
      <c r="P401" s="2"/>
      <c r="Q401" s="2"/>
      <c r="R401" s="32"/>
      <c r="S401" s="32"/>
      <c r="T401" s="32"/>
      <c r="U401" s="32"/>
      <c r="V401" s="2"/>
      <c r="W401" s="2"/>
      <c r="X401" s="2"/>
      <c r="Y401" s="2"/>
      <c r="Z401" s="2"/>
    </row>
    <row r="402" spans="1:26" ht="13.8" x14ac:dyDescent="0.3">
      <c r="A402" s="2" t="s">
        <v>366</v>
      </c>
      <c r="B402" s="2" t="s">
        <v>107</v>
      </c>
      <c r="C402" s="10" t="s">
        <v>15</v>
      </c>
      <c r="D402" s="10" t="s">
        <v>15</v>
      </c>
      <c r="E402" s="10">
        <v>2319777</v>
      </c>
      <c r="F402" s="10" t="s">
        <v>1273</v>
      </c>
      <c r="G402" s="69">
        <v>-302.74</v>
      </c>
      <c r="H402" s="69">
        <v>42.12</v>
      </c>
      <c r="I402" s="69">
        <v>0</v>
      </c>
      <c r="J402" s="70">
        <v>1</v>
      </c>
      <c r="K402" s="69">
        <f t="shared" ref="K402:K410" si="119">(-H402*0.25*0.04)*J402*0.3+H402*0.15*0.96*J402*0.3</f>
        <v>1.6932239999999998</v>
      </c>
      <c r="L402" s="79" t="s">
        <v>468</v>
      </c>
      <c r="M402" s="61">
        <v>0</v>
      </c>
      <c r="N402" s="61">
        <v>0</v>
      </c>
      <c r="O402" s="61"/>
      <c r="P402" s="2"/>
      <c r="Q402" s="2"/>
      <c r="R402" s="32"/>
      <c r="S402" s="32"/>
      <c r="T402" s="32"/>
      <c r="U402" s="32"/>
      <c r="V402" s="2"/>
      <c r="W402" s="2"/>
      <c r="X402" s="2"/>
      <c r="Y402" s="2"/>
      <c r="Z402" s="2"/>
    </row>
    <row r="403" spans="1:26" ht="13.8" x14ac:dyDescent="0.3">
      <c r="A403" s="2" t="s">
        <v>366</v>
      </c>
      <c r="B403" s="2" t="s">
        <v>107</v>
      </c>
      <c r="C403" s="10" t="s">
        <v>15</v>
      </c>
      <c r="D403" s="10" t="s">
        <v>15</v>
      </c>
      <c r="E403" s="10">
        <v>2404538</v>
      </c>
      <c r="F403" s="10" t="s">
        <v>1219</v>
      </c>
      <c r="G403" s="69">
        <v>-20</v>
      </c>
      <c r="H403" s="69">
        <v>2</v>
      </c>
      <c r="I403" s="69">
        <v>0</v>
      </c>
      <c r="J403" s="70">
        <v>1</v>
      </c>
      <c r="K403" s="69">
        <f t="shared" si="119"/>
        <v>8.0399999999999985E-2</v>
      </c>
      <c r="L403" s="79" t="s">
        <v>468</v>
      </c>
      <c r="M403" s="61">
        <v>0</v>
      </c>
      <c r="N403" s="61">
        <v>0</v>
      </c>
      <c r="O403" s="61"/>
      <c r="P403" s="2"/>
      <c r="Q403" s="2"/>
      <c r="R403" s="32"/>
      <c r="S403" s="32"/>
      <c r="T403" s="32"/>
      <c r="U403" s="32"/>
      <c r="V403" s="2"/>
      <c r="W403" s="2"/>
      <c r="X403" s="2"/>
      <c r="Y403" s="2"/>
      <c r="Z403" s="2"/>
    </row>
    <row r="404" spans="1:26" ht="13.8" x14ac:dyDescent="0.3">
      <c r="A404" s="2" t="s">
        <v>366</v>
      </c>
      <c r="B404" s="2" t="s">
        <v>107</v>
      </c>
      <c r="C404" s="10" t="s">
        <v>15</v>
      </c>
      <c r="D404" s="10" t="s">
        <v>15</v>
      </c>
      <c r="E404" s="10">
        <v>2405286</v>
      </c>
      <c r="F404" s="10" t="s">
        <v>1220</v>
      </c>
      <c r="G404" s="69">
        <v>-20</v>
      </c>
      <c r="H404" s="69">
        <v>2</v>
      </c>
      <c r="I404" s="69">
        <v>0</v>
      </c>
      <c r="J404" s="70">
        <v>1</v>
      </c>
      <c r="K404" s="69">
        <f t="shared" si="119"/>
        <v>8.0399999999999985E-2</v>
      </c>
      <c r="L404" s="79" t="s">
        <v>468</v>
      </c>
      <c r="M404" s="61">
        <v>0</v>
      </c>
      <c r="N404" s="61">
        <v>0</v>
      </c>
      <c r="O404" s="61"/>
      <c r="P404" s="2"/>
      <c r="Q404" s="2"/>
      <c r="R404" s="32"/>
      <c r="S404" s="32"/>
      <c r="T404" s="32"/>
      <c r="U404" s="32"/>
      <c r="V404" s="2"/>
      <c r="W404" s="2"/>
      <c r="X404" s="2"/>
      <c r="Y404" s="2"/>
      <c r="Z404" s="2"/>
    </row>
    <row r="405" spans="1:26" ht="13.8" x14ac:dyDescent="0.3">
      <c r="A405" s="2" t="s">
        <v>366</v>
      </c>
      <c r="B405" s="2" t="s">
        <v>107</v>
      </c>
      <c r="C405" s="10" t="s">
        <v>15</v>
      </c>
      <c r="D405" s="10" t="s">
        <v>15</v>
      </c>
      <c r="E405" s="10">
        <v>2405626</v>
      </c>
      <c r="F405" s="10" t="s">
        <v>1221</v>
      </c>
      <c r="G405" s="69">
        <v>14.33</v>
      </c>
      <c r="H405" s="69">
        <v>4</v>
      </c>
      <c r="I405" s="69">
        <v>0</v>
      </c>
      <c r="J405" s="70">
        <v>1</v>
      </c>
      <c r="K405" s="69">
        <f t="shared" si="119"/>
        <v>0.16079999999999997</v>
      </c>
      <c r="L405" s="79" t="s">
        <v>468</v>
      </c>
      <c r="M405" s="61">
        <v>0</v>
      </c>
      <c r="N405" s="61">
        <v>0</v>
      </c>
      <c r="O405" s="61"/>
      <c r="P405" s="2"/>
      <c r="Q405" s="2"/>
      <c r="R405" s="32"/>
      <c r="S405" s="32"/>
      <c r="T405" s="32"/>
      <c r="U405" s="32"/>
      <c r="V405" s="2"/>
      <c r="W405" s="2"/>
      <c r="X405" s="2"/>
      <c r="Y405" s="2"/>
      <c r="Z405" s="2"/>
    </row>
    <row r="406" spans="1:26" ht="13.8" x14ac:dyDescent="0.3">
      <c r="A406" s="2" t="s">
        <v>366</v>
      </c>
      <c r="B406" s="2" t="s">
        <v>107</v>
      </c>
      <c r="C406" s="10" t="s">
        <v>15</v>
      </c>
      <c r="D406" s="10" t="s">
        <v>15</v>
      </c>
      <c r="E406" s="10">
        <v>2471817</v>
      </c>
      <c r="F406" s="10" t="s">
        <v>1274</v>
      </c>
      <c r="G406" s="69">
        <v>478.63</v>
      </c>
      <c r="H406" s="69">
        <v>36.619999999999997</v>
      </c>
      <c r="I406" s="69">
        <v>0</v>
      </c>
      <c r="J406" s="70">
        <v>1</v>
      </c>
      <c r="K406" s="69">
        <f t="shared" si="119"/>
        <v>1.4721239999999995</v>
      </c>
      <c r="L406" s="79" t="s">
        <v>468</v>
      </c>
      <c r="M406" s="61">
        <v>0</v>
      </c>
      <c r="N406" s="61">
        <v>0</v>
      </c>
      <c r="O406" s="61"/>
      <c r="P406" s="2"/>
      <c r="Q406" s="2"/>
      <c r="R406" s="32"/>
      <c r="S406" s="32"/>
      <c r="T406" s="32"/>
      <c r="U406" s="32"/>
      <c r="V406" s="2"/>
      <c r="W406" s="2"/>
      <c r="X406" s="2"/>
      <c r="Y406" s="2"/>
      <c r="Z406" s="2"/>
    </row>
    <row r="407" spans="1:26" ht="13.8" x14ac:dyDescent="0.3">
      <c r="A407" s="2" t="s">
        <v>366</v>
      </c>
      <c r="B407" s="2" t="s">
        <v>107</v>
      </c>
      <c r="C407" s="10" t="s">
        <v>15</v>
      </c>
      <c r="D407" s="10" t="s">
        <v>15</v>
      </c>
      <c r="E407" s="10">
        <v>2479329</v>
      </c>
      <c r="F407" s="10" t="s">
        <v>1279</v>
      </c>
      <c r="G407" s="69">
        <v>-49.7</v>
      </c>
      <c r="H407" s="69">
        <v>22.28</v>
      </c>
      <c r="I407" s="69">
        <v>0</v>
      </c>
      <c r="J407" s="70">
        <v>1</v>
      </c>
      <c r="K407" s="69">
        <f t="shared" si="119"/>
        <v>0.89565600000000001</v>
      </c>
      <c r="L407" s="79" t="s">
        <v>468</v>
      </c>
      <c r="M407" s="61">
        <v>0</v>
      </c>
      <c r="N407" s="61">
        <v>0</v>
      </c>
      <c r="O407" s="61"/>
      <c r="P407" s="2"/>
      <c r="Q407" s="2"/>
      <c r="R407" s="32"/>
      <c r="S407" s="32"/>
      <c r="T407" s="32"/>
      <c r="U407" s="32"/>
      <c r="V407" s="2"/>
      <c r="W407" s="2"/>
      <c r="X407" s="2"/>
      <c r="Y407" s="2"/>
      <c r="Z407" s="2"/>
    </row>
    <row r="408" spans="1:26" ht="13.8" x14ac:dyDescent="0.3">
      <c r="A408" s="2" t="s">
        <v>366</v>
      </c>
      <c r="B408" s="2" t="s">
        <v>107</v>
      </c>
      <c r="C408" s="10" t="s">
        <v>15</v>
      </c>
      <c r="D408" s="10" t="s">
        <v>15</v>
      </c>
      <c r="E408" s="10">
        <v>2496019</v>
      </c>
      <c r="F408" s="46" t="s">
        <v>1275</v>
      </c>
      <c r="G408" s="69">
        <v>992.4</v>
      </c>
      <c r="H408" s="69">
        <v>20.84</v>
      </c>
      <c r="I408" s="69">
        <v>0</v>
      </c>
      <c r="J408" s="70">
        <v>1</v>
      </c>
      <c r="K408" s="69">
        <f t="shared" si="119"/>
        <v>0.83776799999999985</v>
      </c>
      <c r="L408" s="79" t="s">
        <v>468</v>
      </c>
      <c r="M408" s="61">
        <v>0</v>
      </c>
      <c r="N408" s="61">
        <v>0</v>
      </c>
      <c r="O408" s="61"/>
      <c r="P408" s="2"/>
      <c r="Q408" s="2"/>
      <c r="R408" s="32"/>
      <c r="S408" s="32"/>
      <c r="T408" s="32"/>
      <c r="U408" s="32"/>
      <c r="V408" s="2"/>
      <c r="W408" s="2"/>
      <c r="X408" s="2"/>
      <c r="Y408" s="2"/>
      <c r="Z408" s="2"/>
    </row>
    <row r="409" spans="1:26" ht="13.8" x14ac:dyDescent="0.3">
      <c r="A409" s="2" t="s">
        <v>366</v>
      </c>
      <c r="B409" s="2" t="s">
        <v>107</v>
      </c>
      <c r="C409" s="10" t="s">
        <v>15</v>
      </c>
      <c r="D409" s="10" t="s">
        <v>15</v>
      </c>
      <c r="E409" s="10">
        <v>2571823</v>
      </c>
      <c r="F409" s="10" t="s">
        <v>1280</v>
      </c>
      <c r="G409" s="69">
        <v>7.64</v>
      </c>
      <c r="H409" s="69">
        <v>20.84</v>
      </c>
      <c r="I409" s="69">
        <v>0</v>
      </c>
      <c r="J409" s="70">
        <v>1</v>
      </c>
      <c r="K409" s="69">
        <f t="shared" si="119"/>
        <v>0.83776799999999985</v>
      </c>
      <c r="L409" s="79" t="s">
        <v>468</v>
      </c>
      <c r="M409" s="61">
        <v>0</v>
      </c>
      <c r="N409" s="61">
        <v>0</v>
      </c>
      <c r="O409" s="61"/>
      <c r="P409" s="2"/>
      <c r="Q409" s="2"/>
      <c r="R409" s="32"/>
      <c r="S409" s="32"/>
      <c r="T409" s="32"/>
      <c r="U409" s="32"/>
      <c r="V409" s="2"/>
      <c r="W409" s="2"/>
      <c r="X409" s="2"/>
      <c r="Y409" s="2"/>
      <c r="Z409" s="2"/>
    </row>
    <row r="410" spans="1:26" ht="13.8" x14ac:dyDescent="0.3">
      <c r="A410" s="2" t="s">
        <v>366</v>
      </c>
      <c r="B410" s="2" t="s">
        <v>107</v>
      </c>
      <c r="C410" s="10" t="s">
        <v>15</v>
      </c>
      <c r="D410" s="10" t="s">
        <v>15</v>
      </c>
      <c r="E410" s="10">
        <v>2573237</v>
      </c>
      <c r="F410" s="10" t="s">
        <v>1281</v>
      </c>
      <c r="G410" s="69">
        <v>-363</v>
      </c>
      <c r="H410" s="69">
        <v>32.340000000000003</v>
      </c>
      <c r="I410" s="69">
        <v>0</v>
      </c>
      <c r="J410" s="70">
        <v>1</v>
      </c>
      <c r="K410" s="69">
        <f t="shared" si="119"/>
        <v>1.3000679999999998</v>
      </c>
      <c r="L410" s="79" t="s">
        <v>468</v>
      </c>
      <c r="M410" s="61">
        <v>0</v>
      </c>
      <c r="N410" s="61">
        <v>0</v>
      </c>
      <c r="O410" s="61"/>
      <c r="P410" s="2"/>
      <c r="Q410" s="2"/>
      <c r="R410" s="32"/>
      <c r="S410" s="32"/>
      <c r="T410" s="32"/>
      <c r="U410" s="32"/>
      <c r="V410" s="2"/>
      <c r="W410" s="2"/>
      <c r="X410" s="2"/>
      <c r="Y410" s="2"/>
      <c r="Z410" s="2"/>
    </row>
    <row r="411" spans="1:26" ht="13.8" x14ac:dyDescent="0.3">
      <c r="A411" s="2" t="s">
        <v>366</v>
      </c>
      <c r="B411" s="2" t="s">
        <v>107</v>
      </c>
      <c r="C411" s="10">
        <v>2304025</v>
      </c>
      <c r="D411" s="10" t="s">
        <v>1162</v>
      </c>
      <c r="E411" s="10">
        <v>2420208</v>
      </c>
      <c r="F411" s="10" t="s">
        <v>1170</v>
      </c>
      <c r="G411" s="69">
        <v>-124.37</v>
      </c>
      <c r="H411" s="69">
        <v>13.56</v>
      </c>
      <c r="I411" s="69">
        <f t="shared" ref="I411:I424" si="120">H411*0.65</f>
        <v>8.8140000000000001</v>
      </c>
      <c r="J411" s="70">
        <v>1</v>
      </c>
      <c r="K411" s="69">
        <f t="shared" ref="K411:K422" si="121">(G411+I411)*J411*0.8+(G411*0.05-H411*0.25*0.15)*J411*0.3+(H411*0.1*0.85+I411*0.05)*J411*0.3</f>
        <v>-93.984910000000013</v>
      </c>
      <c r="L411" s="79" t="s">
        <v>468</v>
      </c>
      <c r="M411" s="61">
        <f t="shared" ref="M411:M422" si="122">(G411*0.05-H411*0.25*0.15)*J411*0.7-(-H411*0.03*0.15)*J411</f>
        <v>-4.6478799999999998</v>
      </c>
      <c r="N411" s="61">
        <f t="shared" ref="N411:N422" si="123">(H411*0.1*0.85+I411*0.05)*J411*0.7+H411*0.03*0.85*J411</f>
        <v>1.46109</v>
      </c>
      <c r="O411" s="61"/>
      <c r="P411" s="2"/>
      <c r="Q411" s="2"/>
      <c r="R411" s="32"/>
      <c r="S411" s="32"/>
      <c r="T411" s="32"/>
      <c r="U411" s="32"/>
      <c r="V411" s="2"/>
      <c r="W411" s="2"/>
      <c r="X411" s="2"/>
      <c r="Y411" s="2"/>
      <c r="Z411" s="2"/>
    </row>
    <row r="412" spans="1:26" ht="13.8" x14ac:dyDescent="0.3">
      <c r="A412" s="2" t="s">
        <v>366</v>
      </c>
      <c r="B412" s="2" t="s">
        <v>107</v>
      </c>
      <c r="C412" s="10">
        <v>2304025</v>
      </c>
      <c r="D412" s="10" t="s">
        <v>1162</v>
      </c>
      <c r="E412" s="10">
        <v>2435202</v>
      </c>
      <c r="F412" s="10" t="s">
        <v>1223</v>
      </c>
      <c r="G412" s="69">
        <v>127.96</v>
      </c>
      <c r="H412" s="69">
        <v>12.51</v>
      </c>
      <c r="I412" s="69">
        <f t="shared" si="120"/>
        <v>8.1315000000000008</v>
      </c>
      <c r="J412" s="70">
        <v>1</v>
      </c>
      <c r="K412" s="69">
        <f t="shared" si="121"/>
        <v>111.09284</v>
      </c>
      <c r="L412" s="79" t="s">
        <v>468</v>
      </c>
      <c r="M412" s="61">
        <f t="shared" si="122"/>
        <v>4.2065074999999998</v>
      </c>
      <c r="N412" s="61">
        <f t="shared" si="123"/>
        <v>1.3479525000000001</v>
      </c>
      <c r="O412" s="61"/>
      <c r="P412" s="2"/>
      <c r="Q412" s="2"/>
      <c r="R412" s="32"/>
      <c r="S412" s="32"/>
      <c r="T412" s="32"/>
      <c r="U412" s="32"/>
      <c r="V412" s="2"/>
      <c r="W412" s="2"/>
      <c r="X412" s="2"/>
      <c r="Y412" s="2"/>
      <c r="Z412" s="2"/>
    </row>
    <row r="413" spans="1:26" ht="13.8" x14ac:dyDescent="0.3">
      <c r="A413" s="2" t="s">
        <v>366</v>
      </c>
      <c r="B413" s="2" t="s">
        <v>107</v>
      </c>
      <c r="C413" s="10">
        <v>2304025</v>
      </c>
      <c r="D413" s="10" t="s">
        <v>1162</v>
      </c>
      <c r="E413" s="10">
        <v>2435203</v>
      </c>
      <c r="F413" s="10" t="s">
        <v>1224</v>
      </c>
      <c r="G413" s="69">
        <v>169.92</v>
      </c>
      <c r="H413" s="69">
        <v>35.47</v>
      </c>
      <c r="I413" s="69">
        <f t="shared" si="120"/>
        <v>23.055499999999999</v>
      </c>
      <c r="J413" s="70">
        <v>1</v>
      </c>
      <c r="K413" s="69">
        <f t="shared" si="121"/>
        <v>157.78048000000001</v>
      </c>
      <c r="L413" s="79" t="s">
        <v>468</v>
      </c>
      <c r="M413" s="61">
        <f t="shared" si="122"/>
        <v>5.1757274999999998</v>
      </c>
      <c r="N413" s="61">
        <f t="shared" si="123"/>
        <v>3.8218924999999997</v>
      </c>
      <c r="O413" s="61"/>
      <c r="P413" s="2"/>
      <c r="Q413" s="2"/>
      <c r="R413" s="32"/>
      <c r="S413" s="32"/>
      <c r="T413" s="32"/>
      <c r="U413" s="32"/>
      <c r="V413" s="2"/>
      <c r="W413" s="2"/>
      <c r="X413" s="2"/>
      <c r="Y413" s="2"/>
      <c r="Z413" s="2"/>
    </row>
    <row r="414" spans="1:26" ht="13.8" x14ac:dyDescent="0.3">
      <c r="A414" s="2" t="s">
        <v>366</v>
      </c>
      <c r="B414" s="2" t="s">
        <v>107</v>
      </c>
      <c r="C414" s="10">
        <v>2304025</v>
      </c>
      <c r="D414" s="10" t="s">
        <v>1162</v>
      </c>
      <c r="E414" s="10">
        <v>2435206</v>
      </c>
      <c r="F414" s="10" t="s">
        <v>1225</v>
      </c>
      <c r="G414" s="69">
        <v>-876.75</v>
      </c>
      <c r="H414" s="69">
        <v>104.73</v>
      </c>
      <c r="I414" s="69">
        <f t="shared" si="120"/>
        <v>68.0745</v>
      </c>
      <c r="J414" s="70">
        <v>1</v>
      </c>
      <c r="K414" s="69">
        <f t="shared" si="121"/>
        <v>-657.5781300000001</v>
      </c>
      <c r="L414" s="79" t="s">
        <v>468</v>
      </c>
      <c r="M414" s="61">
        <f t="shared" si="122"/>
        <v>-32.964127499999996</v>
      </c>
      <c r="N414" s="61">
        <f t="shared" si="123"/>
        <v>11.2846575</v>
      </c>
      <c r="O414" s="61"/>
      <c r="P414" s="2"/>
      <c r="Q414" s="2"/>
      <c r="R414" s="32"/>
      <c r="S414" s="32"/>
      <c r="T414" s="32"/>
      <c r="U414" s="32"/>
      <c r="V414" s="2"/>
      <c r="W414" s="2"/>
      <c r="X414" s="2"/>
      <c r="Y414" s="2"/>
      <c r="Z414" s="2"/>
    </row>
    <row r="415" spans="1:26" ht="13.8" x14ac:dyDescent="0.3">
      <c r="A415" s="2" t="s">
        <v>366</v>
      </c>
      <c r="B415" s="2" t="s">
        <v>107</v>
      </c>
      <c r="C415" s="10">
        <v>2304025</v>
      </c>
      <c r="D415" s="10" t="s">
        <v>1162</v>
      </c>
      <c r="E415" s="10">
        <v>2531141</v>
      </c>
      <c r="F415" s="10" t="s">
        <v>1258</v>
      </c>
      <c r="G415" s="69">
        <v>-262.2</v>
      </c>
      <c r="H415" s="69">
        <v>52.82</v>
      </c>
      <c r="I415" s="69">
        <f t="shared" si="120"/>
        <v>34.332999999999998</v>
      </c>
      <c r="J415" s="70">
        <v>1</v>
      </c>
      <c r="K415" s="69">
        <f t="shared" si="121"/>
        <v>-184.95891999999998</v>
      </c>
      <c r="L415" s="79" t="s">
        <v>468</v>
      </c>
      <c r="M415" s="61">
        <f t="shared" si="122"/>
        <v>-10.325834999999998</v>
      </c>
      <c r="N415" s="61">
        <f t="shared" si="123"/>
        <v>5.6913550000000006</v>
      </c>
      <c r="O415" s="61"/>
      <c r="P415" s="2"/>
      <c r="Q415" s="2"/>
      <c r="R415" s="32"/>
      <c r="S415" s="32"/>
      <c r="T415" s="32"/>
      <c r="U415" s="32"/>
      <c r="V415" s="2"/>
      <c r="W415" s="2"/>
      <c r="X415" s="2"/>
      <c r="Y415" s="2"/>
      <c r="Z415" s="2"/>
    </row>
    <row r="416" spans="1:26" ht="13.8" x14ac:dyDescent="0.3">
      <c r="A416" s="2" t="s">
        <v>366</v>
      </c>
      <c r="B416" s="2" t="s">
        <v>107</v>
      </c>
      <c r="C416" s="10">
        <v>2304025</v>
      </c>
      <c r="D416" s="10" t="s">
        <v>1162</v>
      </c>
      <c r="E416" s="10">
        <v>2531145</v>
      </c>
      <c r="F416" s="10" t="s">
        <v>1226</v>
      </c>
      <c r="G416" s="69">
        <v>-80</v>
      </c>
      <c r="H416" s="69">
        <v>5.1100000000000003</v>
      </c>
      <c r="I416" s="69">
        <f t="shared" si="120"/>
        <v>3.3215000000000003</v>
      </c>
      <c r="J416" s="70">
        <v>1</v>
      </c>
      <c r="K416" s="69">
        <f t="shared" si="121"/>
        <v>-62.42016000000001</v>
      </c>
      <c r="L416" s="79" t="s">
        <v>468</v>
      </c>
      <c r="M416" s="61">
        <f t="shared" si="122"/>
        <v>-2.9111425</v>
      </c>
      <c r="N416" s="61">
        <f t="shared" si="123"/>
        <v>0.55060249999999999</v>
      </c>
      <c r="O416" s="61"/>
      <c r="P416" s="2"/>
      <c r="Q416" s="2"/>
      <c r="R416" s="32"/>
      <c r="S416" s="32"/>
      <c r="T416" s="32"/>
      <c r="U416" s="32"/>
      <c r="V416" s="2"/>
      <c r="W416" s="2"/>
      <c r="X416" s="2"/>
      <c r="Y416" s="2"/>
      <c r="Z416" s="2"/>
    </row>
    <row r="417" spans="1:26" ht="13.8" x14ac:dyDescent="0.3">
      <c r="A417" s="2" t="s">
        <v>366</v>
      </c>
      <c r="B417" s="2" t="s">
        <v>107</v>
      </c>
      <c r="C417" s="10">
        <v>2304025</v>
      </c>
      <c r="D417" s="10" t="s">
        <v>1162</v>
      </c>
      <c r="E417" s="10">
        <v>2531390</v>
      </c>
      <c r="F417" s="10" t="s">
        <v>1229</v>
      </c>
      <c r="G417" s="69">
        <v>67.290000000000006</v>
      </c>
      <c r="H417" s="69">
        <v>3.01</v>
      </c>
      <c r="I417" s="69">
        <f t="shared" si="120"/>
        <v>1.9564999999999999</v>
      </c>
      <c r="J417" s="70">
        <v>1</v>
      </c>
      <c r="K417" s="69">
        <f t="shared" si="121"/>
        <v>56.478790000000011</v>
      </c>
      <c r="L417" s="79" t="s">
        <v>468</v>
      </c>
      <c r="M417" s="61">
        <f t="shared" si="122"/>
        <v>2.2896825000000005</v>
      </c>
      <c r="N417" s="61">
        <f t="shared" si="123"/>
        <v>0.32432749999999994</v>
      </c>
      <c r="O417" s="61"/>
      <c r="P417" s="2"/>
      <c r="Q417" s="2"/>
      <c r="R417" s="32"/>
      <c r="S417" s="32"/>
      <c r="T417" s="32"/>
      <c r="U417" s="32"/>
      <c r="V417" s="2"/>
      <c r="W417" s="2"/>
      <c r="X417" s="2"/>
      <c r="Y417" s="2"/>
      <c r="Z417" s="2"/>
    </row>
    <row r="418" spans="1:26" ht="13.8" x14ac:dyDescent="0.3">
      <c r="A418" s="2" t="s">
        <v>366</v>
      </c>
      <c r="B418" s="2" t="s">
        <v>107</v>
      </c>
      <c r="C418" s="10">
        <v>2304025</v>
      </c>
      <c r="D418" s="10" t="s">
        <v>1162</v>
      </c>
      <c r="E418" s="10">
        <v>2554720</v>
      </c>
      <c r="F418" s="10" t="s">
        <v>1270</v>
      </c>
      <c r="G418" s="69">
        <v>-16.07</v>
      </c>
      <c r="H418" s="69">
        <v>1.86</v>
      </c>
      <c r="I418" s="69">
        <f t="shared" si="120"/>
        <v>1.2090000000000001</v>
      </c>
      <c r="J418" s="70">
        <v>1</v>
      </c>
      <c r="K418" s="69">
        <f t="shared" si="121"/>
        <v>-12.085210000000002</v>
      </c>
      <c r="L418" s="79" t="s">
        <v>468</v>
      </c>
      <c r="M418" s="61">
        <f t="shared" si="122"/>
        <v>-0.60290500000000002</v>
      </c>
      <c r="N418" s="61">
        <f t="shared" si="123"/>
        <v>0.20041500000000001</v>
      </c>
      <c r="O418" s="61"/>
      <c r="P418" s="2"/>
      <c r="Q418" s="2"/>
      <c r="R418" s="32"/>
      <c r="S418" s="32"/>
      <c r="T418" s="32"/>
      <c r="U418" s="32"/>
      <c r="V418" s="2"/>
      <c r="W418" s="2"/>
      <c r="X418" s="2"/>
      <c r="Y418" s="2"/>
      <c r="Z418" s="2"/>
    </row>
    <row r="419" spans="1:26" ht="13.8" x14ac:dyDescent="0.3">
      <c r="A419" s="2" t="s">
        <v>366</v>
      </c>
      <c r="B419" s="2" t="s">
        <v>107</v>
      </c>
      <c r="C419" s="10">
        <v>2304025</v>
      </c>
      <c r="D419" s="10" t="s">
        <v>1162</v>
      </c>
      <c r="E419" s="10">
        <v>2564684</v>
      </c>
      <c r="F419" s="10" t="s">
        <v>1282</v>
      </c>
      <c r="G419" s="69">
        <v>-13.5</v>
      </c>
      <c r="H419" s="69">
        <v>1.01</v>
      </c>
      <c r="I419" s="69">
        <f t="shared" si="120"/>
        <v>0.65650000000000008</v>
      </c>
      <c r="J419" s="70">
        <v>1</v>
      </c>
      <c r="K419" s="69">
        <f t="shared" si="121"/>
        <v>-10.453060000000001</v>
      </c>
      <c r="L419" s="79" t="s">
        <v>468</v>
      </c>
      <c r="M419" s="61">
        <f t="shared" si="122"/>
        <v>-0.49446749999999995</v>
      </c>
      <c r="N419" s="61">
        <f t="shared" si="123"/>
        <v>0.10882750000000001</v>
      </c>
      <c r="O419" s="61"/>
      <c r="P419" s="2"/>
      <c r="Q419" s="2"/>
      <c r="R419" s="32"/>
      <c r="S419" s="32"/>
      <c r="T419" s="32"/>
      <c r="U419" s="32"/>
      <c r="V419" s="2"/>
      <c r="W419" s="2"/>
      <c r="X419" s="2"/>
      <c r="Y419" s="2"/>
      <c r="Z419" s="2"/>
    </row>
    <row r="420" spans="1:26" ht="13.8" x14ac:dyDescent="0.3">
      <c r="A420" s="2" t="s">
        <v>366</v>
      </c>
      <c r="B420" s="2" t="s">
        <v>107</v>
      </c>
      <c r="C420" s="10">
        <v>2304025</v>
      </c>
      <c r="D420" s="10" t="s">
        <v>1162</v>
      </c>
      <c r="E420" s="10">
        <v>2575716</v>
      </c>
      <c r="F420" s="10" t="s">
        <v>1283</v>
      </c>
      <c r="G420" s="69">
        <v>-41.27</v>
      </c>
      <c r="H420" s="69">
        <v>11.97</v>
      </c>
      <c r="I420" s="69">
        <f t="shared" si="120"/>
        <v>7.7805000000000009</v>
      </c>
      <c r="J420" s="70">
        <v>1</v>
      </c>
      <c r="K420" s="69">
        <f t="shared" si="121"/>
        <v>-27.123370000000001</v>
      </c>
      <c r="L420" s="79" t="s">
        <v>468</v>
      </c>
      <c r="M420" s="61">
        <f t="shared" si="122"/>
        <v>-1.7047975000000002</v>
      </c>
      <c r="N420" s="61">
        <f t="shared" si="123"/>
        <v>1.2897675</v>
      </c>
      <c r="O420" s="61"/>
      <c r="P420" s="2"/>
      <c r="Q420" s="2"/>
      <c r="R420" s="32"/>
      <c r="S420" s="32"/>
      <c r="T420" s="32"/>
      <c r="U420" s="32"/>
      <c r="V420" s="2"/>
      <c r="W420" s="2"/>
      <c r="X420" s="2"/>
      <c r="Y420" s="2"/>
      <c r="Z420" s="2"/>
    </row>
    <row r="421" spans="1:26" ht="13.8" x14ac:dyDescent="0.3">
      <c r="A421" s="2" t="s">
        <v>366</v>
      </c>
      <c r="B421" s="2" t="s">
        <v>107</v>
      </c>
      <c r="C421" s="10">
        <v>2304025</v>
      </c>
      <c r="D421" s="10" t="s">
        <v>1162</v>
      </c>
      <c r="E421" s="10">
        <v>2575824</v>
      </c>
      <c r="F421" s="10" t="s">
        <v>1284</v>
      </c>
      <c r="G421" s="69">
        <v>243.57</v>
      </c>
      <c r="H421" s="69">
        <v>15.68</v>
      </c>
      <c r="I421" s="69">
        <f t="shared" si="120"/>
        <v>10.192</v>
      </c>
      <c r="J421" s="70">
        <v>1</v>
      </c>
      <c r="K421" s="69">
        <f t="shared" si="121"/>
        <v>207.03946999999999</v>
      </c>
      <c r="L421" s="79" t="s">
        <v>468</v>
      </c>
      <c r="M421" s="61">
        <f t="shared" si="122"/>
        <v>8.1839100000000009</v>
      </c>
      <c r="N421" s="61">
        <f t="shared" si="123"/>
        <v>1.6895199999999999</v>
      </c>
      <c r="O421" s="61"/>
      <c r="P421" s="2"/>
      <c r="Q421" s="2"/>
      <c r="R421" s="32"/>
      <c r="S421" s="32"/>
      <c r="T421" s="32"/>
      <c r="U421" s="32"/>
      <c r="V421" s="2"/>
      <c r="W421" s="2"/>
      <c r="X421" s="2"/>
      <c r="Y421" s="2"/>
      <c r="Z421" s="2"/>
    </row>
    <row r="422" spans="1:26" ht="13.8" x14ac:dyDescent="0.3">
      <c r="A422" s="2" t="s">
        <v>366</v>
      </c>
      <c r="B422" s="2" t="s">
        <v>107</v>
      </c>
      <c r="C422" s="10">
        <v>2304025</v>
      </c>
      <c r="D422" s="10" t="s">
        <v>1162</v>
      </c>
      <c r="E422" s="10">
        <v>2575978</v>
      </c>
      <c r="F422" s="10" t="s">
        <v>1285</v>
      </c>
      <c r="G422" s="69">
        <v>-249.01</v>
      </c>
      <c r="H422" s="69">
        <v>35.4</v>
      </c>
      <c r="I422" s="69">
        <f t="shared" si="120"/>
        <v>23.01</v>
      </c>
      <c r="J422" s="70">
        <v>1</v>
      </c>
      <c r="K422" s="69">
        <f t="shared" si="121"/>
        <v>-183.68555000000001</v>
      </c>
      <c r="L422" s="79" t="s">
        <v>468</v>
      </c>
      <c r="M422" s="61">
        <f t="shared" si="122"/>
        <v>-9.4853000000000005</v>
      </c>
      <c r="N422" s="61">
        <f t="shared" si="123"/>
        <v>3.8143499999999992</v>
      </c>
      <c r="O422" s="61"/>
      <c r="P422" s="2"/>
      <c r="Q422" s="2"/>
      <c r="R422" s="32"/>
      <c r="S422" s="32"/>
      <c r="T422" s="32"/>
      <c r="U422" s="32"/>
      <c r="V422" s="2"/>
      <c r="W422" s="2"/>
      <c r="X422" s="2"/>
      <c r="Y422" s="2"/>
      <c r="Z422" s="2"/>
    </row>
    <row r="423" spans="1:26" ht="13.8" x14ac:dyDescent="0.3">
      <c r="A423" s="2" t="s">
        <v>366</v>
      </c>
      <c r="B423" s="2" t="s">
        <v>107</v>
      </c>
      <c r="C423" s="10">
        <v>2550550</v>
      </c>
      <c r="D423" s="10" t="s">
        <v>1272</v>
      </c>
      <c r="E423" s="10">
        <v>2550550</v>
      </c>
      <c r="F423" s="10" t="s">
        <v>1272</v>
      </c>
      <c r="G423" s="69">
        <v>-100</v>
      </c>
      <c r="H423" s="69">
        <v>10</v>
      </c>
      <c r="I423" s="69">
        <f t="shared" si="120"/>
        <v>6.5</v>
      </c>
      <c r="J423" s="70">
        <v>1</v>
      </c>
      <c r="K423" s="69">
        <f>(G423+I423)*J423*0.96+(-H423*0.25*0.04)*J423*0.3+H423*0.1*0.96*J423*0.3</f>
        <v>-89.501999999999995</v>
      </c>
      <c r="L423" s="79"/>
      <c r="M423" s="61">
        <f>(-H423*0.25*0.04)*J423*0.7</f>
        <v>-6.9999999999999993E-2</v>
      </c>
      <c r="N423" s="61">
        <f>H423*0.1*0.96*J423*0.7+H423*0.02*0.04*J423+H423*0.02*0.96*J423</f>
        <v>0.87199999999999989</v>
      </c>
      <c r="O423" s="61"/>
      <c r="P423" s="2"/>
      <c r="Q423" s="2"/>
      <c r="R423" s="32"/>
      <c r="S423" s="32"/>
      <c r="T423" s="32"/>
      <c r="U423" s="32"/>
      <c r="V423" s="2"/>
      <c r="W423" s="2"/>
      <c r="X423" s="2"/>
      <c r="Y423" s="2"/>
      <c r="Z423" s="2"/>
    </row>
    <row r="424" spans="1:26" ht="13.8" x14ac:dyDescent="0.3">
      <c r="A424" s="2" t="s">
        <v>366</v>
      </c>
      <c r="B424" s="2" t="s">
        <v>107</v>
      </c>
      <c r="C424" s="10">
        <v>2566294</v>
      </c>
      <c r="D424" s="10" t="s">
        <v>1276</v>
      </c>
      <c r="E424" s="10">
        <v>2525032</v>
      </c>
      <c r="F424" s="10" t="s">
        <v>1277</v>
      </c>
      <c r="G424" s="69">
        <v>-865.45</v>
      </c>
      <c r="H424" s="69">
        <v>304.17</v>
      </c>
      <c r="I424" s="69">
        <f t="shared" si="120"/>
        <v>197.71050000000002</v>
      </c>
      <c r="J424" s="70">
        <v>1</v>
      </c>
      <c r="K424" s="69">
        <f>(G424+I424)*J424*0.8+(G424*0.05-H424*0.25*0.15)*J424*0.3+(H424*0.1*0.85+I424*0.05)*J424*0.3</f>
        <v>-539.87326999999993</v>
      </c>
      <c r="L424" s="79" t="s">
        <v>468</v>
      </c>
      <c r="M424" s="61">
        <f>(G424*0.05-H424*0.25*0.15)*J424*0.7-(-H424*0.02*0.15)*J424</f>
        <v>-37.362702500000005</v>
      </c>
      <c r="N424" s="61">
        <f>(H424*0.1*0.85+I424*0.05)*J424*0.7+H424*0.02*0.85*J424</f>
        <v>30.188872499999999</v>
      </c>
      <c r="O424" s="61"/>
      <c r="P424" s="2"/>
      <c r="Q424" s="2"/>
      <c r="R424" s="32"/>
      <c r="S424" s="32"/>
      <c r="T424" s="32"/>
      <c r="U424" s="32"/>
      <c r="V424" s="2"/>
      <c r="W424" s="2"/>
      <c r="X424" s="2"/>
      <c r="Y424" s="2"/>
      <c r="Z424" s="2"/>
    </row>
    <row r="425" spans="1:26" ht="13.8" x14ac:dyDescent="0.3">
      <c r="A425" s="32" t="s">
        <v>366</v>
      </c>
      <c r="B425" s="32" t="s">
        <v>61</v>
      </c>
      <c r="C425" s="10" t="s">
        <v>1230</v>
      </c>
      <c r="D425" s="10" t="s">
        <v>1231</v>
      </c>
      <c r="E425" s="2" t="s">
        <v>1230</v>
      </c>
      <c r="F425" s="2" t="s">
        <v>1231</v>
      </c>
      <c r="G425" s="69">
        <v>490.65</v>
      </c>
      <c r="H425" s="69">
        <v>121.79</v>
      </c>
      <c r="I425" s="69">
        <f>H425*0.57</f>
        <v>69.420299999999997</v>
      </c>
      <c r="J425" s="70">
        <v>1.1331800000000001</v>
      </c>
      <c r="K425" s="69">
        <f>(G425+I425)*J425</f>
        <v>634.66046255399999</v>
      </c>
      <c r="L425" s="78" t="s">
        <v>468</v>
      </c>
      <c r="M425" s="61">
        <v>0</v>
      </c>
      <c r="N425" s="61">
        <f>H425*0.08*J425</f>
        <v>11.040799376000001</v>
      </c>
      <c r="O425" s="58"/>
      <c r="P425" s="2"/>
      <c r="Q425" s="2"/>
      <c r="R425" s="32"/>
      <c r="S425" s="32"/>
      <c r="T425" s="32"/>
      <c r="U425" s="32"/>
      <c r="V425" s="2"/>
      <c r="W425" s="2"/>
      <c r="X425" s="2"/>
      <c r="Y425" s="2"/>
      <c r="Z425" s="2"/>
    </row>
    <row r="426" spans="1:26" ht="13.8" x14ac:dyDescent="0.3">
      <c r="A426" s="32" t="s">
        <v>366</v>
      </c>
      <c r="B426" s="2" t="s">
        <v>244</v>
      </c>
      <c r="C426" s="10">
        <v>2304025</v>
      </c>
      <c r="D426" s="10" t="s">
        <v>1162</v>
      </c>
      <c r="E426" s="10">
        <v>2357222</v>
      </c>
      <c r="F426" s="10" t="s">
        <v>1188</v>
      </c>
      <c r="G426" s="69">
        <v>1.38</v>
      </c>
      <c r="H426" s="69">
        <v>186.98</v>
      </c>
      <c r="I426" s="69">
        <f t="shared" ref="I426:I448" si="124">H426*0.7</f>
        <v>130.886</v>
      </c>
      <c r="J426" s="70">
        <v>1</v>
      </c>
      <c r="K426" s="69">
        <f t="shared" ref="K426:K448" si="125">(G426+I426)*0.85+(G426*0.15-(G426+H426)*0.15)*J426*0.3+I426*0.15*J426*0.3</f>
        <v>109.90186999999999</v>
      </c>
      <c r="L426" s="79" t="s">
        <v>468</v>
      </c>
      <c r="M426" s="61">
        <f t="shared" ref="M426:M448" si="126">(G426*0.15-(G426+H426)*0.15)*J426*0.7</f>
        <v>-19.632899999999996</v>
      </c>
      <c r="N426" s="61">
        <f t="shared" ref="N426:N448" si="127">I426*0.15*J426*0.7+H426*0.05*J426</f>
        <v>23.092030000000001</v>
      </c>
      <c r="O426" s="61"/>
      <c r="P426" s="2"/>
      <c r="Q426" s="2"/>
      <c r="R426" s="32"/>
      <c r="S426" s="32"/>
      <c r="T426" s="32"/>
      <c r="U426" s="32"/>
      <c r="V426" s="2"/>
      <c r="W426" s="2"/>
      <c r="X426" s="2"/>
      <c r="Y426" s="2"/>
      <c r="Z426" s="2"/>
    </row>
    <row r="427" spans="1:26" ht="13.8" x14ac:dyDescent="0.3">
      <c r="A427" s="32" t="s">
        <v>366</v>
      </c>
      <c r="B427" s="2" t="s">
        <v>244</v>
      </c>
      <c r="C427" s="10">
        <v>2304025</v>
      </c>
      <c r="D427" s="10" t="s">
        <v>1162</v>
      </c>
      <c r="E427" s="10">
        <v>2380008</v>
      </c>
      <c r="F427" s="10" t="s">
        <v>1192</v>
      </c>
      <c r="G427" s="69">
        <v>-68.790000000000006</v>
      </c>
      <c r="H427" s="69">
        <v>28.35</v>
      </c>
      <c r="I427" s="69">
        <f t="shared" si="124"/>
        <v>19.844999999999999</v>
      </c>
      <c r="J427" s="70">
        <v>1</v>
      </c>
      <c r="K427" s="69">
        <f t="shared" si="125"/>
        <v>-41.985975000000003</v>
      </c>
      <c r="L427" s="79" t="s">
        <v>468</v>
      </c>
      <c r="M427" s="61">
        <f t="shared" si="126"/>
        <v>-2.9767499999999996</v>
      </c>
      <c r="N427" s="61">
        <f t="shared" si="127"/>
        <v>3.5012249999999998</v>
      </c>
      <c r="O427" s="61"/>
      <c r="P427" s="2"/>
      <c r="Q427" s="2"/>
      <c r="R427" s="32"/>
      <c r="S427" s="32"/>
      <c r="T427" s="32"/>
      <c r="U427" s="32"/>
      <c r="V427" s="2"/>
      <c r="W427" s="2"/>
      <c r="X427" s="2"/>
      <c r="Y427" s="2"/>
      <c r="Z427" s="2"/>
    </row>
    <row r="428" spans="1:26" ht="13.8" x14ac:dyDescent="0.3">
      <c r="A428" s="32" t="s">
        <v>366</v>
      </c>
      <c r="B428" s="2" t="s">
        <v>244</v>
      </c>
      <c r="C428" s="10">
        <v>2304025</v>
      </c>
      <c r="D428" s="10" t="s">
        <v>1162</v>
      </c>
      <c r="E428" s="10">
        <v>2381522</v>
      </c>
      <c r="F428" s="10" t="s">
        <v>1166</v>
      </c>
      <c r="G428" s="69">
        <v>345.07</v>
      </c>
      <c r="H428" s="69">
        <v>37.82</v>
      </c>
      <c r="I428" s="69">
        <f t="shared" si="124"/>
        <v>26.474</v>
      </c>
      <c r="J428" s="70">
        <v>1</v>
      </c>
      <c r="K428" s="69">
        <f t="shared" si="125"/>
        <v>315.30182999999994</v>
      </c>
      <c r="L428" s="79" t="s">
        <v>468</v>
      </c>
      <c r="M428" s="61">
        <f t="shared" si="126"/>
        <v>-3.9710999999999959</v>
      </c>
      <c r="N428" s="61">
        <f t="shared" si="127"/>
        <v>4.6707699999999992</v>
      </c>
      <c r="O428" s="61"/>
      <c r="P428" s="2"/>
      <c r="Q428" s="2"/>
      <c r="R428" s="32"/>
      <c r="S428" s="32"/>
      <c r="T428" s="32"/>
      <c r="U428" s="32"/>
      <c r="V428" s="2"/>
      <c r="W428" s="2"/>
      <c r="X428" s="2"/>
      <c r="Y428" s="2"/>
      <c r="Z428" s="2"/>
    </row>
    <row r="429" spans="1:26" ht="13.8" x14ac:dyDescent="0.3">
      <c r="A429" s="32" t="s">
        <v>366</v>
      </c>
      <c r="B429" s="2" t="s">
        <v>244</v>
      </c>
      <c r="C429" s="10">
        <v>2304025</v>
      </c>
      <c r="D429" s="10" t="s">
        <v>1162</v>
      </c>
      <c r="E429" s="10">
        <v>2391366</v>
      </c>
      <c r="F429" s="10" t="s">
        <v>1168</v>
      </c>
      <c r="G429" s="69">
        <v>99.75</v>
      </c>
      <c r="H429" s="69">
        <v>0.9</v>
      </c>
      <c r="I429" s="69">
        <f t="shared" si="124"/>
        <v>0.63</v>
      </c>
      <c r="J429" s="70">
        <v>1</v>
      </c>
      <c r="K429" s="69">
        <f t="shared" si="125"/>
        <v>85.310850000000002</v>
      </c>
      <c r="L429" s="79" t="s">
        <v>468</v>
      </c>
      <c r="M429" s="61">
        <f t="shared" si="126"/>
        <v>-9.4500000000001083E-2</v>
      </c>
      <c r="N429" s="61">
        <f t="shared" si="127"/>
        <v>0.11115</v>
      </c>
      <c r="O429" s="61"/>
      <c r="P429" s="2"/>
      <c r="Q429" s="2"/>
      <c r="R429" s="32"/>
      <c r="S429" s="32"/>
      <c r="T429" s="32"/>
      <c r="U429" s="32"/>
      <c r="V429" s="2"/>
      <c r="W429" s="2"/>
      <c r="X429" s="2"/>
      <c r="Y429" s="2"/>
      <c r="Z429" s="2"/>
    </row>
    <row r="430" spans="1:26" ht="13.8" x14ac:dyDescent="0.3">
      <c r="A430" s="32" t="s">
        <v>366</v>
      </c>
      <c r="B430" s="2" t="s">
        <v>244</v>
      </c>
      <c r="C430" s="10">
        <v>2304025</v>
      </c>
      <c r="D430" s="10" t="s">
        <v>1162</v>
      </c>
      <c r="E430" s="10">
        <v>2435203</v>
      </c>
      <c r="F430" s="10" t="s">
        <v>1224</v>
      </c>
      <c r="G430" s="69">
        <v>315.32</v>
      </c>
      <c r="H430" s="69">
        <v>38.47</v>
      </c>
      <c r="I430" s="69">
        <f t="shared" si="124"/>
        <v>26.928999999999998</v>
      </c>
      <c r="J430" s="70">
        <v>1</v>
      </c>
      <c r="K430" s="69">
        <f t="shared" si="125"/>
        <v>290.39230499999996</v>
      </c>
      <c r="L430" s="79" t="s">
        <v>468</v>
      </c>
      <c r="M430" s="61">
        <f t="shared" si="126"/>
        <v>-4.0393499999999989</v>
      </c>
      <c r="N430" s="61">
        <f t="shared" si="127"/>
        <v>4.7510449999999995</v>
      </c>
      <c r="O430" s="61"/>
      <c r="P430" s="2"/>
      <c r="Q430" s="2"/>
      <c r="R430" s="32"/>
      <c r="S430" s="32"/>
      <c r="T430" s="32"/>
      <c r="U430" s="32"/>
      <c r="V430" s="2"/>
      <c r="W430" s="2"/>
      <c r="X430" s="2"/>
      <c r="Y430" s="2"/>
      <c r="Z430" s="2"/>
    </row>
    <row r="431" spans="1:26" ht="13.8" x14ac:dyDescent="0.3">
      <c r="A431" s="32" t="s">
        <v>366</v>
      </c>
      <c r="B431" s="2" t="s">
        <v>244</v>
      </c>
      <c r="C431" s="10">
        <v>2304025</v>
      </c>
      <c r="D431" s="10" t="s">
        <v>1162</v>
      </c>
      <c r="E431" s="10">
        <v>2435206</v>
      </c>
      <c r="F431" s="10" t="s">
        <v>1225</v>
      </c>
      <c r="G431" s="69">
        <v>19.010000000000002</v>
      </c>
      <c r="H431" s="69">
        <v>9.8699999999999992</v>
      </c>
      <c r="I431" s="69">
        <f t="shared" si="124"/>
        <v>6.9089999999999989</v>
      </c>
      <c r="J431" s="70">
        <v>1</v>
      </c>
      <c r="K431" s="69">
        <f t="shared" si="125"/>
        <v>21.897904999999998</v>
      </c>
      <c r="L431" s="79" t="s">
        <v>468</v>
      </c>
      <c r="M431" s="61">
        <f t="shared" si="126"/>
        <v>-1.0363499999999997</v>
      </c>
      <c r="N431" s="61">
        <f t="shared" si="127"/>
        <v>1.2189449999999999</v>
      </c>
      <c r="O431" s="61"/>
      <c r="P431" s="2"/>
      <c r="Q431" s="2"/>
      <c r="R431" s="32"/>
      <c r="S431" s="32"/>
      <c r="T431" s="32"/>
      <c r="U431" s="32"/>
      <c r="V431" s="2"/>
      <c r="W431" s="2"/>
      <c r="X431" s="2"/>
      <c r="Y431" s="2"/>
      <c r="Z431" s="2"/>
    </row>
    <row r="432" spans="1:26" ht="13.8" x14ac:dyDescent="0.3">
      <c r="A432" s="32" t="s">
        <v>366</v>
      </c>
      <c r="B432" s="2" t="s">
        <v>244</v>
      </c>
      <c r="C432" s="10">
        <v>2304025</v>
      </c>
      <c r="D432" s="10" t="s">
        <v>1162</v>
      </c>
      <c r="E432" s="10">
        <v>2441686</v>
      </c>
      <c r="F432" s="10" t="s">
        <v>1271</v>
      </c>
      <c r="G432" s="69">
        <v>-1888.3</v>
      </c>
      <c r="H432" s="69">
        <v>79.930000000000007</v>
      </c>
      <c r="I432" s="69">
        <f t="shared" si="124"/>
        <v>55.951000000000001</v>
      </c>
      <c r="J432" s="70">
        <v>1</v>
      </c>
      <c r="K432" s="69">
        <f t="shared" si="125"/>
        <v>-1558.5757049999997</v>
      </c>
      <c r="L432" s="79" t="s">
        <v>468</v>
      </c>
      <c r="M432" s="61">
        <f t="shared" si="126"/>
        <v>-8.3926500000000139</v>
      </c>
      <c r="N432" s="61">
        <f t="shared" si="127"/>
        <v>9.8713549999999994</v>
      </c>
      <c r="O432" s="61"/>
      <c r="P432" s="2"/>
      <c r="Q432" s="2"/>
      <c r="R432" s="32"/>
      <c r="S432" s="32"/>
      <c r="T432" s="32"/>
      <c r="U432" s="32"/>
      <c r="V432" s="2"/>
      <c r="W432" s="2"/>
      <c r="X432" s="2"/>
      <c r="Y432" s="2"/>
      <c r="Z432" s="2"/>
    </row>
    <row r="433" spans="1:26" ht="13.8" x14ac:dyDescent="0.3">
      <c r="A433" s="32" t="s">
        <v>366</v>
      </c>
      <c r="B433" s="2" t="s">
        <v>244</v>
      </c>
      <c r="C433" s="10">
        <v>2304025</v>
      </c>
      <c r="D433" s="10" t="s">
        <v>1162</v>
      </c>
      <c r="E433" s="10">
        <v>2471540</v>
      </c>
      <c r="F433" s="10" t="s">
        <v>1172</v>
      </c>
      <c r="G433" s="69">
        <v>-17</v>
      </c>
      <c r="H433" s="69">
        <v>1.0900000000000001</v>
      </c>
      <c r="I433" s="69">
        <f t="shared" si="124"/>
        <v>0.76300000000000001</v>
      </c>
      <c r="J433" s="70">
        <v>1</v>
      </c>
      <c r="K433" s="69">
        <f t="shared" si="125"/>
        <v>-13.816164999999996</v>
      </c>
      <c r="L433" s="79" t="s">
        <v>468</v>
      </c>
      <c r="M433" s="61">
        <f t="shared" si="126"/>
        <v>-0.11444999999999998</v>
      </c>
      <c r="N433" s="61">
        <f t="shared" si="127"/>
        <v>0.13461499999999998</v>
      </c>
      <c r="O433" s="61"/>
      <c r="P433" s="2"/>
      <c r="Q433" s="2"/>
      <c r="R433" s="32"/>
      <c r="S433" s="32"/>
      <c r="T433" s="32"/>
      <c r="U433" s="32"/>
      <c r="V433" s="2"/>
      <c r="W433" s="2"/>
      <c r="X433" s="2"/>
      <c r="Y433" s="2"/>
      <c r="Z433" s="2"/>
    </row>
    <row r="434" spans="1:26" ht="13.8" x14ac:dyDescent="0.3">
      <c r="A434" s="32" t="s">
        <v>366</v>
      </c>
      <c r="B434" s="2" t="s">
        <v>244</v>
      </c>
      <c r="C434" s="10">
        <v>2304025</v>
      </c>
      <c r="D434" s="10" t="s">
        <v>1162</v>
      </c>
      <c r="E434" s="10">
        <v>2531140</v>
      </c>
      <c r="F434" s="10" t="s">
        <v>1257</v>
      </c>
      <c r="G434" s="69">
        <v>-806.71</v>
      </c>
      <c r="H434" s="69">
        <v>266.97000000000003</v>
      </c>
      <c r="I434" s="69">
        <f t="shared" si="124"/>
        <v>186.87900000000002</v>
      </c>
      <c r="J434" s="70">
        <v>1</v>
      </c>
      <c r="K434" s="69">
        <f t="shared" si="125"/>
        <v>-530.46044500000005</v>
      </c>
      <c r="L434" s="79" t="s">
        <v>468</v>
      </c>
      <c r="M434" s="61">
        <f t="shared" si="126"/>
        <v>-28.031850000000002</v>
      </c>
      <c r="N434" s="61">
        <f t="shared" si="127"/>
        <v>32.970795000000003</v>
      </c>
      <c r="O434" s="61"/>
      <c r="P434" s="2"/>
      <c r="Q434" s="2"/>
      <c r="R434" s="32"/>
      <c r="S434" s="32"/>
      <c r="T434" s="32"/>
      <c r="U434" s="32"/>
      <c r="V434" s="2"/>
      <c r="W434" s="2"/>
      <c r="X434" s="2"/>
      <c r="Y434" s="2"/>
      <c r="Z434" s="2"/>
    </row>
    <row r="435" spans="1:26" ht="13.8" x14ac:dyDescent="0.3">
      <c r="A435" s="32" t="s">
        <v>366</v>
      </c>
      <c r="B435" s="2" t="s">
        <v>244</v>
      </c>
      <c r="C435" s="10">
        <v>2304025</v>
      </c>
      <c r="D435" s="10" t="s">
        <v>1162</v>
      </c>
      <c r="E435" s="10">
        <v>2531141</v>
      </c>
      <c r="F435" s="10" t="s">
        <v>1258</v>
      </c>
      <c r="G435" s="69">
        <v>-304.48</v>
      </c>
      <c r="H435" s="69">
        <v>73.39</v>
      </c>
      <c r="I435" s="69">
        <f t="shared" si="124"/>
        <v>51.372999999999998</v>
      </c>
      <c r="J435" s="70">
        <v>1</v>
      </c>
      <c r="K435" s="69">
        <f t="shared" si="125"/>
        <v>-216.13171500000004</v>
      </c>
      <c r="L435" s="79" t="s">
        <v>468</v>
      </c>
      <c r="M435" s="61">
        <f t="shared" si="126"/>
        <v>-7.7059499999999979</v>
      </c>
      <c r="N435" s="61">
        <f t="shared" si="127"/>
        <v>9.0636650000000003</v>
      </c>
      <c r="O435" s="61"/>
      <c r="P435" s="2"/>
      <c r="Q435" s="2"/>
      <c r="R435" s="32"/>
      <c r="S435" s="32"/>
      <c r="T435" s="32"/>
      <c r="U435" s="32"/>
      <c r="V435" s="2"/>
      <c r="W435" s="2"/>
      <c r="X435" s="2"/>
      <c r="Y435" s="2"/>
      <c r="Z435" s="2"/>
    </row>
    <row r="436" spans="1:26" ht="13.8" x14ac:dyDescent="0.3">
      <c r="A436" s="32" t="s">
        <v>366</v>
      </c>
      <c r="B436" s="2" t="s">
        <v>244</v>
      </c>
      <c r="C436" s="10">
        <v>2304025</v>
      </c>
      <c r="D436" s="10" t="s">
        <v>1162</v>
      </c>
      <c r="E436" s="10">
        <v>2531145</v>
      </c>
      <c r="F436" s="10" t="s">
        <v>1226</v>
      </c>
      <c r="G436" s="69">
        <v>424.23</v>
      </c>
      <c r="H436" s="69">
        <v>80.58</v>
      </c>
      <c r="I436" s="69">
        <f t="shared" si="124"/>
        <v>56.405999999999992</v>
      </c>
      <c r="J436" s="70">
        <v>1</v>
      </c>
      <c r="K436" s="69">
        <f t="shared" si="125"/>
        <v>407.45276999999999</v>
      </c>
      <c r="L436" s="79" t="s">
        <v>468</v>
      </c>
      <c r="M436" s="61">
        <f t="shared" si="126"/>
        <v>-8.4608999999999916</v>
      </c>
      <c r="N436" s="61">
        <f t="shared" si="127"/>
        <v>9.951629999999998</v>
      </c>
      <c r="O436" s="61"/>
      <c r="P436" s="2"/>
      <c r="Q436" s="2"/>
      <c r="R436" s="32"/>
      <c r="S436" s="32"/>
      <c r="T436" s="32"/>
      <c r="U436" s="32"/>
      <c r="V436" s="2"/>
      <c r="W436" s="2"/>
      <c r="X436" s="2"/>
      <c r="Y436" s="2"/>
      <c r="Z436" s="2"/>
    </row>
    <row r="437" spans="1:26" ht="13.8" x14ac:dyDescent="0.3">
      <c r="A437" s="32" t="s">
        <v>366</v>
      </c>
      <c r="B437" s="2" t="s">
        <v>244</v>
      </c>
      <c r="C437" s="10">
        <v>2304025</v>
      </c>
      <c r="D437" s="10" t="s">
        <v>1162</v>
      </c>
      <c r="E437" s="10">
        <v>2531146</v>
      </c>
      <c r="F437" s="10" t="s">
        <v>1227</v>
      </c>
      <c r="G437" s="69">
        <v>-121.53</v>
      </c>
      <c r="H437" s="69">
        <v>17.37</v>
      </c>
      <c r="I437" s="69">
        <f t="shared" si="124"/>
        <v>12.159000000000001</v>
      </c>
      <c r="J437" s="70">
        <v>1</v>
      </c>
      <c r="K437" s="69">
        <f t="shared" si="125"/>
        <v>-93.199844999999982</v>
      </c>
      <c r="L437" s="79" t="s">
        <v>468</v>
      </c>
      <c r="M437" s="61">
        <f t="shared" si="126"/>
        <v>-1.8238499999999993</v>
      </c>
      <c r="N437" s="61">
        <f t="shared" si="127"/>
        <v>2.1451950000000002</v>
      </c>
      <c r="O437" s="61"/>
      <c r="P437" s="2"/>
      <c r="Q437" s="2"/>
      <c r="R437" s="32"/>
      <c r="S437" s="32"/>
      <c r="T437" s="32"/>
      <c r="U437" s="32"/>
      <c r="V437" s="2"/>
      <c r="W437" s="2"/>
      <c r="X437" s="2"/>
      <c r="Y437" s="2"/>
      <c r="Z437" s="2"/>
    </row>
    <row r="438" spans="1:26" ht="13.8" x14ac:dyDescent="0.3">
      <c r="A438" s="32" t="s">
        <v>366</v>
      </c>
      <c r="B438" s="2" t="s">
        <v>244</v>
      </c>
      <c r="C438" s="10">
        <v>2304025</v>
      </c>
      <c r="D438" s="10" t="s">
        <v>1162</v>
      </c>
      <c r="E438" s="10">
        <v>2531191</v>
      </c>
      <c r="F438" s="10" t="s">
        <v>1259</v>
      </c>
      <c r="G438" s="69">
        <v>39.36</v>
      </c>
      <c r="H438" s="69">
        <v>7.38</v>
      </c>
      <c r="I438" s="69">
        <f t="shared" si="124"/>
        <v>5.1659999999999995</v>
      </c>
      <c r="J438" s="70">
        <v>1</v>
      </c>
      <c r="K438" s="69">
        <f t="shared" si="125"/>
        <v>37.74747</v>
      </c>
      <c r="L438" s="79" t="s">
        <v>468</v>
      </c>
      <c r="M438" s="61">
        <f t="shared" si="126"/>
        <v>-0.77490000000000014</v>
      </c>
      <c r="N438" s="61">
        <f t="shared" si="127"/>
        <v>0.91142999999999985</v>
      </c>
      <c r="O438" s="61"/>
      <c r="P438" s="2"/>
      <c r="Q438" s="2"/>
      <c r="R438" s="32"/>
      <c r="S438" s="32"/>
      <c r="T438" s="32"/>
      <c r="U438" s="32"/>
      <c r="V438" s="2"/>
      <c r="W438" s="2"/>
      <c r="X438" s="2"/>
      <c r="Y438" s="2"/>
      <c r="Z438" s="2"/>
    </row>
    <row r="439" spans="1:26" ht="13.8" x14ac:dyDescent="0.3">
      <c r="A439" s="32" t="s">
        <v>366</v>
      </c>
      <c r="B439" s="2" t="s">
        <v>244</v>
      </c>
      <c r="C439" s="10">
        <v>2304025</v>
      </c>
      <c r="D439" s="10" t="s">
        <v>1162</v>
      </c>
      <c r="E439" s="10">
        <v>2531390</v>
      </c>
      <c r="F439" s="10" t="s">
        <v>1229</v>
      </c>
      <c r="G439" s="69">
        <v>-13.44</v>
      </c>
      <c r="H439" s="69">
        <v>9.49</v>
      </c>
      <c r="I439" s="69">
        <f t="shared" si="124"/>
        <v>6.6429999999999998</v>
      </c>
      <c r="J439" s="70">
        <v>1</v>
      </c>
      <c r="K439" s="69">
        <f t="shared" si="125"/>
        <v>-5.9055650000000002</v>
      </c>
      <c r="L439" s="79" t="s">
        <v>468</v>
      </c>
      <c r="M439" s="61">
        <f t="shared" si="126"/>
        <v>-0.99645000000000006</v>
      </c>
      <c r="N439" s="61">
        <f t="shared" si="127"/>
        <v>1.172015</v>
      </c>
      <c r="O439" s="61"/>
      <c r="P439" s="2"/>
      <c r="Q439" s="2"/>
      <c r="R439" s="32"/>
      <c r="S439" s="32"/>
      <c r="T439" s="32"/>
      <c r="U439" s="32"/>
      <c r="V439" s="2"/>
      <c r="W439" s="2"/>
      <c r="X439" s="2"/>
      <c r="Y439" s="2"/>
      <c r="Z439" s="2"/>
    </row>
    <row r="440" spans="1:26" ht="13.8" x14ac:dyDescent="0.3">
      <c r="A440" s="32" t="s">
        <v>366</v>
      </c>
      <c r="B440" s="2" t="s">
        <v>244</v>
      </c>
      <c r="C440" s="10">
        <v>2304025</v>
      </c>
      <c r="D440" s="10" t="s">
        <v>1162</v>
      </c>
      <c r="E440" s="10">
        <v>2540293</v>
      </c>
      <c r="F440" s="10" t="s">
        <v>1261</v>
      </c>
      <c r="G440" s="69">
        <v>-84.76</v>
      </c>
      <c r="H440" s="69">
        <v>6.73</v>
      </c>
      <c r="I440" s="69">
        <f t="shared" si="124"/>
        <v>4.7110000000000003</v>
      </c>
      <c r="J440" s="70">
        <v>1</v>
      </c>
      <c r="K440" s="69">
        <f t="shared" si="125"/>
        <v>-68.132505000000009</v>
      </c>
      <c r="L440" s="79" t="s">
        <v>468</v>
      </c>
      <c r="M440" s="61">
        <f t="shared" si="126"/>
        <v>-0.70665000000000067</v>
      </c>
      <c r="N440" s="61">
        <f t="shared" si="127"/>
        <v>0.83115499999999998</v>
      </c>
      <c r="O440" s="61"/>
      <c r="P440" s="2"/>
      <c r="Q440" s="2"/>
      <c r="R440" s="32"/>
      <c r="S440" s="32"/>
      <c r="T440" s="32"/>
      <c r="U440" s="32"/>
      <c r="V440" s="2"/>
      <c r="W440" s="2"/>
      <c r="X440" s="2"/>
      <c r="Y440" s="2"/>
      <c r="Z440" s="2"/>
    </row>
    <row r="441" spans="1:26" ht="13.8" x14ac:dyDescent="0.3">
      <c r="A441" s="32" t="s">
        <v>366</v>
      </c>
      <c r="B441" s="2" t="s">
        <v>244</v>
      </c>
      <c r="C441" s="10">
        <v>2304025</v>
      </c>
      <c r="D441" s="10" t="s">
        <v>1162</v>
      </c>
      <c r="E441" s="10">
        <v>2540315</v>
      </c>
      <c r="F441" s="10" t="s">
        <v>1262</v>
      </c>
      <c r="G441" s="69">
        <v>226.17</v>
      </c>
      <c r="H441" s="69">
        <v>7.76</v>
      </c>
      <c r="I441" s="69">
        <f t="shared" si="124"/>
        <v>5.4319999999999995</v>
      </c>
      <c r="J441" s="70">
        <v>1</v>
      </c>
      <c r="K441" s="69">
        <f t="shared" si="125"/>
        <v>196.75693999999999</v>
      </c>
      <c r="L441" s="79" t="s">
        <v>468</v>
      </c>
      <c r="M441" s="61">
        <f t="shared" si="126"/>
        <v>-0.81479999999999597</v>
      </c>
      <c r="N441" s="61">
        <f t="shared" si="127"/>
        <v>0.95835999999999988</v>
      </c>
      <c r="O441" s="61"/>
      <c r="P441" s="2"/>
      <c r="Q441" s="2"/>
      <c r="R441" s="32"/>
      <c r="S441" s="32"/>
      <c r="T441" s="32"/>
      <c r="U441" s="32"/>
      <c r="V441" s="2"/>
      <c r="W441" s="2"/>
      <c r="X441" s="2"/>
      <c r="Y441" s="2"/>
      <c r="Z441" s="2"/>
    </row>
    <row r="442" spans="1:26" ht="13.8" x14ac:dyDescent="0.3">
      <c r="A442" s="32" t="s">
        <v>366</v>
      </c>
      <c r="B442" s="2" t="s">
        <v>244</v>
      </c>
      <c r="C442" s="10">
        <v>2304025</v>
      </c>
      <c r="D442" s="10" t="s">
        <v>1162</v>
      </c>
      <c r="E442" s="10">
        <v>2541423</v>
      </c>
      <c r="F442" s="10" t="s">
        <v>1263</v>
      </c>
      <c r="G442" s="69">
        <v>299.76</v>
      </c>
      <c r="H442" s="69">
        <v>0</v>
      </c>
      <c r="I442" s="69">
        <f t="shared" si="124"/>
        <v>0</v>
      </c>
      <c r="J442" s="70">
        <v>1</v>
      </c>
      <c r="K442" s="69">
        <f t="shared" si="125"/>
        <v>254.79599999999999</v>
      </c>
      <c r="L442" s="79" t="s">
        <v>468</v>
      </c>
      <c r="M442" s="61">
        <f t="shared" si="126"/>
        <v>0</v>
      </c>
      <c r="N442" s="61">
        <f t="shared" si="127"/>
        <v>0</v>
      </c>
      <c r="O442" s="61"/>
      <c r="P442" s="2"/>
      <c r="Q442" s="2"/>
      <c r="R442" s="32"/>
      <c r="S442" s="32"/>
      <c r="T442" s="32"/>
      <c r="U442" s="32"/>
      <c r="V442" s="2"/>
      <c r="W442" s="2"/>
      <c r="X442" s="2"/>
      <c r="Y442" s="2"/>
      <c r="Z442" s="2"/>
    </row>
    <row r="443" spans="1:26" ht="13.8" x14ac:dyDescent="0.3">
      <c r="A443" s="32" t="s">
        <v>366</v>
      </c>
      <c r="B443" s="2" t="s">
        <v>244</v>
      </c>
      <c r="C443" s="10">
        <v>2304025</v>
      </c>
      <c r="D443" s="10" t="s">
        <v>1162</v>
      </c>
      <c r="E443" s="10">
        <v>2554720</v>
      </c>
      <c r="F443" s="10" t="s">
        <v>1270</v>
      </c>
      <c r="G443" s="69">
        <v>315.54000000000002</v>
      </c>
      <c r="H443" s="69">
        <v>66.650000000000006</v>
      </c>
      <c r="I443" s="69">
        <f t="shared" si="124"/>
        <v>46.655000000000001</v>
      </c>
      <c r="J443" s="70">
        <v>1</v>
      </c>
      <c r="K443" s="69">
        <f t="shared" si="125"/>
        <v>306.96597500000001</v>
      </c>
      <c r="L443" s="79" t="s">
        <v>468</v>
      </c>
      <c r="M443" s="61">
        <f t="shared" si="126"/>
        <v>-6.9982500000000014</v>
      </c>
      <c r="N443" s="61">
        <f t="shared" si="127"/>
        <v>8.2312750000000001</v>
      </c>
      <c r="O443" s="61"/>
      <c r="P443" s="2"/>
      <c r="Q443" s="2"/>
      <c r="R443" s="32"/>
      <c r="S443" s="32"/>
      <c r="T443" s="32"/>
      <c r="U443" s="32"/>
      <c r="V443" s="2"/>
      <c r="W443" s="2"/>
      <c r="X443" s="2"/>
      <c r="Y443" s="2"/>
      <c r="Z443" s="2"/>
    </row>
    <row r="444" spans="1:26" ht="13.8" x14ac:dyDescent="0.3">
      <c r="A444" s="32" t="s">
        <v>366</v>
      </c>
      <c r="B444" s="2" t="s">
        <v>244</v>
      </c>
      <c r="C444" s="10">
        <v>2304025</v>
      </c>
      <c r="D444" s="10" t="s">
        <v>1162</v>
      </c>
      <c r="E444" s="10">
        <v>2575716</v>
      </c>
      <c r="F444" s="10" t="s">
        <v>1283</v>
      </c>
      <c r="G444" s="69">
        <v>77.010000000000005</v>
      </c>
      <c r="H444" s="69">
        <v>16.2</v>
      </c>
      <c r="I444" s="69">
        <f t="shared" si="124"/>
        <v>11.339999999999998</v>
      </c>
      <c r="J444" s="70">
        <v>1</v>
      </c>
      <c r="K444" s="69">
        <f t="shared" si="125"/>
        <v>74.878800000000012</v>
      </c>
      <c r="L444" s="79" t="s">
        <v>468</v>
      </c>
      <c r="M444" s="61">
        <f t="shared" si="126"/>
        <v>-1.7009999999999996</v>
      </c>
      <c r="N444" s="61">
        <f t="shared" si="127"/>
        <v>2.0006999999999997</v>
      </c>
      <c r="O444" s="61"/>
      <c r="P444" s="2"/>
      <c r="Q444" s="2"/>
      <c r="R444" s="32"/>
      <c r="S444" s="32"/>
      <c r="T444" s="32"/>
      <c r="U444" s="32"/>
      <c r="V444" s="2"/>
      <c r="W444" s="2"/>
      <c r="X444" s="2"/>
      <c r="Y444" s="2"/>
      <c r="Z444" s="2"/>
    </row>
    <row r="445" spans="1:26" ht="13.8" x14ac:dyDescent="0.3">
      <c r="A445" s="32" t="s">
        <v>366</v>
      </c>
      <c r="B445" s="2" t="s">
        <v>244</v>
      </c>
      <c r="C445" s="10">
        <v>2304025</v>
      </c>
      <c r="D445" s="10" t="s">
        <v>1162</v>
      </c>
      <c r="E445" s="10">
        <v>2575824</v>
      </c>
      <c r="F445" s="10" t="s">
        <v>1284</v>
      </c>
      <c r="G445" s="69">
        <v>154.18</v>
      </c>
      <c r="H445" s="69">
        <v>20.13</v>
      </c>
      <c r="I445" s="69">
        <f t="shared" si="124"/>
        <v>14.090999999999998</v>
      </c>
      <c r="J445" s="70">
        <v>1</v>
      </c>
      <c r="K445" s="69">
        <f t="shared" si="125"/>
        <v>142.75859500000001</v>
      </c>
      <c r="L445" s="79" t="s">
        <v>468</v>
      </c>
      <c r="M445" s="61">
        <f t="shared" si="126"/>
        <v>-2.1136500000000003</v>
      </c>
      <c r="N445" s="61">
        <f t="shared" si="127"/>
        <v>2.4860549999999995</v>
      </c>
      <c r="O445" s="61"/>
      <c r="P445" s="2"/>
      <c r="Q445" s="2"/>
      <c r="R445" s="32"/>
      <c r="S445" s="32"/>
      <c r="T445" s="32"/>
      <c r="U445" s="32"/>
      <c r="V445" s="2"/>
      <c r="W445" s="2"/>
      <c r="X445" s="2"/>
      <c r="Y445" s="2"/>
      <c r="Z445" s="2"/>
    </row>
    <row r="446" spans="1:26" ht="13.8" x14ac:dyDescent="0.3">
      <c r="A446" s="32" t="s">
        <v>366</v>
      </c>
      <c r="B446" s="2" t="s">
        <v>244</v>
      </c>
      <c r="C446" s="10">
        <v>2304025</v>
      </c>
      <c r="D446" s="10" t="s">
        <v>1162</v>
      </c>
      <c r="E446" s="10">
        <v>2575978</v>
      </c>
      <c r="F446" s="10" t="s">
        <v>1285</v>
      </c>
      <c r="G446" s="69">
        <v>183.81</v>
      </c>
      <c r="H446" s="69">
        <v>5.22</v>
      </c>
      <c r="I446" s="69">
        <f t="shared" si="124"/>
        <v>3.6539999999999995</v>
      </c>
      <c r="J446" s="70">
        <v>1</v>
      </c>
      <c r="K446" s="69">
        <f t="shared" si="125"/>
        <v>159.27393000000001</v>
      </c>
      <c r="L446" s="79" t="s">
        <v>468</v>
      </c>
      <c r="M446" s="61">
        <f t="shared" si="126"/>
        <v>-0.54809999999999837</v>
      </c>
      <c r="N446" s="61">
        <f t="shared" si="127"/>
        <v>0.64466999999999985</v>
      </c>
      <c r="O446" s="61"/>
      <c r="P446" s="2"/>
      <c r="Q446" s="2"/>
      <c r="R446" s="32"/>
      <c r="S446" s="32"/>
      <c r="T446" s="32"/>
      <c r="U446" s="32"/>
      <c r="V446" s="2"/>
      <c r="W446" s="2"/>
      <c r="X446" s="2"/>
      <c r="Y446" s="2"/>
      <c r="Z446" s="2"/>
    </row>
    <row r="447" spans="1:26" ht="13.8" x14ac:dyDescent="0.3">
      <c r="A447" s="32" t="s">
        <v>366</v>
      </c>
      <c r="B447" s="2" t="s">
        <v>244</v>
      </c>
      <c r="C447" s="10">
        <v>2523689</v>
      </c>
      <c r="D447" s="10" t="s">
        <v>1179</v>
      </c>
      <c r="E447" s="10">
        <v>2525136</v>
      </c>
      <c r="F447" s="10" t="s">
        <v>1205</v>
      </c>
      <c r="G447" s="69">
        <v>-7.18</v>
      </c>
      <c r="H447" s="69">
        <v>4.83</v>
      </c>
      <c r="I447" s="69">
        <f t="shared" si="124"/>
        <v>3.3809999999999998</v>
      </c>
      <c r="J447" s="70">
        <v>1</v>
      </c>
      <c r="K447" s="69">
        <f t="shared" si="125"/>
        <v>-3.2943549999999999</v>
      </c>
      <c r="L447" s="79" t="s">
        <v>468</v>
      </c>
      <c r="M447" s="61">
        <f t="shared" si="126"/>
        <v>-0.50714999999999999</v>
      </c>
      <c r="N447" s="61">
        <f t="shared" si="127"/>
        <v>0.59650499999999995</v>
      </c>
      <c r="O447" s="61"/>
      <c r="P447" s="2"/>
      <c r="Q447" s="2"/>
      <c r="R447" s="32"/>
      <c r="S447" s="32"/>
      <c r="T447" s="32"/>
      <c r="U447" s="32"/>
      <c r="V447" s="2"/>
      <c r="W447" s="2"/>
      <c r="X447" s="2"/>
      <c r="Y447" s="2"/>
      <c r="Z447" s="2"/>
    </row>
    <row r="448" spans="1:26" ht="13.8" x14ac:dyDescent="0.3">
      <c r="A448" s="32" t="s">
        <v>366</v>
      </c>
      <c r="B448" s="2" t="s">
        <v>244</v>
      </c>
      <c r="C448" s="10">
        <v>2566294</v>
      </c>
      <c r="D448" s="10" t="s">
        <v>1276</v>
      </c>
      <c r="E448" s="10">
        <v>2525032</v>
      </c>
      <c r="F448" s="10" t="s">
        <v>1277</v>
      </c>
      <c r="G448" s="69">
        <v>-4643.84</v>
      </c>
      <c r="H448" s="69">
        <v>1319.69</v>
      </c>
      <c r="I448" s="69">
        <f t="shared" si="124"/>
        <v>923.78300000000002</v>
      </c>
      <c r="J448" s="70">
        <v>1</v>
      </c>
      <c r="K448" s="69">
        <f t="shared" si="125"/>
        <v>-3179.8642650000002</v>
      </c>
      <c r="L448" s="79" t="s">
        <v>468</v>
      </c>
      <c r="M448" s="61">
        <f t="shared" si="126"/>
        <v>-138.56745000000001</v>
      </c>
      <c r="N448" s="61">
        <f t="shared" si="127"/>
        <v>162.98171500000001</v>
      </c>
      <c r="O448" s="61"/>
      <c r="P448" s="2"/>
      <c r="Q448" s="2"/>
      <c r="R448" s="32"/>
      <c r="S448" s="32"/>
      <c r="T448" s="32"/>
      <c r="U448" s="32"/>
      <c r="V448" s="2"/>
      <c r="W448" s="2"/>
      <c r="X448" s="2"/>
      <c r="Y448" s="2"/>
      <c r="Z448" s="2"/>
    </row>
    <row r="449" spans="1:26" ht="13.8" x14ac:dyDescent="0.3">
      <c r="A449" s="2" t="s">
        <v>370</v>
      </c>
      <c r="B449" s="32" t="s">
        <v>81</v>
      </c>
      <c r="C449" s="2" t="s">
        <v>1296</v>
      </c>
      <c r="D449" s="2" t="s">
        <v>1297</v>
      </c>
      <c r="E449" s="2" t="s">
        <v>1298</v>
      </c>
      <c r="F449" s="32" t="s">
        <v>1299</v>
      </c>
      <c r="G449" s="69">
        <v>-892.12</v>
      </c>
      <c r="H449" s="69">
        <v>103.04</v>
      </c>
      <c r="I449" s="69">
        <f t="shared" ref="I449:I451" si="128">H449*0.72</f>
        <v>74.188800000000001</v>
      </c>
      <c r="J449" s="70">
        <v>1</v>
      </c>
      <c r="K449" s="69">
        <f>(G449+I449)*J449*0.9</f>
        <v>-736.13808000000006</v>
      </c>
      <c r="L449" s="78">
        <f>H449*0.05*J449*0.97</f>
        <v>4.997440000000001</v>
      </c>
      <c r="M449" s="61">
        <f>G449*0.1*J449-(G449+H449)*0.1*J449+17.23</f>
        <v>6.9260000000000126</v>
      </c>
      <c r="N449" s="61">
        <f>(H449*0.23+I449*0.1)*J449-H449*0.1*J449</f>
        <v>20.814080000000001</v>
      </c>
      <c r="O449" s="58"/>
      <c r="P449" s="2"/>
      <c r="Q449" s="2"/>
      <c r="R449" s="32"/>
      <c r="S449" s="32"/>
      <c r="T449" s="32"/>
      <c r="U449" s="32"/>
      <c r="V449" s="2"/>
      <c r="W449" s="2"/>
      <c r="X449" s="2"/>
      <c r="Y449" s="2"/>
      <c r="Z449" s="2"/>
    </row>
    <row r="450" spans="1:26" ht="13.8" x14ac:dyDescent="0.3">
      <c r="A450" s="2" t="s">
        <v>370</v>
      </c>
      <c r="B450" s="32" t="s">
        <v>69</v>
      </c>
      <c r="C450" s="10" t="s">
        <v>1230</v>
      </c>
      <c r="D450" s="10" t="s">
        <v>1231</v>
      </c>
      <c r="E450" s="10" t="s">
        <v>1232</v>
      </c>
      <c r="F450" s="10" t="s">
        <v>1233</v>
      </c>
      <c r="G450" s="69">
        <v>571.48</v>
      </c>
      <c r="H450" s="69">
        <v>127.26</v>
      </c>
      <c r="I450" s="69">
        <f t="shared" si="128"/>
        <v>91.627200000000002</v>
      </c>
      <c r="J450" s="70">
        <v>1</v>
      </c>
      <c r="K450" s="69">
        <f t="shared" ref="K450:K456" si="129">(G450+I450)*J450</f>
        <v>663.10720000000003</v>
      </c>
      <c r="L450" s="78">
        <f t="shared" ref="L450:L456" si="130">H450*0.05*J450</f>
        <v>6.3630000000000004</v>
      </c>
      <c r="M450" s="61">
        <v>0</v>
      </c>
      <c r="N450" s="61">
        <f t="shared" ref="N450:N451" si="131">H450*0.08*J450</f>
        <v>10.180800000000001</v>
      </c>
      <c r="O450" s="58"/>
      <c r="P450" s="2"/>
      <c r="Q450" s="2"/>
      <c r="R450" s="32"/>
      <c r="S450" s="32"/>
      <c r="T450" s="32"/>
      <c r="U450" s="32"/>
      <c r="V450" s="2"/>
      <c r="W450" s="2"/>
      <c r="X450" s="2"/>
      <c r="Y450" s="2"/>
      <c r="Z450" s="2"/>
    </row>
    <row r="451" spans="1:26" ht="13.8" x14ac:dyDescent="0.3">
      <c r="A451" s="2" t="s">
        <v>370</v>
      </c>
      <c r="B451" s="32" t="s">
        <v>69</v>
      </c>
      <c r="C451" s="10" t="s">
        <v>1290</v>
      </c>
      <c r="D451" s="10" t="s">
        <v>1291</v>
      </c>
      <c r="E451" s="10" t="s">
        <v>1292</v>
      </c>
      <c r="F451" s="10" t="s">
        <v>1293</v>
      </c>
      <c r="G451" s="69">
        <v>-1011.35</v>
      </c>
      <c r="H451" s="69">
        <v>300.72000000000003</v>
      </c>
      <c r="I451" s="69">
        <f t="shared" si="128"/>
        <v>216.51840000000001</v>
      </c>
      <c r="J451" s="70">
        <v>1</v>
      </c>
      <c r="K451" s="69">
        <f t="shared" si="129"/>
        <v>-794.83159999999998</v>
      </c>
      <c r="L451" s="78">
        <f t="shared" si="130"/>
        <v>15.036000000000001</v>
      </c>
      <c r="M451" s="61">
        <v>0</v>
      </c>
      <c r="N451" s="61">
        <f t="shared" si="131"/>
        <v>24.057600000000004</v>
      </c>
      <c r="O451" s="58"/>
      <c r="P451" s="2"/>
      <c r="Q451" s="2"/>
      <c r="R451" s="32"/>
      <c r="S451" s="32"/>
      <c r="T451" s="32"/>
      <c r="U451" s="32"/>
      <c r="V451" s="2"/>
      <c r="W451" s="2"/>
      <c r="X451" s="2"/>
      <c r="Y451" s="2"/>
      <c r="Z451" s="2"/>
    </row>
    <row r="452" spans="1:26" ht="13.8" x14ac:dyDescent="0.3">
      <c r="A452" s="2" t="s">
        <v>370</v>
      </c>
      <c r="B452" s="29" t="s">
        <v>35</v>
      </c>
      <c r="C452" s="10" t="s">
        <v>1114</v>
      </c>
      <c r="D452" s="10" t="s">
        <v>1115</v>
      </c>
      <c r="E452" s="10" t="s">
        <v>1298</v>
      </c>
      <c r="F452" s="10" t="s">
        <v>1299</v>
      </c>
      <c r="G452" s="69">
        <v>5338.74</v>
      </c>
      <c r="H452" s="69">
        <v>3836.95</v>
      </c>
      <c r="I452" s="69">
        <f t="shared" ref="I452:I456" si="132">H452*0.79</f>
        <v>3031.1905000000002</v>
      </c>
      <c r="J452" s="75">
        <v>0.27467999999999998</v>
      </c>
      <c r="K452" s="69">
        <f t="shared" si="129"/>
        <v>2299.05250974</v>
      </c>
      <c r="L452" s="78">
        <f t="shared" si="130"/>
        <v>52.696671299999998</v>
      </c>
      <c r="M452" s="61">
        <v>0</v>
      </c>
      <c r="N452" s="61">
        <f t="shared" ref="N452:N456" si="133">H452*0.04*J452</f>
        <v>42.157337040000002</v>
      </c>
      <c r="O452" s="61"/>
      <c r="P452" s="2"/>
      <c r="Q452" s="2"/>
      <c r="R452" s="32"/>
      <c r="S452" s="32"/>
      <c r="T452" s="32"/>
      <c r="U452" s="32"/>
      <c r="V452" s="2"/>
      <c r="W452" s="2"/>
      <c r="X452" s="2"/>
      <c r="Y452" s="2"/>
      <c r="Z452" s="2"/>
    </row>
    <row r="453" spans="1:26" ht="13.8" x14ac:dyDescent="0.3">
      <c r="A453" s="2" t="s">
        <v>370</v>
      </c>
      <c r="B453" s="29" t="s">
        <v>35</v>
      </c>
      <c r="C453" s="10" t="s">
        <v>1234</v>
      </c>
      <c r="D453" s="10" t="s">
        <v>1235</v>
      </c>
      <c r="E453" s="10" t="s">
        <v>1132</v>
      </c>
      <c r="F453" s="10" t="s">
        <v>1133</v>
      </c>
      <c r="G453" s="69">
        <v>-3978.26</v>
      </c>
      <c r="H453" s="69">
        <v>1193.33</v>
      </c>
      <c r="I453" s="69">
        <f t="shared" si="132"/>
        <v>942.73069999999996</v>
      </c>
      <c r="J453" s="75">
        <v>0.27467999999999998</v>
      </c>
      <c r="K453" s="69">
        <f t="shared" si="129"/>
        <v>-833.79918812400001</v>
      </c>
      <c r="L453" s="78">
        <f t="shared" si="130"/>
        <v>16.38919422</v>
      </c>
      <c r="M453" s="61">
        <v>0</v>
      </c>
      <c r="N453" s="61">
        <f t="shared" si="133"/>
        <v>13.111355375999999</v>
      </c>
      <c r="O453" s="61"/>
      <c r="P453" s="2"/>
      <c r="Q453" s="2"/>
      <c r="R453" s="32"/>
      <c r="S453" s="32"/>
      <c r="T453" s="32"/>
      <c r="U453" s="32"/>
      <c r="V453" s="2"/>
      <c r="W453" s="2"/>
      <c r="X453" s="2"/>
      <c r="Y453" s="2"/>
      <c r="Z453" s="2"/>
    </row>
    <row r="454" spans="1:26" ht="13.8" x14ac:dyDescent="0.3">
      <c r="A454" s="2" t="s">
        <v>370</v>
      </c>
      <c r="B454" s="29" t="s">
        <v>35</v>
      </c>
      <c r="C454" s="10" t="s">
        <v>1290</v>
      </c>
      <c r="D454" s="10" t="s">
        <v>1291</v>
      </c>
      <c r="E454" s="10" t="s">
        <v>1292</v>
      </c>
      <c r="F454" s="10" t="s">
        <v>1293</v>
      </c>
      <c r="G454" s="69">
        <v>-7936.56</v>
      </c>
      <c r="H454" s="69">
        <v>6812.92</v>
      </c>
      <c r="I454" s="69">
        <f t="shared" si="132"/>
        <v>5382.2067999999999</v>
      </c>
      <c r="J454" s="75">
        <v>0.27467999999999998</v>
      </c>
      <c r="K454" s="69">
        <f t="shared" si="129"/>
        <v>-701.62973697600012</v>
      </c>
      <c r="L454" s="78">
        <f t="shared" si="130"/>
        <v>93.568643280000003</v>
      </c>
      <c r="M454" s="61">
        <v>0</v>
      </c>
      <c r="N454" s="61">
        <f t="shared" si="133"/>
        <v>74.854914623999989</v>
      </c>
      <c r="O454" s="61"/>
      <c r="P454" s="2"/>
      <c r="Q454" s="2"/>
      <c r="R454" s="32"/>
      <c r="S454" s="32"/>
      <c r="T454" s="32"/>
      <c r="U454" s="32"/>
      <c r="V454" s="2"/>
      <c r="W454" s="2"/>
      <c r="X454" s="2"/>
      <c r="Y454" s="2"/>
      <c r="Z454" s="2"/>
    </row>
    <row r="455" spans="1:26" ht="13.8" x14ac:dyDescent="0.3">
      <c r="A455" s="2" t="s">
        <v>370</v>
      </c>
      <c r="B455" s="29" t="s">
        <v>35</v>
      </c>
      <c r="C455" s="10" t="s">
        <v>1138</v>
      </c>
      <c r="D455" s="10" t="s">
        <v>1139</v>
      </c>
      <c r="E455" s="10" t="s">
        <v>1240</v>
      </c>
      <c r="F455" s="10" t="s">
        <v>1241</v>
      </c>
      <c r="G455" s="69">
        <v>425.97</v>
      </c>
      <c r="H455" s="69">
        <v>149.79</v>
      </c>
      <c r="I455" s="69">
        <f t="shared" si="132"/>
        <v>118.33409999999999</v>
      </c>
      <c r="J455" s="75">
        <v>0.27467999999999998</v>
      </c>
      <c r="K455" s="69">
        <f t="shared" si="129"/>
        <v>149.50945018800002</v>
      </c>
      <c r="L455" s="78">
        <f t="shared" si="130"/>
        <v>2.0572158599999999</v>
      </c>
      <c r="M455" s="61">
        <v>0</v>
      </c>
      <c r="N455" s="61">
        <f t="shared" si="133"/>
        <v>1.6457726879999999</v>
      </c>
      <c r="O455" s="61"/>
      <c r="P455" s="2"/>
      <c r="Q455" s="2"/>
      <c r="R455" s="32"/>
      <c r="S455" s="32"/>
      <c r="T455" s="32"/>
      <c r="U455" s="32"/>
      <c r="V455" s="2"/>
      <c r="W455" s="2"/>
      <c r="X455" s="2"/>
      <c r="Y455" s="2"/>
      <c r="Z455" s="2"/>
    </row>
    <row r="456" spans="1:26" ht="13.8" x14ac:dyDescent="0.3">
      <c r="A456" s="2" t="s">
        <v>370</v>
      </c>
      <c r="B456" s="29" t="s">
        <v>35</v>
      </c>
      <c r="C456" s="10" t="s">
        <v>1300</v>
      </c>
      <c r="D456" s="10" t="s">
        <v>1301</v>
      </c>
      <c r="E456" s="10" t="s">
        <v>1300</v>
      </c>
      <c r="F456" s="10" t="s">
        <v>1301</v>
      </c>
      <c r="G456" s="69">
        <v>-5913.68</v>
      </c>
      <c r="H456" s="69">
        <v>4309.0200000000004</v>
      </c>
      <c r="I456" s="69">
        <f t="shared" si="132"/>
        <v>3404.1258000000007</v>
      </c>
      <c r="J456" s="75">
        <v>0.27467999999999998</v>
      </c>
      <c r="K456" s="69">
        <f t="shared" si="129"/>
        <v>-689.32434765599987</v>
      </c>
      <c r="L456" s="78">
        <f t="shared" si="130"/>
        <v>59.180080680000003</v>
      </c>
      <c r="M456" s="61">
        <v>0</v>
      </c>
      <c r="N456" s="61">
        <f t="shared" si="133"/>
        <v>47.344064543999998</v>
      </c>
      <c r="O456" s="61"/>
      <c r="P456" s="2"/>
      <c r="Q456" s="2"/>
      <c r="R456" s="32"/>
      <c r="S456" s="32"/>
      <c r="T456" s="32"/>
      <c r="U456" s="32"/>
      <c r="V456" s="2"/>
      <c r="W456" s="2"/>
      <c r="X456" s="2"/>
      <c r="Y456" s="2"/>
      <c r="Z456" s="2"/>
    </row>
    <row r="457" spans="1:26" ht="13.8" x14ac:dyDescent="0.3">
      <c r="A457" s="2" t="s">
        <v>370</v>
      </c>
      <c r="B457" s="2" t="s">
        <v>186</v>
      </c>
      <c r="C457" s="10">
        <v>2304025</v>
      </c>
      <c r="D457" s="10" t="s">
        <v>1162</v>
      </c>
      <c r="E457" s="10">
        <v>2380008</v>
      </c>
      <c r="F457" s="10" t="s">
        <v>1192</v>
      </c>
      <c r="G457" s="69">
        <v>-232.8</v>
      </c>
      <c r="H457" s="69">
        <v>49.6</v>
      </c>
      <c r="I457" s="69">
        <f t="shared" ref="I457:I469" si="134">H457*0.5</f>
        <v>24.8</v>
      </c>
      <c r="J457" s="70">
        <v>1</v>
      </c>
      <c r="K457" s="69">
        <f t="shared" ref="K457:K469" si="135">(G457+I457)*J457*0.85+(-H457*0.4*0.15)*J457*0.3+H457*0.1*0.85*J457*0.3</f>
        <v>-176.42799999999997</v>
      </c>
      <c r="L457" s="79" t="s">
        <v>468</v>
      </c>
      <c r="M457" s="61">
        <f t="shared" ref="M457:M469" si="136">(-H457*0.4*0.15)*J457*0.7-(-H457*0.05*0.15)*J457</f>
        <v>-1.7112000000000001</v>
      </c>
      <c r="N457" s="61">
        <f t="shared" ref="N457:N469" si="137">H457*0.1*0.85*J457*0.7+H457*0.05*0.85*J457</f>
        <v>5.0592000000000006</v>
      </c>
      <c r="O457" s="61"/>
      <c r="P457" s="2"/>
      <c r="Q457" s="2"/>
      <c r="R457" s="32"/>
      <c r="S457" s="32"/>
      <c r="T457" s="32"/>
      <c r="U457" s="32"/>
      <c r="V457" s="2"/>
      <c r="W457" s="2"/>
      <c r="X457" s="2"/>
      <c r="Y457" s="2"/>
      <c r="Z457" s="2"/>
    </row>
    <row r="458" spans="1:26" ht="13.8" x14ac:dyDescent="0.3">
      <c r="A458" s="2" t="s">
        <v>370</v>
      </c>
      <c r="B458" s="2" t="s">
        <v>186</v>
      </c>
      <c r="C458" s="10">
        <v>2304025</v>
      </c>
      <c r="D458" s="10" t="s">
        <v>1162</v>
      </c>
      <c r="E458" s="10">
        <v>2381522</v>
      </c>
      <c r="F458" s="10" t="s">
        <v>1166</v>
      </c>
      <c r="G458" s="69">
        <v>102.73</v>
      </c>
      <c r="H458" s="69">
        <v>48.21</v>
      </c>
      <c r="I458" s="69">
        <f t="shared" si="134"/>
        <v>24.105</v>
      </c>
      <c r="J458" s="70">
        <v>1</v>
      </c>
      <c r="K458" s="69">
        <f t="shared" si="135"/>
        <v>108.17132500000001</v>
      </c>
      <c r="L458" s="79" t="s">
        <v>468</v>
      </c>
      <c r="M458" s="61">
        <f t="shared" si="136"/>
        <v>-1.6632450000000001</v>
      </c>
      <c r="N458" s="61">
        <f t="shared" si="137"/>
        <v>4.9174199999999999</v>
      </c>
      <c r="O458" s="61"/>
      <c r="P458" s="2"/>
      <c r="Q458" s="2"/>
      <c r="R458" s="32"/>
      <c r="S458" s="32"/>
      <c r="T458" s="32"/>
      <c r="U458" s="32"/>
      <c r="V458" s="2"/>
      <c r="W458" s="2"/>
      <c r="X458" s="2"/>
      <c r="Y458" s="2"/>
      <c r="Z458" s="2"/>
    </row>
    <row r="459" spans="1:26" ht="13.8" x14ac:dyDescent="0.3">
      <c r="A459" s="2" t="s">
        <v>370</v>
      </c>
      <c r="B459" s="2" t="s">
        <v>186</v>
      </c>
      <c r="C459" s="10">
        <v>2304025</v>
      </c>
      <c r="D459" s="10" t="s">
        <v>1162</v>
      </c>
      <c r="E459" s="10">
        <v>2420208</v>
      </c>
      <c r="F459" s="10" t="s">
        <v>1170</v>
      </c>
      <c r="G459" s="69">
        <v>1037.96</v>
      </c>
      <c r="H459" s="69">
        <v>84.96</v>
      </c>
      <c r="I459" s="69">
        <f t="shared" si="134"/>
        <v>42.48</v>
      </c>
      <c r="J459" s="70">
        <v>1</v>
      </c>
      <c r="K459" s="69">
        <f t="shared" si="135"/>
        <v>919.01120000000003</v>
      </c>
      <c r="L459" s="79" t="s">
        <v>468</v>
      </c>
      <c r="M459" s="61">
        <f t="shared" si="136"/>
        <v>-2.9311199999999995</v>
      </c>
      <c r="N459" s="61">
        <f t="shared" si="137"/>
        <v>8.6659199999999998</v>
      </c>
      <c r="O459" s="61"/>
      <c r="P459" s="2"/>
      <c r="Q459" s="2"/>
      <c r="R459" s="32"/>
      <c r="S459" s="32"/>
      <c r="T459" s="32"/>
      <c r="U459" s="32"/>
      <c r="V459" s="2"/>
      <c r="W459" s="2"/>
      <c r="X459" s="2"/>
      <c r="Y459" s="2"/>
      <c r="Z459" s="2"/>
    </row>
    <row r="460" spans="1:26" ht="13.8" x14ac:dyDescent="0.3">
      <c r="A460" s="2" t="s">
        <v>370</v>
      </c>
      <c r="B460" s="2" t="s">
        <v>186</v>
      </c>
      <c r="C460" s="10">
        <v>2304025</v>
      </c>
      <c r="D460" s="10" t="s">
        <v>1162</v>
      </c>
      <c r="E460" s="10">
        <v>2471540</v>
      </c>
      <c r="F460" s="10" t="s">
        <v>1172</v>
      </c>
      <c r="G460" s="69">
        <v>-361.5</v>
      </c>
      <c r="H460" s="69">
        <v>48.08</v>
      </c>
      <c r="I460" s="69">
        <f t="shared" si="134"/>
        <v>24.04</v>
      </c>
      <c r="J460" s="70">
        <v>1</v>
      </c>
      <c r="K460" s="69">
        <f t="shared" si="135"/>
        <v>-286.48039999999992</v>
      </c>
      <c r="L460" s="79" t="s">
        <v>468</v>
      </c>
      <c r="M460" s="61">
        <f t="shared" si="136"/>
        <v>-1.6587599999999998</v>
      </c>
      <c r="N460" s="61">
        <f t="shared" si="137"/>
        <v>4.9041599999999992</v>
      </c>
      <c r="O460" s="61"/>
      <c r="P460" s="2"/>
      <c r="Q460" s="2"/>
      <c r="R460" s="32"/>
      <c r="S460" s="32"/>
      <c r="T460" s="32"/>
      <c r="U460" s="32"/>
      <c r="V460" s="2"/>
      <c r="W460" s="2"/>
      <c r="X460" s="2"/>
      <c r="Y460" s="2"/>
      <c r="Z460" s="2"/>
    </row>
    <row r="461" spans="1:26" ht="13.8" x14ac:dyDescent="0.3">
      <c r="A461" s="2" t="s">
        <v>370</v>
      </c>
      <c r="B461" s="2" t="s">
        <v>186</v>
      </c>
      <c r="C461" s="10">
        <v>2304025</v>
      </c>
      <c r="D461" s="10" t="s">
        <v>1162</v>
      </c>
      <c r="E461" s="10">
        <v>2531140</v>
      </c>
      <c r="F461" s="10" t="s">
        <v>1257</v>
      </c>
      <c r="G461" s="69">
        <v>-1297.1500000000001</v>
      </c>
      <c r="H461" s="69">
        <v>86.73</v>
      </c>
      <c r="I461" s="69">
        <f t="shared" si="134"/>
        <v>43.365000000000002</v>
      </c>
      <c r="J461" s="70">
        <v>1</v>
      </c>
      <c r="K461" s="69">
        <f t="shared" si="135"/>
        <v>-1065.0667750000002</v>
      </c>
      <c r="L461" s="79" t="s">
        <v>468</v>
      </c>
      <c r="M461" s="61">
        <f t="shared" si="136"/>
        <v>-2.9921849999999997</v>
      </c>
      <c r="N461" s="61">
        <f t="shared" si="137"/>
        <v>8.8464600000000004</v>
      </c>
      <c r="O461" s="61"/>
      <c r="P461" s="2"/>
      <c r="Q461" s="2"/>
      <c r="R461" s="32"/>
      <c r="S461" s="32"/>
      <c r="T461" s="32"/>
      <c r="U461" s="32"/>
      <c r="V461" s="2"/>
      <c r="W461" s="2"/>
      <c r="X461" s="2"/>
      <c r="Y461" s="2"/>
      <c r="Z461" s="2"/>
    </row>
    <row r="462" spans="1:26" ht="13.8" x14ac:dyDescent="0.3">
      <c r="A462" s="2" t="s">
        <v>370</v>
      </c>
      <c r="B462" s="2" t="s">
        <v>186</v>
      </c>
      <c r="C462" s="10">
        <v>2304025</v>
      </c>
      <c r="D462" s="10" t="s">
        <v>1162</v>
      </c>
      <c r="E462" s="10">
        <v>2531141</v>
      </c>
      <c r="F462" s="10" t="s">
        <v>1258</v>
      </c>
      <c r="G462" s="69">
        <v>-102.64</v>
      </c>
      <c r="H462" s="69">
        <v>33.450000000000003</v>
      </c>
      <c r="I462" s="69">
        <f t="shared" si="134"/>
        <v>16.725000000000001</v>
      </c>
      <c r="J462" s="70">
        <v>1</v>
      </c>
      <c r="K462" s="69">
        <f t="shared" si="135"/>
        <v>-72.77687499999999</v>
      </c>
      <c r="L462" s="79" t="s">
        <v>468</v>
      </c>
      <c r="M462" s="61">
        <f t="shared" si="136"/>
        <v>-1.1540250000000001</v>
      </c>
      <c r="N462" s="61">
        <f t="shared" si="137"/>
        <v>3.4119000000000002</v>
      </c>
      <c r="O462" s="61"/>
      <c r="P462" s="2"/>
      <c r="Q462" s="2"/>
      <c r="R462" s="32"/>
      <c r="S462" s="32"/>
      <c r="T462" s="32"/>
      <c r="U462" s="32"/>
      <c r="V462" s="2"/>
      <c r="W462" s="2"/>
      <c r="X462" s="2"/>
      <c r="Y462" s="2"/>
      <c r="Z462" s="2"/>
    </row>
    <row r="463" spans="1:26" ht="13.8" x14ac:dyDescent="0.3">
      <c r="A463" s="2" t="s">
        <v>370</v>
      </c>
      <c r="B463" s="2" t="s">
        <v>186</v>
      </c>
      <c r="C463" s="10">
        <v>2304025</v>
      </c>
      <c r="D463" s="10" t="s">
        <v>1162</v>
      </c>
      <c r="E463" s="10">
        <v>2531145</v>
      </c>
      <c r="F463" s="10" t="s">
        <v>1226</v>
      </c>
      <c r="G463" s="69">
        <v>495.96</v>
      </c>
      <c r="H463" s="69">
        <v>23.52</v>
      </c>
      <c r="I463" s="69">
        <f t="shared" si="134"/>
        <v>11.76</v>
      </c>
      <c r="J463" s="70">
        <v>1</v>
      </c>
      <c r="K463" s="69">
        <f t="shared" si="135"/>
        <v>431.73839999999996</v>
      </c>
      <c r="L463" s="79" t="s">
        <v>468</v>
      </c>
      <c r="M463" s="61">
        <f t="shared" si="136"/>
        <v>-0.81143999999999983</v>
      </c>
      <c r="N463" s="61">
        <f t="shared" si="137"/>
        <v>2.3990399999999998</v>
      </c>
      <c r="O463" s="61"/>
      <c r="P463" s="2"/>
      <c r="Q463" s="2"/>
      <c r="R463" s="32"/>
      <c r="S463" s="32"/>
      <c r="T463" s="32"/>
      <c r="U463" s="32"/>
      <c r="V463" s="2"/>
      <c r="W463" s="2"/>
      <c r="X463" s="2"/>
      <c r="Y463" s="2"/>
      <c r="Z463" s="2"/>
    </row>
    <row r="464" spans="1:26" ht="13.8" x14ac:dyDescent="0.3">
      <c r="A464" s="2" t="s">
        <v>370</v>
      </c>
      <c r="B464" s="2" t="s">
        <v>186</v>
      </c>
      <c r="C464" s="10">
        <v>2304025</v>
      </c>
      <c r="D464" s="10" t="s">
        <v>1162</v>
      </c>
      <c r="E464" s="10">
        <v>2531191</v>
      </c>
      <c r="F464" s="10" t="s">
        <v>1259</v>
      </c>
      <c r="G464" s="69">
        <v>96.18</v>
      </c>
      <c r="H464" s="69">
        <v>68.650000000000006</v>
      </c>
      <c r="I464" s="69">
        <f t="shared" si="134"/>
        <v>34.325000000000003</v>
      </c>
      <c r="J464" s="70">
        <v>1</v>
      </c>
      <c r="K464" s="69">
        <f t="shared" si="135"/>
        <v>111.444125</v>
      </c>
      <c r="L464" s="79" t="s">
        <v>468</v>
      </c>
      <c r="M464" s="61">
        <f t="shared" si="136"/>
        <v>-2.3684250000000002</v>
      </c>
      <c r="N464" s="61">
        <f t="shared" si="137"/>
        <v>7.0023000000000017</v>
      </c>
      <c r="O464" s="61"/>
      <c r="P464" s="2"/>
      <c r="Q464" s="2"/>
      <c r="R464" s="32"/>
      <c r="S464" s="32"/>
      <c r="T464" s="32"/>
      <c r="U464" s="32"/>
      <c r="V464" s="2"/>
      <c r="W464" s="2"/>
      <c r="X464" s="2"/>
      <c r="Y464" s="2"/>
      <c r="Z464" s="2"/>
    </row>
    <row r="465" spans="1:26" ht="13.8" x14ac:dyDescent="0.3">
      <c r="A465" s="2" t="s">
        <v>370</v>
      </c>
      <c r="B465" s="2" t="s">
        <v>186</v>
      </c>
      <c r="C465" s="10">
        <v>2304025</v>
      </c>
      <c r="D465" s="10" t="s">
        <v>1162</v>
      </c>
      <c r="E465" s="10">
        <v>2540293</v>
      </c>
      <c r="F465" s="10" t="s">
        <v>1261</v>
      </c>
      <c r="G465" s="69">
        <v>93.05</v>
      </c>
      <c r="H465" s="69">
        <v>6.04</v>
      </c>
      <c r="I465" s="69">
        <f t="shared" si="134"/>
        <v>3.02</v>
      </c>
      <c r="J465" s="70">
        <v>1</v>
      </c>
      <c r="K465" s="69">
        <f t="shared" si="135"/>
        <v>81.704799999999992</v>
      </c>
      <c r="L465" s="79" t="s">
        <v>468</v>
      </c>
      <c r="M465" s="61">
        <f t="shared" si="136"/>
        <v>-0.20838000000000001</v>
      </c>
      <c r="N465" s="61">
        <f t="shared" si="137"/>
        <v>0.61608000000000007</v>
      </c>
      <c r="O465" s="61"/>
      <c r="P465" s="2"/>
      <c r="Q465" s="2"/>
      <c r="R465" s="32"/>
      <c r="S465" s="32"/>
      <c r="T465" s="32"/>
      <c r="U465" s="32"/>
      <c r="V465" s="2"/>
      <c r="W465" s="2"/>
      <c r="X465" s="2"/>
      <c r="Y465" s="2"/>
      <c r="Z465" s="2"/>
    </row>
    <row r="466" spans="1:26" ht="13.8" x14ac:dyDescent="0.3">
      <c r="A466" s="2" t="s">
        <v>370</v>
      </c>
      <c r="B466" s="2" t="s">
        <v>186</v>
      </c>
      <c r="C466" s="10">
        <v>2304025</v>
      </c>
      <c r="D466" s="10" t="s">
        <v>1162</v>
      </c>
      <c r="E466" s="10">
        <v>2554720</v>
      </c>
      <c r="F466" s="10" t="s">
        <v>1270</v>
      </c>
      <c r="G466" s="69">
        <v>-318.86</v>
      </c>
      <c r="H466" s="69">
        <v>19.87</v>
      </c>
      <c r="I466" s="69">
        <f t="shared" si="134"/>
        <v>9.9350000000000005</v>
      </c>
      <c r="J466" s="70">
        <v>1</v>
      </c>
      <c r="K466" s="69">
        <f t="shared" si="135"/>
        <v>-262.43722500000001</v>
      </c>
      <c r="L466" s="79" t="s">
        <v>468</v>
      </c>
      <c r="M466" s="61">
        <f t="shared" si="136"/>
        <v>-0.68551499999999999</v>
      </c>
      <c r="N466" s="61">
        <f t="shared" si="137"/>
        <v>2.0267399999999998</v>
      </c>
      <c r="O466" s="61"/>
      <c r="P466" s="2"/>
      <c r="Q466" s="2"/>
      <c r="R466" s="32"/>
      <c r="S466" s="32"/>
      <c r="T466" s="32"/>
      <c r="U466" s="32"/>
      <c r="V466" s="2"/>
      <c r="W466" s="2"/>
      <c r="X466" s="2"/>
      <c r="Y466" s="2"/>
      <c r="Z466" s="2"/>
    </row>
    <row r="467" spans="1:26" ht="13.8" x14ac:dyDescent="0.3">
      <c r="A467" s="2" t="s">
        <v>370</v>
      </c>
      <c r="B467" s="2" t="s">
        <v>186</v>
      </c>
      <c r="C467" s="10">
        <v>2304025</v>
      </c>
      <c r="D467" s="10" t="s">
        <v>1162</v>
      </c>
      <c r="E467" s="10">
        <v>2575824</v>
      </c>
      <c r="F467" s="10" t="s">
        <v>1284</v>
      </c>
      <c r="G467" s="69">
        <v>56.75</v>
      </c>
      <c r="H467" s="69">
        <v>8.33</v>
      </c>
      <c r="I467" s="69">
        <f t="shared" si="134"/>
        <v>4.165</v>
      </c>
      <c r="J467" s="70">
        <v>1</v>
      </c>
      <c r="K467" s="69">
        <f t="shared" si="135"/>
        <v>51.840224999999997</v>
      </c>
      <c r="L467" s="79" t="s">
        <v>468</v>
      </c>
      <c r="M467" s="61">
        <f t="shared" si="136"/>
        <v>-0.287385</v>
      </c>
      <c r="N467" s="61">
        <f t="shared" si="137"/>
        <v>0.84966000000000008</v>
      </c>
      <c r="O467" s="61"/>
      <c r="P467" s="2"/>
      <c r="Q467" s="2"/>
      <c r="R467" s="32"/>
      <c r="S467" s="32"/>
      <c r="T467" s="32"/>
      <c r="U467" s="32"/>
      <c r="V467" s="2"/>
      <c r="W467" s="2"/>
      <c r="X467" s="2"/>
      <c r="Y467" s="2"/>
      <c r="Z467" s="2"/>
    </row>
    <row r="468" spans="1:26" ht="13.8" x14ac:dyDescent="0.3">
      <c r="A468" s="2" t="s">
        <v>370</v>
      </c>
      <c r="B468" s="2" t="s">
        <v>186</v>
      </c>
      <c r="C468" s="10">
        <v>2304025</v>
      </c>
      <c r="D468" s="10" t="s">
        <v>1162</v>
      </c>
      <c r="E468" s="10">
        <v>2575978</v>
      </c>
      <c r="F468" s="10" t="s">
        <v>1285</v>
      </c>
      <c r="G468" s="69">
        <v>-45.91</v>
      </c>
      <c r="H468" s="69">
        <v>13.14</v>
      </c>
      <c r="I468" s="69">
        <f t="shared" si="134"/>
        <v>6.57</v>
      </c>
      <c r="J468" s="70">
        <v>1</v>
      </c>
      <c r="K468" s="69">
        <f t="shared" si="135"/>
        <v>-33.34044999999999</v>
      </c>
      <c r="L468" s="79" t="s">
        <v>468</v>
      </c>
      <c r="M468" s="61">
        <f t="shared" si="136"/>
        <v>-0.4533299999999999</v>
      </c>
      <c r="N468" s="61">
        <f t="shared" si="137"/>
        <v>1.3402799999999999</v>
      </c>
      <c r="O468" s="61"/>
      <c r="P468" s="2"/>
      <c r="Q468" s="2"/>
      <c r="R468" s="32"/>
      <c r="S468" s="32"/>
      <c r="T468" s="32"/>
      <c r="U468" s="32"/>
      <c r="V468" s="2"/>
      <c r="W468" s="2"/>
      <c r="X468" s="2"/>
      <c r="Y468" s="2"/>
      <c r="Z468" s="2"/>
    </row>
    <row r="469" spans="1:26" ht="13.8" x14ac:dyDescent="0.3">
      <c r="A469" s="2" t="s">
        <v>370</v>
      </c>
      <c r="B469" s="2" t="s">
        <v>186</v>
      </c>
      <c r="C469" s="10">
        <v>2523689</v>
      </c>
      <c r="D469" s="99" t="s">
        <v>1179</v>
      </c>
      <c r="E469" s="10">
        <v>2525136</v>
      </c>
      <c r="F469" s="10" t="s">
        <v>1205</v>
      </c>
      <c r="G469" s="69">
        <v>47.75</v>
      </c>
      <c r="H469" s="69">
        <v>0</v>
      </c>
      <c r="I469" s="69">
        <f t="shared" si="134"/>
        <v>0</v>
      </c>
      <c r="J469" s="70">
        <v>1</v>
      </c>
      <c r="K469" s="69">
        <f t="shared" si="135"/>
        <v>40.587499999999999</v>
      </c>
      <c r="L469" s="79" t="s">
        <v>468</v>
      </c>
      <c r="M469" s="61">
        <f t="shared" si="136"/>
        <v>0</v>
      </c>
      <c r="N469" s="61">
        <f t="shared" si="137"/>
        <v>0</v>
      </c>
      <c r="O469" s="61"/>
      <c r="P469" s="2"/>
      <c r="Q469" s="2"/>
      <c r="R469" s="32"/>
      <c r="S469" s="32"/>
      <c r="T469" s="32"/>
      <c r="U469" s="32"/>
      <c r="V469" s="2"/>
      <c r="W469" s="2"/>
      <c r="X469" s="2"/>
      <c r="Y469" s="2"/>
      <c r="Z469" s="2"/>
    </row>
    <row r="470" spans="1:26" ht="13.8" x14ac:dyDescent="0.3">
      <c r="A470" s="2" t="s">
        <v>370</v>
      </c>
      <c r="B470" s="2" t="s">
        <v>244</v>
      </c>
      <c r="C470" s="10">
        <v>1792134</v>
      </c>
      <c r="D470" s="10" t="s">
        <v>1161</v>
      </c>
      <c r="E470" s="10">
        <v>1792134</v>
      </c>
      <c r="F470" s="10" t="s">
        <v>1161</v>
      </c>
      <c r="G470" s="69">
        <v>-130.68</v>
      </c>
      <c r="H470" s="69">
        <v>11.93</v>
      </c>
      <c r="I470" s="69">
        <f t="shared" ref="I470:I497" si="138">H470*0.7</f>
        <v>8.3509999999999991</v>
      </c>
      <c r="J470" s="70">
        <v>1</v>
      </c>
      <c r="K470" s="69">
        <f t="shared" ref="K470:K497" si="139">(G470+I470)*0.85+(G470*0.15-(G470+H470)*0.15)*J470*0.3+I470*0.15*J470*0.3</f>
        <v>-104.14070500000001</v>
      </c>
      <c r="L470" s="79" t="s">
        <v>468</v>
      </c>
      <c r="M470" s="61">
        <f t="shared" ref="M470:M497" si="140">(G470*0.15-(G470+H470)*0.15)*J470*0.7</f>
        <v>-1.25265</v>
      </c>
      <c r="N470" s="61">
        <f t="shared" ref="N470:N497" si="141">I470*0.15*J470*0.7+H470*0.05*J470</f>
        <v>1.4733549999999997</v>
      </c>
      <c r="O470" s="61"/>
      <c r="P470" s="2"/>
      <c r="Q470" s="2"/>
      <c r="R470" s="32"/>
      <c r="S470" s="32"/>
      <c r="T470" s="32"/>
      <c r="U470" s="32"/>
      <c r="V470" s="2"/>
      <c r="W470" s="2"/>
      <c r="X470" s="2"/>
      <c r="Y470" s="2"/>
      <c r="Z470" s="2"/>
    </row>
    <row r="471" spans="1:26" ht="13.8" x14ac:dyDescent="0.3">
      <c r="A471" s="2" t="s">
        <v>370</v>
      </c>
      <c r="B471" s="2" t="s">
        <v>244</v>
      </c>
      <c r="C471" s="10">
        <v>2304025</v>
      </c>
      <c r="D471" s="10" t="s">
        <v>1162</v>
      </c>
      <c r="E471" s="10">
        <v>2357222</v>
      </c>
      <c r="F471" s="10" t="s">
        <v>1188</v>
      </c>
      <c r="G471" s="69">
        <v>-154.94</v>
      </c>
      <c r="H471" s="69">
        <v>196.81</v>
      </c>
      <c r="I471" s="69">
        <f t="shared" si="138"/>
        <v>137.767</v>
      </c>
      <c r="J471" s="70">
        <v>1</v>
      </c>
      <c r="K471" s="69">
        <f t="shared" si="139"/>
        <v>-17.253985</v>
      </c>
      <c r="L471" s="79" t="s">
        <v>468</v>
      </c>
      <c r="M471" s="61">
        <f t="shared" si="140"/>
        <v>-20.665049999999997</v>
      </c>
      <c r="N471" s="61">
        <f t="shared" si="141"/>
        <v>24.306034999999998</v>
      </c>
      <c r="O471" s="61"/>
      <c r="P471" s="2"/>
      <c r="Q471" s="2"/>
      <c r="R471" s="32"/>
      <c r="S471" s="32"/>
      <c r="T471" s="32"/>
      <c r="U471" s="32"/>
      <c r="V471" s="2"/>
      <c r="W471" s="2"/>
      <c r="X471" s="2"/>
      <c r="Y471" s="2"/>
      <c r="Z471" s="2"/>
    </row>
    <row r="472" spans="1:26" ht="13.8" x14ac:dyDescent="0.3">
      <c r="A472" s="2" t="s">
        <v>370</v>
      </c>
      <c r="B472" s="2" t="s">
        <v>244</v>
      </c>
      <c r="C472" s="10">
        <v>2304025</v>
      </c>
      <c r="D472" s="10" t="s">
        <v>1162</v>
      </c>
      <c r="E472" s="10">
        <v>2380008</v>
      </c>
      <c r="F472" s="10" t="s">
        <v>1192</v>
      </c>
      <c r="G472" s="69">
        <v>-655.24</v>
      </c>
      <c r="H472" s="69">
        <v>50.68</v>
      </c>
      <c r="I472" s="69">
        <f t="shared" si="138"/>
        <v>35.475999999999999</v>
      </c>
      <c r="J472" s="70">
        <v>1</v>
      </c>
      <c r="K472" s="69">
        <f t="shared" si="139"/>
        <v>-527.48358000000007</v>
      </c>
      <c r="L472" s="79" t="s">
        <v>468</v>
      </c>
      <c r="M472" s="61">
        <f t="shared" si="140"/>
        <v>-5.3213999999999926</v>
      </c>
      <c r="N472" s="61">
        <f t="shared" si="141"/>
        <v>6.2589799999999993</v>
      </c>
      <c r="O472" s="61"/>
      <c r="P472" s="2"/>
      <c r="Q472" s="2"/>
      <c r="R472" s="32"/>
      <c r="S472" s="32"/>
      <c r="T472" s="32"/>
      <c r="U472" s="32"/>
      <c r="V472" s="2"/>
      <c r="W472" s="2"/>
      <c r="X472" s="2"/>
      <c r="Y472" s="2"/>
      <c r="Z472" s="2"/>
    </row>
    <row r="473" spans="1:26" ht="13.8" x14ac:dyDescent="0.3">
      <c r="A473" s="2" t="s">
        <v>370</v>
      </c>
      <c r="B473" s="2" t="s">
        <v>244</v>
      </c>
      <c r="C473" s="10">
        <v>2304025</v>
      </c>
      <c r="D473" s="10" t="s">
        <v>1162</v>
      </c>
      <c r="E473" s="10">
        <v>2381522</v>
      </c>
      <c r="F473" s="10" t="s">
        <v>1166</v>
      </c>
      <c r="G473" s="69">
        <v>1126.07</v>
      </c>
      <c r="H473" s="69">
        <v>93.24</v>
      </c>
      <c r="I473" s="69">
        <f t="shared" si="138"/>
        <v>65.267999999999986</v>
      </c>
      <c r="J473" s="70">
        <v>1</v>
      </c>
      <c r="K473" s="69">
        <f t="shared" si="139"/>
        <v>1011.37856</v>
      </c>
      <c r="L473" s="79" t="s">
        <v>468</v>
      </c>
      <c r="M473" s="61">
        <f t="shared" si="140"/>
        <v>-9.7901999999999916</v>
      </c>
      <c r="N473" s="61">
        <f t="shared" si="141"/>
        <v>11.515139999999997</v>
      </c>
      <c r="O473" s="61"/>
      <c r="P473" s="2"/>
      <c r="Q473" s="2"/>
      <c r="R473" s="32"/>
      <c r="S473" s="32"/>
      <c r="T473" s="32"/>
      <c r="U473" s="32"/>
      <c r="V473" s="2"/>
      <c r="W473" s="2"/>
      <c r="X473" s="2"/>
      <c r="Y473" s="2"/>
      <c r="Z473" s="2"/>
    </row>
    <row r="474" spans="1:26" ht="13.8" x14ac:dyDescent="0.3">
      <c r="A474" s="2" t="s">
        <v>370</v>
      </c>
      <c r="B474" s="2" t="s">
        <v>244</v>
      </c>
      <c r="C474" s="10">
        <v>2304025</v>
      </c>
      <c r="D474" s="10" t="s">
        <v>1162</v>
      </c>
      <c r="E474" s="10">
        <v>2391366</v>
      </c>
      <c r="F474" s="10" t="s">
        <v>1168</v>
      </c>
      <c r="G474" s="69">
        <v>-251.56</v>
      </c>
      <c r="H474" s="69">
        <v>20.82</v>
      </c>
      <c r="I474" s="69">
        <f t="shared" si="138"/>
        <v>14.574</v>
      </c>
      <c r="J474" s="70">
        <v>1</v>
      </c>
      <c r="K474" s="69">
        <f t="shared" si="139"/>
        <v>-201.71916999999999</v>
      </c>
      <c r="L474" s="79" t="s">
        <v>468</v>
      </c>
      <c r="M474" s="61">
        <f t="shared" si="140"/>
        <v>-2.1861000000000033</v>
      </c>
      <c r="N474" s="61">
        <f t="shared" si="141"/>
        <v>2.5712700000000002</v>
      </c>
      <c r="O474" s="61"/>
      <c r="P474" s="2"/>
      <c r="Q474" s="2"/>
      <c r="R474" s="32"/>
      <c r="S474" s="32"/>
      <c r="T474" s="32"/>
      <c r="U474" s="32"/>
      <c r="V474" s="2"/>
      <c r="W474" s="2"/>
      <c r="X474" s="2"/>
      <c r="Y474" s="2"/>
      <c r="Z474" s="2"/>
    </row>
    <row r="475" spans="1:26" ht="13.8" x14ac:dyDescent="0.3">
      <c r="A475" s="2" t="s">
        <v>370</v>
      </c>
      <c r="B475" s="2" t="s">
        <v>244</v>
      </c>
      <c r="C475" s="10">
        <v>2304025</v>
      </c>
      <c r="D475" s="10" t="s">
        <v>1162</v>
      </c>
      <c r="E475" s="10">
        <v>2420208</v>
      </c>
      <c r="F475" s="10" t="s">
        <v>1170</v>
      </c>
      <c r="G475" s="69">
        <v>-544.54</v>
      </c>
      <c r="H475" s="69">
        <v>80.77</v>
      </c>
      <c r="I475" s="69">
        <f t="shared" si="138"/>
        <v>56.538999999999994</v>
      </c>
      <c r="J475" s="70">
        <v>1</v>
      </c>
      <c r="K475" s="69">
        <f t="shared" si="139"/>
        <v>-415.89124499999997</v>
      </c>
      <c r="L475" s="79" t="s">
        <v>468</v>
      </c>
      <c r="M475" s="61">
        <f t="shared" si="140"/>
        <v>-8.4808499999999967</v>
      </c>
      <c r="N475" s="61">
        <f t="shared" si="141"/>
        <v>9.9750949999999996</v>
      </c>
      <c r="O475" s="61"/>
      <c r="P475" s="2"/>
      <c r="Q475" s="2"/>
      <c r="R475" s="32"/>
      <c r="S475" s="32"/>
      <c r="T475" s="32"/>
      <c r="U475" s="32"/>
      <c r="V475" s="2"/>
      <c r="W475" s="2"/>
      <c r="X475" s="2"/>
      <c r="Y475" s="2"/>
      <c r="Z475" s="2"/>
    </row>
    <row r="476" spans="1:26" ht="13.8" x14ac:dyDescent="0.3">
      <c r="A476" s="2" t="s">
        <v>370</v>
      </c>
      <c r="B476" s="2" t="s">
        <v>244</v>
      </c>
      <c r="C476" s="10">
        <v>2304025</v>
      </c>
      <c r="D476" s="10" t="s">
        <v>1162</v>
      </c>
      <c r="E476" s="10">
        <v>2435202</v>
      </c>
      <c r="F476" s="10" t="s">
        <v>1223</v>
      </c>
      <c r="G476" s="69">
        <v>-11.92</v>
      </c>
      <c r="H476" s="69">
        <v>73.23</v>
      </c>
      <c r="I476" s="69">
        <f t="shared" si="138"/>
        <v>51.261000000000003</v>
      </c>
      <c r="J476" s="70">
        <v>1</v>
      </c>
      <c r="K476" s="69">
        <f t="shared" si="139"/>
        <v>32.451245</v>
      </c>
      <c r="L476" s="79" t="s">
        <v>468</v>
      </c>
      <c r="M476" s="61">
        <f t="shared" si="140"/>
        <v>-7.6891499999999997</v>
      </c>
      <c r="N476" s="61">
        <f t="shared" si="141"/>
        <v>9.0439049999999988</v>
      </c>
      <c r="O476" s="61"/>
      <c r="P476" s="2"/>
      <c r="Q476" s="2"/>
      <c r="R476" s="32"/>
      <c r="S476" s="32"/>
      <c r="T476" s="32"/>
      <c r="U476" s="32"/>
      <c r="V476" s="2"/>
      <c r="W476" s="2"/>
      <c r="X476" s="2"/>
      <c r="Y476" s="2"/>
      <c r="Z476" s="2"/>
    </row>
    <row r="477" spans="1:26" ht="13.8" x14ac:dyDescent="0.3">
      <c r="A477" s="2" t="s">
        <v>370</v>
      </c>
      <c r="B477" s="2" t="s">
        <v>244</v>
      </c>
      <c r="C477" s="10">
        <v>2304025</v>
      </c>
      <c r="D477" s="10" t="s">
        <v>1162</v>
      </c>
      <c r="E477" s="10">
        <v>2435203</v>
      </c>
      <c r="F477" s="10" t="s">
        <v>1224</v>
      </c>
      <c r="G477" s="69">
        <v>-99.14</v>
      </c>
      <c r="H477" s="69">
        <v>130.9</v>
      </c>
      <c r="I477" s="69">
        <f t="shared" si="138"/>
        <v>91.63</v>
      </c>
      <c r="J477" s="70">
        <v>1</v>
      </c>
      <c r="K477" s="69">
        <f t="shared" si="139"/>
        <v>-8.1506500000000059</v>
      </c>
      <c r="L477" s="79" t="s">
        <v>468</v>
      </c>
      <c r="M477" s="61">
        <f t="shared" si="140"/>
        <v>-13.744499999999999</v>
      </c>
      <c r="N477" s="61">
        <f t="shared" si="141"/>
        <v>16.166149999999998</v>
      </c>
      <c r="O477" s="61"/>
      <c r="P477" s="2"/>
      <c r="Q477" s="2"/>
      <c r="R477" s="32"/>
      <c r="S477" s="32"/>
      <c r="T477" s="32"/>
      <c r="U477" s="32"/>
      <c r="V477" s="2"/>
      <c r="W477" s="2"/>
      <c r="X477" s="2"/>
      <c r="Y477" s="2"/>
      <c r="Z477" s="2"/>
    </row>
    <row r="478" spans="1:26" ht="13.8" x14ac:dyDescent="0.3">
      <c r="A478" s="2" t="s">
        <v>370</v>
      </c>
      <c r="B478" s="2" t="s">
        <v>244</v>
      </c>
      <c r="C478" s="10">
        <v>2304025</v>
      </c>
      <c r="D478" s="10" t="s">
        <v>1162</v>
      </c>
      <c r="E478" s="10">
        <v>2435206</v>
      </c>
      <c r="F478" s="10" t="s">
        <v>1225</v>
      </c>
      <c r="G478" s="69">
        <v>-659.11</v>
      </c>
      <c r="H478" s="69">
        <v>211.73</v>
      </c>
      <c r="I478" s="69">
        <f t="shared" si="138"/>
        <v>148.21099999999998</v>
      </c>
      <c r="J478" s="70">
        <v>1</v>
      </c>
      <c r="K478" s="69">
        <f t="shared" si="139"/>
        <v>-437.12250499999999</v>
      </c>
      <c r="L478" s="79" t="s">
        <v>468</v>
      </c>
      <c r="M478" s="61">
        <f t="shared" si="140"/>
        <v>-22.231650000000002</v>
      </c>
      <c r="N478" s="61">
        <f t="shared" si="141"/>
        <v>26.148654999999998</v>
      </c>
      <c r="O478" s="61"/>
      <c r="P478" s="2"/>
      <c r="Q478" s="2"/>
      <c r="R478" s="32"/>
      <c r="S478" s="32"/>
      <c r="T478" s="32"/>
      <c r="U478" s="32"/>
      <c r="V478" s="2"/>
      <c r="W478" s="2"/>
      <c r="X478" s="2"/>
      <c r="Y478" s="2"/>
      <c r="Z478" s="2"/>
    </row>
    <row r="479" spans="1:26" ht="13.8" x14ac:dyDescent="0.3">
      <c r="A479" s="2" t="s">
        <v>370</v>
      </c>
      <c r="B479" s="2" t="s">
        <v>244</v>
      </c>
      <c r="C479" s="10">
        <v>2304025</v>
      </c>
      <c r="D479" s="10" t="s">
        <v>1162</v>
      </c>
      <c r="E479" s="10">
        <v>2441686</v>
      </c>
      <c r="F479" s="10" t="s">
        <v>1271</v>
      </c>
      <c r="G479" s="69">
        <v>-641.95000000000005</v>
      </c>
      <c r="H479" s="69">
        <v>69.53</v>
      </c>
      <c r="I479" s="69">
        <f t="shared" si="138"/>
        <v>48.670999999999999</v>
      </c>
      <c r="J479" s="70">
        <v>1</v>
      </c>
      <c r="K479" s="69">
        <f t="shared" si="139"/>
        <v>-505.22580499999998</v>
      </c>
      <c r="L479" s="79" t="s">
        <v>468</v>
      </c>
      <c r="M479" s="61">
        <f t="shared" si="140"/>
        <v>-7.300649999999993</v>
      </c>
      <c r="N479" s="61">
        <f t="shared" si="141"/>
        <v>8.5869549999999997</v>
      </c>
      <c r="O479" s="61"/>
      <c r="P479" s="2"/>
      <c r="Q479" s="2"/>
      <c r="R479" s="32"/>
      <c r="S479" s="32"/>
      <c r="T479" s="32"/>
      <c r="U479" s="32"/>
      <c r="V479" s="2"/>
      <c r="W479" s="2"/>
      <c r="X479" s="2"/>
      <c r="Y479" s="2"/>
      <c r="Z479" s="2"/>
    </row>
    <row r="480" spans="1:26" ht="13.8" x14ac:dyDescent="0.3">
      <c r="A480" s="2" t="s">
        <v>370</v>
      </c>
      <c r="B480" s="2" t="s">
        <v>244</v>
      </c>
      <c r="C480" s="10">
        <v>2304025</v>
      </c>
      <c r="D480" s="10" t="s">
        <v>1162</v>
      </c>
      <c r="E480" s="10">
        <v>2452300</v>
      </c>
      <c r="F480" s="10" t="s">
        <v>1288</v>
      </c>
      <c r="G480" s="69">
        <v>-12</v>
      </c>
      <c r="H480" s="69">
        <v>1.28</v>
      </c>
      <c r="I480" s="69">
        <f t="shared" si="138"/>
        <v>0.89599999999999991</v>
      </c>
      <c r="J480" s="70">
        <v>1</v>
      </c>
      <c r="K480" s="69">
        <f t="shared" si="139"/>
        <v>-9.455680000000001</v>
      </c>
      <c r="L480" s="79" t="s">
        <v>468</v>
      </c>
      <c r="M480" s="61">
        <f t="shared" si="140"/>
        <v>-0.1343999999999998</v>
      </c>
      <c r="N480" s="61">
        <f t="shared" si="141"/>
        <v>0.15808</v>
      </c>
      <c r="O480" s="61"/>
      <c r="P480" s="2"/>
      <c r="Q480" s="2"/>
      <c r="R480" s="32"/>
      <c r="S480" s="32"/>
      <c r="T480" s="32"/>
      <c r="U480" s="32"/>
      <c r="V480" s="2"/>
      <c r="W480" s="2"/>
      <c r="X480" s="2"/>
      <c r="Y480" s="2"/>
      <c r="Z480" s="2"/>
    </row>
    <row r="481" spans="1:26" ht="13.8" x14ac:dyDescent="0.3">
      <c r="A481" s="2" t="s">
        <v>370</v>
      </c>
      <c r="B481" s="2" t="s">
        <v>244</v>
      </c>
      <c r="C481" s="10">
        <v>2304025</v>
      </c>
      <c r="D481" s="10" t="s">
        <v>1162</v>
      </c>
      <c r="E481" s="10">
        <v>2471540</v>
      </c>
      <c r="F481" s="10" t="s">
        <v>1172</v>
      </c>
      <c r="G481" s="69">
        <v>178.09</v>
      </c>
      <c r="H481" s="69">
        <v>52.39</v>
      </c>
      <c r="I481" s="69">
        <f t="shared" si="138"/>
        <v>36.672999999999995</v>
      </c>
      <c r="J481" s="70">
        <v>1</v>
      </c>
      <c r="K481" s="69">
        <f t="shared" si="139"/>
        <v>181.841285</v>
      </c>
      <c r="L481" s="79" t="s">
        <v>468</v>
      </c>
      <c r="M481" s="61">
        <f t="shared" si="140"/>
        <v>-5.5009500000000013</v>
      </c>
      <c r="N481" s="61">
        <f t="shared" si="141"/>
        <v>6.4701649999999997</v>
      </c>
      <c r="O481" s="61"/>
      <c r="P481" s="2"/>
      <c r="Q481" s="2"/>
      <c r="R481" s="32"/>
      <c r="S481" s="32"/>
      <c r="T481" s="32"/>
      <c r="U481" s="32"/>
      <c r="V481" s="2"/>
      <c r="W481" s="2"/>
      <c r="X481" s="2"/>
      <c r="Y481" s="2"/>
      <c r="Z481" s="2"/>
    </row>
    <row r="482" spans="1:26" ht="13.8" x14ac:dyDescent="0.3">
      <c r="A482" s="2" t="s">
        <v>370</v>
      </c>
      <c r="B482" s="2" t="s">
        <v>244</v>
      </c>
      <c r="C482" s="10">
        <v>2304025</v>
      </c>
      <c r="D482" s="10" t="s">
        <v>1162</v>
      </c>
      <c r="E482" s="10">
        <v>2531140</v>
      </c>
      <c r="F482" s="10" t="s">
        <v>1257</v>
      </c>
      <c r="G482" s="69">
        <v>595.27</v>
      </c>
      <c r="H482" s="69">
        <v>177.25</v>
      </c>
      <c r="I482" s="69">
        <f t="shared" si="138"/>
        <v>124.07499999999999</v>
      </c>
      <c r="J482" s="70">
        <v>1</v>
      </c>
      <c r="K482" s="69">
        <f t="shared" si="139"/>
        <v>609.05037500000003</v>
      </c>
      <c r="L482" s="79" t="s">
        <v>468</v>
      </c>
      <c r="M482" s="61">
        <f t="shared" si="140"/>
        <v>-18.611249999999991</v>
      </c>
      <c r="N482" s="61">
        <f t="shared" si="141"/>
        <v>21.890374999999999</v>
      </c>
      <c r="O482" s="61"/>
      <c r="P482" s="2"/>
      <c r="Q482" s="2"/>
      <c r="R482" s="32"/>
      <c r="S482" s="32"/>
      <c r="T482" s="32"/>
      <c r="U482" s="32"/>
      <c r="V482" s="2"/>
      <c r="W482" s="2"/>
      <c r="X482" s="2"/>
      <c r="Y482" s="2"/>
      <c r="Z482" s="2"/>
    </row>
    <row r="483" spans="1:26" ht="13.8" x14ac:dyDescent="0.3">
      <c r="A483" s="2" t="s">
        <v>370</v>
      </c>
      <c r="B483" s="2" t="s">
        <v>244</v>
      </c>
      <c r="C483" s="10">
        <v>2304025</v>
      </c>
      <c r="D483" s="10" t="s">
        <v>1162</v>
      </c>
      <c r="E483" s="10">
        <v>2531141</v>
      </c>
      <c r="F483" s="10" t="s">
        <v>1258</v>
      </c>
      <c r="G483" s="69">
        <v>1659.18</v>
      </c>
      <c r="H483" s="69">
        <v>96.31</v>
      </c>
      <c r="I483" s="69">
        <f t="shared" si="138"/>
        <v>67.417000000000002</v>
      </c>
      <c r="J483" s="70">
        <v>1</v>
      </c>
      <c r="K483" s="69">
        <f t="shared" si="139"/>
        <v>1466.3072649999999</v>
      </c>
      <c r="L483" s="79" t="s">
        <v>468</v>
      </c>
      <c r="M483" s="61">
        <f t="shared" si="140"/>
        <v>-10.11254999999997</v>
      </c>
      <c r="N483" s="61">
        <f t="shared" si="141"/>
        <v>11.894285</v>
      </c>
      <c r="O483" s="61"/>
      <c r="P483" s="2"/>
      <c r="Q483" s="2"/>
      <c r="R483" s="32"/>
      <c r="S483" s="32"/>
      <c r="T483" s="32"/>
      <c r="U483" s="32"/>
      <c r="V483" s="2"/>
      <c r="W483" s="2"/>
      <c r="X483" s="2"/>
      <c r="Y483" s="2"/>
      <c r="Z483" s="2"/>
    </row>
    <row r="484" spans="1:26" ht="13.8" x14ac:dyDescent="0.3">
      <c r="A484" s="2" t="s">
        <v>370</v>
      </c>
      <c r="B484" s="2" t="s">
        <v>244</v>
      </c>
      <c r="C484" s="10">
        <v>2304025</v>
      </c>
      <c r="D484" s="10" t="s">
        <v>1162</v>
      </c>
      <c r="E484" s="10">
        <v>2531145</v>
      </c>
      <c r="F484" s="10" t="s">
        <v>1226</v>
      </c>
      <c r="G484" s="69">
        <v>-3769.38</v>
      </c>
      <c r="H484" s="69">
        <v>349.8</v>
      </c>
      <c r="I484" s="69">
        <f t="shared" si="138"/>
        <v>244.85999999999999</v>
      </c>
      <c r="J484" s="70">
        <v>1</v>
      </c>
      <c r="K484" s="69">
        <f t="shared" si="139"/>
        <v>-3000.5643</v>
      </c>
      <c r="L484" s="79" t="s">
        <v>468</v>
      </c>
      <c r="M484" s="61">
        <f t="shared" si="140"/>
        <v>-36.729000000000013</v>
      </c>
      <c r="N484" s="61">
        <f t="shared" si="141"/>
        <v>43.200299999999999</v>
      </c>
      <c r="O484" s="61"/>
      <c r="P484" s="2"/>
      <c r="Q484" s="2"/>
      <c r="R484" s="32"/>
      <c r="S484" s="32"/>
      <c r="T484" s="32"/>
      <c r="U484" s="32"/>
      <c r="V484" s="2"/>
      <c r="W484" s="2"/>
      <c r="X484" s="2"/>
      <c r="Y484" s="2"/>
      <c r="Z484" s="2"/>
    </row>
    <row r="485" spans="1:26" ht="13.8" x14ac:dyDescent="0.3">
      <c r="A485" s="2" t="s">
        <v>370</v>
      </c>
      <c r="B485" s="2" t="s">
        <v>244</v>
      </c>
      <c r="C485" s="10">
        <v>2304025</v>
      </c>
      <c r="D485" s="10" t="s">
        <v>1162</v>
      </c>
      <c r="E485" s="10">
        <v>2531146</v>
      </c>
      <c r="F485" s="10" t="s">
        <v>1227</v>
      </c>
      <c r="G485" s="69">
        <v>956.75</v>
      </c>
      <c r="H485" s="69">
        <v>95.4</v>
      </c>
      <c r="I485" s="69">
        <f t="shared" si="138"/>
        <v>66.78</v>
      </c>
      <c r="J485" s="70">
        <v>1</v>
      </c>
      <c r="K485" s="69">
        <f t="shared" si="139"/>
        <v>868.71259999999995</v>
      </c>
      <c r="L485" s="79" t="s">
        <v>468</v>
      </c>
      <c r="M485" s="61">
        <f t="shared" si="140"/>
        <v>-10.017000000000021</v>
      </c>
      <c r="N485" s="61">
        <f t="shared" si="141"/>
        <v>11.7819</v>
      </c>
      <c r="O485" s="61"/>
      <c r="P485" s="2"/>
      <c r="Q485" s="2"/>
      <c r="R485" s="32"/>
      <c r="S485" s="32"/>
      <c r="T485" s="32"/>
      <c r="U485" s="32"/>
      <c r="V485" s="2"/>
      <c r="W485" s="2"/>
      <c r="X485" s="2"/>
      <c r="Y485" s="2"/>
      <c r="Z485" s="2"/>
    </row>
    <row r="486" spans="1:26" ht="13.8" x14ac:dyDescent="0.3">
      <c r="A486" s="2" t="s">
        <v>370</v>
      </c>
      <c r="B486" s="2" t="s">
        <v>244</v>
      </c>
      <c r="C486" s="10">
        <v>2304025</v>
      </c>
      <c r="D486" s="10" t="s">
        <v>1162</v>
      </c>
      <c r="E486" s="10">
        <v>2531191</v>
      </c>
      <c r="F486" s="10" t="s">
        <v>1259</v>
      </c>
      <c r="G486" s="69">
        <v>-28.57</v>
      </c>
      <c r="H486" s="69">
        <v>120.79</v>
      </c>
      <c r="I486" s="69">
        <f t="shared" si="138"/>
        <v>84.552999999999997</v>
      </c>
      <c r="J486" s="70">
        <v>1</v>
      </c>
      <c r="K486" s="69">
        <f t="shared" si="139"/>
        <v>45.954884999999997</v>
      </c>
      <c r="L486" s="79" t="s">
        <v>468</v>
      </c>
      <c r="M486" s="61">
        <f t="shared" si="140"/>
        <v>-12.68295</v>
      </c>
      <c r="N486" s="61">
        <f t="shared" si="141"/>
        <v>14.917565</v>
      </c>
      <c r="O486" s="61"/>
      <c r="P486" s="2"/>
      <c r="Q486" s="2"/>
      <c r="R486" s="32"/>
      <c r="S486" s="32"/>
      <c r="T486" s="32"/>
      <c r="U486" s="32"/>
      <c r="V486" s="2"/>
      <c r="W486" s="2"/>
      <c r="X486" s="2"/>
      <c r="Y486" s="2"/>
      <c r="Z486" s="2"/>
    </row>
    <row r="487" spans="1:26" ht="13.8" x14ac:dyDescent="0.3">
      <c r="A487" s="2" t="s">
        <v>370</v>
      </c>
      <c r="B487" s="2" t="s">
        <v>244</v>
      </c>
      <c r="C487" s="10">
        <v>2304025</v>
      </c>
      <c r="D487" s="10" t="s">
        <v>1162</v>
      </c>
      <c r="E487" s="10">
        <v>2531390</v>
      </c>
      <c r="F487" s="10" t="s">
        <v>1229</v>
      </c>
      <c r="G487" s="69">
        <v>132.16999999999999</v>
      </c>
      <c r="H487" s="69">
        <v>5.42</v>
      </c>
      <c r="I487" s="69">
        <f t="shared" si="138"/>
        <v>3.7939999999999996</v>
      </c>
      <c r="J487" s="70">
        <v>1</v>
      </c>
      <c r="K487" s="69">
        <f t="shared" si="139"/>
        <v>115.49623000000001</v>
      </c>
      <c r="L487" s="79" t="s">
        <v>468</v>
      </c>
      <c r="M487" s="61">
        <f t="shared" si="140"/>
        <v>-0.56909999999999916</v>
      </c>
      <c r="N487" s="61">
        <f t="shared" si="141"/>
        <v>0.66937000000000002</v>
      </c>
      <c r="O487" s="61"/>
      <c r="P487" s="2"/>
      <c r="Q487" s="2"/>
      <c r="R487" s="32"/>
      <c r="S487" s="32"/>
      <c r="T487" s="32"/>
      <c r="U487" s="32"/>
      <c r="V487" s="2"/>
      <c r="W487" s="2"/>
      <c r="X487" s="2"/>
      <c r="Y487" s="2"/>
      <c r="Z487" s="2"/>
    </row>
    <row r="488" spans="1:26" ht="13.8" x14ac:dyDescent="0.3">
      <c r="A488" s="2" t="s">
        <v>370</v>
      </c>
      <c r="B488" s="2" t="s">
        <v>244</v>
      </c>
      <c r="C488" s="10">
        <v>2304025</v>
      </c>
      <c r="D488" s="10" t="s">
        <v>1162</v>
      </c>
      <c r="E488" s="10">
        <v>2538386</v>
      </c>
      <c r="F488" s="10" t="s">
        <v>1260</v>
      </c>
      <c r="G488" s="69">
        <v>-11</v>
      </c>
      <c r="H488" s="69">
        <v>1.64</v>
      </c>
      <c r="I488" s="69">
        <f t="shared" si="138"/>
        <v>1.1479999999999999</v>
      </c>
      <c r="J488" s="70">
        <v>1</v>
      </c>
      <c r="K488" s="69">
        <f t="shared" si="139"/>
        <v>-8.3963400000000004</v>
      </c>
      <c r="L488" s="79" t="s">
        <v>468</v>
      </c>
      <c r="M488" s="61">
        <f t="shared" si="140"/>
        <v>-0.17219999999999999</v>
      </c>
      <c r="N488" s="61">
        <f t="shared" si="141"/>
        <v>0.20254</v>
      </c>
      <c r="O488" s="61"/>
      <c r="P488" s="2"/>
      <c r="Q488" s="2"/>
      <c r="R488" s="32"/>
      <c r="S488" s="32"/>
      <c r="T488" s="32"/>
      <c r="U488" s="32"/>
      <c r="V488" s="2"/>
      <c r="W488" s="2"/>
      <c r="X488" s="2"/>
      <c r="Y488" s="2"/>
      <c r="Z488" s="2"/>
    </row>
    <row r="489" spans="1:26" ht="13.8" x14ac:dyDescent="0.3">
      <c r="A489" s="2" t="s">
        <v>370</v>
      </c>
      <c r="B489" s="2" t="s">
        <v>244</v>
      </c>
      <c r="C489" s="10">
        <v>2304025</v>
      </c>
      <c r="D489" s="10" t="s">
        <v>1162</v>
      </c>
      <c r="E489" s="10">
        <v>2540293</v>
      </c>
      <c r="F489" s="10" t="s">
        <v>1261</v>
      </c>
      <c r="G489" s="69">
        <v>231.43</v>
      </c>
      <c r="H489" s="69">
        <v>13.59</v>
      </c>
      <c r="I489" s="69">
        <f t="shared" si="138"/>
        <v>9.5129999999999999</v>
      </c>
      <c r="J489" s="70">
        <v>1</v>
      </c>
      <c r="K489" s="69">
        <f t="shared" si="139"/>
        <v>204.61808500000001</v>
      </c>
      <c r="L489" s="79" t="s">
        <v>468</v>
      </c>
      <c r="M489" s="61">
        <f t="shared" si="140"/>
        <v>-1.4269499999999993</v>
      </c>
      <c r="N489" s="61">
        <f t="shared" si="141"/>
        <v>1.6783649999999999</v>
      </c>
      <c r="O489" s="61"/>
      <c r="P489" s="2"/>
      <c r="Q489" s="2"/>
      <c r="R489" s="32"/>
      <c r="S489" s="32"/>
      <c r="T489" s="32"/>
      <c r="U489" s="32"/>
      <c r="V489" s="2"/>
      <c r="W489" s="2"/>
      <c r="X489" s="2"/>
      <c r="Y489" s="2"/>
      <c r="Z489" s="2"/>
    </row>
    <row r="490" spans="1:26" ht="13.8" x14ac:dyDescent="0.3">
      <c r="A490" s="2" t="s">
        <v>370</v>
      </c>
      <c r="B490" s="2" t="s">
        <v>244</v>
      </c>
      <c r="C490" s="10">
        <v>2304025</v>
      </c>
      <c r="D490" s="10" t="s">
        <v>1162</v>
      </c>
      <c r="E490" s="10">
        <v>2540315</v>
      </c>
      <c r="F490" s="10" t="s">
        <v>1262</v>
      </c>
      <c r="G490" s="69">
        <v>41.04</v>
      </c>
      <c r="H490" s="69">
        <v>111.22</v>
      </c>
      <c r="I490" s="69">
        <f t="shared" si="138"/>
        <v>77.853999999999999</v>
      </c>
      <c r="J490" s="70">
        <v>1</v>
      </c>
      <c r="K490" s="69">
        <f t="shared" si="139"/>
        <v>99.558429999999987</v>
      </c>
      <c r="L490" s="79" t="s">
        <v>468</v>
      </c>
      <c r="M490" s="61">
        <f t="shared" si="140"/>
        <v>-11.678099999999999</v>
      </c>
      <c r="N490" s="61">
        <f t="shared" si="141"/>
        <v>13.735669999999999</v>
      </c>
      <c r="O490" s="61"/>
      <c r="P490" s="2"/>
      <c r="Q490" s="2"/>
      <c r="R490" s="32"/>
      <c r="S490" s="32"/>
      <c r="T490" s="32"/>
      <c r="U490" s="32"/>
      <c r="V490" s="2"/>
      <c r="W490" s="2"/>
      <c r="X490" s="2"/>
      <c r="Y490" s="2"/>
      <c r="Z490" s="2"/>
    </row>
    <row r="491" spans="1:26" ht="13.8" x14ac:dyDescent="0.3">
      <c r="A491" s="2" t="s">
        <v>370</v>
      </c>
      <c r="B491" s="2" t="s">
        <v>244</v>
      </c>
      <c r="C491" s="10">
        <v>2304025</v>
      </c>
      <c r="D491" s="10" t="s">
        <v>1162</v>
      </c>
      <c r="E491" s="10">
        <v>2554720</v>
      </c>
      <c r="F491" s="10" t="s">
        <v>1270</v>
      </c>
      <c r="G491" s="69">
        <v>270.68</v>
      </c>
      <c r="H491" s="69">
        <v>59.93</v>
      </c>
      <c r="I491" s="69">
        <f t="shared" si="138"/>
        <v>41.951000000000001</v>
      </c>
      <c r="J491" s="70">
        <v>1</v>
      </c>
      <c r="K491" s="69">
        <f t="shared" si="139"/>
        <v>264.92729500000002</v>
      </c>
      <c r="L491" s="79" t="s">
        <v>468</v>
      </c>
      <c r="M491" s="61">
        <f t="shared" si="140"/>
        <v>-6.2926500000000045</v>
      </c>
      <c r="N491" s="61">
        <f t="shared" si="141"/>
        <v>7.4013549999999997</v>
      </c>
      <c r="O491" s="61"/>
      <c r="P491" s="2"/>
      <c r="Q491" s="2"/>
      <c r="R491" s="32"/>
      <c r="S491" s="32"/>
      <c r="T491" s="32"/>
      <c r="U491" s="32"/>
      <c r="V491" s="2"/>
      <c r="W491" s="2"/>
      <c r="X491" s="2"/>
      <c r="Y491" s="2"/>
      <c r="Z491" s="2"/>
    </row>
    <row r="492" spans="1:26" ht="13.8" x14ac:dyDescent="0.3">
      <c r="A492" s="2" t="s">
        <v>370</v>
      </c>
      <c r="B492" s="2" t="s">
        <v>244</v>
      </c>
      <c r="C492" s="10">
        <v>2304025</v>
      </c>
      <c r="D492" s="10" t="s">
        <v>1162</v>
      </c>
      <c r="E492" s="10">
        <v>2559299</v>
      </c>
      <c r="F492" s="10" t="s">
        <v>1302</v>
      </c>
      <c r="G492" s="69">
        <v>-177.69</v>
      </c>
      <c r="H492" s="69">
        <v>65.819999999999993</v>
      </c>
      <c r="I492" s="69">
        <f t="shared" si="138"/>
        <v>46.073999999999991</v>
      </c>
      <c r="J492" s="70">
        <v>1</v>
      </c>
      <c r="K492" s="69">
        <f t="shared" si="139"/>
        <v>-112.76217000000001</v>
      </c>
      <c r="L492" s="79" t="s">
        <v>468</v>
      </c>
      <c r="M492" s="61">
        <f t="shared" si="140"/>
        <v>-6.9110999999999976</v>
      </c>
      <c r="N492" s="61">
        <f t="shared" si="141"/>
        <v>8.1287699999999994</v>
      </c>
      <c r="O492" s="61"/>
      <c r="P492" s="2"/>
      <c r="Q492" s="2"/>
      <c r="R492" s="32"/>
      <c r="S492" s="32"/>
      <c r="T492" s="32"/>
      <c r="U492" s="32"/>
      <c r="V492" s="2"/>
      <c r="W492" s="2"/>
      <c r="X492" s="2"/>
      <c r="Y492" s="2"/>
      <c r="Z492" s="2"/>
    </row>
    <row r="493" spans="1:26" ht="13.8" x14ac:dyDescent="0.3">
      <c r="A493" s="2" t="s">
        <v>370</v>
      </c>
      <c r="B493" s="2" t="s">
        <v>244</v>
      </c>
      <c r="C493" s="10">
        <v>2304025</v>
      </c>
      <c r="D493" s="10" t="s">
        <v>1162</v>
      </c>
      <c r="E493" s="10">
        <v>2575716</v>
      </c>
      <c r="F493" s="10" t="s">
        <v>1283</v>
      </c>
      <c r="G493" s="69">
        <v>-190.78</v>
      </c>
      <c r="H493" s="69">
        <v>24.77</v>
      </c>
      <c r="I493" s="69">
        <f t="shared" si="138"/>
        <v>17.338999999999999</v>
      </c>
      <c r="J493" s="70">
        <v>1</v>
      </c>
      <c r="K493" s="69">
        <f t="shared" si="139"/>
        <v>-147.75924499999999</v>
      </c>
      <c r="L493" s="79" t="s">
        <v>468</v>
      </c>
      <c r="M493" s="61">
        <f t="shared" si="140"/>
        <v>-2.6008500000000012</v>
      </c>
      <c r="N493" s="61">
        <f t="shared" si="141"/>
        <v>3.0590950000000001</v>
      </c>
      <c r="O493" s="61"/>
      <c r="P493" s="2"/>
      <c r="Q493" s="2"/>
      <c r="R493" s="32"/>
      <c r="S493" s="32"/>
      <c r="T493" s="32"/>
      <c r="U493" s="32"/>
      <c r="V493" s="2"/>
      <c r="W493" s="2"/>
      <c r="X493" s="2"/>
      <c r="Y493" s="2"/>
      <c r="Z493" s="2"/>
    </row>
    <row r="494" spans="1:26" ht="13.8" x14ac:dyDescent="0.3">
      <c r="A494" s="2" t="s">
        <v>370</v>
      </c>
      <c r="B494" s="2" t="s">
        <v>244</v>
      </c>
      <c r="C494" s="10">
        <v>2304025</v>
      </c>
      <c r="D494" s="10" t="s">
        <v>1162</v>
      </c>
      <c r="E494" s="10">
        <v>2575824</v>
      </c>
      <c r="F494" s="10" t="s">
        <v>1284</v>
      </c>
      <c r="G494" s="69">
        <v>242.48</v>
      </c>
      <c r="H494" s="69">
        <v>15.8</v>
      </c>
      <c r="I494" s="69">
        <f t="shared" si="138"/>
        <v>11.06</v>
      </c>
      <c r="J494" s="70">
        <v>1</v>
      </c>
      <c r="K494" s="69">
        <f t="shared" si="139"/>
        <v>215.29569999999998</v>
      </c>
      <c r="L494" s="79" t="s">
        <v>468</v>
      </c>
      <c r="M494" s="61">
        <f t="shared" si="140"/>
        <v>-1.658999999999998</v>
      </c>
      <c r="N494" s="61">
        <f t="shared" si="141"/>
        <v>1.9513</v>
      </c>
      <c r="O494" s="61"/>
      <c r="P494" s="2"/>
      <c r="Q494" s="2"/>
      <c r="R494" s="32"/>
      <c r="S494" s="32"/>
      <c r="T494" s="32"/>
      <c r="U494" s="32"/>
      <c r="V494" s="2"/>
      <c r="W494" s="2"/>
      <c r="X494" s="2"/>
      <c r="Y494" s="2"/>
      <c r="Z494" s="2"/>
    </row>
    <row r="495" spans="1:26" ht="13.8" x14ac:dyDescent="0.3">
      <c r="A495" s="2" t="s">
        <v>370</v>
      </c>
      <c r="B495" s="2" t="s">
        <v>244</v>
      </c>
      <c r="C495" s="10">
        <v>2304025</v>
      </c>
      <c r="D495" s="10" t="s">
        <v>1162</v>
      </c>
      <c r="E495" s="10">
        <v>2575978</v>
      </c>
      <c r="F495" s="10" t="s">
        <v>1285</v>
      </c>
      <c r="G495" s="69">
        <v>-31.94</v>
      </c>
      <c r="H495" s="69">
        <v>10.73</v>
      </c>
      <c r="I495" s="69">
        <f t="shared" si="138"/>
        <v>7.5110000000000001</v>
      </c>
      <c r="J495" s="70">
        <v>1</v>
      </c>
      <c r="K495" s="69">
        <f t="shared" si="139"/>
        <v>-20.909504999999999</v>
      </c>
      <c r="L495" s="79" t="s">
        <v>468</v>
      </c>
      <c r="M495" s="61">
        <f t="shared" si="140"/>
        <v>-1.1266499999999999</v>
      </c>
      <c r="N495" s="61">
        <f t="shared" si="141"/>
        <v>1.3251550000000001</v>
      </c>
      <c r="O495" s="61"/>
      <c r="P495" s="2"/>
      <c r="Q495" s="2"/>
      <c r="R495" s="32"/>
      <c r="S495" s="32"/>
      <c r="T495" s="32"/>
      <c r="U495" s="32"/>
      <c r="V495" s="2"/>
      <c r="W495" s="2"/>
      <c r="X495" s="2"/>
      <c r="Y495" s="2"/>
      <c r="Z495" s="2"/>
    </row>
    <row r="496" spans="1:26" ht="13.8" x14ac:dyDescent="0.3">
      <c r="A496" s="2" t="s">
        <v>370</v>
      </c>
      <c r="B496" s="2" t="s">
        <v>244</v>
      </c>
      <c r="C496" s="10">
        <v>2523689</v>
      </c>
      <c r="D496" s="10" t="s">
        <v>1179</v>
      </c>
      <c r="E496" s="10">
        <v>2525136</v>
      </c>
      <c r="F496" s="10" t="s">
        <v>1205</v>
      </c>
      <c r="G496" s="69">
        <v>-55.55</v>
      </c>
      <c r="H496" s="69">
        <v>12.41</v>
      </c>
      <c r="I496" s="69">
        <f t="shared" si="138"/>
        <v>8.6869999999999994</v>
      </c>
      <c r="J496" s="70">
        <v>1</v>
      </c>
      <c r="K496" s="69">
        <f t="shared" si="139"/>
        <v>-40.001084999999996</v>
      </c>
      <c r="L496" s="79" t="s">
        <v>468</v>
      </c>
      <c r="M496" s="61">
        <f t="shared" si="140"/>
        <v>-1.3030499999999996</v>
      </c>
      <c r="N496" s="61">
        <f t="shared" si="141"/>
        <v>1.532635</v>
      </c>
      <c r="O496" s="61"/>
      <c r="P496" s="2"/>
      <c r="Q496" s="2"/>
      <c r="R496" s="32"/>
      <c r="S496" s="32"/>
      <c r="T496" s="32"/>
      <c r="U496" s="32"/>
      <c r="V496" s="2"/>
      <c r="W496" s="2"/>
      <c r="X496" s="2"/>
      <c r="Y496" s="2"/>
      <c r="Z496" s="2"/>
    </row>
    <row r="497" spans="1:26" ht="13.8" x14ac:dyDescent="0.3">
      <c r="A497" s="2" t="s">
        <v>370</v>
      </c>
      <c r="B497" s="2" t="s">
        <v>244</v>
      </c>
      <c r="C497" s="10">
        <v>2566294</v>
      </c>
      <c r="D497" s="10" t="s">
        <v>1276</v>
      </c>
      <c r="E497" s="10">
        <v>2525032</v>
      </c>
      <c r="F497" s="10" t="s">
        <v>1277</v>
      </c>
      <c r="G497" s="69">
        <v>-170</v>
      </c>
      <c r="H497" s="69">
        <v>6.97</v>
      </c>
      <c r="I497" s="69">
        <f t="shared" si="138"/>
        <v>4.8789999999999996</v>
      </c>
      <c r="J497" s="70">
        <v>1</v>
      </c>
      <c r="K497" s="69">
        <f t="shared" si="139"/>
        <v>-140.446945</v>
      </c>
      <c r="L497" s="79" t="s">
        <v>468</v>
      </c>
      <c r="M497" s="61">
        <f t="shared" si="140"/>
        <v>-0.73185000000000033</v>
      </c>
      <c r="N497" s="61">
        <f t="shared" si="141"/>
        <v>0.86079499999999998</v>
      </c>
      <c r="O497" s="61"/>
      <c r="P497" s="2"/>
      <c r="Q497" s="2"/>
      <c r="R497" s="32"/>
      <c r="S497" s="32"/>
      <c r="T497" s="32"/>
      <c r="U497" s="32"/>
      <c r="V497" s="2"/>
      <c r="W497" s="2"/>
      <c r="X497" s="2"/>
      <c r="Y497" s="2"/>
      <c r="Z497" s="2"/>
    </row>
    <row r="498" spans="1:26" ht="13.8" x14ac:dyDescent="0.3">
      <c r="A498" s="2" t="s">
        <v>370</v>
      </c>
      <c r="B498" s="2" t="s">
        <v>107</v>
      </c>
      <c r="C498" s="10" t="s">
        <v>15</v>
      </c>
      <c r="D498" s="10" t="s">
        <v>15</v>
      </c>
      <c r="E498" s="10">
        <v>2319777</v>
      </c>
      <c r="F498" s="46" t="s">
        <v>1273</v>
      </c>
      <c r="G498" s="69">
        <v>309.44</v>
      </c>
      <c r="H498" s="69">
        <v>18.34</v>
      </c>
      <c r="I498" s="69">
        <v>0</v>
      </c>
      <c r="J498" s="70">
        <v>1</v>
      </c>
      <c r="K498" s="69">
        <f t="shared" ref="K498:K508" si="142">(-H498*0.25*0.04)*J498*0.3+H498*0.15*0.96*J498*0.3</f>
        <v>0.73726799999999992</v>
      </c>
      <c r="L498" s="79" t="s">
        <v>468</v>
      </c>
      <c r="M498" s="61">
        <v>0</v>
      </c>
      <c r="N498" s="61">
        <v>0</v>
      </c>
      <c r="O498" s="61"/>
      <c r="P498" s="2"/>
      <c r="Q498" s="2"/>
      <c r="R498" s="32"/>
      <c r="S498" s="32"/>
      <c r="T498" s="32"/>
      <c r="U498" s="32"/>
      <c r="V498" s="2"/>
      <c r="W498" s="2"/>
      <c r="X498" s="2"/>
      <c r="Y498" s="2"/>
      <c r="Z498" s="2"/>
    </row>
    <row r="499" spans="1:26" ht="13.8" x14ac:dyDescent="0.3">
      <c r="A499" s="2" t="s">
        <v>370</v>
      </c>
      <c r="B499" s="2" t="s">
        <v>107</v>
      </c>
      <c r="C499" s="10" t="s">
        <v>15</v>
      </c>
      <c r="D499" s="10" t="s">
        <v>15</v>
      </c>
      <c r="E499" s="10">
        <v>2404538</v>
      </c>
      <c r="F499" s="10" t="s">
        <v>1219</v>
      </c>
      <c r="G499" s="69">
        <v>-8.6</v>
      </c>
      <c r="H499" s="69">
        <v>5</v>
      </c>
      <c r="I499" s="69">
        <v>0</v>
      </c>
      <c r="J499" s="70">
        <v>1</v>
      </c>
      <c r="K499" s="69">
        <f t="shared" si="142"/>
        <v>0.20100000000000001</v>
      </c>
      <c r="L499" s="79" t="s">
        <v>468</v>
      </c>
      <c r="M499" s="61">
        <v>0</v>
      </c>
      <c r="N499" s="61">
        <v>0</v>
      </c>
      <c r="O499" s="61"/>
      <c r="P499" s="2"/>
      <c r="Q499" s="2"/>
      <c r="R499" s="32"/>
      <c r="S499" s="32"/>
      <c r="T499" s="32"/>
      <c r="U499" s="32"/>
      <c r="V499" s="2"/>
      <c r="W499" s="2"/>
      <c r="X499" s="2"/>
      <c r="Y499" s="2"/>
      <c r="Z499" s="2"/>
    </row>
    <row r="500" spans="1:26" ht="13.8" x14ac:dyDescent="0.3">
      <c r="A500" s="2" t="s">
        <v>370</v>
      </c>
      <c r="B500" s="2" t="s">
        <v>107</v>
      </c>
      <c r="C500" s="10" t="s">
        <v>15</v>
      </c>
      <c r="D500" s="10" t="s">
        <v>15</v>
      </c>
      <c r="E500" s="10">
        <v>2405286</v>
      </c>
      <c r="F500" s="10" t="s">
        <v>1220</v>
      </c>
      <c r="G500" s="69">
        <v>-10</v>
      </c>
      <c r="H500" s="69">
        <v>1</v>
      </c>
      <c r="I500" s="69">
        <v>0</v>
      </c>
      <c r="J500" s="70">
        <v>1</v>
      </c>
      <c r="K500" s="69">
        <f t="shared" si="142"/>
        <v>4.0199999999999993E-2</v>
      </c>
      <c r="L500" s="79" t="s">
        <v>468</v>
      </c>
      <c r="M500" s="61">
        <v>0</v>
      </c>
      <c r="N500" s="61">
        <v>0</v>
      </c>
      <c r="O500" s="61"/>
      <c r="P500" s="2"/>
      <c r="Q500" s="2"/>
      <c r="R500" s="32"/>
      <c r="S500" s="32"/>
      <c r="T500" s="32"/>
      <c r="U500" s="32"/>
      <c r="V500" s="2"/>
      <c r="W500" s="2"/>
      <c r="X500" s="2"/>
      <c r="Y500" s="2"/>
      <c r="Z500" s="2"/>
    </row>
    <row r="501" spans="1:26" ht="13.8" x14ac:dyDescent="0.3">
      <c r="A501" s="2" t="s">
        <v>370</v>
      </c>
      <c r="B501" s="2" t="s">
        <v>107</v>
      </c>
      <c r="C501" s="10" t="s">
        <v>15</v>
      </c>
      <c r="D501" s="10" t="s">
        <v>15</v>
      </c>
      <c r="E501" s="10">
        <v>2405626</v>
      </c>
      <c r="F501" s="10" t="s">
        <v>1221</v>
      </c>
      <c r="G501" s="69">
        <v>-28.4</v>
      </c>
      <c r="H501" s="69">
        <v>5</v>
      </c>
      <c r="I501" s="69">
        <v>0</v>
      </c>
      <c r="J501" s="70">
        <v>1</v>
      </c>
      <c r="K501" s="69">
        <f t="shared" si="142"/>
        <v>0.20100000000000001</v>
      </c>
      <c r="L501" s="79" t="s">
        <v>468</v>
      </c>
      <c r="M501" s="61">
        <v>0</v>
      </c>
      <c r="N501" s="61">
        <v>0</v>
      </c>
      <c r="O501" s="61"/>
      <c r="P501" s="2"/>
      <c r="Q501" s="2"/>
      <c r="R501" s="32"/>
      <c r="S501" s="32"/>
      <c r="T501" s="32"/>
      <c r="U501" s="32"/>
      <c r="V501" s="2"/>
      <c r="W501" s="2"/>
      <c r="X501" s="2"/>
      <c r="Y501" s="2"/>
      <c r="Z501" s="2"/>
    </row>
    <row r="502" spans="1:26" ht="13.8" x14ac:dyDescent="0.3">
      <c r="A502" s="2" t="s">
        <v>370</v>
      </c>
      <c r="B502" s="2" t="s">
        <v>107</v>
      </c>
      <c r="C502" s="10" t="s">
        <v>15</v>
      </c>
      <c r="D502" s="10" t="s">
        <v>15</v>
      </c>
      <c r="E502" s="10">
        <v>2409185</v>
      </c>
      <c r="F502" s="46" t="s">
        <v>1222</v>
      </c>
      <c r="G502" s="69">
        <v>-7.54</v>
      </c>
      <c r="H502" s="69">
        <v>2.6</v>
      </c>
      <c r="I502" s="69">
        <v>0</v>
      </c>
      <c r="J502" s="70">
        <v>1</v>
      </c>
      <c r="K502" s="69">
        <f t="shared" si="142"/>
        <v>0.10452</v>
      </c>
      <c r="L502" s="79" t="s">
        <v>468</v>
      </c>
      <c r="M502" s="61">
        <v>0</v>
      </c>
      <c r="N502" s="61">
        <v>0</v>
      </c>
      <c r="O502" s="61"/>
      <c r="P502" s="2"/>
      <c r="Q502" s="2"/>
      <c r="R502" s="32"/>
      <c r="S502" s="32"/>
      <c r="T502" s="32"/>
      <c r="U502" s="32"/>
      <c r="V502" s="2"/>
      <c r="W502" s="2"/>
      <c r="X502" s="2"/>
      <c r="Y502" s="2"/>
      <c r="Z502" s="2"/>
    </row>
    <row r="503" spans="1:26" ht="13.8" x14ac:dyDescent="0.3">
      <c r="A503" s="2" t="s">
        <v>370</v>
      </c>
      <c r="B503" s="2" t="s">
        <v>107</v>
      </c>
      <c r="C503" s="10" t="s">
        <v>15</v>
      </c>
      <c r="D503" s="10" t="s">
        <v>15</v>
      </c>
      <c r="E503" s="10">
        <v>2471817</v>
      </c>
      <c r="F503" s="10" t="s">
        <v>1274</v>
      </c>
      <c r="G503" s="69">
        <v>1047.4000000000001</v>
      </c>
      <c r="H503" s="69">
        <v>34.119999999999997</v>
      </c>
      <c r="I503" s="69">
        <v>0</v>
      </c>
      <c r="J503" s="70">
        <v>1</v>
      </c>
      <c r="K503" s="69">
        <f t="shared" si="142"/>
        <v>1.3716239999999997</v>
      </c>
      <c r="L503" s="79" t="s">
        <v>468</v>
      </c>
      <c r="M503" s="61">
        <v>0</v>
      </c>
      <c r="N503" s="61">
        <v>0</v>
      </c>
      <c r="O503" s="61"/>
      <c r="P503" s="2"/>
      <c r="Q503" s="2"/>
      <c r="R503" s="32"/>
      <c r="S503" s="32"/>
      <c r="T503" s="32"/>
      <c r="U503" s="32"/>
      <c r="V503" s="2"/>
      <c r="W503" s="2"/>
      <c r="X503" s="2"/>
      <c r="Y503" s="2"/>
      <c r="Z503" s="2"/>
    </row>
    <row r="504" spans="1:26" ht="13.8" x14ac:dyDescent="0.3">
      <c r="A504" s="2" t="s">
        <v>370</v>
      </c>
      <c r="B504" s="2" t="s">
        <v>107</v>
      </c>
      <c r="C504" s="10" t="s">
        <v>15</v>
      </c>
      <c r="D504" s="10" t="s">
        <v>15</v>
      </c>
      <c r="E504" s="10">
        <v>2479329</v>
      </c>
      <c r="F504" s="10" t="s">
        <v>1279</v>
      </c>
      <c r="G504" s="69">
        <v>-62.15</v>
      </c>
      <c r="H504" s="69">
        <v>18.559999999999999</v>
      </c>
      <c r="I504" s="69">
        <v>0</v>
      </c>
      <c r="J504" s="70">
        <v>1</v>
      </c>
      <c r="K504" s="69">
        <f t="shared" si="142"/>
        <v>0.746112</v>
      </c>
      <c r="L504" s="79" t="s">
        <v>468</v>
      </c>
      <c r="M504" s="61">
        <v>0</v>
      </c>
      <c r="N504" s="61">
        <v>0</v>
      </c>
      <c r="O504" s="61"/>
      <c r="P504" s="2"/>
      <c r="Q504" s="2"/>
      <c r="R504" s="32"/>
      <c r="S504" s="32"/>
      <c r="T504" s="32"/>
      <c r="U504" s="32"/>
      <c r="V504" s="2"/>
      <c r="W504" s="2"/>
      <c r="X504" s="2"/>
      <c r="Y504" s="2"/>
      <c r="Z504" s="2"/>
    </row>
    <row r="505" spans="1:26" ht="13.8" x14ac:dyDescent="0.3">
      <c r="A505" s="2" t="s">
        <v>370</v>
      </c>
      <c r="B505" s="2" t="s">
        <v>107</v>
      </c>
      <c r="C505" s="10" t="s">
        <v>15</v>
      </c>
      <c r="D505" s="10" t="s">
        <v>15</v>
      </c>
      <c r="E505" s="10">
        <v>2496019</v>
      </c>
      <c r="F505" s="10" t="s">
        <v>1275</v>
      </c>
      <c r="G505" s="69">
        <v>13.57</v>
      </c>
      <c r="H505" s="69">
        <v>30.84</v>
      </c>
      <c r="I505" s="69">
        <v>0</v>
      </c>
      <c r="J505" s="70">
        <v>1</v>
      </c>
      <c r="K505" s="69">
        <f t="shared" si="142"/>
        <v>1.239768</v>
      </c>
      <c r="L505" s="79" t="s">
        <v>468</v>
      </c>
      <c r="M505" s="61">
        <v>0</v>
      </c>
      <c r="N505" s="61">
        <v>0</v>
      </c>
      <c r="O505" s="61"/>
      <c r="P505" s="2"/>
      <c r="Q505" s="2"/>
      <c r="R505" s="32"/>
      <c r="S505" s="32"/>
      <c r="T505" s="32"/>
      <c r="U505" s="32"/>
      <c r="V505" s="2"/>
      <c r="W505" s="2"/>
      <c r="X505" s="2"/>
      <c r="Y505" s="2"/>
      <c r="Z505" s="2"/>
    </row>
    <row r="506" spans="1:26" ht="13.8" x14ac:dyDescent="0.3">
      <c r="A506" s="2" t="s">
        <v>370</v>
      </c>
      <c r="B506" s="2" t="s">
        <v>107</v>
      </c>
      <c r="C506" s="10" t="s">
        <v>15</v>
      </c>
      <c r="D506" s="10" t="s">
        <v>15</v>
      </c>
      <c r="E506" s="10">
        <v>2571823</v>
      </c>
      <c r="F506" s="10" t="s">
        <v>1280</v>
      </c>
      <c r="G506" s="69">
        <v>-169.2</v>
      </c>
      <c r="H506" s="69">
        <v>31.62</v>
      </c>
      <c r="I506" s="69">
        <v>0</v>
      </c>
      <c r="J506" s="70">
        <v>1</v>
      </c>
      <c r="K506" s="69">
        <f t="shared" si="142"/>
        <v>1.2711239999999999</v>
      </c>
      <c r="L506" s="79" t="s">
        <v>468</v>
      </c>
      <c r="M506" s="61">
        <v>0</v>
      </c>
      <c r="N506" s="61">
        <v>0</v>
      </c>
      <c r="O506" s="61"/>
      <c r="P506" s="2"/>
      <c r="Q506" s="2"/>
      <c r="R506" s="32"/>
      <c r="S506" s="32"/>
      <c r="T506" s="32"/>
      <c r="U506" s="32"/>
      <c r="V506" s="2"/>
      <c r="W506" s="2"/>
      <c r="X506" s="2"/>
      <c r="Y506" s="2"/>
      <c r="Z506" s="2"/>
    </row>
    <row r="507" spans="1:26" ht="13.8" x14ac:dyDescent="0.3">
      <c r="A507" s="2" t="s">
        <v>370</v>
      </c>
      <c r="B507" s="2" t="s">
        <v>107</v>
      </c>
      <c r="C507" s="10" t="s">
        <v>15</v>
      </c>
      <c r="D507" s="10" t="s">
        <v>15</v>
      </c>
      <c r="E507" s="10">
        <v>2573237</v>
      </c>
      <c r="F507" s="10" t="s">
        <v>1281</v>
      </c>
      <c r="G507" s="69">
        <v>-162</v>
      </c>
      <c r="H507" s="69">
        <v>13.56</v>
      </c>
      <c r="I507" s="69">
        <v>0</v>
      </c>
      <c r="J507" s="70">
        <v>1</v>
      </c>
      <c r="K507" s="69">
        <f t="shared" si="142"/>
        <v>0.54511199999999982</v>
      </c>
      <c r="L507" s="79" t="s">
        <v>468</v>
      </c>
      <c r="M507" s="61">
        <v>0</v>
      </c>
      <c r="N507" s="61">
        <v>0</v>
      </c>
      <c r="O507" s="61"/>
      <c r="P507" s="2"/>
      <c r="Q507" s="2"/>
      <c r="R507" s="32"/>
      <c r="S507" s="32"/>
      <c r="T507" s="32"/>
      <c r="U507" s="32"/>
      <c r="V507" s="2"/>
      <c r="W507" s="2"/>
      <c r="X507" s="2"/>
      <c r="Y507" s="2"/>
      <c r="Z507" s="2"/>
    </row>
    <row r="508" spans="1:26" ht="13.8" x14ac:dyDescent="0.3">
      <c r="A508" s="2" t="s">
        <v>370</v>
      </c>
      <c r="B508" s="2" t="s">
        <v>107</v>
      </c>
      <c r="C508" s="10" t="s">
        <v>15</v>
      </c>
      <c r="D508" s="10" t="s">
        <v>15</v>
      </c>
      <c r="E508" s="10">
        <v>2587341</v>
      </c>
      <c r="F508" s="10" t="s">
        <v>1303</v>
      </c>
      <c r="G508" s="69">
        <v>-262</v>
      </c>
      <c r="H508" s="69">
        <v>23.56</v>
      </c>
      <c r="I508" s="69">
        <v>0</v>
      </c>
      <c r="J508" s="70">
        <v>1</v>
      </c>
      <c r="K508" s="69">
        <f t="shared" si="142"/>
        <v>0.94711199999999984</v>
      </c>
      <c r="L508" s="79" t="s">
        <v>468</v>
      </c>
      <c r="M508" s="61">
        <v>0</v>
      </c>
      <c r="N508" s="61">
        <v>0</v>
      </c>
      <c r="O508" s="61"/>
      <c r="P508" s="2"/>
      <c r="Q508" s="2"/>
      <c r="R508" s="32"/>
      <c r="S508" s="32"/>
      <c r="T508" s="32"/>
      <c r="U508" s="32"/>
      <c r="V508" s="2"/>
      <c r="W508" s="2"/>
      <c r="X508" s="2"/>
      <c r="Y508" s="2"/>
      <c r="Z508" s="2"/>
    </row>
    <row r="509" spans="1:26" ht="13.8" x14ac:dyDescent="0.3">
      <c r="A509" s="2" t="s">
        <v>370</v>
      </c>
      <c r="B509" s="2" t="s">
        <v>107</v>
      </c>
      <c r="C509" s="10">
        <v>2304025</v>
      </c>
      <c r="D509" s="10" t="s">
        <v>1162</v>
      </c>
      <c r="E509" s="10">
        <v>2420208</v>
      </c>
      <c r="F509" s="10" t="s">
        <v>1170</v>
      </c>
      <c r="G509" s="69">
        <v>1130.46</v>
      </c>
      <c r="H509" s="69">
        <v>44.86</v>
      </c>
      <c r="I509" s="69">
        <f t="shared" ref="I509:I524" si="143">H509*0.65</f>
        <v>29.158999999999999</v>
      </c>
      <c r="J509" s="70">
        <v>1</v>
      </c>
      <c r="K509" s="69">
        <f t="shared" ref="K509:K524" si="144">(G509+I509)*J509*0.8+(G509*0.05-H509*0.25*0.15)*J509*0.3+(H509*0.1*0.85+I509*0.05)*J509*0.3</f>
        <v>945.72874000000013</v>
      </c>
      <c r="L509" s="79" t="s">
        <v>468</v>
      </c>
      <c r="M509" s="61">
        <f t="shared" ref="M509:M523" si="145">(G509*0.05-H509*0.25*0.15)*J509*0.7-(-H509*0.03*0.15)*J509</f>
        <v>38.590394999999994</v>
      </c>
      <c r="N509" s="61">
        <f t="shared" ref="N509:N523" si="146">(H509*0.1*0.85+I509*0.05)*J509*0.7+H509*0.03*0.85*J509</f>
        <v>4.8336649999999999</v>
      </c>
      <c r="O509" s="61"/>
      <c r="P509" s="2"/>
      <c r="Q509" s="2"/>
      <c r="R509" s="32"/>
      <c r="S509" s="32"/>
      <c r="T509" s="32"/>
      <c r="U509" s="32"/>
      <c r="V509" s="2"/>
      <c r="W509" s="2"/>
      <c r="X509" s="2"/>
      <c r="Y509" s="2"/>
      <c r="Z509" s="2"/>
    </row>
    <row r="510" spans="1:26" ht="13.8" x14ac:dyDescent="0.3">
      <c r="A510" s="2" t="s">
        <v>370</v>
      </c>
      <c r="B510" s="2" t="s">
        <v>107</v>
      </c>
      <c r="C510" s="10">
        <v>2304025</v>
      </c>
      <c r="D510" s="10" t="s">
        <v>1162</v>
      </c>
      <c r="E510" s="10">
        <v>2435202</v>
      </c>
      <c r="F510" s="10" t="s">
        <v>1223</v>
      </c>
      <c r="G510" s="69">
        <v>-262.56</v>
      </c>
      <c r="H510" s="69">
        <v>103.44</v>
      </c>
      <c r="I510" s="69">
        <f t="shared" si="143"/>
        <v>67.236000000000004</v>
      </c>
      <c r="J510" s="70">
        <v>1</v>
      </c>
      <c r="K510" s="69">
        <f t="shared" si="144"/>
        <v>-157.71504000000002</v>
      </c>
      <c r="L510" s="79" t="s">
        <v>468</v>
      </c>
      <c r="M510" s="61">
        <f t="shared" si="145"/>
        <v>-11.439419999999998</v>
      </c>
      <c r="N510" s="61">
        <f t="shared" si="146"/>
        <v>11.145659999999999</v>
      </c>
      <c r="O510" s="61"/>
      <c r="P510" s="2"/>
      <c r="Q510" s="2"/>
      <c r="R510" s="32"/>
      <c r="S510" s="32"/>
      <c r="T510" s="32"/>
      <c r="U510" s="32"/>
      <c r="V510" s="2"/>
      <c r="W510" s="2"/>
      <c r="X510" s="2"/>
      <c r="Y510" s="2"/>
      <c r="Z510" s="2"/>
    </row>
    <row r="511" spans="1:26" ht="13.8" x14ac:dyDescent="0.3">
      <c r="A511" s="2" t="s">
        <v>370</v>
      </c>
      <c r="B511" s="2" t="s">
        <v>107</v>
      </c>
      <c r="C511" s="10">
        <v>2304025</v>
      </c>
      <c r="D511" s="10" t="s">
        <v>1162</v>
      </c>
      <c r="E511" s="10">
        <v>2435203</v>
      </c>
      <c r="F511" s="10" t="s">
        <v>1224</v>
      </c>
      <c r="G511" s="69">
        <v>850.45</v>
      </c>
      <c r="H511" s="69">
        <v>84.77</v>
      </c>
      <c r="I511" s="69">
        <f t="shared" si="143"/>
        <v>55.100499999999997</v>
      </c>
      <c r="J511" s="70">
        <v>1</v>
      </c>
      <c r="K511" s="69">
        <f t="shared" si="144"/>
        <v>739.23163</v>
      </c>
      <c r="L511" s="79" t="s">
        <v>468</v>
      </c>
      <c r="M511" s="61">
        <f t="shared" si="145"/>
        <v>27.922002500000005</v>
      </c>
      <c r="N511" s="61">
        <f t="shared" si="146"/>
        <v>9.1339674999999989</v>
      </c>
      <c r="O511" s="61"/>
      <c r="P511" s="2"/>
      <c r="Q511" s="2"/>
      <c r="R511" s="32"/>
      <c r="S511" s="32"/>
      <c r="T511" s="32"/>
      <c r="U511" s="32"/>
      <c r="V511" s="2"/>
      <c r="W511" s="2"/>
      <c r="X511" s="2"/>
      <c r="Y511" s="2"/>
      <c r="Z511" s="2"/>
    </row>
    <row r="512" spans="1:26" ht="13.8" x14ac:dyDescent="0.3">
      <c r="A512" s="2" t="s">
        <v>370</v>
      </c>
      <c r="B512" s="2" t="s">
        <v>107</v>
      </c>
      <c r="C512" s="10">
        <v>2304025</v>
      </c>
      <c r="D512" s="10" t="s">
        <v>1162</v>
      </c>
      <c r="E512" s="10">
        <v>2435206</v>
      </c>
      <c r="F512" s="10" t="s">
        <v>1225</v>
      </c>
      <c r="G512" s="69">
        <v>18.03</v>
      </c>
      <c r="H512" s="69">
        <v>26.88</v>
      </c>
      <c r="I512" s="69">
        <f t="shared" si="143"/>
        <v>17.472000000000001</v>
      </c>
      <c r="J512" s="70">
        <v>1</v>
      </c>
      <c r="K512" s="69">
        <f t="shared" si="144"/>
        <v>29.317170000000004</v>
      </c>
      <c r="L512" s="79" t="s">
        <v>468</v>
      </c>
      <c r="M512" s="61">
        <f t="shared" si="145"/>
        <v>4.6410000000000035E-2</v>
      </c>
      <c r="N512" s="61">
        <f t="shared" si="146"/>
        <v>2.8963199999999998</v>
      </c>
      <c r="O512" s="61"/>
      <c r="P512" s="2"/>
      <c r="Q512" s="2"/>
      <c r="R512" s="32"/>
      <c r="S512" s="32"/>
      <c r="T512" s="32"/>
      <c r="U512" s="32"/>
      <c r="V512" s="2"/>
      <c r="W512" s="2"/>
      <c r="X512" s="2"/>
      <c r="Y512" s="2"/>
      <c r="Z512" s="2"/>
    </row>
    <row r="513" spans="1:26" ht="13.8" x14ac:dyDescent="0.3">
      <c r="A513" s="2" t="s">
        <v>370</v>
      </c>
      <c r="B513" s="2" t="s">
        <v>107</v>
      </c>
      <c r="C513" s="10">
        <v>2304025</v>
      </c>
      <c r="D513" s="10" t="s">
        <v>1162</v>
      </c>
      <c r="E513" s="10">
        <v>2471540</v>
      </c>
      <c r="F513" s="10" t="s">
        <v>1172</v>
      </c>
      <c r="G513" s="69">
        <v>80.569999999999993</v>
      </c>
      <c r="H513" s="69">
        <v>30.79</v>
      </c>
      <c r="I513" s="69">
        <f t="shared" si="143"/>
        <v>20.013500000000001</v>
      </c>
      <c r="J513" s="70">
        <v>1</v>
      </c>
      <c r="K513" s="69">
        <f t="shared" si="144"/>
        <v>82.414309999999986</v>
      </c>
      <c r="L513" s="79" t="s">
        <v>468</v>
      </c>
      <c r="M513" s="61">
        <f t="shared" si="145"/>
        <v>2.1502675</v>
      </c>
      <c r="N513" s="61">
        <f t="shared" si="146"/>
        <v>3.3176224999999997</v>
      </c>
      <c r="O513" s="61"/>
      <c r="P513" s="2"/>
      <c r="Q513" s="2"/>
      <c r="R513" s="32"/>
      <c r="S513" s="32"/>
      <c r="T513" s="32"/>
      <c r="U513" s="32"/>
      <c r="V513" s="2"/>
      <c r="W513" s="2"/>
      <c r="X513" s="2"/>
      <c r="Y513" s="2"/>
      <c r="Z513" s="2"/>
    </row>
    <row r="514" spans="1:26" ht="13.8" x14ac:dyDescent="0.3">
      <c r="A514" s="2" t="s">
        <v>370</v>
      </c>
      <c r="B514" s="2" t="s">
        <v>107</v>
      </c>
      <c r="C514" s="10">
        <v>2304025</v>
      </c>
      <c r="D514" s="10" t="s">
        <v>1162</v>
      </c>
      <c r="E514" s="10">
        <v>2531140</v>
      </c>
      <c r="F514" s="10" t="s">
        <v>1257</v>
      </c>
      <c r="G514" s="69">
        <v>1197.0999999999999</v>
      </c>
      <c r="H514" s="69">
        <v>168.95</v>
      </c>
      <c r="I514" s="69">
        <f t="shared" si="143"/>
        <v>109.8175</v>
      </c>
      <c r="J514" s="70">
        <v>1</v>
      </c>
      <c r="K514" s="69">
        <f t="shared" si="144"/>
        <v>1067.5453</v>
      </c>
      <c r="L514" s="79" t="s">
        <v>468</v>
      </c>
      <c r="M514" s="61">
        <f t="shared" si="145"/>
        <v>38.223837499999995</v>
      </c>
      <c r="N514" s="61">
        <f t="shared" si="146"/>
        <v>18.204362499999998</v>
      </c>
      <c r="O514" s="61"/>
      <c r="P514" s="2"/>
      <c r="Q514" s="2"/>
      <c r="R514" s="32"/>
      <c r="S514" s="32"/>
      <c r="T514" s="32"/>
      <c r="U514" s="32"/>
      <c r="V514" s="2"/>
      <c r="W514" s="2"/>
      <c r="X514" s="2"/>
      <c r="Y514" s="2"/>
      <c r="Z514" s="2"/>
    </row>
    <row r="515" spans="1:26" ht="13.8" x14ac:dyDescent="0.3">
      <c r="A515" s="2" t="s">
        <v>370</v>
      </c>
      <c r="B515" s="2" t="s">
        <v>107</v>
      </c>
      <c r="C515" s="10">
        <v>2304025</v>
      </c>
      <c r="D515" s="10" t="s">
        <v>1162</v>
      </c>
      <c r="E515" s="10">
        <v>2531141</v>
      </c>
      <c r="F515" s="10" t="s">
        <v>1258</v>
      </c>
      <c r="G515" s="69">
        <v>106</v>
      </c>
      <c r="H515" s="69">
        <v>3.86</v>
      </c>
      <c r="I515" s="69">
        <f t="shared" si="143"/>
        <v>2.5089999999999999</v>
      </c>
      <c r="J515" s="70">
        <v>1</v>
      </c>
      <c r="K515" s="69">
        <f t="shared" si="144"/>
        <v>88.489840000000015</v>
      </c>
      <c r="L515" s="79" t="s">
        <v>468</v>
      </c>
      <c r="M515" s="61">
        <f t="shared" si="145"/>
        <v>3.6260450000000004</v>
      </c>
      <c r="N515" s="61">
        <f t="shared" si="146"/>
        <v>0.41591499999999992</v>
      </c>
      <c r="O515" s="61"/>
      <c r="P515" s="2"/>
      <c r="Q515" s="2"/>
      <c r="R515" s="32"/>
      <c r="S515" s="32"/>
      <c r="T515" s="32"/>
      <c r="U515" s="32"/>
      <c r="V515" s="2"/>
      <c r="W515" s="2"/>
      <c r="X515" s="2"/>
      <c r="Y515" s="2"/>
      <c r="Z515" s="2"/>
    </row>
    <row r="516" spans="1:26" ht="13.8" x14ac:dyDescent="0.3">
      <c r="A516" s="2" t="s">
        <v>370</v>
      </c>
      <c r="B516" s="2" t="s">
        <v>107</v>
      </c>
      <c r="C516" s="10">
        <v>2304025</v>
      </c>
      <c r="D516" s="10" t="s">
        <v>1162</v>
      </c>
      <c r="E516" s="10">
        <v>2531145</v>
      </c>
      <c r="F516" s="10" t="s">
        <v>1226</v>
      </c>
      <c r="G516" s="69">
        <v>1493.59</v>
      </c>
      <c r="H516" s="69">
        <v>122.67</v>
      </c>
      <c r="I516" s="69">
        <f t="shared" si="143"/>
        <v>79.735500000000002</v>
      </c>
      <c r="J516" s="70">
        <v>1</v>
      </c>
      <c r="K516" s="69">
        <f t="shared" si="144"/>
        <v>1284.0083300000001</v>
      </c>
      <c r="L516" s="79" t="s">
        <v>468</v>
      </c>
      <c r="M516" s="61">
        <f t="shared" si="145"/>
        <v>49.607577499999991</v>
      </c>
      <c r="N516" s="61">
        <f t="shared" si="146"/>
        <v>13.2176925</v>
      </c>
      <c r="O516" s="61"/>
      <c r="P516" s="2"/>
      <c r="Q516" s="2"/>
      <c r="R516" s="32"/>
      <c r="S516" s="32"/>
      <c r="T516" s="32"/>
      <c r="U516" s="32"/>
      <c r="V516" s="2"/>
      <c r="W516" s="2"/>
      <c r="X516" s="2"/>
      <c r="Y516" s="2"/>
      <c r="Z516" s="2"/>
    </row>
    <row r="517" spans="1:26" ht="13.8" x14ac:dyDescent="0.3">
      <c r="A517" s="2" t="s">
        <v>370</v>
      </c>
      <c r="B517" s="2" t="s">
        <v>107</v>
      </c>
      <c r="C517" s="10">
        <v>2304025</v>
      </c>
      <c r="D517" s="10" t="s">
        <v>1162</v>
      </c>
      <c r="E517" s="10">
        <v>2531146</v>
      </c>
      <c r="F517" s="10" t="s">
        <v>1227</v>
      </c>
      <c r="G517" s="69">
        <v>863.3</v>
      </c>
      <c r="H517" s="69">
        <v>68.45</v>
      </c>
      <c r="I517" s="69">
        <f t="shared" si="143"/>
        <v>44.492500000000007</v>
      </c>
      <c r="J517" s="70">
        <v>1</v>
      </c>
      <c r="K517" s="69">
        <f t="shared" si="144"/>
        <v>740.82629999999995</v>
      </c>
      <c r="L517" s="79" t="s">
        <v>468</v>
      </c>
      <c r="M517" s="61">
        <f t="shared" si="145"/>
        <v>28.726712499999994</v>
      </c>
      <c r="N517" s="61">
        <f t="shared" si="146"/>
        <v>7.3754875000000011</v>
      </c>
      <c r="O517" s="61"/>
      <c r="P517" s="2"/>
      <c r="Q517" s="2"/>
      <c r="R517" s="32"/>
      <c r="S517" s="32"/>
      <c r="T517" s="32"/>
      <c r="U517" s="32"/>
      <c r="V517" s="2"/>
      <c r="W517" s="2"/>
      <c r="X517" s="2"/>
      <c r="Y517" s="2"/>
      <c r="Z517" s="2"/>
    </row>
    <row r="518" spans="1:26" ht="13.8" x14ac:dyDescent="0.3">
      <c r="A518" s="2" t="s">
        <v>370</v>
      </c>
      <c r="B518" s="2" t="s">
        <v>107</v>
      </c>
      <c r="C518" s="10">
        <v>2304025</v>
      </c>
      <c r="D518" s="10" t="s">
        <v>1162</v>
      </c>
      <c r="E518" s="10">
        <v>2531390</v>
      </c>
      <c r="F518" s="10" t="s">
        <v>1229</v>
      </c>
      <c r="G518" s="69">
        <v>35.229999999999997</v>
      </c>
      <c r="H518" s="69">
        <v>52.08</v>
      </c>
      <c r="I518" s="69">
        <f t="shared" si="143"/>
        <v>33.851999999999997</v>
      </c>
      <c r="J518" s="70">
        <v>1</v>
      </c>
      <c r="K518" s="69">
        <f t="shared" si="144"/>
        <v>57.043969999999995</v>
      </c>
      <c r="L518" s="79" t="s">
        <v>468</v>
      </c>
      <c r="M518" s="61">
        <f t="shared" si="145"/>
        <v>0.10030999999999995</v>
      </c>
      <c r="N518" s="61">
        <f t="shared" si="146"/>
        <v>5.6116199999999994</v>
      </c>
      <c r="O518" s="61"/>
      <c r="P518" s="2"/>
      <c r="Q518" s="2"/>
      <c r="R518" s="32"/>
      <c r="S518" s="32"/>
      <c r="T518" s="32"/>
      <c r="U518" s="32"/>
      <c r="V518" s="2"/>
      <c r="W518" s="2"/>
      <c r="X518" s="2"/>
      <c r="Y518" s="2"/>
      <c r="Z518" s="2"/>
    </row>
    <row r="519" spans="1:26" ht="13.8" x14ac:dyDescent="0.3">
      <c r="A519" s="2" t="s">
        <v>370</v>
      </c>
      <c r="B519" s="2" t="s">
        <v>107</v>
      </c>
      <c r="C519" s="10">
        <v>2304025</v>
      </c>
      <c r="D519" s="10" t="s">
        <v>1162</v>
      </c>
      <c r="E519" s="10">
        <v>2538386</v>
      </c>
      <c r="F519" s="10" t="s">
        <v>1260</v>
      </c>
      <c r="G519" s="69">
        <v>80.290000000000006</v>
      </c>
      <c r="H519" s="69">
        <v>12.87</v>
      </c>
      <c r="I519" s="69">
        <f t="shared" si="143"/>
        <v>8.365499999999999</v>
      </c>
      <c r="J519" s="70">
        <v>1</v>
      </c>
      <c r="K519" s="69">
        <f t="shared" si="144"/>
        <v>72.437629999999999</v>
      </c>
      <c r="L519" s="79" t="s">
        <v>468</v>
      </c>
      <c r="M519" s="61">
        <f t="shared" si="145"/>
        <v>2.5302275000000005</v>
      </c>
      <c r="N519" s="61">
        <f t="shared" si="146"/>
        <v>1.3867424999999998</v>
      </c>
      <c r="O519" s="61"/>
      <c r="P519" s="2"/>
      <c r="Q519" s="2"/>
      <c r="R519" s="32"/>
      <c r="S519" s="32"/>
      <c r="T519" s="32"/>
      <c r="U519" s="32"/>
      <c r="V519" s="2"/>
      <c r="W519" s="2"/>
      <c r="X519" s="2"/>
      <c r="Y519" s="2"/>
      <c r="Z519" s="2"/>
    </row>
    <row r="520" spans="1:26" ht="13.8" x14ac:dyDescent="0.3">
      <c r="A520" s="2" t="s">
        <v>370</v>
      </c>
      <c r="B520" s="2" t="s">
        <v>107</v>
      </c>
      <c r="C520" s="10">
        <v>2304025</v>
      </c>
      <c r="D520" s="10" t="s">
        <v>1162</v>
      </c>
      <c r="E520" s="10">
        <v>2564684</v>
      </c>
      <c r="F520" s="10" t="s">
        <v>1282</v>
      </c>
      <c r="G520" s="69">
        <v>102.47</v>
      </c>
      <c r="H520" s="69">
        <v>20.71</v>
      </c>
      <c r="I520" s="69">
        <f t="shared" si="143"/>
        <v>13.461500000000001</v>
      </c>
      <c r="J520" s="70">
        <v>1</v>
      </c>
      <c r="K520" s="69">
        <f t="shared" si="144"/>
        <v>94.779290000000017</v>
      </c>
      <c r="L520" s="79" t="s">
        <v>468</v>
      </c>
      <c r="M520" s="61">
        <f t="shared" si="145"/>
        <v>3.1360074999999998</v>
      </c>
      <c r="N520" s="61">
        <f t="shared" si="146"/>
        <v>2.2315024999999999</v>
      </c>
      <c r="O520" s="61"/>
      <c r="P520" s="2"/>
      <c r="Q520" s="2"/>
      <c r="R520" s="32"/>
      <c r="S520" s="32"/>
      <c r="T520" s="32"/>
      <c r="U520" s="32"/>
      <c r="V520" s="2"/>
      <c r="W520" s="2"/>
      <c r="X520" s="2"/>
      <c r="Y520" s="2"/>
      <c r="Z520" s="2"/>
    </row>
    <row r="521" spans="1:26" ht="13.8" x14ac:dyDescent="0.3">
      <c r="A521" s="2" t="s">
        <v>370</v>
      </c>
      <c r="B521" s="2" t="s">
        <v>107</v>
      </c>
      <c r="C521" s="10">
        <v>2304025</v>
      </c>
      <c r="D521" s="10" t="s">
        <v>1162</v>
      </c>
      <c r="E521" s="10">
        <v>2575716</v>
      </c>
      <c r="F521" s="10" t="s">
        <v>1283</v>
      </c>
      <c r="G521" s="69">
        <v>8.36</v>
      </c>
      <c r="H521" s="69">
        <v>2.87</v>
      </c>
      <c r="I521" s="69">
        <f t="shared" si="143"/>
        <v>1.8655000000000002</v>
      </c>
      <c r="J521" s="70">
        <v>1</v>
      </c>
      <c r="K521" s="69">
        <f t="shared" si="144"/>
        <v>8.3746800000000015</v>
      </c>
      <c r="L521" s="79" t="s">
        <v>468</v>
      </c>
      <c r="M521" s="61">
        <f t="shared" si="145"/>
        <v>0.23017749999999998</v>
      </c>
      <c r="N521" s="61">
        <f t="shared" si="146"/>
        <v>0.30924250000000003</v>
      </c>
      <c r="O521" s="61"/>
      <c r="P521" s="2"/>
      <c r="Q521" s="2"/>
      <c r="R521" s="32"/>
      <c r="S521" s="32"/>
      <c r="T521" s="32"/>
      <c r="U521" s="32"/>
      <c r="V521" s="2"/>
      <c r="W521" s="2"/>
      <c r="X521" s="2"/>
      <c r="Y521" s="2"/>
      <c r="Z521" s="2"/>
    </row>
    <row r="522" spans="1:26" ht="13.8" x14ac:dyDescent="0.3">
      <c r="A522" s="2" t="s">
        <v>370</v>
      </c>
      <c r="B522" s="2" t="s">
        <v>107</v>
      </c>
      <c r="C522" s="10">
        <v>2304025</v>
      </c>
      <c r="D522" s="10" t="s">
        <v>1162</v>
      </c>
      <c r="E522" s="10">
        <v>2575824</v>
      </c>
      <c r="F522" s="10" t="s">
        <v>1284</v>
      </c>
      <c r="G522" s="69">
        <v>-49.53</v>
      </c>
      <c r="H522" s="69">
        <v>6.01</v>
      </c>
      <c r="I522" s="69">
        <f t="shared" si="143"/>
        <v>3.9064999999999999</v>
      </c>
      <c r="J522" s="70">
        <v>1</v>
      </c>
      <c r="K522" s="69">
        <f t="shared" si="144"/>
        <v>-37.097510000000007</v>
      </c>
      <c r="L522" s="79" t="s">
        <v>468</v>
      </c>
      <c r="M522" s="61">
        <f t="shared" si="145"/>
        <v>-1.8642675</v>
      </c>
      <c r="N522" s="61">
        <f t="shared" si="146"/>
        <v>0.64757749999999992</v>
      </c>
      <c r="O522" s="61"/>
      <c r="P522" s="2"/>
      <c r="Q522" s="2"/>
      <c r="R522" s="32"/>
      <c r="S522" s="32"/>
      <c r="T522" s="32"/>
      <c r="U522" s="32"/>
      <c r="V522" s="2"/>
      <c r="W522" s="2"/>
      <c r="X522" s="2"/>
      <c r="Y522" s="2"/>
      <c r="Z522" s="2"/>
    </row>
    <row r="523" spans="1:26" ht="13.8" x14ac:dyDescent="0.3">
      <c r="A523" s="2" t="s">
        <v>370</v>
      </c>
      <c r="B523" s="2" t="s">
        <v>107</v>
      </c>
      <c r="C523" s="10">
        <v>2304025</v>
      </c>
      <c r="D523" s="10" t="s">
        <v>1162</v>
      </c>
      <c r="E523" s="10">
        <v>2575978</v>
      </c>
      <c r="F523" s="10" t="s">
        <v>1285</v>
      </c>
      <c r="G523" s="69">
        <v>-464.7</v>
      </c>
      <c r="H523" s="69">
        <v>28.95</v>
      </c>
      <c r="I523" s="69">
        <f t="shared" si="143"/>
        <v>18.817499999999999</v>
      </c>
      <c r="J523" s="70">
        <v>1</v>
      </c>
      <c r="K523" s="69">
        <f t="shared" si="144"/>
        <v>-362.98169999999999</v>
      </c>
      <c r="L523" s="79" t="s">
        <v>468</v>
      </c>
      <c r="M523" s="61">
        <f t="shared" si="145"/>
        <v>-16.894162499999997</v>
      </c>
      <c r="N523" s="61">
        <f t="shared" si="146"/>
        <v>3.1193624999999998</v>
      </c>
      <c r="O523" s="61"/>
      <c r="P523" s="2"/>
      <c r="Q523" s="2"/>
      <c r="R523" s="32"/>
      <c r="S523" s="32"/>
      <c r="T523" s="32"/>
      <c r="U523" s="32"/>
      <c r="V523" s="2"/>
      <c r="W523" s="2"/>
      <c r="X523" s="2"/>
      <c r="Y523" s="2"/>
      <c r="Z523" s="2"/>
    </row>
    <row r="524" spans="1:26" ht="13.8" x14ac:dyDescent="0.3">
      <c r="A524" s="2" t="s">
        <v>370</v>
      </c>
      <c r="B524" s="2" t="s">
        <v>107</v>
      </c>
      <c r="C524" s="10">
        <v>2566294</v>
      </c>
      <c r="D524" s="10" t="s">
        <v>1276</v>
      </c>
      <c r="E524" s="10">
        <v>2525032</v>
      </c>
      <c r="F524" s="10" t="s">
        <v>1277</v>
      </c>
      <c r="G524" s="69">
        <v>-487.02</v>
      </c>
      <c r="H524" s="69">
        <v>248.99</v>
      </c>
      <c r="I524" s="69">
        <f t="shared" si="143"/>
        <v>161.84350000000001</v>
      </c>
      <c r="J524" s="70">
        <v>1</v>
      </c>
      <c r="K524" s="69">
        <f t="shared" si="144"/>
        <v>-261.47073999999998</v>
      </c>
      <c r="L524" s="79" t="s">
        <v>468</v>
      </c>
      <c r="M524" s="61">
        <f>(G524*0.05-H524*0.25*0.15)*J524*0.7-(-H524*0.02*0.15)*J524</f>
        <v>-22.834717499999996</v>
      </c>
      <c r="N524" s="61">
        <f>(H524*0.1*0.85+I524*0.05)*J524*0.7+H524*0.02*0.85*J524</f>
        <v>24.7122575</v>
      </c>
      <c r="O524" s="61"/>
      <c r="P524" s="2"/>
      <c r="Q524" s="2"/>
      <c r="R524" s="32"/>
      <c r="S524" s="32"/>
      <c r="T524" s="32"/>
      <c r="U524" s="32"/>
      <c r="V524" s="2"/>
      <c r="W524" s="2"/>
      <c r="X524" s="2"/>
      <c r="Y524" s="2"/>
      <c r="Z524" s="2"/>
    </row>
    <row r="525" spans="1:26" ht="13.8" x14ac:dyDescent="0.3">
      <c r="A525" s="2" t="s">
        <v>370</v>
      </c>
      <c r="B525" s="32" t="s">
        <v>61</v>
      </c>
      <c r="C525" s="10" t="s">
        <v>1230</v>
      </c>
      <c r="D525" s="10" t="s">
        <v>1231</v>
      </c>
      <c r="E525" s="2" t="s">
        <v>1230</v>
      </c>
      <c r="F525" s="2" t="s">
        <v>1231</v>
      </c>
      <c r="G525" s="69">
        <v>594.52</v>
      </c>
      <c r="H525" s="69">
        <v>112.74</v>
      </c>
      <c r="I525" s="69">
        <f>H525*0.57</f>
        <v>64.261799999999994</v>
      </c>
      <c r="J525" s="70">
        <v>1.1366099999999999</v>
      </c>
      <c r="K525" s="69">
        <f t="shared" ref="K525:K542" si="147">(G525+I525)*J525</f>
        <v>748.77798169799985</v>
      </c>
      <c r="L525" s="78" t="s">
        <v>468</v>
      </c>
      <c r="M525" s="61">
        <v>0</v>
      </c>
      <c r="N525" s="61">
        <f t="shared" ref="N525:N526" si="148">H525*0.08*J525</f>
        <v>10.251312911999999</v>
      </c>
      <c r="O525" s="58"/>
      <c r="P525" s="2"/>
      <c r="Q525" s="2"/>
      <c r="R525" s="32"/>
      <c r="S525" s="32"/>
      <c r="T525" s="32"/>
      <c r="U525" s="32"/>
      <c r="V525" s="2"/>
      <c r="W525" s="2"/>
      <c r="X525" s="2"/>
      <c r="Y525" s="2"/>
      <c r="Z525" s="2"/>
    </row>
    <row r="526" spans="1:26" ht="13.8" x14ac:dyDescent="0.3">
      <c r="A526" s="2" t="s">
        <v>372</v>
      </c>
      <c r="B526" s="32" t="s">
        <v>69</v>
      </c>
      <c r="C526" s="10" t="s">
        <v>1230</v>
      </c>
      <c r="D526" s="10" t="s">
        <v>1231</v>
      </c>
      <c r="E526" s="10" t="s">
        <v>1232</v>
      </c>
      <c r="F526" s="10" t="s">
        <v>1233</v>
      </c>
      <c r="G526" s="69">
        <v>-692.45</v>
      </c>
      <c r="H526" s="69">
        <v>122.04</v>
      </c>
      <c r="I526" s="69">
        <f>H526*0.72</f>
        <v>87.868800000000007</v>
      </c>
      <c r="J526" s="70">
        <v>1</v>
      </c>
      <c r="K526" s="69">
        <f t="shared" si="147"/>
        <v>-604.58120000000008</v>
      </c>
      <c r="L526" s="78">
        <f>H526*0.05*J526</f>
        <v>6.1020000000000003</v>
      </c>
      <c r="M526" s="61">
        <v>0</v>
      </c>
      <c r="N526" s="61">
        <f t="shared" si="148"/>
        <v>9.7632000000000012</v>
      </c>
      <c r="O526" s="58"/>
      <c r="P526" s="2"/>
      <c r="Q526" s="2"/>
      <c r="R526" s="32"/>
      <c r="S526" s="32"/>
      <c r="T526" s="32"/>
      <c r="U526" s="32"/>
      <c r="V526" s="2"/>
      <c r="W526" s="2"/>
      <c r="X526" s="2"/>
      <c r="Y526" s="2"/>
      <c r="Z526" s="2"/>
    </row>
    <row r="527" spans="1:26" ht="13.8" x14ac:dyDescent="0.3">
      <c r="A527" s="2" t="s">
        <v>372</v>
      </c>
      <c r="B527" s="10" t="s">
        <v>184</v>
      </c>
      <c r="C527" s="10" t="s">
        <v>1158</v>
      </c>
      <c r="D527" s="10" t="s">
        <v>1159</v>
      </c>
      <c r="E527" s="10" t="s">
        <v>1158</v>
      </c>
      <c r="F527" s="10" t="s">
        <v>1159</v>
      </c>
      <c r="G527" s="69">
        <v>7858.61</v>
      </c>
      <c r="H527" s="69">
        <v>4596.6000000000004</v>
      </c>
      <c r="I527" s="69">
        <f t="shared" ref="I527:I536" si="149">H527*0.725</f>
        <v>3332.5350000000003</v>
      </c>
      <c r="J527" s="75">
        <v>0.27928999999999998</v>
      </c>
      <c r="K527" s="69">
        <f t="shared" si="147"/>
        <v>3125.5748870500001</v>
      </c>
      <c r="L527" s="78">
        <f t="shared" ref="L527:L536" si="150">H527*0.025*J527</f>
        <v>32.094610350000004</v>
      </c>
      <c r="M527" s="61">
        <v>0</v>
      </c>
      <c r="N527" s="61">
        <f t="shared" ref="N527:N536" si="151">H527*0.05*J527</f>
        <v>64.189220700000007</v>
      </c>
      <c r="O527" s="58"/>
      <c r="P527" s="2"/>
      <c r="Q527" s="2"/>
      <c r="R527" s="32"/>
      <c r="S527" s="32"/>
      <c r="T527" s="32"/>
      <c r="U527" s="32"/>
      <c r="V527" s="2"/>
      <c r="W527" s="2"/>
      <c r="X527" s="2"/>
      <c r="Y527" s="2"/>
      <c r="Z527" s="2"/>
    </row>
    <row r="528" spans="1:26" ht="13.8" x14ac:dyDescent="0.3">
      <c r="A528" s="2" t="s">
        <v>372</v>
      </c>
      <c r="B528" s="10" t="s">
        <v>184</v>
      </c>
      <c r="C528" s="10" t="s">
        <v>1138</v>
      </c>
      <c r="D528" s="10" t="s">
        <v>1139</v>
      </c>
      <c r="E528" s="10" t="s">
        <v>1138</v>
      </c>
      <c r="F528" s="10" t="s">
        <v>1139</v>
      </c>
      <c r="G528" s="69">
        <v>0</v>
      </c>
      <c r="H528" s="69">
        <v>0</v>
      </c>
      <c r="I528" s="69">
        <f t="shared" si="149"/>
        <v>0</v>
      </c>
      <c r="J528" s="75">
        <v>0.27928999999999998</v>
      </c>
      <c r="K528" s="69">
        <f t="shared" si="147"/>
        <v>0</v>
      </c>
      <c r="L528" s="78">
        <f t="shared" si="150"/>
        <v>0</v>
      </c>
      <c r="M528" s="61">
        <v>0</v>
      </c>
      <c r="N528" s="61">
        <f t="shared" si="151"/>
        <v>0</v>
      </c>
      <c r="O528" s="58"/>
      <c r="P528" s="2"/>
      <c r="Q528" s="2"/>
      <c r="R528" s="32"/>
      <c r="S528" s="32"/>
      <c r="T528" s="32"/>
      <c r="U528" s="32"/>
      <c r="V528" s="2"/>
      <c r="W528" s="2"/>
      <c r="X528" s="2"/>
      <c r="Y528" s="2"/>
      <c r="Z528" s="2"/>
    </row>
    <row r="529" spans="1:26" ht="13.8" x14ac:dyDescent="0.3">
      <c r="A529" s="2" t="s">
        <v>372</v>
      </c>
      <c r="B529" s="10" t="s">
        <v>184</v>
      </c>
      <c r="C529" s="10" t="s">
        <v>1138</v>
      </c>
      <c r="D529" s="10" t="s">
        <v>1139</v>
      </c>
      <c r="E529" s="10" t="s">
        <v>1268</v>
      </c>
      <c r="F529" s="10" t="s">
        <v>1269</v>
      </c>
      <c r="G529" s="69">
        <v>651.97</v>
      </c>
      <c r="H529" s="69">
        <v>586.6</v>
      </c>
      <c r="I529" s="69">
        <f t="shared" si="149"/>
        <v>425.28500000000003</v>
      </c>
      <c r="J529" s="75">
        <v>0.27928999999999998</v>
      </c>
      <c r="K529" s="69">
        <f t="shared" si="147"/>
        <v>300.86654895000004</v>
      </c>
      <c r="L529" s="78">
        <f t="shared" si="150"/>
        <v>4.0957878499999998</v>
      </c>
      <c r="M529" s="61">
        <v>0</v>
      </c>
      <c r="N529" s="61">
        <f t="shared" si="151"/>
        <v>8.1915756999999996</v>
      </c>
      <c r="O529" s="58"/>
      <c r="P529" s="2"/>
      <c r="Q529" s="2"/>
      <c r="R529" s="32"/>
      <c r="S529" s="32"/>
      <c r="T529" s="32"/>
      <c r="U529" s="32"/>
      <c r="V529" s="2"/>
      <c r="W529" s="2"/>
      <c r="X529" s="2"/>
      <c r="Y529" s="2"/>
      <c r="Z529" s="2"/>
    </row>
    <row r="530" spans="1:26" ht="13.8" x14ac:dyDescent="0.3">
      <c r="A530" s="2" t="s">
        <v>372</v>
      </c>
      <c r="B530" s="10" t="s">
        <v>184</v>
      </c>
      <c r="C530" s="10" t="s">
        <v>1138</v>
      </c>
      <c r="D530" s="10" t="s">
        <v>1139</v>
      </c>
      <c r="E530" s="10" t="s">
        <v>1246</v>
      </c>
      <c r="F530" s="10" t="s">
        <v>1247</v>
      </c>
      <c r="G530" s="69">
        <v>1547.38</v>
      </c>
      <c r="H530" s="69">
        <v>372.66</v>
      </c>
      <c r="I530" s="69">
        <f t="shared" si="149"/>
        <v>270.17849999999999</v>
      </c>
      <c r="J530" s="75">
        <v>0.27928999999999998</v>
      </c>
      <c r="K530" s="69">
        <f t="shared" si="147"/>
        <v>507.625913465</v>
      </c>
      <c r="L530" s="78">
        <f t="shared" si="150"/>
        <v>2.6020052850000002</v>
      </c>
      <c r="M530" s="61">
        <v>0</v>
      </c>
      <c r="N530" s="61">
        <f t="shared" si="151"/>
        <v>5.2040105700000003</v>
      </c>
      <c r="O530" s="58"/>
      <c r="P530" s="2"/>
      <c r="Q530" s="2"/>
      <c r="R530" s="32"/>
      <c r="S530" s="32"/>
      <c r="T530" s="32"/>
      <c r="U530" s="32"/>
      <c r="V530" s="2"/>
      <c r="W530" s="2"/>
      <c r="X530" s="2"/>
      <c r="Y530" s="2"/>
      <c r="Z530" s="2"/>
    </row>
    <row r="531" spans="1:26" ht="13.8" x14ac:dyDescent="0.3">
      <c r="A531" s="2" t="s">
        <v>372</v>
      </c>
      <c r="B531" s="10" t="s">
        <v>184</v>
      </c>
      <c r="C531" s="10" t="s">
        <v>1138</v>
      </c>
      <c r="D531" s="10" t="s">
        <v>1139</v>
      </c>
      <c r="E531" s="10" t="s">
        <v>1140</v>
      </c>
      <c r="F531" s="10" t="s">
        <v>1141</v>
      </c>
      <c r="G531" s="69">
        <v>-553.64</v>
      </c>
      <c r="H531" s="69">
        <v>1571.83</v>
      </c>
      <c r="I531" s="69">
        <f t="shared" si="149"/>
        <v>1139.5767499999999</v>
      </c>
      <c r="J531" s="75">
        <v>0.27928999999999998</v>
      </c>
      <c r="K531" s="69">
        <f t="shared" si="147"/>
        <v>163.64627490749999</v>
      </c>
      <c r="L531" s="78">
        <f t="shared" si="150"/>
        <v>10.974910017499999</v>
      </c>
      <c r="M531" s="61">
        <v>0</v>
      </c>
      <c r="N531" s="61">
        <f t="shared" si="151"/>
        <v>21.949820034999998</v>
      </c>
      <c r="O531" s="58"/>
      <c r="P531" s="2"/>
      <c r="Q531" s="2"/>
      <c r="R531" s="32"/>
      <c r="S531" s="32"/>
      <c r="T531" s="32"/>
      <c r="U531" s="32"/>
      <c r="V531" s="2"/>
      <c r="W531" s="2"/>
      <c r="X531" s="2"/>
      <c r="Y531" s="2"/>
      <c r="Z531" s="2"/>
    </row>
    <row r="532" spans="1:26" ht="13.8" x14ac:dyDescent="0.3">
      <c r="A532" s="2" t="s">
        <v>372</v>
      </c>
      <c r="B532" s="10" t="s">
        <v>184</v>
      </c>
      <c r="C532" s="10" t="s">
        <v>1138</v>
      </c>
      <c r="D532" s="10" t="s">
        <v>1139</v>
      </c>
      <c r="E532" s="10" t="s">
        <v>1304</v>
      </c>
      <c r="F532" s="10" t="s">
        <v>1305</v>
      </c>
      <c r="G532" s="69">
        <v>-799.83</v>
      </c>
      <c r="H532" s="69">
        <v>50.52</v>
      </c>
      <c r="I532" s="69">
        <f t="shared" si="149"/>
        <v>36.627000000000002</v>
      </c>
      <c r="J532" s="75">
        <v>0.27928999999999998</v>
      </c>
      <c r="K532" s="69">
        <f t="shared" si="147"/>
        <v>-213.15496587000001</v>
      </c>
      <c r="L532" s="78">
        <f t="shared" si="150"/>
        <v>0.35274327</v>
      </c>
      <c r="M532" s="61">
        <v>0</v>
      </c>
      <c r="N532" s="61">
        <f t="shared" si="151"/>
        <v>0.70548654</v>
      </c>
      <c r="O532" s="58"/>
      <c r="P532" s="2"/>
      <c r="Q532" s="2"/>
      <c r="R532" s="32"/>
      <c r="S532" s="32"/>
      <c r="T532" s="32"/>
      <c r="U532" s="32"/>
      <c r="V532" s="2"/>
      <c r="W532" s="2"/>
      <c r="X532" s="2"/>
      <c r="Y532" s="2"/>
      <c r="Z532" s="2"/>
    </row>
    <row r="533" spans="1:26" ht="13.8" x14ac:dyDescent="0.3">
      <c r="A533" s="2" t="s">
        <v>372</v>
      </c>
      <c r="B533" s="10" t="s">
        <v>184</v>
      </c>
      <c r="C533" s="10" t="s">
        <v>1138</v>
      </c>
      <c r="D533" s="10" t="s">
        <v>1139</v>
      </c>
      <c r="E533" s="10" t="s">
        <v>1143</v>
      </c>
      <c r="F533" s="10" t="s">
        <v>1144</v>
      </c>
      <c r="G533" s="69">
        <v>4230.8</v>
      </c>
      <c r="H533" s="69">
        <v>808.48</v>
      </c>
      <c r="I533" s="69">
        <f t="shared" si="149"/>
        <v>586.14800000000002</v>
      </c>
      <c r="J533" s="75">
        <v>0.27928999999999998</v>
      </c>
      <c r="K533" s="69">
        <f t="shared" si="147"/>
        <v>1345.32540692</v>
      </c>
      <c r="L533" s="78">
        <f t="shared" si="150"/>
        <v>5.6450094800000006</v>
      </c>
      <c r="M533" s="61">
        <v>0</v>
      </c>
      <c r="N533" s="61">
        <f t="shared" si="151"/>
        <v>11.290018960000001</v>
      </c>
      <c r="O533" s="58"/>
      <c r="P533" s="2"/>
      <c r="Q533" s="2"/>
      <c r="R533" s="32"/>
      <c r="S533" s="32"/>
      <c r="T533" s="32"/>
      <c r="U533" s="32"/>
      <c r="V533" s="2"/>
      <c r="W533" s="2"/>
      <c r="X533" s="2"/>
      <c r="Y533" s="2"/>
      <c r="Z533" s="2"/>
    </row>
    <row r="534" spans="1:26" ht="13.8" x14ac:dyDescent="0.3">
      <c r="A534" s="2" t="s">
        <v>372</v>
      </c>
      <c r="B534" s="10" t="s">
        <v>184</v>
      </c>
      <c r="C534" s="10" t="s">
        <v>1138</v>
      </c>
      <c r="D534" s="10" t="s">
        <v>1139</v>
      </c>
      <c r="E534" s="10" t="s">
        <v>1240</v>
      </c>
      <c r="F534" s="10" t="s">
        <v>1241</v>
      </c>
      <c r="G534" s="69">
        <v>2645.64</v>
      </c>
      <c r="H534" s="69">
        <v>306.35000000000002</v>
      </c>
      <c r="I534" s="69">
        <f t="shared" si="149"/>
        <v>222.10375000000002</v>
      </c>
      <c r="J534" s="75">
        <v>0.27928999999999998</v>
      </c>
      <c r="K534" s="69">
        <f t="shared" si="147"/>
        <v>800.93215193749995</v>
      </c>
      <c r="L534" s="78">
        <f t="shared" si="150"/>
        <v>2.1390122875000004</v>
      </c>
      <c r="M534" s="61">
        <v>0</v>
      </c>
      <c r="N534" s="61">
        <f t="shared" si="151"/>
        <v>4.2780245750000008</v>
      </c>
      <c r="O534" s="58"/>
      <c r="P534" s="2"/>
      <c r="Q534" s="2"/>
      <c r="R534" s="32"/>
      <c r="S534" s="32"/>
      <c r="T534" s="32"/>
      <c r="U534" s="32"/>
      <c r="V534" s="2"/>
      <c r="W534" s="2"/>
      <c r="X534" s="2"/>
      <c r="Y534" s="2"/>
      <c r="Z534" s="2"/>
    </row>
    <row r="535" spans="1:26" ht="13.8" x14ac:dyDescent="0.3">
      <c r="A535" s="2" t="s">
        <v>372</v>
      </c>
      <c r="B535" s="10" t="s">
        <v>184</v>
      </c>
      <c r="C535" s="10" t="s">
        <v>1138</v>
      </c>
      <c r="D535" s="10" t="s">
        <v>1139</v>
      </c>
      <c r="E535" s="10" t="s">
        <v>1306</v>
      </c>
      <c r="F535" s="10" t="s">
        <v>1307</v>
      </c>
      <c r="G535" s="69">
        <v>310.77</v>
      </c>
      <c r="H535" s="69">
        <v>1167.1500000000001</v>
      </c>
      <c r="I535" s="69">
        <f t="shared" si="149"/>
        <v>846.18375000000003</v>
      </c>
      <c r="J535" s="75">
        <v>0.27928999999999998</v>
      </c>
      <c r="K535" s="69">
        <f t="shared" si="147"/>
        <v>323.1256128375</v>
      </c>
      <c r="L535" s="78">
        <f t="shared" si="150"/>
        <v>8.1493330875000005</v>
      </c>
      <c r="M535" s="61">
        <v>0</v>
      </c>
      <c r="N535" s="61">
        <f t="shared" si="151"/>
        <v>16.298666175000001</v>
      </c>
      <c r="O535" s="58"/>
      <c r="P535" s="2"/>
      <c r="Q535" s="2"/>
      <c r="R535" s="32"/>
      <c r="S535" s="32"/>
      <c r="T535" s="32"/>
      <c r="U535" s="32"/>
      <c r="V535" s="2"/>
      <c r="W535" s="2"/>
      <c r="X535" s="2"/>
      <c r="Y535" s="2"/>
      <c r="Z535" s="2"/>
    </row>
    <row r="536" spans="1:26" ht="13.8" x14ac:dyDescent="0.3">
      <c r="A536" s="2" t="s">
        <v>372</v>
      </c>
      <c r="B536" s="10" t="s">
        <v>184</v>
      </c>
      <c r="C536" s="10" t="s">
        <v>1138</v>
      </c>
      <c r="D536" s="10" t="s">
        <v>1139</v>
      </c>
      <c r="E536" s="10" t="s">
        <v>1238</v>
      </c>
      <c r="F536" s="10" t="s">
        <v>1239</v>
      </c>
      <c r="G536" s="69">
        <v>0</v>
      </c>
      <c r="H536" s="69">
        <v>0</v>
      </c>
      <c r="I536" s="69">
        <f t="shared" si="149"/>
        <v>0</v>
      </c>
      <c r="J536" s="75">
        <v>0.27928999999999998</v>
      </c>
      <c r="K536" s="69">
        <f t="shared" si="147"/>
        <v>0</v>
      </c>
      <c r="L536" s="78">
        <f t="shared" si="150"/>
        <v>0</v>
      </c>
      <c r="M536" s="61">
        <v>0</v>
      </c>
      <c r="N536" s="61">
        <f t="shared" si="151"/>
        <v>0</v>
      </c>
      <c r="O536" s="58"/>
      <c r="P536" s="2"/>
      <c r="Q536" s="2"/>
      <c r="R536" s="32"/>
      <c r="S536" s="32"/>
      <c r="T536" s="32"/>
      <c r="U536" s="32"/>
      <c r="V536" s="2"/>
      <c r="W536" s="2"/>
      <c r="X536" s="2"/>
      <c r="Y536" s="2"/>
      <c r="Z536" s="2"/>
    </row>
    <row r="537" spans="1:26" ht="13.8" x14ac:dyDescent="0.3">
      <c r="A537" s="2" t="s">
        <v>372</v>
      </c>
      <c r="B537" s="29" t="s">
        <v>35</v>
      </c>
      <c r="C537" s="10" t="s">
        <v>1114</v>
      </c>
      <c r="D537" s="10" t="s">
        <v>1115</v>
      </c>
      <c r="E537" s="10" t="s">
        <v>1298</v>
      </c>
      <c r="F537" s="10" t="s">
        <v>1299</v>
      </c>
      <c r="G537" s="69">
        <v>2985.02</v>
      </c>
      <c r="H537" s="69">
        <v>754.03</v>
      </c>
      <c r="I537" s="69">
        <f t="shared" ref="I537:I542" si="152">H537*0.79</f>
        <v>595.68370000000004</v>
      </c>
      <c r="J537" s="75">
        <v>0.27928999999999998</v>
      </c>
      <c r="K537" s="69">
        <f t="shared" si="147"/>
        <v>1000.054736373</v>
      </c>
      <c r="L537" s="78">
        <f t="shared" ref="L537:L542" si="153">H537*0.05*J537</f>
        <v>10.529651935</v>
      </c>
      <c r="M537" s="61">
        <v>0</v>
      </c>
      <c r="N537" s="61">
        <f t="shared" ref="N537:N542" si="154">H537*0.04*J537</f>
        <v>8.4237215479999996</v>
      </c>
      <c r="O537" s="61"/>
      <c r="P537" s="2"/>
      <c r="Q537" s="2"/>
      <c r="R537" s="32"/>
      <c r="S537" s="32"/>
      <c r="T537" s="32"/>
      <c r="U537" s="32"/>
      <c r="V537" s="2"/>
      <c r="W537" s="2"/>
      <c r="X537" s="2"/>
      <c r="Y537" s="2"/>
      <c r="Z537" s="2"/>
    </row>
    <row r="538" spans="1:26" ht="13.8" x14ac:dyDescent="0.3">
      <c r="A538" s="2" t="s">
        <v>372</v>
      </c>
      <c r="B538" s="29" t="s">
        <v>35</v>
      </c>
      <c r="C538" s="10" t="s">
        <v>1290</v>
      </c>
      <c r="D538" s="10" t="s">
        <v>1291</v>
      </c>
      <c r="E538" s="10" t="s">
        <v>1292</v>
      </c>
      <c r="F538" s="10" t="s">
        <v>1293</v>
      </c>
      <c r="G538" s="69">
        <v>-36461.29</v>
      </c>
      <c r="H538" s="69">
        <v>15967.98</v>
      </c>
      <c r="I538" s="69">
        <f t="shared" si="152"/>
        <v>12614.7042</v>
      </c>
      <c r="J538" s="75">
        <v>0.27928999999999998</v>
      </c>
      <c r="K538" s="69">
        <f t="shared" si="147"/>
        <v>-6660.112948082</v>
      </c>
      <c r="L538" s="78">
        <f t="shared" si="153"/>
        <v>222.98485670999997</v>
      </c>
      <c r="M538" s="61">
        <v>0</v>
      </c>
      <c r="N538" s="61">
        <f t="shared" si="154"/>
        <v>178.38788536799998</v>
      </c>
      <c r="O538" s="61"/>
      <c r="P538" s="2"/>
      <c r="Q538" s="2"/>
      <c r="R538" s="32"/>
      <c r="S538" s="32"/>
      <c r="T538" s="32"/>
      <c r="U538" s="32"/>
      <c r="V538" s="2"/>
      <c r="W538" s="2"/>
      <c r="X538" s="2"/>
      <c r="Y538" s="2"/>
      <c r="Z538" s="2"/>
    </row>
    <row r="539" spans="1:26" ht="13.8" x14ac:dyDescent="0.3">
      <c r="A539" s="2" t="s">
        <v>372</v>
      </c>
      <c r="B539" s="29" t="s">
        <v>35</v>
      </c>
      <c r="C539" s="10" t="s">
        <v>1138</v>
      </c>
      <c r="D539" s="10" t="s">
        <v>1139</v>
      </c>
      <c r="E539" s="10" t="s">
        <v>1238</v>
      </c>
      <c r="F539" s="10" t="s">
        <v>1239</v>
      </c>
      <c r="G539" s="69">
        <v>-1566.32</v>
      </c>
      <c r="H539" s="69">
        <v>122.87</v>
      </c>
      <c r="I539" s="69">
        <f t="shared" si="152"/>
        <v>97.067300000000003</v>
      </c>
      <c r="J539" s="75">
        <v>0.27928999999999998</v>
      </c>
      <c r="K539" s="69">
        <f t="shared" si="147"/>
        <v>-410.34758658299995</v>
      </c>
      <c r="L539" s="78">
        <f t="shared" si="153"/>
        <v>1.715818115</v>
      </c>
      <c r="M539" s="61">
        <v>0</v>
      </c>
      <c r="N539" s="61">
        <f t="shared" si="154"/>
        <v>1.3726544920000001</v>
      </c>
      <c r="O539" s="61"/>
      <c r="P539" s="2"/>
      <c r="Q539" s="2"/>
      <c r="R539" s="32"/>
      <c r="S539" s="32"/>
      <c r="T539" s="32"/>
      <c r="U539" s="32"/>
      <c r="V539" s="2"/>
      <c r="W539" s="2"/>
      <c r="X539" s="2"/>
      <c r="Y539" s="2"/>
      <c r="Z539" s="2"/>
    </row>
    <row r="540" spans="1:26" ht="13.8" x14ac:dyDescent="0.3">
      <c r="A540" s="2" t="s">
        <v>372</v>
      </c>
      <c r="B540" s="29" t="s">
        <v>35</v>
      </c>
      <c r="C540" s="10" t="s">
        <v>1138</v>
      </c>
      <c r="D540" s="10" t="s">
        <v>1139</v>
      </c>
      <c r="E540" s="10" t="s">
        <v>1143</v>
      </c>
      <c r="F540" s="10" t="s">
        <v>1144</v>
      </c>
      <c r="G540" s="69">
        <v>30</v>
      </c>
      <c r="H540" s="69">
        <v>0</v>
      </c>
      <c r="I540" s="69">
        <f t="shared" si="152"/>
        <v>0</v>
      </c>
      <c r="J540" s="75">
        <v>0.27928999999999998</v>
      </c>
      <c r="K540" s="69">
        <f t="shared" si="147"/>
        <v>8.3787000000000003</v>
      </c>
      <c r="L540" s="78">
        <f t="shared" si="153"/>
        <v>0</v>
      </c>
      <c r="M540" s="61">
        <v>0</v>
      </c>
      <c r="N540" s="61">
        <f t="shared" si="154"/>
        <v>0</v>
      </c>
      <c r="O540" s="61"/>
      <c r="P540" s="2"/>
      <c r="Q540" s="2"/>
      <c r="R540" s="32"/>
      <c r="S540" s="32"/>
      <c r="T540" s="32"/>
      <c r="U540" s="32"/>
      <c r="V540" s="2"/>
      <c r="W540" s="2"/>
      <c r="X540" s="2"/>
      <c r="Y540" s="2"/>
      <c r="Z540" s="2"/>
    </row>
    <row r="541" spans="1:26" ht="13.8" x14ac:dyDescent="0.3">
      <c r="A541" s="2" t="s">
        <v>372</v>
      </c>
      <c r="B541" s="29" t="s">
        <v>35</v>
      </c>
      <c r="C541" s="10" t="s">
        <v>1138</v>
      </c>
      <c r="D541" s="10" t="s">
        <v>1139</v>
      </c>
      <c r="E541" s="10" t="s">
        <v>1240</v>
      </c>
      <c r="F541" s="10" t="s">
        <v>1241</v>
      </c>
      <c r="G541" s="69">
        <v>987.95</v>
      </c>
      <c r="H541" s="69">
        <v>153.05000000000001</v>
      </c>
      <c r="I541" s="69">
        <f t="shared" si="152"/>
        <v>120.90950000000001</v>
      </c>
      <c r="J541" s="75">
        <v>0.27928999999999998</v>
      </c>
      <c r="K541" s="69">
        <f t="shared" si="147"/>
        <v>309.69336975499999</v>
      </c>
      <c r="L541" s="78">
        <f t="shared" si="153"/>
        <v>2.1372667249999999</v>
      </c>
      <c r="M541" s="61">
        <v>0</v>
      </c>
      <c r="N541" s="61">
        <f t="shared" si="154"/>
        <v>1.7098133800000002</v>
      </c>
      <c r="O541" s="61"/>
      <c r="P541" s="2"/>
      <c r="Q541" s="2"/>
      <c r="R541" s="32"/>
      <c r="S541" s="32"/>
      <c r="T541" s="32"/>
      <c r="U541" s="32"/>
      <c r="V541" s="2"/>
      <c r="W541" s="2"/>
      <c r="X541" s="2"/>
      <c r="Y541" s="2"/>
      <c r="Z541" s="2"/>
    </row>
    <row r="542" spans="1:26" ht="13.8" x14ac:dyDescent="0.3">
      <c r="A542" s="2" t="s">
        <v>372</v>
      </c>
      <c r="B542" s="29" t="s">
        <v>35</v>
      </c>
      <c r="C542" s="10" t="s">
        <v>1300</v>
      </c>
      <c r="D542" s="10" t="s">
        <v>1301</v>
      </c>
      <c r="E542" s="10" t="s">
        <v>1300</v>
      </c>
      <c r="F542" s="10" t="s">
        <v>1301</v>
      </c>
      <c r="G542" s="69">
        <v>-11268.13</v>
      </c>
      <c r="H542" s="69">
        <v>736.08</v>
      </c>
      <c r="I542" s="69">
        <f t="shared" si="152"/>
        <v>581.50320000000011</v>
      </c>
      <c r="J542" s="75">
        <v>0.27928999999999998</v>
      </c>
      <c r="K542" s="69">
        <f t="shared" si="147"/>
        <v>-2984.6679989719992</v>
      </c>
      <c r="L542" s="78">
        <f t="shared" si="153"/>
        <v>10.27898916</v>
      </c>
      <c r="M542" s="61">
        <v>0</v>
      </c>
      <c r="N542" s="61">
        <f t="shared" si="154"/>
        <v>8.2231913280000004</v>
      </c>
      <c r="O542" s="61"/>
      <c r="P542" s="2"/>
      <c r="Q542" s="2"/>
      <c r="R542" s="32"/>
      <c r="S542" s="32"/>
      <c r="T542" s="32"/>
      <c r="U542" s="32"/>
      <c r="V542" s="2"/>
      <c r="W542" s="2"/>
      <c r="X542" s="2"/>
      <c r="Y542" s="2"/>
      <c r="Z542" s="2"/>
    </row>
    <row r="543" spans="1:26" ht="13.8" x14ac:dyDescent="0.3">
      <c r="A543" s="2" t="s">
        <v>372</v>
      </c>
      <c r="B543" s="32" t="s">
        <v>55</v>
      </c>
      <c r="C543" s="2" t="s">
        <v>1138</v>
      </c>
      <c r="D543" s="2" t="s">
        <v>1139</v>
      </c>
      <c r="E543" s="2" t="s">
        <v>1206</v>
      </c>
      <c r="F543" s="32" t="s">
        <v>1207</v>
      </c>
      <c r="G543" s="69">
        <v>4.2</v>
      </c>
      <c r="H543" s="69">
        <v>75.98</v>
      </c>
      <c r="I543" s="69">
        <f>H543*0.62</f>
        <v>47.107600000000005</v>
      </c>
      <c r="J543" s="70">
        <v>1</v>
      </c>
      <c r="K543" s="69">
        <f>(G543+I543)*J543*0.97</f>
        <v>49.768372000000006</v>
      </c>
      <c r="L543" s="78" t="s">
        <v>468</v>
      </c>
      <c r="M543" s="61">
        <v>0</v>
      </c>
      <c r="N543" s="61">
        <f>H543*0.11*J543*0.97</f>
        <v>8.1070660000000014</v>
      </c>
      <c r="O543" s="58"/>
      <c r="P543" s="2"/>
      <c r="Q543" s="2"/>
      <c r="R543" s="32"/>
      <c r="S543" s="32"/>
      <c r="T543" s="32"/>
      <c r="U543" s="32"/>
      <c r="V543" s="2"/>
      <c r="W543" s="2"/>
      <c r="X543" s="2"/>
      <c r="Y543" s="2"/>
      <c r="Z543" s="2"/>
    </row>
    <row r="544" spans="1:26" ht="13.8" x14ac:dyDescent="0.3">
      <c r="A544" s="2" t="s">
        <v>372</v>
      </c>
      <c r="B544" s="2" t="s">
        <v>244</v>
      </c>
      <c r="C544" s="10">
        <v>2304025</v>
      </c>
      <c r="D544" s="10" t="s">
        <v>1162</v>
      </c>
      <c r="E544" s="10">
        <v>2357222</v>
      </c>
      <c r="F544" s="10" t="s">
        <v>1188</v>
      </c>
      <c r="G544" s="69">
        <v>-357.39</v>
      </c>
      <c r="H544" s="69">
        <v>148.91999999999999</v>
      </c>
      <c r="I544" s="69">
        <f t="shared" ref="I544:I567" si="155">H544*0.7</f>
        <v>104.24399999999999</v>
      </c>
      <c r="J544" s="70">
        <v>1</v>
      </c>
      <c r="K544" s="69">
        <f t="shared" ref="K544:K563" si="156">(G544+I544)*0.85+(G544*0.15-(G544+H544)*0.15)*J544*0.3+I544*0.15*J544*0.3</f>
        <v>-217.18452000000002</v>
      </c>
      <c r="L544" s="79" t="s">
        <v>468</v>
      </c>
      <c r="M544" s="61">
        <f t="shared" ref="M544:M563" si="157">(G544*0.15-(G544+H544)*0.15)*J544*0.7</f>
        <v>-15.6366</v>
      </c>
      <c r="N544" s="61">
        <f t="shared" ref="N544:N563" si="158">I544*0.15*J544*0.7+H544*0.05*J544</f>
        <v>18.391619999999996</v>
      </c>
      <c r="O544" s="61"/>
      <c r="P544" s="2"/>
      <c r="Q544" s="2"/>
      <c r="R544" s="32"/>
      <c r="S544" s="32"/>
      <c r="T544" s="32"/>
      <c r="U544" s="32"/>
      <c r="V544" s="2"/>
      <c r="W544" s="2"/>
      <c r="X544" s="2"/>
      <c r="Y544" s="2"/>
      <c r="Z544" s="2"/>
    </row>
    <row r="545" spans="1:26" ht="13.8" x14ac:dyDescent="0.3">
      <c r="A545" s="2" t="s">
        <v>372</v>
      </c>
      <c r="B545" s="2" t="s">
        <v>244</v>
      </c>
      <c r="C545" s="10">
        <v>2304025</v>
      </c>
      <c r="D545" s="10" t="s">
        <v>1162</v>
      </c>
      <c r="E545" s="10">
        <v>2380008</v>
      </c>
      <c r="F545" s="10" t="s">
        <v>1192</v>
      </c>
      <c r="G545" s="69">
        <v>-447.18</v>
      </c>
      <c r="H545" s="69">
        <v>92.72</v>
      </c>
      <c r="I545" s="69">
        <f t="shared" si="155"/>
        <v>64.903999999999996</v>
      </c>
      <c r="J545" s="70">
        <v>1</v>
      </c>
      <c r="K545" s="69">
        <f t="shared" si="156"/>
        <v>-326.18631999999997</v>
      </c>
      <c r="L545" s="79" t="s">
        <v>468</v>
      </c>
      <c r="M545" s="61">
        <f t="shared" si="157"/>
        <v>-9.7355999999999945</v>
      </c>
      <c r="N545" s="61">
        <f t="shared" si="158"/>
        <v>11.45092</v>
      </c>
      <c r="O545" s="61"/>
      <c r="P545" s="2"/>
      <c r="Q545" s="2"/>
      <c r="R545" s="32"/>
      <c r="S545" s="32"/>
      <c r="T545" s="32"/>
      <c r="U545" s="32"/>
      <c r="V545" s="2"/>
      <c r="W545" s="2"/>
      <c r="X545" s="2"/>
      <c r="Y545" s="2"/>
      <c r="Z545" s="2"/>
    </row>
    <row r="546" spans="1:26" ht="13.8" x14ac:dyDescent="0.3">
      <c r="A546" s="2" t="s">
        <v>372</v>
      </c>
      <c r="B546" s="2" t="s">
        <v>244</v>
      </c>
      <c r="C546" s="10">
        <v>2304025</v>
      </c>
      <c r="D546" s="10" t="s">
        <v>1162</v>
      </c>
      <c r="E546" s="10">
        <v>2381522</v>
      </c>
      <c r="F546" s="10" t="s">
        <v>1166</v>
      </c>
      <c r="G546" s="69">
        <v>-509.18</v>
      </c>
      <c r="H546" s="69">
        <v>48.67</v>
      </c>
      <c r="I546" s="69">
        <f t="shared" si="155"/>
        <v>34.068999999999996</v>
      </c>
      <c r="J546" s="70">
        <v>1</v>
      </c>
      <c r="K546" s="69">
        <f t="shared" si="156"/>
        <v>-404.501395</v>
      </c>
      <c r="L546" s="79" t="s">
        <v>468</v>
      </c>
      <c r="M546" s="61">
        <f t="shared" si="157"/>
        <v>-5.1103499999999995</v>
      </c>
      <c r="N546" s="61">
        <f t="shared" si="158"/>
        <v>6.010745</v>
      </c>
      <c r="O546" s="61"/>
      <c r="P546" s="2"/>
      <c r="Q546" s="2"/>
      <c r="R546" s="32"/>
      <c r="S546" s="32"/>
      <c r="T546" s="32"/>
      <c r="U546" s="32"/>
      <c r="V546" s="2"/>
      <c r="W546" s="2"/>
      <c r="X546" s="2"/>
      <c r="Y546" s="2"/>
      <c r="Z546" s="2"/>
    </row>
    <row r="547" spans="1:26" ht="13.8" x14ac:dyDescent="0.3">
      <c r="A547" s="2" t="s">
        <v>372</v>
      </c>
      <c r="B547" s="2" t="s">
        <v>244</v>
      </c>
      <c r="C547" s="10">
        <v>2304025</v>
      </c>
      <c r="D547" s="10" t="s">
        <v>1162</v>
      </c>
      <c r="E547" s="10">
        <v>2420208</v>
      </c>
      <c r="F547" s="10" t="s">
        <v>1170</v>
      </c>
      <c r="G547" s="69">
        <v>18.850000000000001</v>
      </c>
      <c r="H547" s="69">
        <v>0.63</v>
      </c>
      <c r="I547" s="69">
        <f t="shared" si="155"/>
        <v>0.44099999999999995</v>
      </c>
      <c r="J547" s="70">
        <v>1</v>
      </c>
      <c r="K547" s="69">
        <f t="shared" si="156"/>
        <v>16.388845</v>
      </c>
      <c r="L547" s="79" t="s">
        <v>468</v>
      </c>
      <c r="M547" s="61">
        <f t="shared" si="157"/>
        <v>-6.6150000000000014E-2</v>
      </c>
      <c r="N547" s="61">
        <f t="shared" si="158"/>
        <v>7.7804999999999985E-2</v>
      </c>
      <c r="O547" s="61"/>
      <c r="P547" s="2"/>
      <c r="Q547" s="2"/>
      <c r="R547" s="32"/>
      <c r="S547" s="32"/>
      <c r="T547" s="32"/>
      <c r="U547" s="32"/>
      <c r="V547" s="2"/>
      <c r="W547" s="2"/>
      <c r="X547" s="2"/>
      <c r="Y547" s="2"/>
      <c r="Z547" s="2"/>
    </row>
    <row r="548" spans="1:26" ht="13.8" x14ac:dyDescent="0.3">
      <c r="A548" s="2" t="s">
        <v>372</v>
      </c>
      <c r="B548" s="2" t="s">
        <v>244</v>
      </c>
      <c r="C548" s="10">
        <v>2304025</v>
      </c>
      <c r="D548" s="10" t="s">
        <v>1162</v>
      </c>
      <c r="E548" s="10">
        <v>2435202</v>
      </c>
      <c r="F548" s="10" t="s">
        <v>1223</v>
      </c>
      <c r="G548" s="69">
        <v>-22.81</v>
      </c>
      <c r="H548" s="69">
        <v>13.7</v>
      </c>
      <c r="I548" s="69">
        <f t="shared" si="155"/>
        <v>9.5899999999999981</v>
      </c>
      <c r="J548" s="70">
        <v>1</v>
      </c>
      <c r="K548" s="69">
        <f t="shared" si="156"/>
        <v>-11.421950000000001</v>
      </c>
      <c r="L548" s="79" t="s">
        <v>468</v>
      </c>
      <c r="M548" s="61">
        <f t="shared" si="157"/>
        <v>-1.4384999999999997</v>
      </c>
      <c r="N548" s="61">
        <f t="shared" si="158"/>
        <v>1.6919499999999998</v>
      </c>
      <c r="O548" s="61"/>
      <c r="P548" s="2"/>
      <c r="Q548" s="2"/>
      <c r="R548" s="32"/>
      <c r="S548" s="32"/>
      <c r="T548" s="32"/>
      <c r="U548" s="32"/>
      <c r="V548" s="2"/>
      <c r="W548" s="2"/>
      <c r="X548" s="2"/>
      <c r="Y548" s="2"/>
      <c r="Z548" s="2"/>
    </row>
    <row r="549" spans="1:26" ht="13.8" x14ac:dyDescent="0.3">
      <c r="A549" s="2" t="s">
        <v>372</v>
      </c>
      <c r="B549" s="2" t="s">
        <v>244</v>
      </c>
      <c r="C549" s="10">
        <v>2304025</v>
      </c>
      <c r="D549" s="10" t="s">
        <v>1162</v>
      </c>
      <c r="E549" s="10">
        <v>2435203</v>
      </c>
      <c r="F549" s="10" t="s">
        <v>1224</v>
      </c>
      <c r="G549" s="69">
        <v>-137.79</v>
      </c>
      <c r="H549" s="69">
        <v>16.760000000000002</v>
      </c>
      <c r="I549" s="69">
        <f t="shared" si="155"/>
        <v>11.732000000000001</v>
      </c>
      <c r="J549" s="70">
        <v>1</v>
      </c>
      <c r="K549" s="69">
        <f t="shared" si="156"/>
        <v>-107.37555999999999</v>
      </c>
      <c r="L549" s="79" t="s">
        <v>468</v>
      </c>
      <c r="M549" s="61">
        <f t="shared" si="157"/>
        <v>-1.7597999999999994</v>
      </c>
      <c r="N549" s="61">
        <f t="shared" si="158"/>
        <v>2.0698600000000003</v>
      </c>
      <c r="O549" s="61"/>
      <c r="P549" s="2"/>
      <c r="Q549" s="2"/>
      <c r="R549" s="32"/>
      <c r="S549" s="32"/>
      <c r="T549" s="32"/>
      <c r="U549" s="32"/>
      <c r="V549" s="2"/>
      <c r="W549" s="2"/>
      <c r="X549" s="2"/>
      <c r="Y549" s="2"/>
      <c r="Z549" s="2"/>
    </row>
    <row r="550" spans="1:26" ht="13.8" x14ac:dyDescent="0.3">
      <c r="A550" s="2" t="s">
        <v>372</v>
      </c>
      <c r="B550" s="2" t="s">
        <v>244</v>
      </c>
      <c r="C550" s="10">
        <v>2304025</v>
      </c>
      <c r="D550" s="10" t="s">
        <v>1162</v>
      </c>
      <c r="E550" s="10">
        <v>2435206</v>
      </c>
      <c r="F550" s="10" t="s">
        <v>1225</v>
      </c>
      <c r="G550" s="69">
        <v>472.18</v>
      </c>
      <c r="H550" s="69">
        <v>100.71</v>
      </c>
      <c r="I550" s="69">
        <f t="shared" si="155"/>
        <v>70.496999999999986</v>
      </c>
      <c r="J550" s="70">
        <v>1</v>
      </c>
      <c r="K550" s="69">
        <f t="shared" si="156"/>
        <v>459.915865</v>
      </c>
      <c r="L550" s="79" t="s">
        <v>468</v>
      </c>
      <c r="M550" s="61">
        <f t="shared" si="157"/>
        <v>-10.574549999999997</v>
      </c>
      <c r="N550" s="61">
        <f t="shared" si="158"/>
        <v>12.437684999999998</v>
      </c>
      <c r="O550" s="61"/>
      <c r="P550" s="2"/>
      <c r="Q550" s="2"/>
      <c r="R550" s="32"/>
      <c r="S550" s="32"/>
      <c r="T550" s="32"/>
      <c r="U550" s="32"/>
      <c r="V550" s="2"/>
      <c r="W550" s="2"/>
      <c r="X550" s="2"/>
      <c r="Y550" s="2"/>
      <c r="Z550" s="2"/>
    </row>
    <row r="551" spans="1:26" ht="13.8" x14ac:dyDescent="0.3">
      <c r="A551" s="2" t="s">
        <v>372</v>
      </c>
      <c r="B551" s="2" t="s">
        <v>244</v>
      </c>
      <c r="C551" s="10">
        <v>2304025</v>
      </c>
      <c r="D551" s="10" t="s">
        <v>1162</v>
      </c>
      <c r="E551" s="10">
        <v>2452300</v>
      </c>
      <c r="F551" s="10" t="s">
        <v>1288</v>
      </c>
      <c r="G551" s="69">
        <v>-151.16</v>
      </c>
      <c r="H551" s="69">
        <v>36.57</v>
      </c>
      <c r="I551" s="69">
        <f t="shared" si="155"/>
        <v>25.599</v>
      </c>
      <c r="J551" s="70">
        <v>1</v>
      </c>
      <c r="K551" s="69">
        <f t="shared" si="156"/>
        <v>-107.22054499999999</v>
      </c>
      <c r="L551" s="79" t="s">
        <v>468</v>
      </c>
      <c r="M551" s="61">
        <f t="shared" si="157"/>
        <v>-3.8398499999999984</v>
      </c>
      <c r="N551" s="61">
        <f t="shared" si="158"/>
        <v>4.5163949999999993</v>
      </c>
      <c r="O551" s="61"/>
      <c r="P551" s="2"/>
      <c r="Q551" s="2"/>
      <c r="R551" s="32"/>
      <c r="S551" s="32"/>
      <c r="T551" s="32"/>
      <c r="U551" s="32"/>
      <c r="V551" s="2"/>
      <c r="W551" s="2"/>
      <c r="X551" s="2"/>
      <c r="Y551" s="2"/>
      <c r="Z551" s="2"/>
    </row>
    <row r="552" spans="1:26" ht="13.8" x14ac:dyDescent="0.3">
      <c r="A552" s="2" t="s">
        <v>372</v>
      </c>
      <c r="B552" s="2" t="s">
        <v>244</v>
      </c>
      <c r="C552" s="10">
        <v>2304025</v>
      </c>
      <c r="D552" s="10" t="s">
        <v>1162</v>
      </c>
      <c r="E552" s="10">
        <v>2531141</v>
      </c>
      <c r="F552" s="10" t="s">
        <v>1258</v>
      </c>
      <c r="G552" s="69">
        <v>1170.47</v>
      </c>
      <c r="H552" s="69">
        <v>184.1</v>
      </c>
      <c r="I552" s="69">
        <f t="shared" si="155"/>
        <v>128.86999999999998</v>
      </c>
      <c r="J552" s="70">
        <v>1</v>
      </c>
      <c r="K552" s="69">
        <f t="shared" si="156"/>
        <v>1101.9536499999999</v>
      </c>
      <c r="L552" s="79" t="s">
        <v>468</v>
      </c>
      <c r="M552" s="61">
        <f t="shared" si="157"/>
        <v>-19.330499999999986</v>
      </c>
      <c r="N552" s="61">
        <f t="shared" si="158"/>
        <v>22.736349999999998</v>
      </c>
      <c r="O552" s="61"/>
      <c r="P552" s="2"/>
      <c r="Q552" s="2"/>
      <c r="R552" s="32"/>
      <c r="S552" s="32"/>
      <c r="T552" s="32"/>
      <c r="U552" s="32"/>
      <c r="V552" s="2"/>
      <c r="W552" s="2"/>
      <c r="X552" s="2"/>
      <c r="Y552" s="2"/>
      <c r="Z552" s="2"/>
    </row>
    <row r="553" spans="1:26" ht="13.8" x14ac:dyDescent="0.3">
      <c r="A553" s="2" t="s">
        <v>372</v>
      </c>
      <c r="B553" s="2" t="s">
        <v>244</v>
      </c>
      <c r="C553" s="10">
        <v>2304025</v>
      </c>
      <c r="D553" s="10" t="s">
        <v>1162</v>
      </c>
      <c r="E553" s="10">
        <v>2531145</v>
      </c>
      <c r="F553" s="10" t="s">
        <v>1226</v>
      </c>
      <c r="G553" s="69">
        <v>-16.079999999999998</v>
      </c>
      <c r="H553" s="69">
        <v>4.76</v>
      </c>
      <c r="I553" s="69">
        <f t="shared" si="155"/>
        <v>3.3319999999999999</v>
      </c>
      <c r="J553" s="70">
        <v>1</v>
      </c>
      <c r="K553" s="69">
        <f t="shared" si="156"/>
        <v>-10.900059999999996</v>
      </c>
      <c r="L553" s="79" t="s">
        <v>468</v>
      </c>
      <c r="M553" s="61">
        <f t="shared" si="157"/>
        <v>-0.4997999999999998</v>
      </c>
      <c r="N553" s="61">
        <f t="shared" si="158"/>
        <v>0.58785999999999994</v>
      </c>
      <c r="O553" s="61"/>
      <c r="P553" s="2"/>
      <c r="Q553" s="2"/>
      <c r="R553" s="32"/>
      <c r="S553" s="32"/>
      <c r="T553" s="32"/>
      <c r="U553" s="32"/>
      <c r="V553" s="2"/>
      <c r="W553" s="2"/>
      <c r="X553" s="2"/>
      <c r="Y553" s="2"/>
      <c r="Z553" s="2"/>
    </row>
    <row r="554" spans="1:26" ht="13.8" x14ac:dyDescent="0.3">
      <c r="A554" s="2" t="s">
        <v>372</v>
      </c>
      <c r="B554" s="2" t="s">
        <v>244</v>
      </c>
      <c r="C554" s="10">
        <v>2304025</v>
      </c>
      <c r="D554" s="10" t="s">
        <v>1162</v>
      </c>
      <c r="E554" s="10">
        <v>2531146</v>
      </c>
      <c r="F554" s="10" t="s">
        <v>1227</v>
      </c>
      <c r="G554" s="69">
        <v>-7.6</v>
      </c>
      <c r="H554" s="69">
        <v>0.18</v>
      </c>
      <c r="I554" s="69">
        <f t="shared" si="155"/>
        <v>0.126</v>
      </c>
      <c r="J554" s="70">
        <v>1</v>
      </c>
      <c r="K554" s="69">
        <f t="shared" si="156"/>
        <v>-6.3553299999999986</v>
      </c>
      <c r="L554" s="79" t="s">
        <v>468</v>
      </c>
      <c r="M554" s="61">
        <f t="shared" si="157"/>
        <v>-1.8899999999999938E-2</v>
      </c>
      <c r="N554" s="61">
        <f t="shared" si="158"/>
        <v>2.223E-2</v>
      </c>
      <c r="O554" s="61"/>
      <c r="P554" s="2"/>
      <c r="Q554" s="2"/>
      <c r="R554" s="32"/>
      <c r="S554" s="32"/>
      <c r="T554" s="32"/>
      <c r="U554" s="32"/>
      <c r="V554" s="2"/>
      <c r="W554" s="2"/>
      <c r="X554" s="2"/>
      <c r="Y554" s="2"/>
      <c r="Z554" s="2"/>
    </row>
    <row r="555" spans="1:26" ht="13.8" x14ac:dyDescent="0.3">
      <c r="A555" s="2" t="s">
        <v>372</v>
      </c>
      <c r="B555" s="2" t="s">
        <v>244</v>
      </c>
      <c r="C555" s="10">
        <v>2304025</v>
      </c>
      <c r="D555" s="10" t="s">
        <v>1162</v>
      </c>
      <c r="E555" s="10">
        <v>2531191</v>
      </c>
      <c r="F555" s="10" t="s">
        <v>1259</v>
      </c>
      <c r="G555" s="69">
        <v>-143.78</v>
      </c>
      <c r="H555" s="69">
        <v>53.85</v>
      </c>
      <c r="I555" s="69">
        <f t="shared" si="155"/>
        <v>37.695</v>
      </c>
      <c r="J555" s="70">
        <v>1</v>
      </c>
      <c r="K555" s="69">
        <f t="shared" si="156"/>
        <v>-90.899225000000001</v>
      </c>
      <c r="L555" s="79" t="s">
        <v>468</v>
      </c>
      <c r="M555" s="61">
        <f t="shared" si="157"/>
        <v>-5.6542499999999984</v>
      </c>
      <c r="N555" s="61">
        <f t="shared" si="158"/>
        <v>6.6504750000000001</v>
      </c>
      <c r="O555" s="61"/>
      <c r="P555" s="2"/>
      <c r="Q555" s="2"/>
      <c r="R555" s="32"/>
      <c r="S555" s="32"/>
      <c r="T555" s="32"/>
      <c r="U555" s="32"/>
      <c r="V555" s="2"/>
      <c r="W555" s="2"/>
      <c r="X555" s="2"/>
      <c r="Y555" s="2"/>
      <c r="Z555" s="2"/>
    </row>
    <row r="556" spans="1:26" ht="13.8" x14ac:dyDescent="0.3">
      <c r="A556" s="2" t="s">
        <v>372</v>
      </c>
      <c r="B556" s="2" t="s">
        <v>244</v>
      </c>
      <c r="C556" s="10">
        <v>2304025</v>
      </c>
      <c r="D556" s="10" t="s">
        <v>1162</v>
      </c>
      <c r="E556" s="10">
        <v>2531390</v>
      </c>
      <c r="F556" s="10" t="s">
        <v>1229</v>
      </c>
      <c r="G556" s="69">
        <v>-102.2</v>
      </c>
      <c r="H556" s="69">
        <v>32.979999999999997</v>
      </c>
      <c r="I556" s="69">
        <f t="shared" si="155"/>
        <v>23.085999999999995</v>
      </c>
      <c r="J556" s="70">
        <v>1</v>
      </c>
      <c r="K556" s="69">
        <f t="shared" si="156"/>
        <v>-67.692129999999992</v>
      </c>
      <c r="L556" s="79" t="s">
        <v>468</v>
      </c>
      <c r="M556" s="61">
        <f t="shared" si="157"/>
        <v>-3.4629000000000003</v>
      </c>
      <c r="N556" s="61">
        <f t="shared" si="158"/>
        <v>4.0730299999999993</v>
      </c>
      <c r="O556" s="61"/>
      <c r="P556" s="2"/>
      <c r="Q556" s="2"/>
      <c r="R556" s="32"/>
      <c r="S556" s="32"/>
      <c r="T556" s="32"/>
      <c r="U556" s="32"/>
      <c r="V556" s="2"/>
      <c r="W556" s="2"/>
      <c r="X556" s="2"/>
      <c r="Y556" s="2"/>
      <c r="Z556" s="2"/>
    </row>
    <row r="557" spans="1:26" ht="13.8" x14ac:dyDescent="0.3">
      <c r="A557" s="2" t="s">
        <v>372</v>
      </c>
      <c r="B557" s="2" t="s">
        <v>244</v>
      </c>
      <c r="C557" s="10">
        <v>2304025</v>
      </c>
      <c r="D557" s="10" t="s">
        <v>1162</v>
      </c>
      <c r="E557" s="10">
        <v>2540293</v>
      </c>
      <c r="F557" s="10" t="s">
        <v>1261</v>
      </c>
      <c r="G557" s="69">
        <v>383.55</v>
      </c>
      <c r="H557" s="69">
        <v>30.95</v>
      </c>
      <c r="I557" s="69">
        <f t="shared" si="155"/>
        <v>21.664999999999999</v>
      </c>
      <c r="J557" s="70">
        <v>1</v>
      </c>
      <c r="K557" s="69">
        <f t="shared" si="156"/>
        <v>344.01492500000001</v>
      </c>
      <c r="L557" s="79" t="s">
        <v>468</v>
      </c>
      <c r="M557" s="61">
        <f t="shared" si="157"/>
        <v>-3.2497499999999988</v>
      </c>
      <c r="N557" s="61">
        <f t="shared" si="158"/>
        <v>3.8223249999999993</v>
      </c>
      <c r="O557" s="61"/>
      <c r="P557" s="2"/>
      <c r="Q557" s="2"/>
      <c r="R557" s="32"/>
      <c r="S557" s="32"/>
      <c r="T557" s="32"/>
      <c r="U557" s="32"/>
      <c r="V557" s="2"/>
      <c r="W557" s="2"/>
      <c r="X557" s="2"/>
      <c r="Y557" s="2"/>
      <c r="Z557" s="2"/>
    </row>
    <row r="558" spans="1:26" ht="13.8" x14ac:dyDescent="0.3">
      <c r="A558" s="2" t="s">
        <v>372</v>
      </c>
      <c r="B558" s="2" t="s">
        <v>244</v>
      </c>
      <c r="C558" s="10">
        <v>2304025</v>
      </c>
      <c r="D558" s="10" t="s">
        <v>1162</v>
      </c>
      <c r="E558" s="10">
        <v>2540315</v>
      </c>
      <c r="F558" s="10" t="s">
        <v>1262</v>
      </c>
      <c r="G558" s="69">
        <v>154.44999999999999</v>
      </c>
      <c r="H558" s="69">
        <v>12.55</v>
      </c>
      <c r="I558" s="69">
        <f t="shared" si="155"/>
        <v>8.7850000000000001</v>
      </c>
      <c r="J558" s="70">
        <v>1</v>
      </c>
      <c r="K558" s="69">
        <f t="shared" si="156"/>
        <v>138.58032499999999</v>
      </c>
      <c r="L558" s="79" t="s">
        <v>468</v>
      </c>
      <c r="M558" s="61">
        <f t="shared" si="157"/>
        <v>-1.3177500000000026</v>
      </c>
      <c r="N558" s="61">
        <f t="shared" si="158"/>
        <v>1.549925</v>
      </c>
      <c r="O558" s="61"/>
      <c r="P558" s="2"/>
      <c r="Q558" s="2"/>
      <c r="R558" s="32"/>
      <c r="S558" s="32"/>
      <c r="T558" s="32"/>
      <c r="U558" s="32"/>
      <c r="V558" s="2"/>
      <c r="W558" s="2"/>
      <c r="X558" s="2"/>
      <c r="Y558" s="2"/>
      <c r="Z558" s="2"/>
    </row>
    <row r="559" spans="1:26" ht="13.8" x14ac:dyDescent="0.3">
      <c r="A559" s="2" t="s">
        <v>372</v>
      </c>
      <c r="B559" s="2" t="s">
        <v>244</v>
      </c>
      <c r="C559" s="10">
        <v>2304025</v>
      </c>
      <c r="D559" s="10" t="s">
        <v>1162</v>
      </c>
      <c r="E559" s="10">
        <v>2559299</v>
      </c>
      <c r="F559" s="10" t="s">
        <v>1302</v>
      </c>
      <c r="G559" s="69">
        <v>-1</v>
      </c>
      <c r="H559" s="69">
        <v>0.1</v>
      </c>
      <c r="I559" s="69">
        <f t="shared" si="155"/>
        <v>6.9999999999999993E-2</v>
      </c>
      <c r="J559" s="70">
        <v>1</v>
      </c>
      <c r="K559" s="69">
        <f t="shared" si="156"/>
        <v>-0.79184999999999994</v>
      </c>
      <c r="L559" s="79" t="s">
        <v>468</v>
      </c>
      <c r="M559" s="61">
        <f t="shared" si="157"/>
        <v>-1.0499999999999989E-2</v>
      </c>
      <c r="N559" s="61">
        <f t="shared" si="158"/>
        <v>1.235E-2</v>
      </c>
      <c r="O559" s="61"/>
      <c r="P559" s="2"/>
      <c r="Q559" s="2"/>
      <c r="R559" s="32"/>
      <c r="S559" s="32"/>
      <c r="T559" s="32"/>
      <c r="U559" s="32"/>
      <c r="V559" s="2"/>
      <c r="W559" s="2"/>
      <c r="X559" s="2"/>
      <c r="Y559" s="2"/>
      <c r="Z559" s="2"/>
    </row>
    <row r="560" spans="1:26" ht="13.8" x14ac:dyDescent="0.3">
      <c r="A560" s="2" t="s">
        <v>372</v>
      </c>
      <c r="B560" s="2" t="s">
        <v>244</v>
      </c>
      <c r="C560" s="10">
        <v>2304025</v>
      </c>
      <c r="D560" s="10" t="s">
        <v>1162</v>
      </c>
      <c r="E560" s="10">
        <v>2575716</v>
      </c>
      <c r="F560" s="10" t="s">
        <v>1283</v>
      </c>
      <c r="G560" s="69">
        <v>122.73</v>
      </c>
      <c r="H560" s="69">
        <v>20.38</v>
      </c>
      <c r="I560" s="69">
        <f t="shared" si="155"/>
        <v>14.265999999999998</v>
      </c>
      <c r="J560" s="70">
        <v>1</v>
      </c>
      <c r="K560" s="69">
        <f t="shared" si="156"/>
        <v>116.17147</v>
      </c>
      <c r="L560" s="79" t="s">
        <v>468</v>
      </c>
      <c r="M560" s="61">
        <f t="shared" si="157"/>
        <v>-2.139899999999999</v>
      </c>
      <c r="N560" s="61">
        <f t="shared" si="158"/>
        <v>2.5169299999999994</v>
      </c>
      <c r="O560" s="61"/>
      <c r="P560" s="2"/>
      <c r="Q560" s="2"/>
      <c r="R560" s="32"/>
      <c r="S560" s="32"/>
      <c r="T560" s="32"/>
      <c r="U560" s="32"/>
      <c r="V560" s="2"/>
      <c r="W560" s="2"/>
      <c r="X560" s="2"/>
      <c r="Y560" s="2"/>
      <c r="Z560" s="2"/>
    </row>
    <row r="561" spans="1:26" ht="13.8" x14ac:dyDescent="0.3">
      <c r="A561" s="2" t="s">
        <v>372</v>
      </c>
      <c r="B561" s="2" t="s">
        <v>244</v>
      </c>
      <c r="C561" s="10">
        <v>2304025</v>
      </c>
      <c r="D561" s="10" t="s">
        <v>1162</v>
      </c>
      <c r="E561" s="10">
        <v>2575824</v>
      </c>
      <c r="F561" s="10" t="s">
        <v>1284</v>
      </c>
      <c r="G561" s="69">
        <v>-176.8</v>
      </c>
      <c r="H561" s="69">
        <v>56.23</v>
      </c>
      <c r="I561" s="69">
        <f t="shared" si="155"/>
        <v>39.360999999999997</v>
      </c>
      <c r="J561" s="70">
        <v>1</v>
      </c>
      <c r="K561" s="69">
        <f t="shared" si="156"/>
        <v>-117.58225500000002</v>
      </c>
      <c r="L561" s="79" t="s">
        <v>468</v>
      </c>
      <c r="M561" s="61">
        <f t="shared" si="157"/>
        <v>-5.9041499999999969</v>
      </c>
      <c r="N561" s="61">
        <f t="shared" si="158"/>
        <v>6.9444049999999997</v>
      </c>
      <c r="O561" s="61"/>
      <c r="P561" s="2"/>
      <c r="Q561" s="2"/>
      <c r="R561" s="32"/>
      <c r="S561" s="32"/>
      <c r="T561" s="32"/>
      <c r="U561" s="32"/>
      <c r="V561" s="2"/>
      <c r="W561" s="2"/>
      <c r="X561" s="2"/>
      <c r="Y561" s="2"/>
      <c r="Z561" s="2"/>
    </row>
    <row r="562" spans="1:26" ht="13.8" x14ac:dyDescent="0.3">
      <c r="A562" s="2" t="s">
        <v>372</v>
      </c>
      <c r="B562" s="2" t="s">
        <v>244</v>
      </c>
      <c r="C562" s="10">
        <v>2304025</v>
      </c>
      <c r="D562" s="10" t="s">
        <v>1162</v>
      </c>
      <c r="E562" s="10">
        <v>2575978</v>
      </c>
      <c r="F562" s="10" t="s">
        <v>1285</v>
      </c>
      <c r="G562" s="69">
        <v>142.63999999999999</v>
      </c>
      <c r="H562" s="69">
        <v>13.37</v>
      </c>
      <c r="I562" s="69">
        <f t="shared" si="155"/>
        <v>9.3589999999999982</v>
      </c>
      <c r="J562" s="70">
        <v>1</v>
      </c>
      <c r="K562" s="69">
        <f t="shared" si="156"/>
        <v>129.018655</v>
      </c>
      <c r="L562" s="79" t="s">
        <v>468</v>
      </c>
      <c r="M562" s="61">
        <f t="shared" si="157"/>
        <v>-1.4038500000000009</v>
      </c>
      <c r="N562" s="61">
        <f t="shared" si="158"/>
        <v>1.6511949999999995</v>
      </c>
      <c r="O562" s="61"/>
      <c r="P562" s="2"/>
      <c r="Q562" s="2"/>
      <c r="R562" s="32"/>
      <c r="S562" s="32"/>
      <c r="T562" s="32"/>
      <c r="U562" s="32"/>
      <c r="V562" s="2"/>
      <c r="W562" s="2"/>
      <c r="X562" s="2"/>
      <c r="Y562" s="2"/>
      <c r="Z562" s="2"/>
    </row>
    <row r="563" spans="1:26" ht="13.8" x14ac:dyDescent="0.3">
      <c r="A563" s="2" t="s">
        <v>372</v>
      </c>
      <c r="B563" s="2" t="s">
        <v>244</v>
      </c>
      <c r="C563" s="10">
        <v>2523689</v>
      </c>
      <c r="D563" s="10" t="s">
        <v>1179</v>
      </c>
      <c r="E563" s="10">
        <v>2525136</v>
      </c>
      <c r="F563" s="10" t="s">
        <v>1205</v>
      </c>
      <c r="G563" s="69">
        <v>1127.8800000000001</v>
      </c>
      <c r="H563" s="69">
        <v>272.17</v>
      </c>
      <c r="I563" s="69">
        <f t="shared" si="155"/>
        <v>190.51900000000001</v>
      </c>
      <c r="J563" s="70">
        <v>1</v>
      </c>
      <c r="K563" s="69">
        <f t="shared" si="156"/>
        <v>1116.9648549999999</v>
      </c>
      <c r="L563" s="79" t="s">
        <v>468</v>
      </c>
      <c r="M563" s="61">
        <f t="shared" si="157"/>
        <v>-28.577850000000002</v>
      </c>
      <c r="N563" s="61">
        <f t="shared" si="158"/>
        <v>33.612994999999998</v>
      </c>
      <c r="O563" s="61"/>
      <c r="P563" s="2"/>
      <c r="Q563" s="2"/>
      <c r="R563" s="32"/>
      <c r="S563" s="32"/>
      <c r="T563" s="32"/>
      <c r="U563" s="32"/>
      <c r="V563" s="2"/>
      <c r="W563" s="2"/>
      <c r="X563" s="2"/>
      <c r="Y563" s="2"/>
      <c r="Z563" s="2"/>
    </row>
    <row r="564" spans="1:26" ht="13.8" x14ac:dyDescent="0.3">
      <c r="A564" s="2" t="s">
        <v>372</v>
      </c>
      <c r="B564" s="2" t="s">
        <v>244</v>
      </c>
      <c r="C564" s="10">
        <v>2550550</v>
      </c>
      <c r="D564" s="10" t="s">
        <v>1272</v>
      </c>
      <c r="E564" s="10">
        <v>2550550</v>
      </c>
      <c r="F564" s="10" t="s">
        <v>1272</v>
      </c>
      <c r="G564" s="69">
        <v>-680</v>
      </c>
      <c r="H564" s="69">
        <v>77</v>
      </c>
      <c r="I564" s="69">
        <f t="shared" si="155"/>
        <v>53.9</v>
      </c>
      <c r="J564" s="70">
        <v>1</v>
      </c>
      <c r="K564" s="69">
        <f t="shared" ref="K564:K566" si="159">(G564+I564)*J564*0.96+(G564*0.04-(G564+H564)*0.04)*J564*0.3+I564*0.04*J564*0.3</f>
        <v>-601.33320000000003</v>
      </c>
      <c r="L564" s="19" t="s">
        <v>468</v>
      </c>
      <c r="M564" s="61">
        <f t="shared" ref="M564:M566" si="160">(G564*0.04-(G564+H564)*0.04)*J564*0.7</f>
        <v>-2.1559999999999988</v>
      </c>
      <c r="N564" s="61">
        <f t="shared" ref="N564:N566" si="161">I564*0.04*J564*0.7+H564*0.05*J564</f>
        <v>5.3592000000000004</v>
      </c>
      <c r="O564" s="58"/>
      <c r="P564" s="2"/>
      <c r="Q564" s="2"/>
      <c r="R564" s="32"/>
      <c r="S564" s="32"/>
      <c r="T564" s="32"/>
      <c r="U564" s="32"/>
      <c r="V564" s="2"/>
      <c r="W564" s="2"/>
      <c r="X564" s="2"/>
      <c r="Y564" s="2"/>
      <c r="Z564" s="2"/>
    </row>
    <row r="565" spans="1:26" ht="13.8" x14ac:dyDescent="0.3">
      <c r="A565" s="2" t="s">
        <v>372</v>
      </c>
      <c r="B565" s="2" t="s">
        <v>244</v>
      </c>
      <c r="C565" s="10">
        <v>2550550</v>
      </c>
      <c r="D565" s="10" t="s">
        <v>1272</v>
      </c>
      <c r="E565" s="10">
        <v>2573879</v>
      </c>
      <c r="F565" s="10" t="s">
        <v>1308</v>
      </c>
      <c r="G565" s="69">
        <v>-445</v>
      </c>
      <c r="H565" s="69">
        <v>58</v>
      </c>
      <c r="I565" s="69">
        <f t="shared" si="155"/>
        <v>40.599999999999994</v>
      </c>
      <c r="J565" s="70">
        <v>1</v>
      </c>
      <c r="K565" s="69">
        <f t="shared" si="159"/>
        <v>-388.43280000000004</v>
      </c>
      <c r="L565" s="19" t="s">
        <v>468</v>
      </c>
      <c r="M565" s="61">
        <f t="shared" si="160"/>
        <v>-1.6240000000000001</v>
      </c>
      <c r="N565" s="61">
        <f t="shared" si="161"/>
        <v>4.0368000000000004</v>
      </c>
      <c r="O565" s="58"/>
      <c r="P565" s="2"/>
      <c r="Q565" s="2"/>
      <c r="R565" s="32"/>
      <c r="S565" s="32"/>
      <c r="T565" s="32"/>
      <c r="U565" s="32"/>
      <c r="V565" s="2"/>
      <c r="W565" s="2"/>
      <c r="X565" s="2"/>
      <c r="Y565" s="2"/>
      <c r="Z565" s="2"/>
    </row>
    <row r="566" spans="1:26" ht="13.8" x14ac:dyDescent="0.3">
      <c r="A566" s="2" t="s">
        <v>372</v>
      </c>
      <c r="B566" s="2" t="s">
        <v>244</v>
      </c>
      <c r="C566" s="10">
        <v>2550550</v>
      </c>
      <c r="D566" s="10" t="s">
        <v>1272</v>
      </c>
      <c r="E566" s="10">
        <v>2573942</v>
      </c>
      <c r="F566" s="10" t="s">
        <v>1289</v>
      </c>
      <c r="G566" s="69">
        <v>1.1000000000000001</v>
      </c>
      <c r="H566" s="69">
        <v>25</v>
      </c>
      <c r="I566" s="69">
        <f t="shared" si="155"/>
        <v>17.5</v>
      </c>
      <c r="J566" s="70">
        <v>1</v>
      </c>
      <c r="K566" s="69">
        <f t="shared" si="159"/>
        <v>17.766000000000002</v>
      </c>
      <c r="L566" s="19" t="s">
        <v>468</v>
      </c>
      <c r="M566" s="61">
        <f t="shared" si="160"/>
        <v>-0.7</v>
      </c>
      <c r="N566" s="61">
        <f t="shared" si="161"/>
        <v>1.74</v>
      </c>
      <c r="O566" s="58"/>
      <c r="P566" s="2"/>
      <c r="Q566" s="2"/>
      <c r="R566" s="32"/>
      <c r="S566" s="32"/>
      <c r="T566" s="32"/>
      <c r="U566" s="32"/>
      <c r="V566" s="2"/>
      <c r="W566" s="2"/>
      <c r="X566" s="2"/>
      <c r="Y566" s="2"/>
      <c r="Z566" s="2"/>
    </row>
    <row r="567" spans="1:26" ht="13.8" x14ac:dyDescent="0.3">
      <c r="A567" s="2" t="s">
        <v>372</v>
      </c>
      <c r="B567" s="2" t="s">
        <v>244</v>
      </c>
      <c r="C567" s="10">
        <v>2566294</v>
      </c>
      <c r="D567" s="10" t="s">
        <v>1276</v>
      </c>
      <c r="E567" s="10">
        <v>2525032</v>
      </c>
      <c r="F567" s="10" t="s">
        <v>1277</v>
      </c>
      <c r="G567" s="69">
        <v>-39.200000000000003</v>
      </c>
      <c r="H567" s="69">
        <v>3.51</v>
      </c>
      <c r="I567" s="69">
        <f t="shared" si="155"/>
        <v>2.4569999999999999</v>
      </c>
      <c r="J567" s="70">
        <v>1</v>
      </c>
      <c r="K567" s="69">
        <f>(G567+I567)*0.85+(G567*0.15-(G567+H567)*0.15)*J567*0.3+I567*0.15*J567*0.3</f>
        <v>-31.278935000000001</v>
      </c>
      <c r="L567" s="79" t="s">
        <v>468</v>
      </c>
      <c r="M567" s="61">
        <f>(G567*0.15-(G567+H567)*0.15)*J567*0.7</f>
        <v>-0.36854999999999966</v>
      </c>
      <c r="N567" s="61">
        <f>I567*0.15*J567*0.7+H567*0.05*J567</f>
        <v>0.43348499999999995</v>
      </c>
      <c r="O567" s="61"/>
      <c r="P567" s="2"/>
      <c r="Q567" s="2"/>
      <c r="R567" s="32"/>
      <c r="S567" s="32"/>
      <c r="T567" s="32"/>
      <c r="U567" s="32"/>
      <c r="V567" s="2"/>
      <c r="W567" s="2"/>
      <c r="X567" s="2"/>
      <c r="Y567" s="2"/>
      <c r="Z567" s="2"/>
    </row>
    <row r="568" spans="1:26" ht="13.8" x14ac:dyDescent="0.3">
      <c r="A568" s="2" t="s">
        <v>372</v>
      </c>
      <c r="B568" s="2" t="s">
        <v>186</v>
      </c>
      <c r="C568" s="10" t="s">
        <v>15</v>
      </c>
      <c r="D568" s="10" t="s">
        <v>15</v>
      </c>
      <c r="E568" s="10">
        <v>1714680</v>
      </c>
      <c r="F568" s="76" t="s">
        <v>535</v>
      </c>
      <c r="G568" s="69">
        <v>653.66</v>
      </c>
      <c r="H568" s="69">
        <v>163.25</v>
      </c>
      <c r="I568" s="69">
        <v>0</v>
      </c>
      <c r="J568" s="70">
        <v>1</v>
      </c>
      <c r="K568" s="69">
        <f>(-H568*0.4*0.15+G568*0.25)*J568*0.3+G568*0.02*0.6*J568*0.3+(H568*0.1*0.85+H568*0.5*0.25)*J568*0.3</f>
        <v>58.723925999999992</v>
      </c>
      <c r="L568" s="79" t="s">
        <v>468</v>
      </c>
      <c r="M568" s="61">
        <v>0</v>
      </c>
      <c r="N568" s="61">
        <v>0</v>
      </c>
      <c r="O568" s="61"/>
      <c r="P568" s="2"/>
      <c r="Q568" s="2"/>
      <c r="R568" s="32"/>
      <c r="S568" s="32"/>
      <c r="T568" s="32"/>
      <c r="U568" s="32"/>
      <c r="V568" s="2"/>
      <c r="W568" s="2"/>
      <c r="X568" s="2"/>
      <c r="Y568" s="2"/>
      <c r="Z568" s="2"/>
    </row>
    <row r="569" spans="1:26" ht="13.8" x14ac:dyDescent="0.3">
      <c r="A569" s="2" t="s">
        <v>372</v>
      </c>
      <c r="B569" s="2" t="s">
        <v>186</v>
      </c>
      <c r="C569" s="10">
        <v>2304025</v>
      </c>
      <c r="D569" s="10" t="s">
        <v>1162</v>
      </c>
      <c r="E569" s="10">
        <v>2380008</v>
      </c>
      <c r="F569" s="10" t="s">
        <v>1192</v>
      </c>
      <c r="G569" s="69">
        <v>69.27</v>
      </c>
      <c r="H569" s="69">
        <v>3.58</v>
      </c>
      <c r="I569" s="69">
        <f t="shared" ref="I569:I578" si="162">H569*0.5</f>
        <v>1.79</v>
      </c>
      <c r="J569" s="70">
        <v>1</v>
      </c>
      <c r="K569" s="69">
        <f t="shared" ref="K569:K578" si="163">(G569+I569)*J569*0.85+(-H569*0.4*0.15)*J569*0.3+H569*0.1*0.85*J569*0.3</f>
        <v>60.427850000000007</v>
      </c>
      <c r="L569" s="79" t="s">
        <v>468</v>
      </c>
      <c r="M569" s="61">
        <f t="shared" ref="M569:M578" si="164">(-H569*0.4*0.15)*J569*0.7-(-H569*0.05*0.15)*J569</f>
        <v>-0.12350999999999999</v>
      </c>
      <c r="N569" s="61">
        <f t="shared" ref="N569:N578" si="165">H569*0.1*0.85*J569*0.7+H569*0.05*0.85*J569</f>
        <v>0.36516000000000004</v>
      </c>
      <c r="O569" s="61"/>
      <c r="P569" s="2"/>
      <c r="Q569" s="2"/>
      <c r="R569" s="32"/>
      <c r="S569" s="32"/>
      <c r="T569" s="32"/>
      <c r="U569" s="32"/>
      <c r="V569" s="2"/>
      <c r="W569" s="2"/>
      <c r="X569" s="2"/>
      <c r="Y569" s="2"/>
      <c r="Z569" s="2"/>
    </row>
    <row r="570" spans="1:26" ht="13.8" x14ac:dyDescent="0.3">
      <c r="A570" s="2" t="s">
        <v>372</v>
      </c>
      <c r="B570" s="2" t="s">
        <v>186</v>
      </c>
      <c r="C570" s="10">
        <v>2304025</v>
      </c>
      <c r="D570" s="10" t="s">
        <v>1162</v>
      </c>
      <c r="E570" s="10">
        <v>2391366</v>
      </c>
      <c r="F570" s="10" t="s">
        <v>1168</v>
      </c>
      <c r="G570" s="69">
        <v>23.69</v>
      </c>
      <c r="H570" s="69">
        <v>4.76</v>
      </c>
      <c r="I570" s="69">
        <f t="shared" si="162"/>
        <v>2.38</v>
      </c>
      <c r="J570" s="70">
        <v>1</v>
      </c>
      <c r="K570" s="69">
        <f t="shared" si="163"/>
        <v>22.1952</v>
      </c>
      <c r="L570" s="79" t="s">
        <v>468</v>
      </c>
      <c r="M570" s="61">
        <f t="shared" si="164"/>
        <v>-0.16421999999999998</v>
      </c>
      <c r="N570" s="61">
        <f t="shared" si="165"/>
        <v>0.48551999999999995</v>
      </c>
      <c r="O570" s="61"/>
      <c r="P570" s="2"/>
      <c r="Q570" s="2"/>
      <c r="R570" s="32"/>
      <c r="S570" s="32"/>
      <c r="T570" s="32"/>
      <c r="U570" s="32"/>
      <c r="V570" s="2"/>
      <c r="W570" s="2"/>
      <c r="X570" s="2"/>
      <c r="Y570" s="2"/>
      <c r="Z570" s="2"/>
    </row>
    <row r="571" spans="1:26" ht="13.8" x14ac:dyDescent="0.3">
      <c r="A571" s="2" t="s">
        <v>372</v>
      </c>
      <c r="B571" s="2" t="s">
        <v>186</v>
      </c>
      <c r="C571" s="10">
        <v>2304025</v>
      </c>
      <c r="D571" s="10" t="s">
        <v>1162</v>
      </c>
      <c r="E571" s="10">
        <v>2531145</v>
      </c>
      <c r="F571" s="10" t="s">
        <v>1226</v>
      </c>
      <c r="G571" s="69">
        <v>626.84</v>
      </c>
      <c r="H571" s="69">
        <v>239.39</v>
      </c>
      <c r="I571" s="69">
        <f t="shared" si="162"/>
        <v>119.69499999999999</v>
      </c>
      <c r="J571" s="70">
        <v>1</v>
      </c>
      <c r="K571" s="69">
        <f t="shared" si="163"/>
        <v>636.35017500000004</v>
      </c>
      <c r="L571" s="79" t="s">
        <v>468</v>
      </c>
      <c r="M571" s="61">
        <f t="shared" si="164"/>
        <v>-8.2589550000000003</v>
      </c>
      <c r="N571" s="61">
        <f t="shared" si="165"/>
        <v>24.41778</v>
      </c>
      <c r="O571" s="61"/>
      <c r="P571" s="2"/>
      <c r="Q571" s="2"/>
      <c r="R571" s="32"/>
      <c r="S571" s="32"/>
      <c r="T571" s="32"/>
      <c r="U571" s="32"/>
      <c r="V571" s="2"/>
      <c r="W571" s="2"/>
      <c r="X571" s="2"/>
      <c r="Y571" s="2"/>
      <c r="Z571" s="2"/>
    </row>
    <row r="572" spans="1:26" ht="13.8" x14ac:dyDescent="0.3">
      <c r="A572" s="2" t="s">
        <v>372</v>
      </c>
      <c r="B572" s="2" t="s">
        <v>186</v>
      </c>
      <c r="C572" s="10">
        <v>2304025</v>
      </c>
      <c r="D572" s="10" t="s">
        <v>1162</v>
      </c>
      <c r="E572" s="10">
        <v>2531191</v>
      </c>
      <c r="F572" s="10" t="s">
        <v>1259</v>
      </c>
      <c r="G572" s="69">
        <v>-46.71</v>
      </c>
      <c r="H572" s="69">
        <v>17.21</v>
      </c>
      <c r="I572" s="69">
        <f t="shared" si="162"/>
        <v>8.6050000000000004</v>
      </c>
      <c r="J572" s="70">
        <v>1</v>
      </c>
      <c r="K572" s="69">
        <f t="shared" si="163"/>
        <v>-32.260175000000011</v>
      </c>
      <c r="L572" s="79" t="s">
        <v>468</v>
      </c>
      <c r="M572" s="61">
        <f t="shared" si="164"/>
        <v>-0.59374499999999997</v>
      </c>
      <c r="N572" s="61">
        <f t="shared" si="165"/>
        <v>1.75542</v>
      </c>
      <c r="O572" s="61"/>
      <c r="P572" s="2"/>
      <c r="Q572" s="2"/>
      <c r="R572" s="32"/>
      <c r="S572" s="32"/>
      <c r="T572" s="32"/>
      <c r="U572" s="32"/>
      <c r="V572" s="2"/>
      <c r="W572" s="2"/>
      <c r="X572" s="2"/>
      <c r="Y572" s="2"/>
      <c r="Z572" s="2"/>
    </row>
    <row r="573" spans="1:26" ht="13.8" x14ac:dyDescent="0.3">
      <c r="A573" s="2" t="s">
        <v>372</v>
      </c>
      <c r="B573" s="2" t="s">
        <v>186</v>
      </c>
      <c r="C573" s="10">
        <v>2304025</v>
      </c>
      <c r="D573" s="10" t="s">
        <v>1162</v>
      </c>
      <c r="E573" s="10">
        <v>2540315</v>
      </c>
      <c r="F573" s="10" t="s">
        <v>1262</v>
      </c>
      <c r="G573" s="69">
        <v>-132.43</v>
      </c>
      <c r="H573" s="69">
        <v>46.23</v>
      </c>
      <c r="I573" s="69">
        <f t="shared" si="162"/>
        <v>23.114999999999998</v>
      </c>
      <c r="J573" s="70">
        <v>1</v>
      </c>
      <c r="K573" s="69">
        <f t="shared" si="163"/>
        <v>-92.571025000000006</v>
      </c>
      <c r="L573" s="79" t="s">
        <v>468</v>
      </c>
      <c r="M573" s="61">
        <f t="shared" si="164"/>
        <v>-1.594935</v>
      </c>
      <c r="N573" s="61">
        <f t="shared" si="165"/>
        <v>4.7154600000000002</v>
      </c>
      <c r="O573" s="61"/>
      <c r="P573" s="2"/>
      <c r="Q573" s="2"/>
      <c r="R573" s="32"/>
      <c r="S573" s="32"/>
      <c r="T573" s="32"/>
      <c r="U573" s="32"/>
      <c r="V573" s="2"/>
      <c r="W573" s="2"/>
      <c r="X573" s="2"/>
      <c r="Y573" s="2"/>
      <c r="Z573" s="2"/>
    </row>
    <row r="574" spans="1:26" ht="13.8" x14ac:dyDescent="0.3">
      <c r="A574" s="2" t="s">
        <v>372</v>
      </c>
      <c r="B574" s="2" t="s">
        <v>186</v>
      </c>
      <c r="C574" s="10">
        <v>2304025</v>
      </c>
      <c r="D574" s="10" t="s">
        <v>1162</v>
      </c>
      <c r="E574" s="10">
        <v>2559299</v>
      </c>
      <c r="F574" s="10" t="s">
        <v>1302</v>
      </c>
      <c r="G574" s="69">
        <v>-263.35000000000002</v>
      </c>
      <c r="H574" s="69">
        <v>29.39</v>
      </c>
      <c r="I574" s="69">
        <f t="shared" si="162"/>
        <v>14.695</v>
      </c>
      <c r="J574" s="70">
        <v>1</v>
      </c>
      <c r="K574" s="69">
        <f t="shared" si="163"/>
        <v>-211.13632500000003</v>
      </c>
      <c r="L574" s="79" t="s">
        <v>468</v>
      </c>
      <c r="M574" s="61">
        <f t="shared" si="164"/>
        <v>-1.0139549999999999</v>
      </c>
      <c r="N574" s="61">
        <f t="shared" si="165"/>
        <v>2.9977799999999997</v>
      </c>
      <c r="O574" s="61"/>
      <c r="P574" s="2"/>
      <c r="Q574" s="2"/>
      <c r="R574" s="32"/>
      <c r="S574" s="32"/>
      <c r="T574" s="32"/>
      <c r="U574" s="32"/>
      <c r="V574" s="2"/>
      <c r="W574" s="2"/>
      <c r="X574" s="2"/>
      <c r="Y574" s="2"/>
      <c r="Z574" s="2"/>
    </row>
    <row r="575" spans="1:26" ht="13.8" x14ac:dyDescent="0.3">
      <c r="A575" s="2" t="s">
        <v>372</v>
      </c>
      <c r="B575" s="2" t="s">
        <v>186</v>
      </c>
      <c r="C575" s="10">
        <v>2304025</v>
      </c>
      <c r="D575" s="10" t="s">
        <v>1162</v>
      </c>
      <c r="E575" s="10">
        <v>2575716</v>
      </c>
      <c r="F575" s="10" t="s">
        <v>1283</v>
      </c>
      <c r="G575" s="69">
        <v>26.44</v>
      </c>
      <c r="H575" s="69">
        <v>14.26</v>
      </c>
      <c r="I575" s="69">
        <f t="shared" si="162"/>
        <v>7.13</v>
      </c>
      <c r="J575" s="70">
        <v>1</v>
      </c>
      <c r="K575" s="69">
        <f t="shared" si="163"/>
        <v>28.641449999999999</v>
      </c>
      <c r="L575" s="79" t="s">
        <v>468</v>
      </c>
      <c r="M575" s="61">
        <f t="shared" si="164"/>
        <v>-0.49197000000000002</v>
      </c>
      <c r="N575" s="61">
        <f t="shared" si="165"/>
        <v>1.45452</v>
      </c>
      <c r="O575" s="61"/>
      <c r="P575" s="2"/>
      <c r="Q575" s="2"/>
      <c r="R575" s="32"/>
      <c r="S575" s="32"/>
      <c r="T575" s="32"/>
      <c r="U575" s="32"/>
      <c r="V575" s="2"/>
      <c r="W575" s="2"/>
      <c r="X575" s="2"/>
      <c r="Y575" s="2"/>
      <c r="Z575" s="2"/>
    </row>
    <row r="576" spans="1:26" ht="13.8" x14ac:dyDescent="0.3">
      <c r="A576" s="2" t="s">
        <v>372</v>
      </c>
      <c r="B576" s="2" t="s">
        <v>186</v>
      </c>
      <c r="C576" s="10">
        <v>2304025</v>
      </c>
      <c r="D576" s="10" t="s">
        <v>1162</v>
      </c>
      <c r="E576" s="10">
        <v>2575824</v>
      </c>
      <c r="F576" s="10" t="s">
        <v>1284</v>
      </c>
      <c r="G576" s="69">
        <v>-15.71</v>
      </c>
      <c r="H576" s="69">
        <v>1.64</v>
      </c>
      <c r="I576" s="69">
        <f t="shared" si="162"/>
        <v>0.82</v>
      </c>
      <c r="J576" s="70">
        <v>1</v>
      </c>
      <c r="K576" s="69">
        <f t="shared" si="163"/>
        <v>-12.6442</v>
      </c>
      <c r="L576" s="79" t="s">
        <v>468</v>
      </c>
      <c r="M576" s="61">
        <f t="shared" si="164"/>
        <v>-5.6579999999999998E-2</v>
      </c>
      <c r="N576" s="61">
        <f t="shared" si="165"/>
        <v>0.16727999999999998</v>
      </c>
      <c r="O576" s="61"/>
      <c r="P576" s="2"/>
      <c r="Q576" s="2"/>
      <c r="R576" s="32"/>
      <c r="S576" s="32"/>
      <c r="T576" s="32"/>
      <c r="U576" s="32"/>
      <c r="V576" s="2"/>
      <c r="W576" s="2"/>
      <c r="X576" s="2"/>
      <c r="Y576" s="2"/>
      <c r="Z576" s="2"/>
    </row>
    <row r="577" spans="1:26" ht="13.8" x14ac:dyDescent="0.3">
      <c r="A577" s="2" t="s">
        <v>372</v>
      </c>
      <c r="B577" s="2" t="s">
        <v>186</v>
      </c>
      <c r="C577" s="10">
        <v>2304025</v>
      </c>
      <c r="D577" s="10" t="s">
        <v>1162</v>
      </c>
      <c r="E577" s="10">
        <v>2575978</v>
      </c>
      <c r="F577" s="10" t="s">
        <v>1285</v>
      </c>
      <c r="G577" s="69">
        <v>75.53</v>
      </c>
      <c r="H577" s="69">
        <v>1.48</v>
      </c>
      <c r="I577" s="69">
        <f t="shared" si="162"/>
        <v>0.74</v>
      </c>
      <c r="J577" s="70">
        <v>1</v>
      </c>
      <c r="K577" s="69">
        <f t="shared" si="163"/>
        <v>64.840599999999995</v>
      </c>
      <c r="L577" s="79" t="s">
        <v>468</v>
      </c>
      <c r="M577" s="61">
        <f t="shared" si="164"/>
        <v>-5.1059999999999987E-2</v>
      </c>
      <c r="N577" s="61">
        <f t="shared" si="165"/>
        <v>0.15095999999999998</v>
      </c>
      <c r="O577" s="61"/>
      <c r="P577" s="2"/>
      <c r="Q577" s="2"/>
      <c r="R577" s="32"/>
      <c r="S577" s="32"/>
      <c r="T577" s="32"/>
      <c r="U577" s="32"/>
      <c r="V577" s="2"/>
      <c r="W577" s="2"/>
      <c r="X577" s="2"/>
      <c r="Y577" s="2"/>
      <c r="Z577" s="2"/>
    </row>
    <row r="578" spans="1:26" ht="13.8" x14ac:dyDescent="0.3">
      <c r="A578" s="2" t="s">
        <v>372</v>
      </c>
      <c r="B578" s="2" t="s">
        <v>186</v>
      </c>
      <c r="C578" s="10">
        <v>2523689</v>
      </c>
      <c r="D578" s="10" t="s">
        <v>1179</v>
      </c>
      <c r="E578" s="10">
        <v>2525136</v>
      </c>
      <c r="F578" s="10" t="s">
        <v>1205</v>
      </c>
      <c r="G578" s="69">
        <v>993.76</v>
      </c>
      <c r="H578" s="69">
        <v>114.84</v>
      </c>
      <c r="I578" s="69">
        <f t="shared" si="162"/>
        <v>57.42</v>
      </c>
      <c r="J578" s="70">
        <v>1</v>
      </c>
      <c r="K578" s="69">
        <f t="shared" si="163"/>
        <v>894.36429999999996</v>
      </c>
      <c r="L578" s="79" t="s">
        <v>468</v>
      </c>
      <c r="M578" s="61">
        <f t="shared" si="164"/>
        <v>-3.9619800000000005</v>
      </c>
      <c r="N578" s="61">
        <f t="shared" si="165"/>
        <v>11.713680000000002</v>
      </c>
      <c r="O578" s="61"/>
      <c r="P578" s="2"/>
      <c r="Q578" s="2"/>
      <c r="R578" s="32"/>
      <c r="S578" s="32"/>
      <c r="T578" s="32"/>
      <c r="U578" s="32"/>
      <c r="V578" s="2"/>
      <c r="W578" s="2"/>
      <c r="X578" s="2"/>
      <c r="Y578" s="2"/>
      <c r="Z578" s="2"/>
    </row>
    <row r="579" spans="1:26" ht="13.8" x14ac:dyDescent="0.3">
      <c r="A579" s="2" t="s">
        <v>372</v>
      </c>
      <c r="B579" s="2" t="s">
        <v>107</v>
      </c>
      <c r="C579" s="10" t="s">
        <v>15</v>
      </c>
      <c r="D579" s="10" t="s">
        <v>15</v>
      </c>
      <c r="E579" s="10">
        <v>2319777</v>
      </c>
      <c r="F579" s="10" t="s">
        <v>1273</v>
      </c>
      <c r="G579" s="69">
        <v>409.91</v>
      </c>
      <c r="H579" s="69">
        <v>28.06</v>
      </c>
      <c r="I579" s="69">
        <v>0</v>
      </c>
      <c r="J579" s="70">
        <v>1</v>
      </c>
      <c r="K579" s="69">
        <f t="shared" ref="K579:K589" si="166">(-H579*0.25*0.04)*J579*0.3+H579*0.15*0.96*J579*0.3</f>
        <v>1.128012</v>
      </c>
      <c r="L579" s="79" t="s">
        <v>468</v>
      </c>
      <c r="M579" s="61">
        <v>0</v>
      </c>
      <c r="N579" s="61">
        <v>0</v>
      </c>
      <c r="O579" s="61"/>
      <c r="P579" s="2"/>
      <c r="Q579" s="2"/>
      <c r="R579" s="32"/>
      <c r="S579" s="32"/>
      <c r="T579" s="32"/>
      <c r="U579" s="32"/>
      <c r="V579" s="2"/>
      <c r="W579" s="2"/>
      <c r="X579" s="2"/>
      <c r="Y579" s="2"/>
      <c r="Z579" s="2"/>
    </row>
    <row r="580" spans="1:26" ht="13.8" x14ac:dyDescent="0.3">
      <c r="A580" s="2" t="s">
        <v>372</v>
      </c>
      <c r="B580" s="2" t="s">
        <v>107</v>
      </c>
      <c r="C580" s="10" t="s">
        <v>15</v>
      </c>
      <c r="D580" s="10" t="s">
        <v>15</v>
      </c>
      <c r="E580" s="10">
        <v>2404538</v>
      </c>
      <c r="F580" s="10" t="s">
        <v>1219</v>
      </c>
      <c r="G580" s="69">
        <v>-40</v>
      </c>
      <c r="H580" s="69">
        <v>4</v>
      </c>
      <c r="I580" s="69">
        <v>0</v>
      </c>
      <c r="J580" s="70">
        <v>1</v>
      </c>
      <c r="K580" s="69">
        <f t="shared" si="166"/>
        <v>0.16079999999999997</v>
      </c>
      <c r="L580" s="79" t="s">
        <v>468</v>
      </c>
      <c r="M580" s="61">
        <v>0</v>
      </c>
      <c r="N580" s="61">
        <v>0</v>
      </c>
      <c r="O580" s="61"/>
      <c r="P580" s="2"/>
      <c r="Q580" s="2"/>
      <c r="R580" s="32"/>
      <c r="S580" s="32"/>
      <c r="T580" s="32"/>
      <c r="U580" s="32"/>
      <c r="V580" s="2"/>
      <c r="W580" s="2"/>
      <c r="X580" s="2"/>
      <c r="Y580" s="2"/>
      <c r="Z580" s="2"/>
    </row>
    <row r="581" spans="1:26" ht="13.8" x14ac:dyDescent="0.3">
      <c r="A581" s="2" t="s">
        <v>372</v>
      </c>
      <c r="B581" s="2" t="s">
        <v>107</v>
      </c>
      <c r="C581" s="10" t="s">
        <v>15</v>
      </c>
      <c r="D581" s="10" t="s">
        <v>15</v>
      </c>
      <c r="E581" s="10">
        <v>2405286</v>
      </c>
      <c r="F581" s="10" t="s">
        <v>1220</v>
      </c>
      <c r="G581" s="69">
        <v>184</v>
      </c>
      <c r="H581" s="69">
        <v>7</v>
      </c>
      <c r="I581" s="69">
        <v>0</v>
      </c>
      <c r="J581" s="70">
        <v>1</v>
      </c>
      <c r="K581" s="69">
        <f t="shared" si="166"/>
        <v>0.28139999999999998</v>
      </c>
      <c r="L581" s="79" t="s">
        <v>468</v>
      </c>
      <c r="M581" s="61">
        <v>0</v>
      </c>
      <c r="N581" s="61">
        <v>0</v>
      </c>
      <c r="O581" s="61"/>
      <c r="P581" s="2"/>
      <c r="Q581" s="2"/>
      <c r="R581" s="32"/>
      <c r="S581" s="32"/>
      <c r="T581" s="32"/>
      <c r="U581" s="32"/>
      <c r="V581" s="2"/>
      <c r="W581" s="2"/>
      <c r="X581" s="2"/>
      <c r="Y581" s="2"/>
      <c r="Z581" s="2"/>
    </row>
    <row r="582" spans="1:26" ht="13.8" x14ac:dyDescent="0.3">
      <c r="A582" s="2" t="s">
        <v>372</v>
      </c>
      <c r="B582" s="2" t="s">
        <v>107</v>
      </c>
      <c r="C582" s="10" t="s">
        <v>15</v>
      </c>
      <c r="D582" s="10" t="s">
        <v>15</v>
      </c>
      <c r="E582" s="10">
        <v>2405626</v>
      </c>
      <c r="F582" s="10" t="s">
        <v>1221</v>
      </c>
      <c r="G582" s="69">
        <v>-20</v>
      </c>
      <c r="H582" s="69">
        <v>2</v>
      </c>
      <c r="I582" s="69">
        <v>0</v>
      </c>
      <c r="J582" s="70">
        <v>1</v>
      </c>
      <c r="K582" s="69">
        <f t="shared" si="166"/>
        <v>8.0399999999999985E-2</v>
      </c>
      <c r="L582" s="79" t="s">
        <v>468</v>
      </c>
      <c r="M582" s="61">
        <v>0</v>
      </c>
      <c r="N582" s="61">
        <v>0</v>
      </c>
      <c r="O582" s="61"/>
      <c r="P582" s="2"/>
      <c r="Q582" s="2"/>
      <c r="R582" s="32"/>
      <c r="S582" s="32"/>
      <c r="T582" s="32"/>
      <c r="U582" s="32"/>
      <c r="V582" s="2"/>
      <c r="W582" s="2"/>
      <c r="X582" s="2"/>
      <c r="Y582" s="2"/>
      <c r="Z582" s="2"/>
    </row>
    <row r="583" spans="1:26" ht="13.8" x14ac:dyDescent="0.3">
      <c r="A583" s="2" t="s">
        <v>372</v>
      </c>
      <c r="B583" s="2" t="s">
        <v>107</v>
      </c>
      <c r="C583" s="10" t="s">
        <v>15</v>
      </c>
      <c r="D583" s="10" t="s">
        <v>15</v>
      </c>
      <c r="E583" s="10">
        <v>2409185</v>
      </c>
      <c r="F583" s="10" t="s">
        <v>1222</v>
      </c>
      <c r="G583" s="69">
        <v>89.23</v>
      </c>
      <c r="H583" s="69">
        <v>5</v>
      </c>
      <c r="I583" s="69">
        <v>0</v>
      </c>
      <c r="J583" s="70">
        <v>1</v>
      </c>
      <c r="K583" s="69">
        <f t="shared" si="166"/>
        <v>0.20100000000000001</v>
      </c>
      <c r="L583" s="79" t="s">
        <v>468</v>
      </c>
      <c r="M583" s="61">
        <v>0</v>
      </c>
      <c r="N583" s="61">
        <v>0</v>
      </c>
      <c r="O583" s="61"/>
      <c r="P583" s="2"/>
      <c r="Q583" s="2"/>
      <c r="R583" s="32"/>
      <c r="S583" s="32"/>
      <c r="T583" s="32"/>
      <c r="U583" s="32"/>
      <c r="V583" s="2"/>
      <c r="W583" s="2"/>
      <c r="X583" s="2"/>
      <c r="Y583" s="2"/>
      <c r="Z583" s="2"/>
    </row>
    <row r="584" spans="1:26" ht="13.8" x14ac:dyDescent="0.3">
      <c r="A584" s="2" t="s">
        <v>372</v>
      </c>
      <c r="B584" s="2" t="s">
        <v>107</v>
      </c>
      <c r="C584" s="10" t="s">
        <v>15</v>
      </c>
      <c r="D584" s="10" t="s">
        <v>15</v>
      </c>
      <c r="E584" s="10">
        <v>2471817</v>
      </c>
      <c r="F584" s="10" t="s">
        <v>1274</v>
      </c>
      <c r="G584" s="69">
        <v>25.25</v>
      </c>
      <c r="H584" s="69">
        <v>24.28</v>
      </c>
      <c r="I584" s="69">
        <v>0</v>
      </c>
      <c r="J584" s="70">
        <v>1</v>
      </c>
      <c r="K584" s="69">
        <f t="shared" si="166"/>
        <v>0.97605599999999981</v>
      </c>
      <c r="L584" s="79" t="s">
        <v>468</v>
      </c>
      <c r="M584" s="61">
        <v>0</v>
      </c>
      <c r="N584" s="61">
        <v>0</v>
      </c>
      <c r="O584" s="61"/>
      <c r="P584" s="2"/>
      <c r="Q584" s="2"/>
      <c r="R584" s="32"/>
      <c r="S584" s="32"/>
      <c r="T584" s="32"/>
      <c r="U584" s="32"/>
      <c r="V584" s="2"/>
      <c r="W584" s="2"/>
      <c r="X584" s="2"/>
      <c r="Y584" s="2"/>
      <c r="Z584" s="2"/>
    </row>
    <row r="585" spans="1:26" ht="13.8" x14ac:dyDescent="0.3">
      <c r="A585" s="2" t="s">
        <v>372</v>
      </c>
      <c r="B585" s="2" t="s">
        <v>107</v>
      </c>
      <c r="C585" s="10" t="s">
        <v>15</v>
      </c>
      <c r="D585" s="10" t="s">
        <v>15</v>
      </c>
      <c r="E585" s="10">
        <v>2479329</v>
      </c>
      <c r="F585" s="10" t="s">
        <v>1279</v>
      </c>
      <c r="G585" s="69">
        <v>19.190000000000001</v>
      </c>
      <c r="H585" s="69">
        <v>15.28</v>
      </c>
      <c r="I585" s="69">
        <v>0</v>
      </c>
      <c r="J585" s="70">
        <v>1</v>
      </c>
      <c r="K585" s="69">
        <f t="shared" si="166"/>
        <v>0.61425599999999991</v>
      </c>
      <c r="L585" s="79" t="s">
        <v>468</v>
      </c>
      <c r="M585" s="61">
        <v>0</v>
      </c>
      <c r="N585" s="61">
        <v>0</v>
      </c>
      <c r="O585" s="61"/>
      <c r="P585" s="2"/>
      <c r="Q585" s="2"/>
      <c r="R585" s="32"/>
      <c r="S585" s="32"/>
      <c r="T585" s="32"/>
      <c r="U585" s="32"/>
      <c r="V585" s="2"/>
      <c r="W585" s="2"/>
      <c r="X585" s="2"/>
      <c r="Y585" s="2"/>
      <c r="Z585" s="2"/>
    </row>
    <row r="586" spans="1:26" ht="13.8" x14ac:dyDescent="0.3">
      <c r="A586" s="2" t="s">
        <v>372</v>
      </c>
      <c r="B586" s="2" t="s">
        <v>107</v>
      </c>
      <c r="C586" s="10" t="s">
        <v>15</v>
      </c>
      <c r="D586" s="10" t="s">
        <v>15</v>
      </c>
      <c r="E586" s="10">
        <v>2496019</v>
      </c>
      <c r="F586" s="10" t="s">
        <v>1275</v>
      </c>
      <c r="G586" s="69">
        <v>-45</v>
      </c>
      <c r="H586" s="69">
        <v>4.5</v>
      </c>
      <c r="I586" s="69">
        <v>0</v>
      </c>
      <c r="J586" s="70">
        <v>1</v>
      </c>
      <c r="K586" s="69">
        <f t="shared" si="166"/>
        <v>0.18089999999999995</v>
      </c>
      <c r="L586" s="79" t="s">
        <v>468</v>
      </c>
      <c r="M586" s="61">
        <v>0</v>
      </c>
      <c r="N586" s="61">
        <v>0</v>
      </c>
      <c r="O586" s="61"/>
      <c r="P586" s="2"/>
      <c r="Q586" s="2"/>
      <c r="R586" s="32"/>
      <c r="S586" s="32"/>
      <c r="T586" s="32"/>
      <c r="U586" s="32"/>
      <c r="V586" s="2"/>
      <c r="W586" s="2"/>
      <c r="X586" s="2"/>
      <c r="Y586" s="2"/>
      <c r="Z586" s="2"/>
    </row>
    <row r="587" spans="1:26" ht="13.8" x14ac:dyDescent="0.3">
      <c r="A587" s="2" t="s">
        <v>372</v>
      </c>
      <c r="B587" s="2" t="s">
        <v>107</v>
      </c>
      <c r="C587" s="10" t="s">
        <v>15</v>
      </c>
      <c r="D587" s="10" t="s">
        <v>15</v>
      </c>
      <c r="E587" s="10">
        <v>2571823</v>
      </c>
      <c r="F587" s="10" t="s">
        <v>1280</v>
      </c>
      <c r="G587" s="69">
        <v>-50</v>
      </c>
      <c r="H587" s="69">
        <v>5</v>
      </c>
      <c r="I587" s="69">
        <v>0</v>
      </c>
      <c r="J587" s="70">
        <v>1</v>
      </c>
      <c r="K587" s="69">
        <f t="shared" si="166"/>
        <v>0.20100000000000001</v>
      </c>
      <c r="L587" s="79" t="s">
        <v>468</v>
      </c>
      <c r="M587" s="61">
        <v>0</v>
      </c>
      <c r="N587" s="61">
        <v>0</v>
      </c>
      <c r="O587" s="61"/>
      <c r="P587" s="2"/>
      <c r="Q587" s="2"/>
      <c r="R587" s="32"/>
      <c r="S587" s="32"/>
      <c r="T587" s="32"/>
      <c r="U587" s="32"/>
      <c r="V587" s="2"/>
      <c r="W587" s="2"/>
      <c r="X587" s="2"/>
      <c r="Y587" s="2"/>
      <c r="Z587" s="2"/>
    </row>
    <row r="588" spans="1:26" ht="13.8" x14ac:dyDescent="0.3">
      <c r="A588" s="2" t="s">
        <v>372</v>
      </c>
      <c r="B588" s="2" t="s">
        <v>107</v>
      </c>
      <c r="C588" s="10" t="s">
        <v>15</v>
      </c>
      <c r="D588" s="10" t="s">
        <v>15</v>
      </c>
      <c r="E588" s="10">
        <v>2573237</v>
      </c>
      <c r="F588" s="10" t="s">
        <v>1281</v>
      </c>
      <c r="G588" s="69">
        <v>538.79999999999995</v>
      </c>
      <c r="H588" s="69">
        <v>17.559999999999999</v>
      </c>
      <c r="I588" s="69">
        <v>0</v>
      </c>
      <c r="J588" s="70">
        <v>1</v>
      </c>
      <c r="K588" s="69">
        <f t="shared" si="166"/>
        <v>0.70591199999999998</v>
      </c>
      <c r="L588" s="79" t="s">
        <v>468</v>
      </c>
      <c r="M588" s="61">
        <v>0</v>
      </c>
      <c r="N588" s="61">
        <v>0</v>
      </c>
      <c r="O588" s="61"/>
      <c r="P588" s="2"/>
      <c r="Q588" s="2"/>
      <c r="R588" s="32"/>
      <c r="S588" s="32"/>
      <c r="T588" s="32"/>
      <c r="U588" s="32"/>
      <c r="V588" s="2"/>
      <c r="W588" s="2"/>
      <c r="X588" s="2"/>
      <c r="Y588" s="2"/>
      <c r="Z588" s="2"/>
    </row>
    <row r="589" spans="1:26" ht="13.8" x14ac:dyDescent="0.3">
      <c r="A589" s="2" t="s">
        <v>372</v>
      </c>
      <c r="B589" s="2" t="s">
        <v>107</v>
      </c>
      <c r="C589" s="10" t="s">
        <v>15</v>
      </c>
      <c r="D589" s="10" t="s">
        <v>15</v>
      </c>
      <c r="E589" s="10">
        <v>2587341</v>
      </c>
      <c r="F589" s="10" t="s">
        <v>1303</v>
      </c>
      <c r="G589" s="69">
        <v>-90</v>
      </c>
      <c r="H589" s="69">
        <v>9</v>
      </c>
      <c r="I589" s="69">
        <v>0</v>
      </c>
      <c r="J589" s="70">
        <v>1</v>
      </c>
      <c r="K589" s="69">
        <f t="shared" si="166"/>
        <v>0.3617999999999999</v>
      </c>
      <c r="L589" s="79" t="s">
        <v>468</v>
      </c>
      <c r="M589" s="61">
        <v>0</v>
      </c>
      <c r="N589" s="61">
        <v>0</v>
      </c>
      <c r="O589" s="61"/>
      <c r="P589" s="2"/>
      <c r="Q589" s="2"/>
      <c r="R589" s="32"/>
      <c r="S589" s="32"/>
      <c r="T589" s="32"/>
      <c r="U589" s="32"/>
      <c r="V589" s="2"/>
      <c r="W589" s="2"/>
      <c r="X589" s="2"/>
      <c r="Y589" s="2"/>
      <c r="Z589" s="2"/>
    </row>
    <row r="590" spans="1:26" ht="13.8" x14ac:dyDescent="0.3">
      <c r="A590" s="2" t="s">
        <v>372</v>
      </c>
      <c r="B590" s="2" t="s">
        <v>107</v>
      </c>
      <c r="C590" s="10">
        <v>2304025</v>
      </c>
      <c r="D590" s="10" t="s">
        <v>1162</v>
      </c>
      <c r="E590" s="10">
        <v>2420208</v>
      </c>
      <c r="F590" s="10" t="s">
        <v>1170</v>
      </c>
      <c r="G590" s="69">
        <v>77.52</v>
      </c>
      <c r="H590" s="69">
        <v>19.350000000000001</v>
      </c>
      <c r="I590" s="69">
        <f t="shared" ref="I590:I604" si="167">H590*0.65</f>
        <v>12.577500000000001</v>
      </c>
      <c r="J590" s="70">
        <v>1</v>
      </c>
      <c r="K590" s="69">
        <f t="shared" ref="K590:K602" si="168">(G590+I590)*J590*0.8+(G590*0.05-H590*0.25*0.15)*J590*0.3+(H590*0.1*0.85+I590*0.05)*J590*0.3</f>
        <v>73.705199999999991</v>
      </c>
      <c r="L590" s="79" t="s">
        <v>468</v>
      </c>
      <c r="M590" s="61">
        <f t="shared" ref="M590:M601" si="169">(G590*0.05-H590*0.25*0.15)*J590*0.7-(-H590*0.03*0.15)*J590</f>
        <v>2.2923374999999999</v>
      </c>
      <c r="N590" s="61">
        <f t="shared" ref="N590:N601" si="170">(H590*0.1*0.85+I590*0.05)*J590*0.7+H590*0.03*0.85*J590</f>
        <v>2.0849624999999996</v>
      </c>
      <c r="O590" s="61"/>
      <c r="P590" s="2"/>
      <c r="Q590" s="2"/>
      <c r="R590" s="32"/>
      <c r="S590" s="32"/>
      <c r="T590" s="32"/>
      <c r="U590" s="32"/>
      <c r="V590" s="2"/>
      <c r="W590" s="2"/>
      <c r="X590" s="2"/>
      <c r="Y590" s="2"/>
      <c r="Z590" s="2"/>
    </row>
    <row r="591" spans="1:26" ht="13.8" x14ac:dyDescent="0.3">
      <c r="A591" s="2" t="s">
        <v>372</v>
      </c>
      <c r="B591" s="2" t="s">
        <v>107</v>
      </c>
      <c r="C591" s="10">
        <v>2304025</v>
      </c>
      <c r="D591" s="10" t="s">
        <v>1162</v>
      </c>
      <c r="E591" s="10">
        <v>2435202</v>
      </c>
      <c r="F591" s="10" t="s">
        <v>1223</v>
      </c>
      <c r="G591" s="69">
        <v>408.32</v>
      </c>
      <c r="H591" s="69">
        <v>29.61</v>
      </c>
      <c r="I591" s="69">
        <f t="shared" si="167"/>
        <v>19.246500000000001</v>
      </c>
      <c r="J591" s="70">
        <v>1</v>
      </c>
      <c r="K591" s="69">
        <f t="shared" si="168"/>
        <v>348.88864000000007</v>
      </c>
      <c r="L591" s="79" t="s">
        <v>468</v>
      </c>
      <c r="M591" s="61">
        <f t="shared" si="169"/>
        <v>13.6471825</v>
      </c>
      <c r="N591" s="61">
        <f t="shared" si="170"/>
        <v>3.1904775000000001</v>
      </c>
      <c r="O591" s="61"/>
      <c r="P591" s="2"/>
      <c r="Q591" s="2"/>
      <c r="R591" s="32"/>
      <c r="S591" s="32"/>
      <c r="T591" s="32"/>
      <c r="U591" s="32"/>
      <c r="V591" s="2"/>
      <c r="W591" s="2"/>
      <c r="X591" s="2"/>
      <c r="Y591" s="2"/>
      <c r="Z591" s="2"/>
    </row>
    <row r="592" spans="1:26" ht="13.8" x14ac:dyDescent="0.3">
      <c r="A592" s="2" t="s">
        <v>372</v>
      </c>
      <c r="B592" s="2" t="s">
        <v>107</v>
      </c>
      <c r="C592" s="10">
        <v>2304025</v>
      </c>
      <c r="D592" s="10" t="s">
        <v>1162</v>
      </c>
      <c r="E592" s="10">
        <v>2435203</v>
      </c>
      <c r="F592" s="10" t="s">
        <v>1224</v>
      </c>
      <c r="G592" s="69">
        <v>-236.52</v>
      </c>
      <c r="H592" s="69">
        <v>65.150000000000006</v>
      </c>
      <c r="I592" s="69">
        <f t="shared" si="167"/>
        <v>42.347500000000004</v>
      </c>
      <c r="J592" s="70">
        <v>1</v>
      </c>
      <c r="K592" s="69">
        <f t="shared" si="168"/>
        <v>-157.32220000000001</v>
      </c>
      <c r="L592" s="79" t="s">
        <v>468</v>
      </c>
      <c r="M592" s="61">
        <f t="shared" si="169"/>
        <v>-9.6952125000000002</v>
      </c>
      <c r="N592" s="61">
        <f t="shared" si="170"/>
        <v>7.0199125000000002</v>
      </c>
      <c r="O592" s="61"/>
      <c r="P592" s="2"/>
      <c r="Q592" s="2"/>
      <c r="R592" s="32"/>
      <c r="S592" s="32"/>
      <c r="T592" s="32"/>
      <c r="U592" s="32"/>
      <c r="V592" s="2"/>
      <c r="W592" s="2"/>
      <c r="X592" s="2"/>
      <c r="Y592" s="2"/>
      <c r="Z592" s="2"/>
    </row>
    <row r="593" spans="1:26" ht="13.8" x14ac:dyDescent="0.3">
      <c r="A593" s="2" t="s">
        <v>372</v>
      </c>
      <c r="B593" s="2" t="s">
        <v>107</v>
      </c>
      <c r="C593" s="10">
        <v>2304025</v>
      </c>
      <c r="D593" s="10" t="s">
        <v>1162</v>
      </c>
      <c r="E593" s="10">
        <v>2435206</v>
      </c>
      <c r="F593" s="10" t="s">
        <v>1225</v>
      </c>
      <c r="G593" s="69">
        <v>-201.12</v>
      </c>
      <c r="H593" s="69">
        <v>17.64</v>
      </c>
      <c r="I593" s="69">
        <f t="shared" si="167"/>
        <v>11.466000000000001</v>
      </c>
      <c r="J593" s="70">
        <v>1</v>
      </c>
      <c r="K593" s="69">
        <f t="shared" si="168"/>
        <v>-154.31663999999998</v>
      </c>
      <c r="L593" s="79" t="s">
        <v>468</v>
      </c>
      <c r="M593" s="61">
        <f t="shared" si="169"/>
        <v>-7.4228700000000005</v>
      </c>
      <c r="N593" s="61">
        <f t="shared" si="170"/>
        <v>1.9007100000000001</v>
      </c>
      <c r="O593" s="61"/>
      <c r="P593" s="2"/>
      <c r="Q593" s="2"/>
      <c r="R593" s="32"/>
      <c r="S593" s="32"/>
      <c r="T593" s="32"/>
      <c r="U593" s="32"/>
      <c r="V593" s="2"/>
      <c r="W593" s="2"/>
      <c r="X593" s="2"/>
      <c r="Y593" s="2"/>
      <c r="Z593" s="2"/>
    </row>
    <row r="594" spans="1:26" ht="13.8" x14ac:dyDescent="0.3">
      <c r="A594" s="2" t="s">
        <v>372</v>
      </c>
      <c r="B594" s="2" t="s">
        <v>107</v>
      </c>
      <c r="C594" s="10">
        <v>2304025</v>
      </c>
      <c r="D594" s="10" t="s">
        <v>1162</v>
      </c>
      <c r="E594" s="10">
        <v>2531140</v>
      </c>
      <c r="F594" s="10" t="s">
        <v>1257</v>
      </c>
      <c r="G594" s="69">
        <v>-798.4</v>
      </c>
      <c r="H594" s="69">
        <v>17.149999999999999</v>
      </c>
      <c r="I594" s="69">
        <f t="shared" si="167"/>
        <v>11.147499999999999</v>
      </c>
      <c r="J594" s="70">
        <v>1</v>
      </c>
      <c r="K594" s="69">
        <f t="shared" si="168"/>
        <v>-641.3664</v>
      </c>
      <c r="L594" s="79" t="s">
        <v>468</v>
      </c>
      <c r="M594" s="61">
        <f t="shared" si="169"/>
        <v>-28.317012499999997</v>
      </c>
      <c r="N594" s="61">
        <f t="shared" si="170"/>
        <v>1.8479124999999998</v>
      </c>
      <c r="O594" s="61"/>
      <c r="P594" s="2"/>
      <c r="Q594" s="2"/>
      <c r="R594" s="32"/>
      <c r="S594" s="32"/>
      <c r="T594" s="32"/>
      <c r="U594" s="32"/>
      <c r="V594" s="2"/>
      <c r="W594" s="2"/>
      <c r="X594" s="2"/>
      <c r="Y594" s="2"/>
      <c r="Z594" s="2"/>
    </row>
    <row r="595" spans="1:26" ht="13.8" x14ac:dyDescent="0.3">
      <c r="A595" s="2" t="s">
        <v>372</v>
      </c>
      <c r="B595" s="2" t="s">
        <v>107</v>
      </c>
      <c r="C595" s="10">
        <v>2304025</v>
      </c>
      <c r="D595" s="10" t="s">
        <v>1162</v>
      </c>
      <c r="E595" s="10">
        <v>2531141</v>
      </c>
      <c r="F595" s="10" t="s">
        <v>1258</v>
      </c>
      <c r="G595" s="69">
        <v>-67.63</v>
      </c>
      <c r="H595" s="69">
        <v>8.51</v>
      </c>
      <c r="I595" s="69">
        <f t="shared" si="167"/>
        <v>5.5315000000000003</v>
      </c>
      <c r="J595" s="70">
        <v>1</v>
      </c>
      <c r="K595" s="69">
        <f t="shared" si="168"/>
        <v>-50.48901</v>
      </c>
      <c r="L595" s="79" t="s">
        <v>468</v>
      </c>
      <c r="M595" s="61">
        <f t="shared" si="169"/>
        <v>-2.5521424999999995</v>
      </c>
      <c r="N595" s="61">
        <f t="shared" si="170"/>
        <v>0.91695249999999995</v>
      </c>
      <c r="O595" s="61"/>
      <c r="P595" s="2"/>
      <c r="Q595" s="2"/>
      <c r="R595" s="32"/>
      <c r="S595" s="32"/>
      <c r="T595" s="32"/>
      <c r="U595" s="32"/>
      <c r="V595" s="2"/>
      <c r="W595" s="2"/>
      <c r="X595" s="2"/>
      <c r="Y595" s="2"/>
      <c r="Z595" s="2"/>
    </row>
    <row r="596" spans="1:26" ht="13.8" x14ac:dyDescent="0.3">
      <c r="A596" s="2" t="s">
        <v>372</v>
      </c>
      <c r="B596" s="2" t="s">
        <v>107</v>
      </c>
      <c r="C596" s="10">
        <v>2304025</v>
      </c>
      <c r="D596" s="10" t="s">
        <v>1162</v>
      </c>
      <c r="E596" s="10">
        <v>2531145</v>
      </c>
      <c r="F596" s="10" t="s">
        <v>1226</v>
      </c>
      <c r="G596" s="69">
        <v>-283.95999999999998</v>
      </c>
      <c r="H596" s="69">
        <v>59.66</v>
      </c>
      <c r="I596" s="69">
        <f t="shared" si="167"/>
        <v>38.778999999999996</v>
      </c>
      <c r="J596" s="70">
        <v>1</v>
      </c>
      <c r="K596" s="69">
        <f t="shared" si="168"/>
        <v>-198.97236000000001</v>
      </c>
      <c r="L596" s="79" t="s">
        <v>468</v>
      </c>
      <c r="M596" s="61">
        <f t="shared" si="169"/>
        <v>-11.236204999999998</v>
      </c>
      <c r="N596" s="61">
        <f t="shared" si="170"/>
        <v>6.4283650000000003</v>
      </c>
      <c r="O596" s="61"/>
      <c r="P596" s="2"/>
      <c r="Q596" s="2"/>
      <c r="R596" s="32"/>
      <c r="S596" s="32"/>
      <c r="T596" s="32"/>
      <c r="U596" s="32"/>
      <c r="V596" s="2"/>
      <c r="W596" s="2"/>
      <c r="X596" s="2"/>
      <c r="Y596" s="2"/>
      <c r="Z596" s="2"/>
    </row>
    <row r="597" spans="1:26" ht="13.8" x14ac:dyDescent="0.3">
      <c r="A597" s="2" t="s">
        <v>372</v>
      </c>
      <c r="B597" s="2" t="s">
        <v>107</v>
      </c>
      <c r="C597" s="10">
        <v>2304025</v>
      </c>
      <c r="D597" s="10" t="s">
        <v>1162</v>
      </c>
      <c r="E597" s="10">
        <v>2531146</v>
      </c>
      <c r="F597" s="10" t="s">
        <v>1227</v>
      </c>
      <c r="G597" s="69">
        <v>-365.35</v>
      </c>
      <c r="H597" s="69">
        <v>49.73</v>
      </c>
      <c r="I597" s="69">
        <f t="shared" si="167"/>
        <v>32.3245</v>
      </c>
      <c r="J597" s="70">
        <v>1</v>
      </c>
      <c r="K597" s="69">
        <f t="shared" si="168"/>
        <v>-270.70713000000006</v>
      </c>
      <c r="L597" s="79" t="s">
        <v>468</v>
      </c>
      <c r="M597" s="61">
        <f t="shared" si="169"/>
        <v>-13.868877500000002</v>
      </c>
      <c r="N597" s="61">
        <f t="shared" si="170"/>
        <v>5.3584075000000002</v>
      </c>
      <c r="O597" s="61"/>
      <c r="P597" s="2"/>
      <c r="Q597" s="2"/>
      <c r="R597" s="32"/>
      <c r="S597" s="32"/>
      <c r="T597" s="32"/>
      <c r="U597" s="32"/>
      <c r="V597" s="2"/>
      <c r="W597" s="2"/>
      <c r="X597" s="2"/>
      <c r="Y597" s="2"/>
      <c r="Z597" s="2"/>
    </row>
    <row r="598" spans="1:26" ht="13.8" x14ac:dyDescent="0.3">
      <c r="A598" s="2" t="s">
        <v>372</v>
      </c>
      <c r="B598" s="2" t="s">
        <v>107</v>
      </c>
      <c r="C598" s="10">
        <v>2304025</v>
      </c>
      <c r="D598" s="10" t="s">
        <v>1162</v>
      </c>
      <c r="E598" s="10">
        <v>2531390</v>
      </c>
      <c r="F598" s="10" t="s">
        <v>1229</v>
      </c>
      <c r="G598" s="69">
        <v>-375.28</v>
      </c>
      <c r="H598" s="69">
        <v>67.13</v>
      </c>
      <c r="I598" s="69">
        <f t="shared" si="167"/>
        <v>43.634499999999996</v>
      </c>
      <c r="J598" s="70">
        <v>1</v>
      </c>
      <c r="K598" s="69">
        <f t="shared" si="168"/>
        <v>-269.33447999999999</v>
      </c>
      <c r="L598" s="79" t="s">
        <v>468</v>
      </c>
      <c r="M598" s="61">
        <f t="shared" si="169"/>
        <v>-14.594877499999999</v>
      </c>
      <c r="N598" s="61">
        <f t="shared" si="170"/>
        <v>7.2332574999999988</v>
      </c>
      <c r="O598" s="61"/>
      <c r="P598" s="2"/>
      <c r="Q598" s="2"/>
      <c r="R598" s="32"/>
      <c r="S598" s="32"/>
      <c r="T598" s="32"/>
      <c r="U598" s="32"/>
      <c r="V598" s="2"/>
      <c r="W598" s="2"/>
      <c r="X598" s="2"/>
      <c r="Y598" s="2"/>
      <c r="Z598" s="2"/>
    </row>
    <row r="599" spans="1:26" ht="13.8" x14ac:dyDescent="0.3">
      <c r="A599" s="2" t="s">
        <v>372</v>
      </c>
      <c r="B599" s="2" t="s">
        <v>107</v>
      </c>
      <c r="C599" s="10">
        <v>2304025</v>
      </c>
      <c r="D599" s="10" t="s">
        <v>1162</v>
      </c>
      <c r="E599" s="10">
        <v>2564684</v>
      </c>
      <c r="F599" s="10" t="s">
        <v>1282</v>
      </c>
      <c r="G599" s="69">
        <v>366.21</v>
      </c>
      <c r="H599" s="69">
        <v>19.12</v>
      </c>
      <c r="I599" s="69">
        <f t="shared" si="167"/>
        <v>12.428000000000001</v>
      </c>
      <c r="J599" s="70">
        <v>1</v>
      </c>
      <c r="K599" s="69">
        <f t="shared" si="168"/>
        <v>308.86242999999996</v>
      </c>
      <c r="L599" s="79" t="s">
        <v>468</v>
      </c>
      <c r="M599" s="61">
        <f t="shared" si="169"/>
        <v>12.401490000000001</v>
      </c>
      <c r="N599" s="61">
        <f t="shared" si="170"/>
        <v>2.0601799999999999</v>
      </c>
      <c r="O599" s="61"/>
      <c r="P599" s="2"/>
      <c r="Q599" s="2"/>
      <c r="R599" s="32"/>
      <c r="S599" s="32"/>
      <c r="T599" s="32"/>
      <c r="U599" s="32"/>
      <c r="V599" s="2"/>
      <c r="W599" s="2"/>
      <c r="X599" s="2"/>
      <c r="Y599" s="2"/>
      <c r="Z599" s="2"/>
    </row>
    <row r="600" spans="1:26" ht="13.8" x14ac:dyDescent="0.3">
      <c r="A600" s="2" t="s">
        <v>372</v>
      </c>
      <c r="B600" s="2" t="s">
        <v>107</v>
      </c>
      <c r="C600" s="10">
        <v>2304025</v>
      </c>
      <c r="D600" s="10" t="s">
        <v>1162</v>
      </c>
      <c r="E600" s="10">
        <v>2575824</v>
      </c>
      <c r="F600" s="10" t="s">
        <v>1284</v>
      </c>
      <c r="G600" s="69">
        <v>175.44</v>
      </c>
      <c r="H600" s="69">
        <v>19.53</v>
      </c>
      <c r="I600" s="69">
        <f t="shared" si="167"/>
        <v>12.694500000000001</v>
      </c>
      <c r="J600" s="70">
        <v>1</v>
      </c>
      <c r="K600" s="69">
        <f t="shared" si="168"/>
        <v>153.60792000000001</v>
      </c>
      <c r="L600" s="79" t="s">
        <v>468</v>
      </c>
      <c r="M600" s="61">
        <f t="shared" si="169"/>
        <v>5.7156225000000003</v>
      </c>
      <c r="N600" s="61">
        <f t="shared" si="170"/>
        <v>2.1043575000000003</v>
      </c>
      <c r="O600" s="61"/>
      <c r="P600" s="2"/>
      <c r="Q600" s="2"/>
      <c r="R600" s="32"/>
      <c r="S600" s="32"/>
      <c r="T600" s="32"/>
      <c r="U600" s="32"/>
      <c r="V600" s="2"/>
      <c r="W600" s="2"/>
      <c r="X600" s="2"/>
      <c r="Y600" s="2"/>
      <c r="Z600" s="2"/>
    </row>
    <row r="601" spans="1:26" ht="13.8" x14ac:dyDescent="0.3">
      <c r="A601" s="2" t="s">
        <v>372</v>
      </c>
      <c r="B601" s="2" t="s">
        <v>107</v>
      </c>
      <c r="C601" s="10">
        <v>2304025</v>
      </c>
      <c r="D601" s="10" t="s">
        <v>1162</v>
      </c>
      <c r="E601" s="10">
        <v>2575978</v>
      </c>
      <c r="F601" s="10" t="s">
        <v>1285</v>
      </c>
      <c r="G601" s="69">
        <v>157.6</v>
      </c>
      <c r="H601" s="69">
        <v>12.92</v>
      </c>
      <c r="I601" s="69">
        <f t="shared" si="167"/>
        <v>8.3979999999999997</v>
      </c>
      <c r="J601" s="70">
        <v>1</v>
      </c>
      <c r="K601" s="69">
        <f t="shared" si="168"/>
        <v>135.47247999999999</v>
      </c>
      <c r="L601" s="79" t="s">
        <v>468</v>
      </c>
      <c r="M601" s="61">
        <f t="shared" si="169"/>
        <v>5.2349899999999998</v>
      </c>
      <c r="N601" s="61">
        <f t="shared" si="170"/>
        <v>1.3921299999999999</v>
      </c>
      <c r="O601" s="61"/>
      <c r="P601" s="2"/>
      <c r="Q601" s="2"/>
      <c r="R601" s="32"/>
      <c r="S601" s="32"/>
      <c r="T601" s="32"/>
      <c r="U601" s="32"/>
      <c r="V601" s="2"/>
      <c r="W601" s="2"/>
      <c r="X601" s="2"/>
      <c r="Y601" s="2"/>
      <c r="Z601" s="2"/>
    </row>
    <row r="602" spans="1:26" ht="13.8" x14ac:dyDescent="0.3">
      <c r="A602" s="2" t="s">
        <v>372</v>
      </c>
      <c r="B602" s="2" t="s">
        <v>107</v>
      </c>
      <c r="C602" s="10">
        <v>2523689</v>
      </c>
      <c r="D602" s="10" t="s">
        <v>1179</v>
      </c>
      <c r="E602" s="10">
        <v>2525136</v>
      </c>
      <c r="F602" s="10" t="s">
        <v>1205</v>
      </c>
      <c r="G602" s="69">
        <v>547.76</v>
      </c>
      <c r="H602" s="69">
        <v>56.54</v>
      </c>
      <c r="I602" s="69">
        <f t="shared" si="167"/>
        <v>36.750999999999998</v>
      </c>
      <c r="J602" s="70">
        <v>1</v>
      </c>
      <c r="K602" s="69">
        <f t="shared" si="168"/>
        <v>477.18216000000001</v>
      </c>
      <c r="L602" s="79" t="s">
        <v>468</v>
      </c>
      <c r="M602" s="61">
        <f>(G602*0.05-H602*0.25*0.15)*J602*0.7-(-H602*0.02*0.15)*J602</f>
        <v>17.857044999999999</v>
      </c>
      <c r="N602" s="61">
        <f>(H602*0.1*0.85+I602*0.05)*J602*0.7+H602*0.02*0.85*J602</f>
        <v>5.6115949999999994</v>
      </c>
      <c r="O602" s="61"/>
      <c r="P602" s="2"/>
      <c r="Q602" s="2"/>
      <c r="R602" s="32"/>
      <c r="S602" s="32"/>
      <c r="T602" s="32"/>
      <c r="U602" s="32"/>
      <c r="V602" s="2"/>
      <c r="W602" s="2"/>
      <c r="X602" s="2"/>
      <c r="Y602" s="2"/>
      <c r="Z602" s="2"/>
    </row>
    <row r="603" spans="1:26" ht="13.8" x14ac:dyDescent="0.3">
      <c r="A603" s="2" t="s">
        <v>372</v>
      </c>
      <c r="B603" s="2" t="s">
        <v>107</v>
      </c>
      <c r="C603" s="10">
        <v>2550550</v>
      </c>
      <c r="D603" s="10" t="s">
        <v>1272</v>
      </c>
      <c r="E603" s="10">
        <v>2550550</v>
      </c>
      <c r="F603" s="10" t="s">
        <v>1272</v>
      </c>
      <c r="G603" s="69">
        <v>-80</v>
      </c>
      <c r="H603" s="69">
        <v>8</v>
      </c>
      <c r="I603" s="69">
        <f t="shared" si="167"/>
        <v>5.2</v>
      </c>
      <c r="J603" s="70">
        <v>1</v>
      </c>
      <c r="K603" s="69">
        <f>(G603+I603)*J603*0.96+(-H603*0.25*0.04)*J603*0.3+H603*0.1*0.96*J603*0.3</f>
        <v>-71.601599999999991</v>
      </c>
      <c r="L603" s="79"/>
      <c r="M603" s="61">
        <f>(-H603*0.25*0.04)*J603*0.7</f>
        <v>-5.5999999999999994E-2</v>
      </c>
      <c r="N603" s="61">
        <f>H603*0.1*0.96*J603*0.7+H603*0.02*0.04*J603+H603*0.02*0.96*J603</f>
        <v>0.69759999999999989</v>
      </c>
      <c r="O603" s="61"/>
      <c r="P603" s="2"/>
      <c r="Q603" s="2"/>
      <c r="R603" s="32"/>
      <c r="S603" s="32"/>
      <c r="T603" s="32"/>
      <c r="U603" s="32"/>
      <c r="V603" s="2"/>
      <c r="W603" s="2"/>
      <c r="X603" s="2"/>
      <c r="Y603" s="2"/>
      <c r="Z603" s="2"/>
    </row>
    <row r="604" spans="1:26" ht="13.8" x14ac:dyDescent="0.3">
      <c r="A604" s="2" t="s">
        <v>372</v>
      </c>
      <c r="B604" s="2" t="s">
        <v>107</v>
      </c>
      <c r="C604" s="10">
        <v>2566294</v>
      </c>
      <c r="D604" s="10" t="s">
        <v>1276</v>
      </c>
      <c r="E604" s="10">
        <v>2525032</v>
      </c>
      <c r="F604" s="10" t="s">
        <v>1277</v>
      </c>
      <c r="G604" s="69">
        <v>-4600</v>
      </c>
      <c r="H604" s="69">
        <v>420.09</v>
      </c>
      <c r="I604" s="69">
        <f t="shared" si="167"/>
        <v>273.05849999999998</v>
      </c>
      <c r="J604" s="70">
        <v>1</v>
      </c>
      <c r="K604" s="69">
        <f>(G604+I604)*J604*0.8+(G604*0.05-H604*0.25*0.15)*J604*0.3+(H604*0.1*0.85+I604*0.05)*J604*0.3</f>
        <v>-3520.4710399999999</v>
      </c>
      <c r="L604" s="79" t="s">
        <v>468</v>
      </c>
      <c r="M604" s="61">
        <f>(G604*0.05-H604*0.25*0.15)*J604*0.7-(-H604*0.02*0.15)*J604</f>
        <v>-170.76709249999999</v>
      </c>
      <c r="N604" s="61">
        <f>(H604*0.1*0.85+I604*0.05)*J604*0.7+H604*0.02*0.85*J604</f>
        <v>41.693932499999988</v>
      </c>
      <c r="O604" s="61"/>
      <c r="P604" s="2"/>
      <c r="Q604" s="2"/>
      <c r="R604" s="32"/>
      <c r="S604" s="32"/>
      <c r="T604" s="32"/>
      <c r="U604" s="32"/>
      <c r="V604" s="2"/>
      <c r="W604" s="2"/>
      <c r="X604" s="2"/>
      <c r="Y604" s="2"/>
      <c r="Z604" s="2"/>
    </row>
    <row r="605" spans="1:26" ht="13.8" x14ac:dyDescent="0.3">
      <c r="A605" s="2" t="s">
        <v>377</v>
      </c>
      <c r="B605" s="32" t="s">
        <v>69</v>
      </c>
      <c r="C605" s="10" t="s">
        <v>1230</v>
      </c>
      <c r="D605" s="10" t="s">
        <v>1231</v>
      </c>
      <c r="E605" s="10" t="s">
        <v>1232</v>
      </c>
      <c r="F605" s="10" t="s">
        <v>1233</v>
      </c>
      <c r="G605" s="69">
        <v>1023.18</v>
      </c>
      <c r="H605" s="69">
        <v>359.51</v>
      </c>
      <c r="I605" s="69">
        <f>H605*0.72</f>
        <v>258.84719999999999</v>
      </c>
      <c r="J605" s="70">
        <v>1</v>
      </c>
      <c r="K605" s="69">
        <f t="shared" ref="K605:K620" si="171">(G605+I605)*J605</f>
        <v>1282.0272</v>
      </c>
      <c r="L605" s="78">
        <f>H605*0.05*J605</f>
        <v>17.9755</v>
      </c>
      <c r="M605" s="61">
        <v>0</v>
      </c>
      <c r="N605" s="61">
        <f>H605*0.08*J605</f>
        <v>28.7608</v>
      </c>
      <c r="O605" s="58"/>
      <c r="P605" s="2"/>
      <c r="Q605" s="2"/>
      <c r="R605" s="32"/>
      <c r="S605" s="32"/>
      <c r="T605" s="32"/>
      <c r="U605" s="32"/>
      <c r="V605" s="2"/>
      <c r="W605" s="2"/>
      <c r="X605" s="2"/>
      <c r="Y605" s="2"/>
      <c r="Z605" s="2"/>
    </row>
    <row r="606" spans="1:26" ht="13.8" x14ac:dyDescent="0.3">
      <c r="A606" s="2" t="s">
        <v>377</v>
      </c>
      <c r="B606" s="10" t="s">
        <v>184</v>
      </c>
      <c r="C606" s="10" t="s">
        <v>1268</v>
      </c>
      <c r="D606" s="10" t="s">
        <v>1139</v>
      </c>
      <c r="E606" s="10" t="s">
        <v>1268</v>
      </c>
      <c r="F606" s="10" t="s">
        <v>1269</v>
      </c>
      <c r="G606" s="69">
        <v>-3500.88</v>
      </c>
      <c r="H606" s="69">
        <v>1077.23</v>
      </c>
      <c r="I606" s="69">
        <f t="shared" ref="I606:I616" si="172">H606*0.725</f>
        <v>780.99175000000002</v>
      </c>
      <c r="J606" s="75">
        <v>0.27564</v>
      </c>
      <c r="K606" s="69">
        <f t="shared" si="171"/>
        <v>-749.70999723</v>
      </c>
      <c r="L606" s="78">
        <f t="shared" ref="L606:L616" si="173">H606*0.025*J606</f>
        <v>7.4231919300000007</v>
      </c>
      <c r="M606" s="61">
        <v>0</v>
      </c>
      <c r="N606" s="61">
        <f t="shared" ref="N606:N616" si="174">H606*0.05*J606</f>
        <v>14.846383860000001</v>
      </c>
      <c r="O606" s="58"/>
      <c r="P606" s="2"/>
      <c r="Q606" s="2"/>
      <c r="R606" s="32"/>
      <c r="S606" s="32"/>
      <c r="T606" s="32"/>
      <c r="U606" s="32"/>
      <c r="V606" s="2"/>
      <c r="W606" s="2"/>
      <c r="X606" s="2"/>
      <c r="Y606" s="2"/>
      <c r="Z606" s="2"/>
    </row>
    <row r="607" spans="1:26" ht="13.8" x14ac:dyDescent="0.3">
      <c r="A607" s="2" t="s">
        <v>377</v>
      </c>
      <c r="B607" s="10" t="s">
        <v>184</v>
      </c>
      <c r="C607" s="10" t="s">
        <v>1138</v>
      </c>
      <c r="D607" s="10" t="s">
        <v>1139</v>
      </c>
      <c r="E607" s="10" t="s">
        <v>1246</v>
      </c>
      <c r="F607" s="10" t="s">
        <v>1247</v>
      </c>
      <c r="G607" s="69">
        <v>-1497.43</v>
      </c>
      <c r="H607" s="69">
        <v>1892.2</v>
      </c>
      <c r="I607" s="69">
        <f t="shared" si="172"/>
        <v>1371.845</v>
      </c>
      <c r="J607" s="75">
        <v>0.27564</v>
      </c>
      <c r="K607" s="69">
        <f t="shared" si="171"/>
        <v>-34.616249400000008</v>
      </c>
      <c r="L607" s="78">
        <f t="shared" si="173"/>
        <v>13.039150200000002</v>
      </c>
      <c r="M607" s="61">
        <v>0</v>
      </c>
      <c r="N607" s="61">
        <f t="shared" si="174"/>
        <v>26.078300400000003</v>
      </c>
      <c r="O607" s="58"/>
      <c r="P607" s="2"/>
      <c r="Q607" s="2"/>
      <c r="R607" s="32"/>
      <c r="S607" s="32"/>
      <c r="T607" s="32"/>
      <c r="U607" s="32"/>
      <c r="V607" s="2"/>
      <c r="W607" s="2"/>
      <c r="X607" s="2"/>
      <c r="Y607" s="2"/>
      <c r="Z607" s="2"/>
    </row>
    <row r="608" spans="1:26" ht="13.8" x14ac:dyDescent="0.3">
      <c r="A608" s="2" t="s">
        <v>377</v>
      </c>
      <c r="B608" s="10" t="s">
        <v>184</v>
      </c>
      <c r="C608" s="10" t="s">
        <v>1138</v>
      </c>
      <c r="D608" s="10" t="s">
        <v>1139</v>
      </c>
      <c r="E608" s="10" t="s">
        <v>1140</v>
      </c>
      <c r="F608" s="10" t="s">
        <v>1141</v>
      </c>
      <c r="G608" s="69">
        <v>-3332.35</v>
      </c>
      <c r="H608" s="69">
        <v>1986.41</v>
      </c>
      <c r="I608" s="69">
        <f t="shared" si="172"/>
        <v>1440.14725</v>
      </c>
      <c r="J608" s="75">
        <v>0.27564</v>
      </c>
      <c r="K608" s="69">
        <f t="shared" si="171"/>
        <v>-521.56676600999992</v>
      </c>
      <c r="L608" s="78">
        <f t="shared" si="173"/>
        <v>13.688351310000002</v>
      </c>
      <c r="M608" s="61">
        <v>0</v>
      </c>
      <c r="N608" s="61">
        <f t="shared" si="174"/>
        <v>27.376702620000003</v>
      </c>
      <c r="O608" s="58"/>
      <c r="P608" s="2"/>
      <c r="Q608" s="2"/>
      <c r="R608" s="32"/>
      <c r="S608" s="32"/>
      <c r="T608" s="32"/>
      <c r="U608" s="32"/>
      <c r="V608" s="2"/>
      <c r="W608" s="2"/>
      <c r="X608" s="2"/>
      <c r="Y608" s="2"/>
      <c r="Z608" s="2"/>
    </row>
    <row r="609" spans="1:26" ht="13.8" x14ac:dyDescent="0.3">
      <c r="A609" s="2" t="s">
        <v>377</v>
      </c>
      <c r="B609" s="10" t="s">
        <v>184</v>
      </c>
      <c r="C609" s="10" t="s">
        <v>1138</v>
      </c>
      <c r="D609" s="10" t="s">
        <v>1139</v>
      </c>
      <c r="E609" s="10" t="s">
        <v>1309</v>
      </c>
      <c r="F609" s="10" t="s">
        <v>1310</v>
      </c>
      <c r="G609" s="69">
        <v>-3.45</v>
      </c>
      <c r="H609" s="69">
        <v>8.0500000000000007</v>
      </c>
      <c r="I609" s="69">
        <f t="shared" si="172"/>
        <v>5.8362500000000006</v>
      </c>
      <c r="J609" s="75">
        <v>0.27564</v>
      </c>
      <c r="K609" s="69">
        <f t="shared" si="171"/>
        <v>0.65774595000000013</v>
      </c>
      <c r="L609" s="78">
        <f t="shared" si="173"/>
        <v>5.5472550000000009E-2</v>
      </c>
      <c r="M609" s="61">
        <v>0</v>
      </c>
      <c r="N609" s="61">
        <f t="shared" si="174"/>
        <v>0.11094510000000002</v>
      </c>
      <c r="O609" s="58"/>
      <c r="P609" s="2"/>
      <c r="Q609" s="2"/>
      <c r="R609" s="32"/>
      <c r="S609" s="32"/>
      <c r="T609" s="32"/>
      <c r="U609" s="32"/>
      <c r="V609" s="2"/>
      <c r="W609" s="2"/>
      <c r="X609" s="2"/>
      <c r="Y609" s="2"/>
      <c r="Z609" s="2"/>
    </row>
    <row r="610" spans="1:26" ht="13.8" x14ac:dyDescent="0.3">
      <c r="A610" s="2" t="s">
        <v>377</v>
      </c>
      <c r="B610" s="10" t="s">
        <v>184</v>
      </c>
      <c r="C610" s="10" t="s">
        <v>1138</v>
      </c>
      <c r="D610" s="10" t="s">
        <v>1139</v>
      </c>
      <c r="E610" s="10" t="s">
        <v>1304</v>
      </c>
      <c r="F610" s="10" t="s">
        <v>1305</v>
      </c>
      <c r="G610" s="69">
        <v>-1285.19</v>
      </c>
      <c r="H610" s="69">
        <v>401.93</v>
      </c>
      <c r="I610" s="69">
        <f t="shared" si="172"/>
        <v>291.39924999999999</v>
      </c>
      <c r="J610" s="75">
        <v>0.27564</v>
      </c>
      <c r="K610" s="69">
        <f t="shared" si="171"/>
        <v>-273.92848233000001</v>
      </c>
      <c r="L610" s="78">
        <f t="shared" si="173"/>
        <v>2.7696996300000003</v>
      </c>
      <c r="M610" s="61">
        <v>0</v>
      </c>
      <c r="N610" s="61">
        <f t="shared" si="174"/>
        <v>5.5393992600000006</v>
      </c>
      <c r="O610" s="58"/>
      <c r="P610" s="2"/>
      <c r="Q610" s="2"/>
      <c r="R610" s="32"/>
      <c r="S610" s="32"/>
      <c r="T610" s="32"/>
      <c r="U610" s="32"/>
      <c r="V610" s="2"/>
      <c r="W610" s="2"/>
      <c r="X610" s="2"/>
      <c r="Y610" s="2"/>
      <c r="Z610" s="2"/>
    </row>
    <row r="611" spans="1:26" ht="13.8" x14ac:dyDescent="0.3">
      <c r="A611" s="2" t="s">
        <v>377</v>
      </c>
      <c r="B611" s="10" t="s">
        <v>184</v>
      </c>
      <c r="C611" s="10" t="s">
        <v>1138</v>
      </c>
      <c r="D611" s="10" t="s">
        <v>1139</v>
      </c>
      <c r="E611" s="10" t="s">
        <v>1143</v>
      </c>
      <c r="F611" s="10" t="s">
        <v>1144</v>
      </c>
      <c r="G611" s="69">
        <v>-210</v>
      </c>
      <c r="H611" s="69">
        <v>10.17</v>
      </c>
      <c r="I611" s="69">
        <f t="shared" si="172"/>
        <v>7.3732499999999996</v>
      </c>
      <c r="J611" s="75">
        <v>0.27564</v>
      </c>
      <c r="K611" s="69">
        <f t="shared" si="171"/>
        <v>-55.852037369999998</v>
      </c>
      <c r="L611" s="78">
        <f t="shared" si="173"/>
        <v>7.0081470000000007E-2</v>
      </c>
      <c r="M611" s="61">
        <v>0</v>
      </c>
      <c r="N611" s="61">
        <f t="shared" si="174"/>
        <v>0.14016294000000001</v>
      </c>
      <c r="O611" s="58"/>
      <c r="P611" s="2"/>
      <c r="Q611" s="2"/>
      <c r="R611" s="32"/>
      <c r="S611" s="32"/>
      <c r="T611" s="32"/>
      <c r="U611" s="32"/>
      <c r="V611" s="2"/>
      <c r="W611" s="2"/>
      <c r="X611" s="2"/>
      <c r="Y611" s="2"/>
      <c r="Z611" s="2"/>
    </row>
    <row r="612" spans="1:26" ht="13.8" x14ac:dyDescent="0.3">
      <c r="A612" s="2" t="s">
        <v>377</v>
      </c>
      <c r="B612" s="10" t="s">
        <v>184</v>
      </c>
      <c r="C612" s="10" t="s">
        <v>1138</v>
      </c>
      <c r="D612" s="10" t="s">
        <v>1139</v>
      </c>
      <c r="E612" s="10" t="s">
        <v>1240</v>
      </c>
      <c r="F612" s="10" t="s">
        <v>1241</v>
      </c>
      <c r="G612" s="69">
        <v>-252.88</v>
      </c>
      <c r="H612" s="69">
        <v>93.86</v>
      </c>
      <c r="I612" s="69">
        <f t="shared" si="172"/>
        <v>68.048500000000004</v>
      </c>
      <c r="J612" s="75">
        <v>0.27564</v>
      </c>
      <c r="K612" s="69">
        <f t="shared" si="171"/>
        <v>-50.946954660000003</v>
      </c>
      <c r="L612" s="78">
        <f t="shared" si="173"/>
        <v>0.64678926000000003</v>
      </c>
      <c r="M612" s="61">
        <v>0</v>
      </c>
      <c r="N612" s="61">
        <f t="shared" si="174"/>
        <v>1.2935785200000001</v>
      </c>
      <c r="O612" s="58"/>
      <c r="P612" s="2"/>
      <c r="Q612" s="2"/>
      <c r="R612" s="32"/>
      <c r="S612" s="32"/>
      <c r="T612" s="32"/>
      <c r="U612" s="32"/>
      <c r="V612" s="2"/>
      <c r="W612" s="2"/>
      <c r="X612" s="2"/>
      <c r="Y612" s="2"/>
      <c r="Z612" s="2"/>
    </row>
    <row r="613" spans="1:26" ht="13.8" x14ac:dyDescent="0.3">
      <c r="A613" s="2" t="s">
        <v>377</v>
      </c>
      <c r="B613" s="10" t="s">
        <v>184</v>
      </c>
      <c r="C613" s="10" t="s">
        <v>1138</v>
      </c>
      <c r="D613" s="10" t="s">
        <v>1139</v>
      </c>
      <c r="E613" s="10" t="s">
        <v>1306</v>
      </c>
      <c r="F613" s="10" t="s">
        <v>1307</v>
      </c>
      <c r="G613" s="69">
        <v>0</v>
      </c>
      <c r="H613" s="69">
        <v>0</v>
      </c>
      <c r="I613" s="69">
        <f t="shared" si="172"/>
        <v>0</v>
      </c>
      <c r="J613" s="75">
        <v>0.27564</v>
      </c>
      <c r="K613" s="69">
        <f t="shared" si="171"/>
        <v>0</v>
      </c>
      <c r="L613" s="78">
        <f t="shared" si="173"/>
        <v>0</v>
      </c>
      <c r="M613" s="61">
        <v>0</v>
      </c>
      <c r="N613" s="61">
        <f t="shared" si="174"/>
        <v>0</v>
      </c>
      <c r="O613" s="58"/>
      <c r="P613" s="2"/>
      <c r="Q613" s="2"/>
      <c r="R613" s="32"/>
      <c r="S613" s="32"/>
      <c r="T613" s="32"/>
      <c r="U613" s="32"/>
      <c r="V613" s="2"/>
      <c r="W613" s="2"/>
      <c r="X613" s="2"/>
      <c r="Y613" s="2"/>
      <c r="Z613" s="2"/>
    </row>
    <row r="614" spans="1:26" ht="13.8" x14ac:dyDescent="0.3">
      <c r="A614" s="2" t="s">
        <v>377</v>
      </c>
      <c r="B614" s="10" t="s">
        <v>184</v>
      </c>
      <c r="C614" s="10" t="s">
        <v>1138</v>
      </c>
      <c r="D614" s="10" t="s">
        <v>1139</v>
      </c>
      <c r="E614" s="10" t="s">
        <v>1238</v>
      </c>
      <c r="F614" s="10" t="s">
        <v>1239</v>
      </c>
      <c r="G614" s="69">
        <v>-105.67</v>
      </c>
      <c r="H614" s="69">
        <v>10.39</v>
      </c>
      <c r="I614" s="69">
        <f t="shared" si="172"/>
        <v>7.5327500000000001</v>
      </c>
      <c r="J614" s="75">
        <v>0.27564</v>
      </c>
      <c r="K614" s="69">
        <f t="shared" si="171"/>
        <v>-27.050551589999998</v>
      </c>
      <c r="L614" s="78">
        <f t="shared" si="173"/>
        <v>7.1597490000000014E-2</v>
      </c>
      <c r="M614" s="61">
        <v>0</v>
      </c>
      <c r="N614" s="61">
        <f t="shared" si="174"/>
        <v>0.14319498000000003</v>
      </c>
      <c r="O614" s="58"/>
      <c r="P614" s="2"/>
      <c r="Q614" s="2"/>
      <c r="R614" s="32"/>
      <c r="S614" s="32"/>
      <c r="T614" s="32"/>
      <c r="U614" s="32"/>
      <c r="V614" s="2"/>
      <c r="W614" s="2"/>
      <c r="X614" s="2"/>
      <c r="Y614" s="2"/>
      <c r="Z614" s="2"/>
    </row>
    <row r="615" spans="1:26" ht="13.8" x14ac:dyDescent="0.3">
      <c r="A615" s="2" t="s">
        <v>377</v>
      </c>
      <c r="B615" s="10" t="s">
        <v>184</v>
      </c>
      <c r="C615" s="10" t="s">
        <v>1138</v>
      </c>
      <c r="D615" s="10" t="s">
        <v>1159</v>
      </c>
      <c r="E615" s="10" t="s">
        <v>1158</v>
      </c>
      <c r="F615" s="10" t="s">
        <v>1159</v>
      </c>
      <c r="G615" s="69">
        <v>0</v>
      </c>
      <c r="H615" s="69">
        <v>0</v>
      </c>
      <c r="I615" s="69">
        <f t="shared" si="172"/>
        <v>0</v>
      </c>
      <c r="J615" s="75">
        <v>0.27564</v>
      </c>
      <c r="K615" s="69">
        <f t="shared" si="171"/>
        <v>0</v>
      </c>
      <c r="L615" s="78">
        <f t="shared" si="173"/>
        <v>0</v>
      </c>
      <c r="M615" s="61">
        <v>0</v>
      </c>
      <c r="N615" s="61">
        <f t="shared" si="174"/>
        <v>0</v>
      </c>
      <c r="O615" s="58"/>
      <c r="P615" s="2"/>
      <c r="Q615" s="2"/>
      <c r="R615" s="32"/>
      <c r="S615" s="32"/>
      <c r="T615" s="32"/>
      <c r="U615" s="32"/>
      <c r="V615" s="2"/>
      <c r="W615" s="2"/>
      <c r="X615" s="2"/>
      <c r="Y615" s="2"/>
      <c r="Z615" s="2"/>
    </row>
    <row r="616" spans="1:26" ht="13.8" x14ac:dyDescent="0.3">
      <c r="A616" s="2" t="s">
        <v>377</v>
      </c>
      <c r="B616" s="10" t="s">
        <v>184</v>
      </c>
      <c r="C616" s="10" t="s">
        <v>1230</v>
      </c>
      <c r="D616" s="10" t="s">
        <v>1231</v>
      </c>
      <c r="E616" s="10" t="s">
        <v>1230</v>
      </c>
      <c r="F616" s="10" t="s">
        <v>1231</v>
      </c>
      <c r="G616" s="69">
        <v>-9848.94</v>
      </c>
      <c r="H616" s="69">
        <v>4479.5600000000004</v>
      </c>
      <c r="I616" s="69">
        <f t="shared" si="172"/>
        <v>3247.681</v>
      </c>
      <c r="J616" s="75">
        <v>0.27564</v>
      </c>
      <c r="K616" s="69">
        <f t="shared" si="171"/>
        <v>-1819.57103076</v>
      </c>
      <c r="L616" s="78">
        <f t="shared" si="173"/>
        <v>30.868647960000004</v>
      </c>
      <c r="M616" s="61">
        <v>0</v>
      </c>
      <c r="N616" s="61">
        <f t="shared" si="174"/>
        <v>61.737295920000008</v>
      </c>
      <c r="O616" s="58"/>
      <c r="P616" s="2"/>
      <c r="Q616" s="2"/>
      <c r="R616" s="32"/>
      <c r="S616" s="32"/>
      <c r="T616" s="32"/>
      <c r="U616" s="32"/>
      <c r="V616" s="2"/>
      <c r="W616" s="2"/>
      <c r="X616" s="2"/>
      <c r="Y616" s="2"/>
      <c r="Z616" s="2"/>
    </row>
    <row r="617" spans="1:26" ht="13.8" x14ac:dyDescent="0.3">
      <c r="A617" s="2" t="s">
        <v>377</v>
      </c>
      <c r="B617" s="29" t="s">
        <v>35</v>
      </c>
      <c r="C617" s="10" t="s">
        <v>1114</v>
      </c>
      <c r="D617" s="10" t="s">
        <v>1115</v>
      </c>
      <c r="E617" s="10" t="s">
        <v>1298</v>
      </c>
      <c r="F617" s="10" t="s">
        <v>1299</v>
      </c>
      <c r="G617" s="69">
        <v>1249.82</v>
      </c>
      <c r="H617" s="69">
        <v>414.3</v>
      </c>
      <c r="I617" s="69">
        <f t="shared" ref="I617:I620" si="175">H617*0.79</f>
        <v>327.29700000000003</v>
      </c>
      <c r="J617" s="75">
        <v>0.27564</v>
      </c>
      <c r="K617" s="69">
        <f t="shared" si="171"/>
        <v>434.71652988</v>
      </c>
      <c r="L617" s="78">
        <f t="shared" ref="L617:L620" si="176">H617*0.05*J617</f>
        <v>5.7098826000000011</v>
      </c>
      <c r="M617" s="61">
        <v>0</v>
      </c>
      <c r="N617" s="61">
        <f t="shared" ref="N617:N620" si="177">H617*0.04*J617</f>
        <v>4.5679060799999993</v>
      </c>
      <c r="O617" s="61"/>
      <c r="P617" s="2"/>
      <c r="Q617" s="2"/>
      <c r="R617" s="32"/>
      <c r="S617" s="32"/>
      <c r="T617" s="32"/>
      <c r="U617" s="32"/>
      <c r="V617" s="2"/>
      <c r="W617" s="2"/>
      <c r="X617" s="2"/>
      <c r="Y617" s="2"/>
      <c r="Z617" s="2"/>
    </row>
    <row r="618" spans="1:26" ht="13.8" x14ac:dyDescent="0.3">
      <c r="A618" s="2" t="s">
        <v>377</v>
      </c>
      <c r="B618" s="29" t="s">
        <v>35</v>
      </c>
      <c r="C618" s="10" t="s">
        <v>1290</v>
      </c>
      <c r="D618" s="10" t="s">
        <v>1291</v>
      </c>
      <c r="E618" s="10" t="s">
        <v>1292</v>
      </c>
      <c r="F618" s="10" t="s">
        <v>1293</v>
      </c>
      <c r="G618" s="69">
        <v>-14657.77</v>
      </c>
      <c r="H618" s="69">
        <v>3494.15</v>
      </c>
      <c r="I618" s="69">
        <f t="shared" si="175"/>
        <v>2760.3785000000003</v>
      </c>
      <c r="J618" s="75">
        <v>0.27564</v>
      </c>
      <c r="K618" s="69">
        <f t="shared" si="171"/>
        <v>-3279.3969930599997</v>
      </c>
      <c r="L618" s="78">
        <f t="shared" si="176"/>
        <v>48.156375300000001</v>
      </c>
      <c r="M618" s="61">
        <v>0</v>
      </c>
      <c r="N618" s="61">
        <f t="shared" si="177"/>
        <v>38.525100240000008</v>
      </c>
      <c r="O618" s="61"/>
      <c r="P618" s="2"/>
      <c r="Q618" s="2"/>
      <c r="R618" s="32"/>
      <c r="S618" s="32"/>
      <c r="T618" s="32"/>
      <c r="U618" s="32"/>
      <c r="V618" s="2"/>
      <c r="W618" s="2"/>
      <c r="X618" s="2"/>
      <c r="Y618" s="2"/>
      <c r="Z618" s="2"/>
    </row>
    <row r="619" spans="1:26" ht="13.8" x14ac:dyDescent="0.3">
      <c r="A619" s="2" t="s">
        <v>377</v>
      </c>
      <c r="B619" s="29" t="s">
        <v>35</v>
      </c>
      <c r="C619" s="10" t="s">
        <v>1138</v>
      </c>
      <c r="D619" s="10" t="s">
        <v>1139</v>
      </c>
      <c r="E619" s="10" t="s">
        <v>1238</v>
      </c>
      <c r="F619" s="10" t="s">
        <v>1239</v>
      </c>
      <c r="G619" s="69">
        <v>2866.46</v>
      </c>
      <c r="H619" s="69">
        <v>184.51</v>
      </c>
      <c r="I619" s="69">
        <f t="shared" si="175"/>
        <v>145.7629</v>
      </c>
      <c r="J619" s="75">
        <v>0.27564</v>
      </c>
      <c r="K619" s="69">
        <f t="shared" si="171"/>
        <v>830.28912015600008</v>
      </c>
      <c r="L619" s="78">
        <f t="shared" si="176"/>
        <v>2.5429168199999999</v>
      </c>
      <c r="M619" s="61">
        <v>0</v>
      </c>
      <c r="N619" s="61">
        <f t="shared" si="177"/>
        <v>2.0343334560000002</v>
      </c>
      <c r="O619" s="61"/>
      <c r="P619" s="2"/>
      <c r="Q619" s="2"/>
      <c r="R619" s="32"/>
      <c r="S619" s="32"/>
      <c r="T619" s="32"/>
      <c r="U619" s="32"/>
      <c r="V619" s="2"/>
      <c r="W619" s="2"/>
      <c r="X619" s="2"/>
      <c r="Y619" s="2"/>
      <c r="Z619" s="2"/>
    </row>
    <row r="620" spans="1:26" ht="13.8" x14ac:dyDescent="0.3">
      <c r="A620" s="2" t="s">
        <v>377</v>
      </c>
      <c r="B620" s="29" t="s">
        <v>35</v>
      </c>
      <c r="C620" s="10" t="s">
        <v>1138</v>
      </c>
      <c r="D620" s="10" t="s">
        <v>1139</v>
      </c>
      <c r="E620" s="10" t="s">
        <v>1240</v>
      </c>
      <c r="F620" s="10" t="s">
        <v>1241</v>
      </c>
      <c r="G620" s="69">
        <v>267.95</v>
      </c>
      <c r="H620" s="69">
        <v>83.66</v>
      </c>
      <c r="I620" s="69">
        <f t="shared" si="175"/>
        <v>66.091400000000007</v>
      </c>
      <c r="J620" s="75">
        <v>0.27564</v>
      </c>
      <c r="K620" s="69">
        <f t="shared" si="171"/>
        <v>92.075171495999996</v>
      </c>
      <c r="L620" s="78">
        <f t="shared" si="176"/>
        <v>1.15300212</v>
      </c>
      <c r="M620" s="61">
        <v>0</v>
      </c>
      <c r="N620" s="61">
        <f t="shared" si="177"/>
        <v>0.92240169599999999</v>
      </c>
      <c r="O620" s="61"/>
      <c r="P620" s="2"/>
      <c r="Q620" s="2"/>
      <c r="R620" s="32"/>
      <c r="S620" s="32"/>
      <c r="T620" s="32"/>
      <c r="U620" s="32"/>
      <c r="V620" s="2"/>
      <c r="W620" s="2"/>
      <c r="X620" s="2"/>
      <c r="Y620" s="2"/>
      <c r="Z620" s="2"/>
    </row>
    <row r="621" spans="1:26" ht="13.8" x14ac:dyDescent="0.3">
      <c r="A621" s="2" t="s">
        <v>377</v>
      </c>
      <c r="B621" s="2" t="s">
        <v>107</v>
      </c>
      <c r="C621" s="10" t="s">
        <v>15</v>
      </c>
      <c r="D621" s="10" t="s">
        <v>15</v>
      </c>
      <c r="E621" s="10">
        <v>2319777</v>
      </c>
      <c r="F621" s="10" t="s">
        <v>1273</v>
      </c>
      <c r="G621" s="69">
        <v>-107.25</v>
      </c>
      <c r="H621" s="69">
        <v>12.78</v>
      </c>
      <c r="I621" s="69">
        <v>0</v>
      </c>
      <c r="J621" s="70">
        <v>1</v>
      </c>
      <c r="K621" s="69">
        <f t="shared" ref="K621:K629" si="178">(-H621*0.25*0.04)*J621*0.3+H621*0.15*0.96*J621*0.3</f>
        <v>0.51375599999999988</v>
      </c>
      <c r="L621" s="79" t="s">
        <v>468</v>
      </c>
      <c r="M621" s="61">
        <v>0</v>
      </c>
      <c r="N621" s="61">
        <v>0</v>
      </c>
      <c r="O621" s="61"/>
      <c r="P621" s="2"/>
      <c r="Q621" s="2"/>
      <c r="R621" s="32"/>
      <c r="S621" s="32"/>
      <c r="T621" s="32"/>
      <c r="U621" s="32"/>
      <c r="V621" s="2"/>
      <c r="W621" s="2"/>
      <c r="X621" s="2"/>
      <c r="Y621" s="2"/>
      <c r="Z621" s="2"/>
    </row>
    <row r="622" spans="1:26" ht="13.8" x14ac:dyDescent="0.3">
      <c r="A622" s="2" t="s">
        <v>377</v>
      </c>
      <c r="B622" s="2" t="s">
        <v>107</v>
      </c>
      <c r="C622" s="10" t="s">
        <v>15</v>
      </c>
      <c r="D622" s="10" t="s">
        <v>15</v>
      </c>
      <c r="E622" s="10">
        <v>2404538</v>
      </c>
      <c r="F622" s="10" t="s">
        <v>1219</v>
      </c>
      <c r="G622" s="69">
        <v>-20</v>
      </c>
      <c r="H622" s="69">
        <v>2</v>
      </c>
      <c r="I622" s="69">
        <v>0</v>
      </c>
      <c r="J622" s="70">
        <v>1</v>
      </c>
      <c r="K622" s="69">
        <f t="shared" si="178"/>
        <v>8.0399999999999985E-2</v>
      </c>
      <c r="L622" s="79" t="s">
        <v>468</v>
      </c>
      <c r="M622" s="61">
        <v>0</v>
      </c>
      <c r="N622" s="61">
        <v>0</v>
      </c>
      <c r="O622" s="61"/>
      <c r="P622" s="2"/>
      <c r="Q622" s="2"/>
      <c r="R622" s="32"/>
      <c r="S622" s="32"/>
      <c r="T622" s="32"/>
      <c r="U622" s="32"/>
      <c r="V622" s="2"/>
      <c r="W622" s="2"/>
      <c r="X622" s="2"/>
      <c r="Y622" s="2"/>
      <c r="Z622" s="2"/>
    </row>
    <row r="623" spans="1:26" ht="13.8" x14ac:dyDescent="0.3">
      <c r="A623" s="2" t="s">
        <v>377</v>
      </c>
      <c r="B623" s="2" t="s">
        <v>107</v>
      </c>
      <c r="C623" s="10" t="s">
        <v>15</v>
      </c>
      <c r="D623" s="10" t="s">
        <v>15</v>
      </c>
      <c r="E623" s="10">
        <v>2409185</v>
      </c>
      <c r="F623" s="10" t="s">
        <v>1222</v>
      </c>
      <c r="G623" s="69">
        <v>-20</v>
      </c>
      <c r="H623" s="69">
        <v>2</v>
      </c>
      <c r="I623" s="69">
        <v>0</v>
      </c>
      <c r="J623" s="70">
        <v>1</v>
      </c>
      <c r="K623" s="69">
        <f t="shared" si="178"/>
        <v>8.0399999999999985E-2</v>
      </c>
      <c r="L623" s="79" t="s">
        <v>468</v>
      </c>
      <c r="M623" s="61">
        <v>0</v>
      </c>
      <c r="N623" s="61">
        <v>0</v>
      </c>
      <c r="O623" s="61"/>
      <c r="P623" s="2"/>
      <c r="Q623" s="2"/>
      <c r="R623" s="32"/>
      <c r="S623" s="32"/>
      <c r="T623" s="32"/>
      <c r="U623" s="32"/>
      <c r="V623" s="2"/>
      <c r="W623" s="2"/>
      <c r="X623" s="2"/>
      <c r="Y623" s="2"/>
      <c r="Z623" s="2"/>
    </row>
    <row r="624" spans="1:26" ht="13.8" x14ac:dyDescent="0.3">
      <c r="A624" s="2" t="s">
        <v>377</v>
      </c>
      <c r="B624" s="2" t="s">
        <v>107</v>
      </c>
      <c r="C624" s="10" t="s">
        <v>15</v>
      </c>
      <c r="D624" s="10" t="s">
        <v>15</v>
      </c>
      <c r="E624" s="10">
        <v>2471817</v>
      </c>
      <c r="F624" s="10" t="s">
        <v>1274</v>
      </c>
      <c r="G624" s="69">
        <v>6.62</v>
      </c>
      <c r="H624" s="69">
        <v>14.78</v>
      </c>
      <c r="I624" s="69">
        <v>0</v>
      </c>
      <c r="J624" s="70">
        <v>1</v>
      </c>
      <c r="K624" s="69">
        <f t="shared" si="178"/>
        <v>0.5941559999999998</v>
      </c>
      <c r="L624" s="79" t="s">
        <v>468</v>
      </c>
      <c r="M624" s="61">
        <v>0</v>
      </c>
      <c r="N624" s="61">
        <v>0</v>
      </c>
      <c r="O624" s="61"/>
      <c r="P624" s="2"/>
      <c r="Q624" s="2"/>
      <c r="R624" s="32"/>
      <c r="S624" s="32"/>
      <c r="T624" s="32"/>
      <c r="U624" s="32"/>
      <c r="V624" s="2"/>
      <c r="W624" s="2"/>
      <c r="X624" s="2"/>
      <c r="Y624" s="2"/>
      <c r="Z624" s="2"/>
    </row>
    <row r="625" spans="1:26" ht="13.8" x14ac:dyDescent="0.3">
      <c r="A625" s="2" t="s">
        <v>377</v>
      </c>
      <c r="B625" s="2" t="s">
        <v>107</v>
      </c>
      <c r="C625" s="10" t="s">
        <v>15</v>
      </c>
      <c r="D625" s="10" t="s">
        <v>15</v>
      </c>
      <c r="E625" s="10">
        <v>2479329</v>
      </c>
      <c r="F625" s="32" t="s">
        <v>1279</v>
      </c>
      <c r="G625" s="69">
        <v>-20</v>
      </c>
      <c r="H625" s="69">
        <v>2</v>
      </c>
      <c r="I625" s="69">
        <v>0</v>
      </c>
      <c r="J625" s="70">
        <v>1</v>
      </c>
      <c r="K625" s="69">
        <f t="shared" si="178"/>
        <v>8.0399999999999985E-2</v>
      </c>
      <c r="L625" s="79" t="s">
        <v>468</v>
      </c>
      <c r="M625" s="61">
        <v>0</v>
      </c>
      <c r="N625" s="61">
        <v>0</v>
      </c>
      <c r="O625" s="61"/>
      <c r="P625" s="2"/>
      <c r="Q625" s="2"/>
      <c r="R625" s="32"/>
      <c r="S625" s="32"/>
      <c r="T625" s="32"/>
      <c r="U625" s="32"/>
      <c r="V625" s="2"/>
      <c r="W625" s="2"/>
      <c r="X625" s="2"/>
      <c r="Y625" s="2"/>
      <c r="Z625" s="2"/>
    </row>
    <row r="626" spans="1:26" ht="13.8" x14ac:dyDescent="0.3">
      <c r="A626" s="2" t="s">
        <v>377</v>
      </c>
      <c r="B626" s="2" t="s">
        <v>107</v>
      </c>
      <c r="C626" s="10" t="s">
        <v>15</v>
      </c>
      <c r="D626" s="10" t="s">
        <v>15</v>
      </c>
      <c r="E626" s="10">
        <v>2496019</v>
      </c>
      <c r="F626" s="32" t="s">
        <v>1275</v>
      </c>
      <c r="G626" s="69">
        <v>-240.75</v>
      </c>
      <c r="H626" s="69">
        <v>27.06</v>
      </c>
      <c r="I626" s="69">
        <v>0</v>
      </c>
      <c r="J626" s="70">
        <v>1</v>
      </c>
      <c r="K626" s="69">
        <f t="shared" si="178"/>
        <v>1.0878119999999998</v>
      </c>
      <c r="L626" s="79" t="s">
        <v>468</v>
      </c>
      <c r="M626" s="61">
        <v>0</v>
      </c>
      <c r="N626" s="61">
        <v>0</v>
      </c>
      <c r="O626" s="61"/>
      <c r="P626" s="2"/>
      <c r="Q626" s="2"/>
      <c r="R626" s="32"/>
      <c r="S626" s="32"/>
      <c r="T626" s="32"/>
      <c r="U626" s="32"/>
      <c r="V626" s="2"/>
      <c r="W626" s="2"/>
      <c r="X626" s="2"/>
      <c r="Y626" s="2"/>
      <c r="Z626" s="2"/>
    </row>
    <row r="627" spans="1:26" ht="13.8" x14ac:dyDescent="0.3">
      <c r="A627" s="2" t="s">
        <v>377</v>
      </c>
      <c r="B627" s="2" t="s">
        <v>107</v>
      </c>
      <c r="C627" s="10" t="s">
        <v>15</v>
      </c>
      <c r="D627" s="10" t="s">
        <v>15</v>
      </c>
      <c r="E627" s="10">
        <v>2571823</v>
      </c>
      <c r="F627" s="10" t="s">
        <v>1280</v>
      </c>
      <c r="G627" s="69">
        <v>359.68</v>
      </c>
      <c r="H627" s="69">
        <v>10.56</v>
      </c>
      <c r="I627" s="69">
        <v>0</v>
      </c>
      <c r="J627" s="70">
        <v>1</v>
      </c>
      <c r="K627" s="69">
        <f t="shared" si="178"/>
        <v>0.424512</v>
      </c>
      <c r="L627" s="79" t="s">
        <v>468</v>
      </c>
      <c r="M627" s="61">
        <v>0</v>
      </c>
      <c r="N627" s="61">
        <v>0</v>
      </c>
      <c r="O627" s="61"/>
      <c r="P627" s="2"/>
      <c r="Q627" s="2"/>
      <c r="R627" s="32"/>
      <c r="S627" s="32"/>
      <c r="T627" s="32"/>
      <c r="U627" s="32"/>
      <c r="V627" s="2"/>
      <c r="W627" s="2"/>
      <c r="X627" s="2"/>
      <c r="Y627" s="2"/>
      <c r="Z627" s="2"/>
    </row>
    <row r="628" spans="1:26" ht="13.8" x14ac:dyDescent="0.3">
      <c r="A628" s="2" t="s">
        <v>377</v>
      </c>
      <c r="B628" s="2" t="s">
        <v>107</v>
      </c>
      <c r="C628" s="10" t="s">
        <v>15</v>
      </c>
      <c r="D628" s="10" t="s">
        <v>15</v>
      </c>
      <c r="E628" s="10">
        <v>2573237</v>
      </c>
      <c r="F628" s="10" t="s">
        <v>1281</v>
      </c>
      <c r="G628" s="69">
        <v>-66</v>
      </c>
      <c r="H628" s="69">
        <v>5.28</v>
      </c>
      <c r="I628" s="69">
        <v>0</v>
      </c>
      <c r="J628" s="70">
        <v>1</v>
      </c>
      <c r="K628" s="69">
        <f t="shared" si="178"/>
        <v>0.212256</v>
      </c>
      <c r="L628" s="79" t="s">
        <v>468</v>
      </c>
      <c r="M628" s="61">
        <v>0</v>
      </c>
      <c r="N628" s="61">
        <v>0</v>
      </c>
      <c r="O628" s="61"/>
      <c r="P628" s="2"/>
      <c r="Q628" s="2"/>
      <c r="R628" s="32"/>
      <c r="S628" s="32"/>
      <c r="T628" s="32"/>
      <c r="U628" s="32"/>
      <c r="V628" s="2"/>
      <c r="W628" s="2"/>
      <c r="X628" s="2"/>
      <c r="Y628" s="2"/>
      <c r="Z628" s="2"/>
    </row>
    <row r="629" spans="1:26" ht="13.8" x14ac:dyDescent="0.3">
      <c r="A629" s="2" t="s">
        <v>377</v>
      </c>
      <c r="B629" s="2" t="s">
        <v>107</v>
      </c>
      <c r="C629" s="10" t="s">
        <v>15</v>
      </c>
      <c r="D629" s="10" t="s">
        <v>15</v>
      </c>
      <c r="E629" s="10">
        <v>2587341</v>
      </c>
      <c r="F629" s="10" t="s">
        <v>1303</v>
      </c>
      <c r="G629" s="69">
        <v>-66</v>
      </c>
      <c r="H629" s="69">
        <v>5.28</v>
      </c>
      <c r="I629" s="69">
        <v>0</v>
      </c>
      <c r="J629" s="70">
        <v>1</v>
      </c>
      <c r="K629" s="69">
        <f t="shared" si="178"/>
        <v>0.212256</v>
      </c>
      <c r="L629" s="79" t="s">
        <v>468</v>
      </c>
      <c r="M629" s="61">
        <v>0</v>
      </c>
      <c r="N629" s="61">
        <v>0</v>
      </c>
      <c r="O629" s="61"/>
      <c r="P629" s="2"/>
      <c r="Q629" s="2"/>
      <c r="R629" s="32"/>
      <c r="S629" s="32"/>
      <c r="T629" s="32"/>
      <c r="U629" s="32"/>
      <c r="V629" s="2"/>
      <c r="W629" s="2"/>
      <c r="X629" s="2"/>
      <c r="Y629" s="2"/>
      <c r="Z629" s="2"/>
    </row>
    <row r="630" spans="1:26" ht="13.8" x14ac:dyDescent="0.3">
      <c r="A630" s="2" t="s">
        <v>377</v>
      </c>
      <c r="B630" s="2" t="s">
        <v>107</v>
      </c>
      <c r="C630" s="10">
        <v>2304025</v>
      </c>
      <c r="D630" s="10" t="s">
        <v>1162</v>
      </c>
      <c r="E630" s="10">
        <v>2435202</v>
      </c>
      <c r="F630" s="10" t="s">
        <v>1223</v>
      </c>
      <c r="G630" s="69">
        <v>-345.04</v>
      </c>
      <c r="H630" s="69">
        <v>31.12</v>
      </c>
      <c r="I630" s="69">
        <f t="shared" ref="I630:I642" si="179">H630*0.65</f>
        <v>20.228000000000002</v>
      </c>
      <c r="J630" s="70">
        <v>1</v>
      </c>
      <c r="K630" s="69">
        <f t="shared" ref="K630:K641" si="180">(G630+I630)*J630*0.8+(G630*0.05-H630*0.25*0.15)*J630*0.3+(H630*0.1*0.85+I630*0.05)*J630*0.3</f>
        <v>-264.27832000000006</v>
      </c>
      <c r="L630" s="79" t="s">
        <v>468</v>
      </c>
      <c r="M630" s="61">
        <f t="shared" ref="M630:M640" si="181">(G630*0.05-H630*0.25*0.15)*J630*0.7-(-H630*0.03*0.15)*J630</f>
        <v>-12.753260000000001</v>
      </c>
      <c r="N630" s="61">
        <f t="shared" ref="N630:N640" si="182">(H630*0.1*0.85+I630*0.05)*J630*0.7+H630*0.03*0.85*J630</f>
        <v>3.3531799999999996</v>
      </c>
      <c r="O630" s="61"/>
      <c r="P630" s="2"/>
      <c r="Q630" s="2"/>
      <c r="R630" s="32"/>
      <c r="S630" s="32"/>
      <c r="T630" s="32"/>
      <c r="U630" s="32"/>
      <c r="V630" s="2"/>
      <c r="W630" s="2"/>
      <c r="X630" s="2"/>
      <c r="Y630" s="2"/>
      <c r="Z630" s="2"/>
    </row>
    <row r="631" spans="1:26" ht="13.8" x14ac:dyDescent="0.3">
      <c r="A631" s="2" t="s">
        <v>377</v>
      </c>
      <c r="B631" s="2" t="s">
        <v>107</v>
      </c>
      <c r="C631" s="10">
        <v>2304025</v>
      </c>
      <c r="D631" s="10" t="s">
        <v>1162</v>
      </c>
      <c r="E631" s="10">
        <v>2435203</v>
      </c>
      <c r="F631" s="10" t="s">
        <v>1224</v>
      </c>
      <c r="G631" s="69">
        <v>-152.41999999999999</v>
      </c>
      <c r="H631" s="69">
        <v>55.2</v>
      </c>
      <c r="I631" s="69">
        <f t="shared" si="179"/>
        <v>35.880000000000003</v>
      </c>
      <c r="J631" s="70">
        <v>1</v>
      </c>
      <c r="K631" s="69">
        <f t="shared" si="180"/>
        <v>-94.1935</v>
      </c>
      <c r="L631" s="79" t="s">
        <v>468</v>
      </c>
      <c r="M631" s="61">
        <f t="shared" si="181"/>
        <v>-6.5352999999999986</v>
      </c>
      <c r="N631" s="61">
        <f t="shared" si="182"/>
        <v>5.9478000000000009</v>
      </c>
      <c r="O631" s="61"/>
      <c r="P631" s="2"/>
      <c r="Q631" s="2"/>
      <c r="R631" s="32"/>
      <c r="S631" s="32"/>
      <c r="T631" s="32"/>
      <c r="U631" s="32"/>
      <c r="V631" s="2"/>
      <c r="W631" s="2"/>
      <c r="X631" s="2"/>
      <c r="Y631" s="2"/>
      <c r="Z631" s="2"/>
    </row>
    <row r="632" spans="1:26" ht="13.8" x14ac:dyDescent="0.3">
      <c r="A632" s="2" t="s">
        <v>377</v>
      </c>
      <c r="B632" s="2" t="s">
        <v>107</v>
      </c>
      <c r="C632" s="10">
        <v>2304025</v>
      </c>
      <c r="D632" s="10" t="s">
        <v>1162</v>
      </c>
      <c r="E632" s="10">
        <v>2435206</v>
      </c>
      <c r="F632" s="10" t="s">
        <v>1225</v>
      </c>
      <c r="G632" s="69">
        <v>-31.46</v>
      </c>
      <c r="H632" s="69">
        <v>57.4</v>
      </c>
      <c r="I632" s="69">
        <f t="shared" si="179"/>
        <v>37.31</v>
      </c>
      <c r="J632" s="70">
        <v>1</v>
      </c>
      <c r="K632" s="69">
        <f t="shared" si="180"/>
        <v>5.585700000000001</v>
      </c>
      <c r="L632" s="79" t="s">
        <v>468</v>
      </c>
      <c r="M632" s="61">
        <f t="shared" si="181"/>
        <v>-2.3495499999999998</v>
      </c>
      <c r="N632" s="61">
        <f t="shared" si="182"/>
        <v>6.18485</v>
      </c>
      <c r="O632" s="61"/>
      <c r="P632" s="2"/>
      <c r="Q632" s="2"/>
      <c r="R632" s="32"/>
      <c r="S632" s="32"/>
      <c r="T632" s="32"/>
      <c r="U632" s="32"/>
      <c r="V632" s="2"/>
      <c r="W632" s="2"/>
      <c r="X632" s="2"/>
      <c r="Y632" s="2"/>
      <c r="Z632" s="2"/>
    </row>
    <row r="633" spans="1:26" ht="13.8" x14ac:dyDescent="0.3">
      <c r="A633" s="2" t="s">
        <v>377</v>
      </c>
      <c r="B633" s="2" t="s">
        <v>107</v>
      </c>
      <c r="C633" s="10">
        <v>2304025</v>
      </c>
      <c r="D633" s="10" t="s">
        <v>1162</v>
      </c>
      <c r="E633" s="10">
        <v>2471540</v>
      </c>
      <c r="F633" s="10" t="s">
        <v>1172</v>
      </c>
      <c r="G633" s="69">
        <v>323.67</v>
      </c>
      <c r="H633" s="69">
        <v>20.02</v>
      </c>
      <c r="I633" s="69">
        <f t="shared" si="179"/>
        <v>13.013</v>
      </c>
      <c r="J633" s="70">
        <v>1</v>
      </c>
      <c r="K633" s="69">
        <f t="shared" si="180"/>
        <v>274.68193000000002</v>
      </c>
      <c r="L633" s="79" t="s">
        <v>468</v>
      </c>
      <c r="M633" s="61">
        <f t="shared" si="181"/>
        <v>10.893015</v>
      </c>
      <c r="N633" s="61">
        <f t="shared" si="182"/>
        <v>2.1571549999999999</v>
      </c>
      <c r="O633" s="61"/>
      <c r="P633" s="2"/>
      <c r="Q633" s="2"/>
      <c r="R633" s="32"/>
      <c r="S633" s="32"/>
      <c r="T633" s="32"/>
      <c r="U633" s="32"/>
      <c r="V633" s="2"/>
      <c r="W633" s="2"/>
      <c r="X633" s="2"/>
      <c r="Y633" s="2"/>
      <c r="Z633" s="2"/>
    </row>
    <row r="634" spans="1:26" ht="13.8" x14ac:dyDescent="0.3">
      <c r="A634" s="2" t="s">
        <v>377</v>
      </c>
      <c r="B634" s="2" t="s">
        <v>107</v>
      </c>
      <c r="C634" s="10">
        <v>2304025</v>
      </c>
      <c r="D634" s="10" t="s">
        <v>1162</v>
      </c>
      <c r="E634" s="10">
        <v>2531140</v>
      </c>
      <c r="F634" s="10" t="s">
        <v>1257</v>
      </c>
      <c r="G634" s="69">
        <v>158.55000000000001</v>
      </c>
      <c r="H634" s="69">
        <v>63.19</v>
      </c>
      <c r="I634" s="69">
        <f t="shared" si="179"/>
        <v>41.073500000000003</v>
      </c>
      <c r="J634" s="70">
        <v>1</v>
      </c>
      <c r="K634" s="69">
        <f t="shared" si="180"/>
        <v>163.59361000000001</v>
      </c>
      <c r="L634" s="79" t="s">
        <v>468</v>
      </c>
      <c r="M634" s="61">
        <f t="shared" si="181"/>
        <v>4.1748675000000004</v>
      </c>
      <c r="N634" s="61">
        <f t="shared" si="182"/>
        <v>6.8087225</v>
      </c>
      <c r="O634" s="61"/>
      <c r="P634" s="2"/>
      <c r="Q634" s="2"/>
      <c r="R634" s="32"/>
      <c r="S634" s="32"/>
      <c r="T634" s="32"/>
      <c r="U634" s="32"/>
      <c r="V634" s="2"/>
      <c r="W634" s="2"/>
      <c r="X634" s="2"/>
      <c r="Y634" s="2"/>
      <c r="Z634" s="2"/>
    </row>
    <row r="635" spans="1:26" ht="13.8" x14ac:dyDescent="0.3">
      <c r="A635" s="2" t="s">
        <v>377</v>
      </c>
      <c r="B635" s="2" t="s">
        <v>107</v>
      </c>
      <c r="C635" s="10">
        <v>2304025</v>
      </c>
      <c r="D635" s="10" t="s">
        <v>1162</v>
      </c>
      <c r="E635" s="10">
        <v>2531141</v>
      </c>
      <c r="F635" s="10" t="s">
        <v>1258</v>
      </c>
      <c r="G635" s="69">
        <v>-544.70000000000005</v>
      </c>
      <c r="H635" s="69">
        <v>62.72</v>
      </c>
      <c r="I635" s="69">
        <f t="shared" si="179"/>
        <v>40.768000000000001</v>
      </c>
      <c r="J635" s="70">
        <v>1</v>
      </c>
      <c r="K635" s="69">
        <f t="shared" si="180"/>
        <v>-409.81082000000009</v>
      </c>
      <c r="L635" s="79" t="s">
        <v>468</v>
      </c>
      <c r="M635" s="61">
        <f t="shared" si="181"/>
        <v>-20.428660000000001</v>
      </c>
      <c r="N635" s="61">
        <f t="shared" si="182"/>
        <v>6.7580799999999996</v>
      </c>
      <c r="O635" s="61"/>
      <c r="P635" s="2"/>
      <c r="Q635" s="2"/>
      <c r="R635" s="32"/>
      <c r="S635" s="32"/>
      <c r="T635" s="32"/>
      <c r="U635" s="32"/>
      <c r="V635" s="2"/>
      <c r="W635" s="2"/>
      <c r="X635" s="2"/>
      <c r="Y635" s="2"/>
      <c r="Z635" s="2"/>
    </row>
    <row r="636" spans="1:26" ht="13.8" x14ac:dyDescent="0.3">
      <c r="A636" s="2" t="s">
        <v>377</v>
      </c>
      <c r="B636" s="2" t="s">
        <v>107</v>
      </c>
      <c r="C636" s="10">
        <v>2304025</v>
      </c>
      <c r="D636" s="10" t="s">
        <v>1162</v>
      </c>
      <c r="E636" s="10">
        <v>2531145</v>
      </c>
      <c r="F636" s="10" t="s">
        <v>1226</v>
      </c>
      <c r="G636" s="69">
        <v>-75.77</v>
      </c>
      <c r="H636" s="69">
        <v>126.09</v>
      </c>
      <c r="I636" s="69">
        <f t="shared" si="179"/>
        <v>81.958500000000001</v>
      </c>
      <c r="J636" s="70">
        <v>1</v>
      </c>
      <c r="K636" s="69">
        <f t="shared" si="180"/>
        <v>6.8404100000000057</v>
      </c>
      <c r="L636" s="79" t="s">
        <v>468</v>
      </c>
      <c r="M636" s="61">
        <f t="shared" si="181"/>
        <v>-5.3944074999999989</v>
      </c>
      <c r="N636" s="61">
        <f t="shared" si="182"/>
        <v>13.586197500000001</v>
      </c>
      <c r="O636" s="61"/>
      <c r="P636" s="2"/>
      <c r="Q636" s="2"/>
      <c r="R636" s="32"/>
      <c r="S636" s="32"/>
      <c r="T636" s="32"/>
      <c r="U636" s="32"/>
      <c r="V636" s="2"/>
      <c r="W636" s="2"/>
      <c r="X636" s="2"/>
      <c r="Y636" s="2"/>
      <c r="Z636" s="2"/>
    </row>
    <row r="637" spans="1:26" ht="13.8" x14ac:dyDescent="0.3">
      <c r="A637" s="2" t="s">
        <v>377</v>
      </c>
      <c r="B637" s="2" t="s">
        <v>107</v>
      </c>
      <c r="C637" s="10">
        <v>2304025</v>
      </c>
      <c r="D637" s="10" t="s">
        <v>1162</v>
      </c>
      <c r="E637" s="10">
        <v>2531390</v>
      </c>
      <c r="F637" s="10" t="s">
        <v>1229</v>
      </c>
      <c r="G637" s="69">
        <v>256.64999999999998</v>
      </c>
      <c r="H637" s="69">
        <v>12.34</v>
      </c>
      <c r="I637" s="69">
        <f t="shared" si="179"/>
        <v>8.0210000000000008</v>
      </c>
      <c r="J637" s="70">
        <v>1</v>
      </c>
      <c r="K637" s="69">
        <f t="shared" si="180"/>
        <v>215.88271000000003</v>
      </c>
      <c r="L637" s="79" t="s">
        <v>468</v>
      </c>
      <c r="M637" s="61">
        <f t="shared" si="181"/>
        <v>8.7143549999999976</v>
      </c>
      <c r="N637" s="61">
        <f t="shared" si="182"/>
        <v>1.3296349999999999</v>
      </c>
      <c r="O637" s="61"/>
      <c r="P637" s="2"/>
      <c r="Q637" s="2"/>
      <c r="R637" s="32"/>
      <c r="S637" s="32"/>
      <c r="T637" s="32"/>
      <c r="U637" s="32"/>
      <c r="V637" s="2"/>
      <c r="W637" s="2"/>
      <c r="X637" s="2"/>
      <c r="Y637" s="2"/>
      <c r="Z637" s="2"/>
    </row>
    <row r="638" spans="1:26" ht="13.8" x14ac:dyDescent="0.3">
      <c r="A638" s="2" t="s">
        <v>377</v>
      </c>
      <c r="B638" s="2" t="s">
        <v>107</v>
      </c>
      <c r="C638" s="10">
        <v>2304025</v>
      </c>
      <c r="D638" s="10" t="s">
        <v>1162</v>
      </c>
      <c r="E638" s="10">
        <v>2575716</v>
      </c>
      <c r="F638" s="10" t="s">
        <v>1283</v>
      </c>
      <c r="G638" s="69">
        <v>146.36000000000001</v>
      </c>
      <c r="H638" s="69">
        <v>8.32</v>
      </c>
      <c r="I638" s="69">
        <f t="shared" si="179"/>
        <v>5.4080000000000004</v>
      </c>
      <c r="J638" s="70">
        <v>1</v>
      </c>
      <c r="K638" s="69">
        <f t="shared" si="180"/>
        <v>123.80947999999999</v>
      </c>
      <c r="L638" s="79" t="s">
        <v>468</v>
      </c>
      <c r="M638" s="61">
        <f t="shared" si="181"/>
        <v>4.9416400000000005</v>
      </c>
      <c r="N638" s="61">
        <f t="shared" si="182"/>
        <v>0.89647999999999994</v>
      </c>
      <c r="O638" s="61"/>
      <c r="P638" s="2"/>
      <c r="Q638" s="2"/>
      <c r="R638" s="32"/>
      <c r="S638" s="32"/>
      <c r="T638" s="32"/>
      <c r="U638" s="32"/>
      <c r="V638" s="2"/>
      <c r="W638" s="2"/>
      <c r="X638" s="2"/>
      <c r="Y638" s="2"/>
      <c r="Z638" s="2"/>
    </row>
    <row r="639" spans="1:26" ht="13.8" x14ac:dyDescent="0.3">
      <c r="A639" s="2" t="s">
        <v>377</v>
      </c>
      <c r="B639" s="2" t="s">
        <v>107</v>
      </c>
      <c r="C639" s="10">
        <v>2304025</v>
      </c>
      <c r="D639" s="10" t="s">
        <v>1162</v>
      </c>
      <c r="E639" s="10">
        <v>2575824</v>
      </c>
      <c r="F639" s="10" t="s">
        <v>1284</v>
      </c>
      <c r="G639" s="69">
        <v>224.06</v>
      </c>
      <c r="H639" s="69">
        <v>22.49</v>
      </c>
      <c r="I639" s="69">
        <f t="shared" si="179"/>
        <v>14.618499999999999</v>
      </c>
      <c r="J639" s="70">
        <v>1</v>
      </c>
      <c r="K639" s="69">
        <f t="shared" si="180"/>
        <v>194.84346000000005</v>
      </c>
      <c r="L639" s="79" t="s">
        <v>468</v>
      </c>
      <c r="M639" s="61">
        <f t="shared" si="181"/>
        <v>7.3529425000000002</v>
      </c>
      <c r="N639" s="61">
        <f t="shared" si="182"/>
        <v>2.4232974999999999</v>
      </c>
      <c r="O639" s="61"/>
      <c r="P639" s="2"/>
      <c r="Q639" s="2"/>
      <c r="R639" s="32"/>
      <c r="S639" s="32"/>
      <c r="T639" s="32"/>
      <c r="U639" s="32"/>
      <c r="V639" s="2"/>
      <c r="W639" s="2"/>
      <c r="X639" s="2"/>
      <c r="Y639" s="2"/>
      <c r="Z639" s="2"/>
    </row>
    <row r="640" spans="1:26" ht="13.8" x14ac:dyDescent="0.3">
      <c r="A640" s="2" t="s">
        <v>377</v>
      </c>
      <c r="B640" s="2" t="s">
        <v>107</v>
      </c>
      <c r="C640" s="10">
        <v>2304025</v>
      </c>
      <c r="D640" s="10" t="s">
        <v>1162</v>
      </c>
      <c r="E640" s="10">
        <v>2575978</v>
      </c>
      <c r="F640" s="10" t="s">
        <v>1285</v>
      </c>
      <c r="G640" s="69">
        <v>65.34</v>
      </c>
      <c r="H640" s="69">
        <v>2.88</v>
      </c>
      <c r="I640" s="69">
        <f t="shared" si="179"/>
        <v>1.8719999999999999</v>
      </c>
      <c r="J640" s="70">
        <v>1</v>
      </c>
      <c r="K640" s="69">
        <f t="shared" si="180"/>
        <v>54.818820000000002</v>
      </c>
      <c r="L640" s="79" t="s">
        <v>468</v>
      </c>
      <c r="M640" s="61">
        <f t="shared" si="181"/>
        <v>2.2242600000000001</v>
      </c>
      <c r="N640" s="61">
        <f t="shared" si="182"/>
        <v>0.31031999999999998</v>
      </c>
      <c r="O640" s="61"/>
      <c r="P640" s="2"/>
      <c r="Q640" s="2"/>
      <c r="R640" s="32"/>
      <c r="S640" s="32"/>
      <c r="T640" s="32"/>
      <c r="U640" s="32"/>
      <c r="V640" s="2"/>
      <c r="W640" s="2"/>
      <c r="X640" s="2"/>
      <c r="Y640" s="2"/>
      <c r="Z640" s="2"/>
    </row>
    <row r="641" spans="1:26" ht="13.8" x14ac:dyDescent="0.3">
      <c r="A641" s="2" t="s">
        <v>377</v>
      </c>
      <c r="B641" s="2" t="s">
        <v>107</v>
      </c>
      <c r="C641" s="10">
        <v>2525136</v>
      </c>
      <c r="D641" s="10" t="s">
        <v>1205</v>
      </c>
      <c r="E641" s="10">
        <v>2525136</v>
      </c>
      <c r="F641" s="10" t="s">
        <v>1205</v>
      </c>
      <c r="G641" s="69">
        <v>539.66</v>
      </c>
      <c r="H641" s="69">
        <v>54.54</v>
      </c>
      <c r="I641" s="69">
        <f t="shared" si="179"/>
        <v>35.451000000000001</v>
      </c>
      <c r="J641" s="70">
        <v>1</v>
      </c>
      <c r="K641" s="69">
        <f t="shared" si="180"/>
        <v>469.49266</v>
      </c>
      <c r="L641" s="79" t="s">
        <v>468</v>
      </c>
      <c r="M641" s="61">
        <f>(G641*0.05-H641*0.25*0.15)*J641*0.7-(-H641*0.02*0.15)*J641</f>
        <v>17.620045000000001</v>
      </c>
      <c r="N641" s="61">
        <f>(H641*0.1*0.85+I641*0.05)*J641*0.7+H641*0.02*0.85*J641</f>
        <v>5.4130949999999993</v>
      </c>
      <c r="O641" s="61"/>
      <c r="P641" s="2"/>
      <c r="Q641" s="2"/>
      <c r="R641" s="32"/>
      <c r="S641" s="32"/>
      <c r="T641" s="32"/>
      <c r="U641" s="32"/>
      <c r="V641" s="2"/>
      <c r="W641" s="2"/>
      <c r="X641" s="2"/>
      <c r="Y641" s="2"/>
      <c r="Z641" s="2"/>
    </row>
    <row r="642" spans="1:26" ht="13.8" x14ac:dyDescent="0.3">
      <c r="A642" s="2" t="s">
        <v>377</v>
      </c>
      <c r="B642" s="2" t="s">
        <v>107</v>
      </c>
      <c r="C642" s="10">
        <v>2550550</v>
      </c>
      <c r="D642" s="10" t="s">
        <v>1272</v>
      </c>
      <c r="E642" s="10">
        <v>2550550</v>
      </c>
      <c r="F642" s="10" t="s">
        <v>1272</v>
      </c>
      <c r="G642" s="69">
        <v>-425</v>
      </c>
      <c r="H642" s="69">
        <v>42.5</v>
      </c>
      <c r="I642" s="69">
        <f t="shared" si="179"/>
        <v>27.625</v>
      </c>
      <c r="J642" s="70">
        <v>1</v>
      </c>
      <c r="K642" s="69">
        <f>(G642+I642)*J642*0.96+(-H642*0.25*0.04)*J642*0.3+H642*0.1*0.96*J642*0.3</f>
        <v>-380.38349999999997</v>
      </c>
      <c r="L642" s="79"/>
      <c r="M642" s="61">
        <f>(-H642*0.25*0.04)*J642*0.7</f>
        <v>-0.29749999999999999</v>
      </c>
      <c r="N642" s="61">
        <f>H642*0.1*0.96*J642*0.7+H642*0.02*0.04*J642+H642*0.02*0.96*J642</f>
        <v>3.7059999999999995</v>
      </c>
      <c r="O642" s="61"/>
      <c r="P642" s="2"/>
      <c r="Q642" s="2"/>
      <c r="R642" s="32"/>
      <c r="S642" s="32"/>
      <c r="T642" s="32"/>
      <c r="U642" s="32"/>
      <c r="V642" s="2"/>
      <c r="W642" s="2"/>
      <c r="X642" s="2"/>
      <c r="Y642" s="2"/>
      <c r="Z642" s="2"/>
    </row>
    <row r="643" spans="1:26" ht="13.8" x14ac:dyDescent="0.3">
      <c r="A643" s="2" t="s">
        <v>377</v>
      </c>
      <c r="B643" s="32" t="s">
        <v>61</v>
      </c>
      <c r="C643" s="2" t="s">
        <v>1138</v>
      </c>
      <c r="D643" s="2" t="s">
        <v>1139</v>
      </c>
      <c r="E643" s="2" t="s">
        <v>1206</v>
      </c>
      <c r="F643" s="2" t="s">
        <v>1207</v>
      </c>
      <c r="G643" s="69">
        <v>4820.2299999999996</v>
      </c>
      <c r="H643" s="69">
        <v>954.59</v>
      </c>
      <c r="I643" s="69">
        <f t="shared" ref="I643:I644" si="183">H643*0.57</f>
        <v>544.11630000000002</v>
      </c>
      <c r="J643" s="70">
        <v>1.13923</v>
      </c>
      <c r="K643" s="69">
        <f t="shared" ref="K643:K644" si="184">(G643+I643)*J643</f>
        <v>6111.2242353489992</v>
      </c>
      <c r="L643" s="78" t="s">
        <v>468</v>
      </c>
      <c r="M643" s="61">
        <v>0</v>
      </c>
      <c r="N643" s="61">
        <f t="shared" ref="N643:N644" si="185">H643*0.08*J643</f>
        <v>86.999805256000016</v>
      </c>
      <c r="O643" s="58"/>
      <c r="P643" s="2"/>
      <c r="Q643" s="2"/>
      <c r="R643" s="32"/>
      <c r="S643" s="32"/>
      <c r="T643" s="32"/>
      <c r="U643" s="32"/>
      <c r="V643" s="2"/>
      <c r="W643" s="2"/>
      <c r="X643" s="2"/>
      <c r="Y643" s="2"/>
      <c r="Z643" s="2"/>
    </row>
    <row r="644" spans="1:26" ht="13.8" x14ac:dyDescent="0.3">
      <c r="A644" s="2" t="s">
        <v>377</v>
      </c>
      <c r="B644" s="32" t="s">
        <v>61</v>
      </c>
      <c r="C644" s="10" t="s">
        <v>1230</v>
      </c>
      <c r="D644" s="10" t="s">
        <v>1231</v>
      </c>
      <c r="E644" s="2" t="s">
        <v>1230</v>
      </c>
      <c r="F644" s="2" t="s">
        <v>1231</v>
      </c>
      <c r="G644" s="69">
        <v>7703.97</v>
      </c>
      <c r="H644" s="69">
        <v>422.92</v>
      </c>
      <c r="I644" s="69">
        <f t="shared" si="183"/>
        <v>241.06439999999998</v>
      </c>
      <c r="J644" s="70">
        <v>1.13923</v>
      </c>
      <c r="K644" s="69">
        <f t="shared" si="184"/>
        <v>9051.2215395120002</v>
      </c>
      <c r="L644" s="78" t="s">
        <v>468</v>
      </c>
      <c r="M644" s="61">
        <v>0</v>
      </c>
      <c r="N644" s="61">
        <f t="shared" si="185"/>
        <v>38.544252128000004</v>
      </c>
      <c r="O644" s="58"/>
      <c r="P644" s="2"/>
      <c r="Q644" s="2"/>
      <c r="R644" s="32"/>
      <c r="S644" s="32"/>
      <c r="T644" s="32"/>
      <c r="U644" s="32"/>
      <c r="V644" s="2"/>
      <c r="W644" s="2"/>
      <c r="X644" s="2"/>
      <c r="Y644" s="2"/>
      <c r="Z644" s="2"/>
    </row>
    <row r="645" spans="1:26" ht="13.8" x14ac:dyDescent="0.3">
      <c r="A645" s="2" t="s">
        <v>377</v>
      </c>
      <c r="B645" s="2" t="s">
        <v>186</v>
      </c>
      <c r="C645" s="10">
        <v>2304025</v>
      </c>
      <c r="D645" s="10" t="s">
        <v>1162</v>
      </c>
      <c r="E645" s="10">
        <v>2380008</v>
      </c>
      <c r="F645" s="10" t="s">
        <v>1192</v>
      </c>
      <c r="G645" s="69">
        <v>-80.44</v>
      </c>
      <c r="H645" s="69">
        <v>21.49</v>
      </c>
      <c r="I645" s="69">
        <f t="shared" ref="I645:I660" si="186">H645*0.5</f>
        <v>10.744999999999999</v>
      </c>
      <c r="J645" s="70">
        <v>1</v>
      </c>
      <c r="K645" s="69">
        <f t="shared" ref="K645:K660" si="187">(G645+I645)*J645*0.85+(-H645*0.4*0.15)*J645*0.3+H645*0.1*0.85*J645*0.3</f>
        <v>-59.079574999999991</v>
      </c>
      <c r="L645" s="79" t="s">
        <v>468</v>
      </c>
      <c r="M645" s="61">
        <f t="shared" ref="M645:M660" si="188">(-H645*0.4*0.15)*J645*0.7-(-H645*0.05*0.15)*J645</f>
        <v>-0.74140499999999987</v>
      </c>
      <c r="N645" s="61">
        <f t="shared" ref="N645:N660" si="189">H645*0.1*0.85*J645*0.7+H645*0.05*0.85*J645</f>
        <v>2.19198</v>
      </c>
      <c r="O645" s="61"/>
      <c r="P645" s="2"/>
      <c r="Q645" s="2"/>
      <c r="R645" s="32"/>
      <c r="S645" s="32"/>
      <c r="T645" s="32"/>
      <c r="U645" s="32"/>
      <c r="V645" s="2"/>
      <c r="W645" s="2"/>
      <c r="X645" s="2"/>
      <c r="Y645" s="2"/>
      <c r="Z645" s="2"/>
    </row>
    <row r="646" spans="1:26" ht="13.8" x14ac:dyDescent="0.3">
      <c r="A646" s="2" t="s">
        <v>377</v>
      </c>
      <c r="B646" s="2" t="s">
        <v>186</v>
      </c>
      <c r="C646" s="10">
        <v>2304025</v>
      </c>
      <c r="D646" s="10" t="s">
        <v>1162</v>
      </c>
      <c r="E646" s="10">
        <v>2381522</v>
      </c>
      <c r="F646" s="10" t="s">
        <v>1166</v>
      </c>
      <c r="G646" s="69">
        <v>-260.83999999999997</v>
      </c>
      <c r="H646" s="69">
        <v>25.92</v>
      </c>
      <c r="I646" s="69">
        <f t="shared" si="186"/>
        <v>12.96</v>
      </c>
      <c r="J646" s="70">
        <v>1</v>
      </c>
      <c r="K646" s="69">
        <f t="shared" si="187"/>
        <v>-210.50359999999998</v>
      </c>
      <c r="L646" s="79" t="s">
        <v>468</v>
      </c>
      <c r="M646" s="61">
        <f t="shared" si="188"/>
        <v>-0.89424000000000026</v>
      </c>
      <c r="N646" s="61">
        <f t="shared" si="189"/>
        <v>2.64384</v>
      </c>
      <c r="O646" s="61"/>
      <c r="P646" s="2"/>
      <c r="Q646" s="2"/>
      <c r="R646" s="32"/>
      <c r="S646" s="32"/>
      <c r="T646" s="32"/>
      <c r="U646" s="32"/>
      <c r="V646" s="2"/>
      <c r="W646" s="2"/>
      <c r="X646" s="2"/>
      <c r="Y646" s="2"/>
      <c r="Z646" s="2"/>
    </row>
    <row r="647" spans="1:26" ht="13.8" x14ac:dyDescent="0.3">
      <c r="A647" s="2" t="s">
        <v>377</v>
      </c>
      <c r="B647" s="2" t="s">
        <v>186</v>
      </c>
      <c r="C647" s="10">
        <v>2304025</v>
      </c>
      <c r="D647" s="10" t="s">
        <v>1162</v>
      </c>
      <c r="E647" s="10">
        <v>2523424</v>
      </c>
      <c r="F647" s="10" t="s">
        <v>1177</v>
      </c>
      <c r="G647" s="69">
        <v>70.11</v>
      </c>
      <c r="H647" s="69">
        <v>0.99</v>
      </c>
      <c r="I647" s="69">
        <f t="shared" si="186"/>
        <v>0.495</v>
      </c>
      <c r="J647" s="70">
        <v>1</v>
      </c>
      <c r="K647" s="69">
        <f t="shared" si="187"/>
        <v>60.021675000000002</v>
      </c>
      <c r="L647" s="79" t="s">
        <v>468</v>
      </c>
      <c r="M647" s="61">
        <f t="shared" si="188"/>
        <v>-3.4154999999999998E-2</v>
      </c>
      <c r="N647" s="61">
        <f t="shared" si="189"/>
        <v>0.10098</v>
      </c>
      <c r="O647" s="61"/>
      <c r="P647" s="2"/>
      <c r="Q647" s="2"/>
      <c r="R647" s="32"/>
      <c r="S647" s="32"/>
      <c r="T647" s="32"/>
      <c r="U647" s="32"/>
      <c r="V647" s="2"/>
      <c r="W647" s="2"/>
      <c r="X647" s="2"/>
      <c r="Y647" s="2"/>
      <c r="Z647" s="2"/>
    </row>
    <row r="648" spans="1:26" ht="13.8" x14ac:dyDescent="0.3">
      <c r="A648" s="2" t="s">
        <v>377</v>
      </c>
      <c r="B648" s="2" t="s">
        <v>186</v>
      </c>
      <c r="C648" s="10">
        <v>2304025</v>
      </c>
      <c r="D648" s="10" t="s">
        <v>1162</v>
      </c>
      <c r="E648" s="10">
        <v>2531140</v>
      </c>
      <c r="F648" s="10" t="s">
        <v>1257</v>
      </c>
      <c r="G648" s="69">
        <v>-1977.92</v>
      </c>
      <c r="H648" s="69">
        <v>248.92</v>
      </c>
      <c r="I648" s="69">
        <f t="shared" si="186"/>
        <v>124.46</v>
      </c>
      <c r="J648" s="70">
        <v>1</v>
      </c>
      <c r="K648" s="69">
        <f t="shared" si="187"/>
        <v>-1573.5741</v>
      </c>
      <c r="L648" s="79" t="s">
        <v>468</v>
      </c>
      <c r="M648" s="61">
        <f t="shared" si="188"/>
        <v>-8.5877399999999984</v>
      </c>
      <c r="N648" s="61">
        <f t="shared" si="189"/>
        <v>25.389839999999996</v>
      </c>
      <c r="O648" s="61"/>
      <c r="P648" s="2"/>
      <c r="Q648" s="2"/>
      <c r="R648" s="32"/>
      <c r="S648" s="32"/>
      <c r="T648" s="32"/>
      <c r="U648" s="32"/>
      <c r="V648" s="2"/>
      <c r="W648" s="2"/>
      <c r="X648" s="2"/>
      <c r="Y648" s="2"/>
      <c r="Z648" s="2"/>
    </row>
    <row r="649" spans="1:26" ht="13.8" x14ac:dyDescent="0.3">
      <c r="A649" s="2" t="s">
        <v>377</v>
      </c>
      <c r="B649" s="2" t="s">
        <v>186</v>
      </c>
      <c r="C649" s="10">
        <v>2304025</v>
      </c>
      <c r="D649" s="10" t="s">
        <v>1162</v>
      </c>
      <c r="E649" s="10">
        <v>2531141</v>
      </c>
      <c r="F649" s="10" t="s">
        <v>1258</v>
      </c>
      <c r="G649" s="69">
        <v>-153.15</v>
      </c>
      <c r="H649" s="69">
        <v>90.33</v>
      </c>
      <c r="I649" s="69">
        <f t="shared" si="186"/>
        <v>45.164999999999999</v>
      </c>
      <c r="J649" s="70">
        <v>1</v>
      </c>
      <c r="K649" s="69">
        <f t="shared" si="187"/>
        <v>-91.109775000000013</v>
      </c>
      <c r="L649" s="79" t="s">
        <v>468</v>
      </c>
      <c r="M649" s="61">
        <f t="shared" si="188"/>
        <v>-3.1163849999999997</v>
      </c>
      <c r="N649" s="61">
        <f t="shared" si="189"/>
        <v>9.2136599999999973</v>
      </c>
      <c r="O649" s="61"/>
      <c r="P649" s="2"/>
      <c r="Q649" s="2"/>
      <c r="R649" s="32"/>
      <c r="S649" s="32"/>
      <c r="T649" s="32"/>
      <c r="U649" s="32"/>
      <c r="V649" s="2"/>
      <c r="W649" s="2"/>
      <c r="X649" s="2"/>
      <c r="Y649" s="2"/>
      <c r="Z649" s="2"/>
    </row>
    <row r="650" spans="1:26" ht="13.8" x14ac:dyDescent="0.3">
      <c r="A650" s="2" t="s">
        <v>377</v>
      </c>
      <c r="B650" s="2" t="s">
        <v>186</v>
      </c>
      <c r="C650" s="10">
        <v>2304025</v>
      </c>
      <c r="D650" s="10" t="s">
        <v>1162</v>
      </c>
      <c r="E650" s="10">
        <v>2531146</v>
      </c>
      <c r="F650" s="10" t="s">
        <v>1227</v>
      </c>
      <c r="G650" s="69">
        <v>-1134.31</v>
      </c>
      <c r="H650" s="69">
        <v>33.85</v>
      </c>
      <c r="I650" s="69">
        <f t="shared" si="186"/>
        <v>16.925000000000001</v>
      </c>
      <c r="J650" s="70">
        <v>1</v>
      </c>
      <c r="K650" s="69">
        <f t="shared" si="187"/>
        <v>-949.52337499999999</v>
      </c>
      <c r="L650" s="79" t="s">
        <v>468</v>
      </c>
      <c r="M650" s="61">
        <f t="shared" si="188"/>
        <v>-1.1678249999999999</v>
      </c>
      <c r="N650" s="61">
        <f t="shared" si="189"/>
        <v>3.4527000000000001</v>
      </c>
      <c r="O650" s="61"/>
      <c r="P650" s="2"/>
      <c r="Q650" s="2"/>
      <c r="R650" s="32"/>
      <c r="S650" s="32"/>
      <c r="T650" s="32"/>
      <c r="U650" s="32"/>
      <c r="V650" s="2"/>
      <c r="W650" s="2"/>
      <c r="X650" s="2"/>
      <c r="Y650" s="2"/>
      <c r="Z650" s="2"/>
    </row>
    <row r="651" spans="1:26" ht="13.8" x14ac:dyDescent="0.3">
      <c r="A651" s="2" t="s">
        <v>377</v>
      </c>
      <c r="B651" s="2" t="s">
        <v>186</v>
      </c>
      <c r="C651" s="10">
        <v>2304025</v>
      </c>
      <c r="D651" s="10" t="s">
        <v>1162</v>
      </c>
      <c r="E651" s="10">
        <v>2531191</v>
      </c>
      <c r="F651" s="10" t="s">
        <v>1259</v>
      </c>
      <c r="G651" s="69">
        <v>301.02</v>
      </c>
      <c r="H651" s="69">
        <v>43.58</v>
      </c>
      <c r="I651" s="69">
        <f t="shared" si="186"/>
        <v>21.79</v>
      </c>
      <c r="J651" s="70">
        <v>1</v>
      </c>
      <c r="K651" s="69">
        <f t="shared" si="187"/>
        <v>274.71535</v>
      </c>
      <c r="L651" s="79" t="s">
        <v>468</v>
      </c>
      <c r="M651" s="61">
        <f t="shared" si="188"/>
        <v>-1.5035099999999999</v>
      </c>
      <c r="N651" s="61">
        <f t="shared" si="189"/>
        <v>4.4451599999999996</v>
      </c>
      <c r="O651" s="61"/>
      <c r="P651" s="2"/>
      <c r="Q651" s="2"/>
      <c r="R651" s="32"/>
      <c r="S651" s="32"/>
      <c r="T651" s="32"/>
      <c r="U651" s="32"/>
      <c r="V651" s="2"/>
      <c r="W651" s="2"/>
      <c r="X651" s="2"/>
      <c r="Y651" s="2"/>
      <c r="Z651" s="2"/>
    </row>
    <row r="652" spans="1:26" ht="13.8" x14ac:dyDescent="0.3">
      <c r="A652" s="2" t="s">
        <v>377</v>
      </c>
      <c r="B652" s="2" t="s">
        <v>186</v>
      </c>
      <c r="C652" s="10">
        <v>2304025</v>
      </c>
      <c r="D652" s="10" t="s">
        <v>1162</v>
      </c>
      <c r="E652" s="10">
        <v>2531390</v>
      </c>
      <c r="F652" s="10" t="s">
        <v>1229</v>
      </c>
      <c r="G652" s="69">
        <v>-3.3</v>
      </c>
      <c r="H652" s="69">
        <v>0.27</v>
      </c>
      <c r="I652" s="69">
        <f t="shared" si="186"/>
        <v>0.13500000000000001</v>
      </c>
      <c r="J652" s="70">
        <v>1</v>
      </c>
      <c r="K652" s="69">
        <f t="shared" si="187"/>
        <v>-2.6882249999999996</v>
      </c>
      <c r="L652" s="79" t="s">
        <v>468</v>
      </c>
      <c r="M652" s="61">
        <f t="shared" si="188"/>
        <v>-9.3150000000000004E-3</v>
      </c>
      <c r="N652" s="61">
        <f t="shared" si="189"/>
        <v>2.7540000000000002E-2</v>
      </c>
      <c r="O652" s="61"/>
      <c r="P652" s="2"/>
      <c r="Q652" s="2"/>
      <c r="R652" s="32"/>
      <c r="S652" s="32"/>
      <c r="T652" s="32"/>
      <c r="U652" s="32"/>
      <c r="V652" s="2"/>
      <c r="W652" s="2"/>
      <c r="X652" s="2"/>
      <c r="Y652" s="2"/>
      <c r="Z652" s="2"/>
    </row>
    <row r="653" spans="1:26" ht="13.8" x14ac:dyDescent="0.3">
      <c r="A653" s="2" t="s">
        <v>377</v>
      </c>
      <c r="B653" s="2" t="s">
        <v>186</v>
      </c>
      <c r="C653" s="10">
        <v>2304025</v>
      </c>
      <c r="D653" s="10" t="s">
        <v>1162</v>
      </c>
      <c r="E653" s="10">
        <v>2540315</v>
      </c>
      <c r="F653" s="10" t="s">
        <v>1262</v>
      </c>
      <c r="G653" s="69">
        <v>110.6</v>
      </c>
      <c r="H653" s="69">
        <v>8.3000000000000007</v>
      </c>
      <c r="I653" s="69">
        <f t="shared" si="186"/>
        <v>4.1500000000000004</v>
      </c>
      <c r="J653" s="70">
        <v>1</v>
      </c>
      <c r="K653" s="69">
        <f t="shared" si="187"/>
        <v>97.59975</v>
      </c>
      <c r="L653" s="79" t="s">
        <v>468</v>
      </c>
      <c r="M653" s="61">
        <f t="shared" si="188"/>
        <v>-0.28634999999999999</v>
      </c>
      <c r="N653" s="61">
        <f t="shared" si="189"/>
        <v>0.84660000000000002</v>
      </c>
      <c r="O653" s="61"/>
      <c r="P653" s="2"/>
      <c r="Q653" s="2"/>
      <c r="R653" s="32"/>
      <c r="S653" s="32"/>
      <c r="T653" s="32"/>
      <c r="U653" s="32"/>
      <c r="V653" s="2"/>
      <c r="W653" s="2"/>
      <c r="X653" s="2"/>
      <c r="Y653" s="2"/>
      <c r="Z653" s="2"/>
    </row>
    <row r="654" spans="1:26" ht="13.8" x14ac:dyDescent="0.3">
      <c r="A654" s="2" t="s">
        <v>377</v>
      </c>
      <c r="B654" s="2" t="s">
        <v>186</v>
      </c>
      <c r="C654" s="10">
        <v>2304025</v>
      </c>
      <c r="D654" s="10" t="s">
        <v>1162</v>
      </c>
      <c r="E654" s="10">
        <v>2554720</v>
      </c>
      <c r="F654" s="10" t="s">
        <v>1270</v>
      </c>
      <c r="G654" s="69">
        <v>-7.56</v>
      </c>
      <c r="H654" s="69">
        <v>86.69</v>
      </c>
      <c r="I654" s="69">
        <f t="shared" si="186"/>
        <v>43.344999999999999</v>
      </c>
      <c r="J654" s="70">
        <v>1</v>
      </c>
      <c r="K654" s="69">
        <f t="shared" si="187"/>
        <v>31.067424999999997</v>
      </c>
      <c r="L654" s="79" t="s">
        <v>468</v>
      </c>
      <c r="M654" s="61">
        <f t="shared" si="188"/>
        <v>-2.9908049999999999</v>
      </c>
      <c r="N654" s="61">
        <f t="shared" si="189"/>
        <v>8.8423800000000004</v>
      </c>
      <c r="O654" s="61"/>
      <c r="P654" s="2"/>
      <c r="Q654" s="2"/>
      <c r="R654" s="32"/>
      <c r="S654" s="32"/>
      <c r="T654" s="32"/>
      <c r="U654" s="32"/>
      <c r="V654" s="2"/>
      <c r="W654" s="2"/>
      <c r="X654" s="2"/>
      <c r="Y654" s="2"/>
      <c r="Z654" s="2"/>
    </row>
    <row r="655" spans="1:26" ht="13.8" x14ac:dyDescent="0.3">
      <c r="A655" s="2" t="s">
        <v>377</v>
      </c>
      <c r="B655" s="2" t="s">
        <v>186</v>
      </c>
      <c r="C655" s="10">
        <v>2304025</v>
      </c>
      <c r="D655" s="10" t="s">
        <v>1162</v>
      </c>
      <c r="E655" s="10">
        <v>2575716</v>
      </c>
      <c r="F655" s="10" t="s">
        <v>1283</v>
      </c>
      <c r="G655" s="69">
        <v>-37.950000000000003</v>
      </c>
      <c r="H655" s="69">
        <v>6.16</v>
      </c>
      <c r="I655" s="69">
        <f t="shared" si="186"/>
        <v>3.08</v>
      </c>
      <c r="J655" s="70">
        <v>1</v>
      </c>
      <c r="K655" s="69">
        <f t="shared" si="187"/>
        <v>-29.593300000000003</v>
      </c>
      <c r="L655" s="79" t="s">
        <v>468</v>
      </c>
      <c r="M655" s="61">
        <f t="shared" si="188"/>
        <v>-0.21251999999999999</v>
      </c>
      <c r="N655" s="61">
        <f t="shared" si="189"/>
        <v>0.62831999999999999</v>
      </c>
      <c r="O655" s="61"/>
      <c r="P655" s="2"/>
      <c r="Q655" s="2"/>
      <c r="R655" s="32"/>
      <c r="S655" s="32"/>
      <c r="T655" s="32"/>
      <c r="U655" s="32"/>
      <c r="V655" s="2"/>
      <c r="W655" s="2"/>
      <c r="X655" s="2"/>
      <c r="Y655" s="2"/>
      <c r="Z655" s="2"/>
    </row>
    <row r="656" spans="1:26" ht="13.8" x14ac:dyDescent="0.3">
      <c r="A656" s="2" t="s">
        <v>377</v>
      </c>
      <c r="B656" s="2" t="s">
        <v>186</v>
      </c>
      <c r="C656" s="10">
        <v>2304025</v>
      </c>
      <c r="D656" s="10" t="s">
        <v>1162</v>
      </c>
      <c r="E656" s="10">
        <v>2575824</v>
      </c>
      <c r="F656" s="10" t="s">
        <v>1284</v>
      </c>
      <c r="G656" s="69">
        <v>126.5</v>
      </c>
      <c r="H656" s="69">
        <v>3.65</v>
      </c>
      <c r="I656" s="69">
        <f t="shared" si="186"/>
        <v>1.825</v>
      </c>
      <c r="J656" s="70">
        <v>1</v>
      </c>
      <c r="K656" s="69">
        <f t="shared" si="187"/>
        <v>109.10362499999998</v>
      </c>
      <c r="L656" s="79" t="s">
        <v>468</v>
      </c>
      <c r="M656" s="61">
        <f t="shared" si="188"/>
        <v>-0.12592499999999998</v>
      </c>
      <c r="N656" s="61">
        <f t="shared" si="189"/>
        <v>0.37229999999999996</v>
      </c>
      <c r="O656" s="61"/>
      <c r="P656" s="2"/>
      <c r="Q656" s="2"/>
      <c r="R656" s="32"/>
      <c r="S656" s="32"/>
      <c r="T656" s="32"/>
      <c r="U656" s="32"/>
      <c r="V656" s="2"/>
      <c r="W656" s="2"/>
      <c r="X656" s="2"/>
      <c r="Y656" s="2"/>
      <c r="Z656" s="2"/>
    </row>
    <row r="657" spans="1:26" ht="13.8" x14ac:dyDescent="0.3">
      <c r="A657" s="2" t="s">
        <v>377</v>
      </c>
      <c r="B657" s="2" t="s">
        <v>186</v>
      </c>
      <c r="C657" s="10">
        <v>2304025</v>
      </c>
      <c r="D657" s="10" t="s">
        <v>1162</v>
      </c>
      <c r="E657" s="10">
        <v>2575978</v>
      </c>
      <c r="F657" s="10" t="s">
        <v>1285</v>
      </c>
      <c r="G657" s="69">
        <v>-178.22</v>
      </c>
      <c r="H657" s="69">
        <v>10.8</v>
      </c>
      <c r="I657" s="69">
        <f t="shared" si="186"/>
        <v>5.4</v>
      </c>
      <c r="J657" s="70">
        <v>1</v>
      </c>
      <c r="K657" s="69">
        <f t="shared" si="187"/>
        <v>-146.816</v>
      </c>
      <c r="L657" s="79" t="s">
        <v>468</v>
      </c>
      <c r="M657" s="61">
        <f t="shared" si="188"/>
        <v>-0.37259999999999999</v>
      </c>
      <c r="N657" s="61">
        <f t="shared" si="189"/>
        <v>1.1015999999999999</v>
      </c>
      <c r="O657" s="61"/>
      <c r="P657" s="2"/>
      <c r="Q657" s="2"/>
      <c r="R657" s="32"/>
      <c r="S657" s="32"/>
      <c r="T657" s="32"/>
      <c r="U657" s="32"/>
      <c r="V657" s="2"/>
      <c r="W657" s="2"/>
      <c r="X657" s="2"/>
      <c r="Y657" s="2"/>
      <c r="Z657" s="2"/>
    </row>
    <row r="658" spans="1:26" ht="13.8" x14ac:dyDescent="0.3">
      <c r="A658" s="2" t="s">
        <v>377</v>
      </c>
      <c r="B658" s="2" t="s">
        <v>186</v>
      </c>
      <c r="C658" s="10">
        <v>2525136</v>
      </c>
      <c r="D658" s="10" t="s">
        <v>1205</v>
      </c>
      <c r="E658" s="10">
        <v>2523689</v>
      </c>
      <c r="F658" s="10" t="s">
        <v>1311</v>
      </c>
      <c r="G658" s="69">
        <v>228.69</v>
      </c>
      <c r="H658" s="69">
        <v>43.25</v>
      </c>
      <c r="I658" s="69">
        <f t="shared" si="186"/>
        <v>21.625</v>
      </c>
      <c r="J658" s="70">
        <v>1</v>
      </c>
      <c r="K658" s="69">
        <f t="shared" si="187"/>
        <v>213.09212500000001</v>
      </c>
      <c r="L658" s="79" t="s">
        <v>468</v>
      </c>
      <c r="M658" s="61">
        <f t="shared" si="188"/>
        <v>-1.4921249999999999</v>
      </c>
      <c r="N658" s="61">
        <f t="shared" si="189"/>
        <v>4.4115000000000002</v>
      </c>
      <c r="O658" s="61"/>
      <c r="P658" s="2"/>
      <c r="Q658" s="2"/>
      <c r="R658" s="32"/>
      <c r="S658" s="32"/>
      <c r="T658" s="32"/>
      <c r="U658" s="32"/>
      <c r="V658" s="2"/>
      <c r="W658" s="2"/>
      <c r="X658" s="2"/>
      <c r="Y658" s="2"/>
      <c r="Z658" s="2"/>
    </row>
    <row r="659" spans="1:26" ht="13.8" x14ac:dyDescent="0.3">
      <c r="A659" s="2" t="s">
        <v>377</v>
      </c>
      <c r="B659" s="2" t="s">
        <v>186</v>
      </c>
      <c r="C659" s="10">
        <v>2525136</v>
      </c>
      <c r="D659" s="10" t="s">
        <v>1205</v>
      </c>
      <c r="E659" s="10">
        <v>2525136</v>
      </c>
      <c r="F659" s="10" t="s">
        <v>1205</v>
      </c>
      <c r="G659" s="69">
        <v>666.44</v>
      </c>
      <c r="H659" s="69">
        <v>116.68</v>
      </c>
      <c r="I659" s="69">
        <f t="shared" si="186"/>
        <v>58.34</v>
      </c>
      <c r="J659" s="70">
        <v>1</v>
      </c>
      <c r="K659" s="69">
        <f t="shared" si="187"/>
        <v>616.93810000000008</v>
      </c>
      <c r="L659" s="79" t="s">
        <v>468</v>
      </c>
      <c r="M659" s="61">
        <f t="shared" si="188"/>
        <v>-4.0254600000000007</v>
      </c>
      <c r="N659" s="61">
        <f t="shared" si="189"/>
        <v>11.90136</v>
      </c>
      <c r="O659" s="61"/>
      <c r="P659" s="2"/>
      <c r="Q659" s="2"/>
      <c r="R659" s="32"/>
      <c r="S659" s="32"/>
      <c r="T659" s="32"/>
      <c r="U659" s="32"/>
      <c r="V659" s="2"/>
      <c r="W659" s="2"/>
      <c r="X659" s="2"/>
      <c r="Y659" s="2"/>
      <c r="Z659" s="2"/>
    </row>
    <row r="660" spans="1:26" ht="13.8" x14ac:dyDescent="0.3">
      <c r="A660" s="2" t="s">
        <v>377</v>
      </c>
      <c r="B660" s="2" t="s">
        <v>186</v>
      </c>
      <c r="C660" s="10">
        <v>2525136</v>
      </c>
      <c r="D660" s="10" t="s">
        <v>1205</v>
      </c>
      <c r="E660" s="10">
        <v>2600460</v>
      </c>
      <c r="F660" s="10" t="s">
        <v>1312</v>
      </c>
      <c r="G660" s="69">
        <v>-452.59</v>
      </c>
      <c r="H660" s="69">
        <v>102.14</v>
      </c>
      <c r="I660" s="69">
        <f t="shared" si="186"/>
        <v>51.07</v>
      </c>
      <c r="J660" s="70">
        <v>1</v>
      </c>
      <c r="K660" s="69">
        <f t="shared" si="187"/>
        <v>-340.52594999999997</v>
      </c>
      <c r="L660" s="79" t="s">
        <v>468</v>
      </c>
      <c r="M660" s="61">
        <f t="shared" si="188"/>
        <v>-3.5238300000000002</v>
      </c>
      <c r="N660" s="61">
        <f t="shared" si="189"/>
        <v>10.418279999999999</v>
      </c>
      <c r="O660" s="61"/>
      <c r="P660" s="2"/>
      <c r="Q660" s="2"/>
      <c r="R660" s="32"/>
      <c r="S660" s="32"/>
      <c r="T660" s="32"/>
      <c r="U660" s="32"/>
      <c r="V660" s="2"/>
      <c r="W660" s="2"/>
      <c r="X660" s="2"/>
      <c r="Y660" s="2"/>
      <c r="Z660" s="2"/>
    </row>
    <row r="661" spans="1:26" ht="13.8" x14ac:dyDescent="0.3">
      <c r="A661" s="2" t="s">
        <v>377</v>
      </c>
      <c r="B661" s="2" t="s">
        <v>244</v>
      </c>
      <c r="C661" s="10">
        <v>2304025</v>
      </c>
      <c r="D661" s="10" t="s">
        <v>1162</v>
      </c>
      <c r="E661" s="10">
        <v>2357222</v>
      </c>
      <c r="F661" s="10" t="s">
        <v>1188</v>
      </c>
      <c r="G661" s="69">
        <v>-677.25</v>
      </c>
      <c r="H661" s="69">
        <v>191.8</v>
      </c>
      <c r="I661" s="69">
        <f t="shared" ref="I661:I688" si="190">H661*0.7</f>
        <v>134.26</v>
      </c>
      <c r="J661" s="70">
        <v>1</v>
      </c>
      <c r="K661" s="69">
        <f t="shared" ref="K661:K684" si="191">(G661+I661)*0.85+(G661*0.15-(G661+H661)*0.15)*J661*0.3+I661*0.15*J661*0.3</f>
        <v>-464.13079999999997</v>
      </c>
      <c r="L661" s="79" t="s">
        <v>468</v>
      </c>
      <c r="M661" s="61">
        <f t="shared" ref="M661:M684" si="192">(G661*0.15-(G661+H661)*0.15)*J661*0.7</f>
        <v>-20.138999999999996</v>
      </c>
      <c r="N661" s="61">
        <f t="shared" ref="N661:N684" si="193">I661*0.15*J661*0.7+H661*0.05*J661</f>
        <v>23.6873</v>
      </c>
      <c r="O661" s="61"/>
      <c r="P661" s="2"/>
      <c r="Q661" s="2"/>
      <c r="R661" s="32"/>
      <c r="S661" s="32"/>
      <c r="T661" s="32"/>
      <c r="U661" s="32"/>
      <c r="V661" s="2"/>
      <c r="W661" s="2"/>
      <c r="X661" s="2"/>
      <c r="Y661" s="2"/>
      <c r="Z661" s="2"/>
    </row>
    <row r="662" spans="1:26" ht="13.8" x14ac:dyDescent="0.3">
      <c r="A662" s="2" t="s">
        <v>377</v>
      </c>
      <c r="B662" s="2" t="s">
        <v>244</v>
      </c>
      <c r="C662" s="10">
        <v>2304025</v>
      </c>
      <c r="D662" s="10" t="s">
        <v>1162</v>
      </c>
      <c r="E662" s="10">
        <v>2380008</v>
      </c>
      <c r="F662" s="10" t="s">
        <v>1192</v>
      </c>
      <c r="G662" s="69">
        <v>-365.93</v>
      </c>
      <c r="H662" s="69">
        <v>52.91</v>
      </c>
      <c r="I662" s="69">
        <f t="shared" si="190"/>
        <v>37.036999999999992</v>
      </c>
      <c r="J662" s="70">
        <v>1</v>
      </c>
      <c r="K662" s="69">
        <f t="shared" si="191"/>
        <v>-280.27333499999997</v>
      </c>
      <c r="L662" s="79" t="s">
        <v>468</v>
      </c>
      <c r="M662" s="61">
        <f t="shared" si="192"/>
        <v>-5.5555500000000011</v>
      </c>
      <c r="N662" s="61">
        <f t="shared" si="193"/>
        <v>6.5343849999999986</v>
      </c>
      <c r="O662" s="61"/>
      <c r="P662" s="2"/>
      <c r="Q662" s="2"/>
      <c r="R662" s="32"/>
      <c r="S662" s="32"/>
      <c r="T662" s="32"/>
      <c r="U662" s="32"/>
      <c r="V662" s="2"/>
      <c r="W662" s="2"/>
      <c r="X662" s="2"/>
      <c r="Y662" s="2"/>
      <c r="Z662" s="2"/>
    </row>
    <row r="663" spans="1:26" ht="13.8" x14ac:dyDescent="0.3">
      <c r="A663" s="2" t="s">
        <v>377</v>
      </c>
      <c r="B663" s="2" t="s">
        <v>244</v>
      </c>
      <c r="C663" s="10">
        <v>2304025</v>
      </c>
      <c r="D663" s="10" t="s">
        <v>1162</v>
      </c>
      <c r="E663" s="10">
        <v>2435202</v>
      </c>
      <c r="F663" s="10" t="s">
        <v>1223</v>
      </c>
      <c r="G663" s="69">
        <v>-228.83</v>
      </c>
      <c r="H663" s="69">
        <v>19.14</v>
      </c>
      <c r="I663" s="69">
        <f t="shared" si="190"/>
        <v>13.398</v>
      </c>
      <c r="J663" s="70">
        <v>1</v>
      </c>
      <c r="K663" s="69">
        <f t="shared" si="191"/>
        <v>-183.37558999999999</v>
      </c>
      <c r="L663" s="79" t="s">
        <v>468</v>
      </c>
      <c r="M663" s="61">
        <f t="shared" si="192"/>
        <v>-2.0097000000000014</v>
      </c>
      <c r="N663" s="61">
        <f t="shared" si="193"/>
        <v>2.3637899999999998</v>
      </c>
      <c r="O663" s="61"/>
      <c r="P663" s="2"/>
      <c r="Q663" s="2"/>
      <c r="R663" s="32"/>
      <c r="S663" s="32"/>
      <c r="T663" s="32"/>
      <c r="U663" s="32"/>
      <c r="V663" s="2"/>
      <c r="W663" s="2"/>
      <c r="X663" s="2"/>
      <c r="Y663" s="2"/>
      <c r="Z663" s="2"/>
    </row>
    <row r="664" spans="1:26" ht="13.8" x14ac:dyDescent="0.3">
      <c r="A664" s="2" t="s">
        <v>377</v>
      </c>
      <c r="B664" s="2" t="s">
        <v>244</v>
      </c>
      <c r="C664" s="10">
        <v>2304025</v>
      </c>
      <c r="D664" s="10" t="s">
        <v>1162</v>
      </c>
      <c r="E664" s="10">
        <v>2435203</v>
      </c>
      <c r="F664" s="10" t="s">
        <v>1224</v>
      </c>
      <c r="G664" s="69">
        <v>330.54</v>
      </c>
      <c r="H664" s="69">
        <v>63.3</v>
      </c>
      <c r="I664" s="69">
        <f t="shared" si="190"/>
        <v>44.309999999999995</v>
      </c>
      <c r="J664" s="70">
        <v>1</v>
      </c>
      <c r="K664" s="69">
        <f t="shared" si="191"/>
        <v>317.76794999999998</v>
      </c>
      <c r="L664" s="79" t="s">
        <v>468</v>
      </c>
      <c r="M664" s="61">
        <f t="shared" si="192"/>
        <v>-6.6464999999999979</v>
      </c>
      <c r="N664" s="61">
        <f t="shared" si="193"/>
        <v>7.8175499999999989</v>
      </c>
      <c r="O664" s="61"/>
      <c r="P664" s="2"/>
      <c r="Q664" s="2"/>
      <c r="R664" s="32"/>
      <c r="S664" s="32"/>
      <c r="T664" s="32"/>
      <c r="U664" s="32"/>
      <c r="V664" s="2"/>
      <c r="W664" s="2"/>
      <c r="X664" s="2"/>
      <c r="Y664" s="2"/>
      <c r="Z664" s="2"/>
    </row>
    <row r="665" spans="1:26" ht="13.8" x14ac:dyDescent="0.3">
      <c r="A665" s="2" t="s">
        <v>377</v>
      </c>
      <c r="B665" s="2" t="s">
        <v>244</v>
      </c>
      <c r="C665" s="10">
        <v>2304025</v>
      </c>
      <c r="D665" s="10" t="s">
        <v>1162</v>
      </c>
      <c r="E665" s="10">
        <v>2435206</v>
      </c>
      <c r="F665" s="10" t="s">
        <v>1225</v>
      </c>
      <c r="G665" s="69">
        <v>-471.81</v>
      </c>
      <c r="H665" s="69">
        <v>114.98</v>
      </c>
      <c r="I665" s="69">
        <f t="shared" si="190"/>
        <v>80.486000000000004</v>
      </c>
      <c r="J665" s="70">
        <v>1</v>
      </c>
      <c r="K665" s="69">
        <f t="shared" si="191"/>
        <v>-334.17763000000002</v>
      </c>
      <c r="L665" s="79" t="s">
        <v>468</v>
      </c>
      <c r="M665" s="61">
        <f t="shared" si="192"/>
        <v>-12.072900000000004</v>
      </c>
      <c r="N665" s="61">
        <f t="shared" si="193"/>
        <v>14.20003</v>
      </c>
      <c r="O665" s="61"/>
      <c r="P665" s="2"/>
      <c r="Q665" s="2"/>
      <c r="R665" s="32"/>
      <c r="S665" s="32"/>
      <c r="T665" s="32"/>
      <c r="U665" s="32"/>
      <c r="V665" s="2"/>
      <c r="W665" s="2"/>
      <c r="X665" s="2"/>
      <c r="Y665" s="2"/>
      <c r="Z665" s="2"/>
    </row>
    <row r="666" spans="1:26" ht="13.8" x14ac:dyDescent="0.3">
      <c r="A666" s="2" t="s">
        <v>377</v>
      </c>
      <c r="B666" s="2" t="s">
        <v>244</v>
      </c>
      <c r="C666" s="10">
        <v>2304025</v>
      </c>
      <c r="D666" s="10" t="s">
        <v>1162</v>
      </c>
      <c r="E666" s="10">
        <v>2452300</v>
      </c>
      <c r="F666" s="10" t="s">
        <v>1288</v>
      </c>
      <c r="G666" s="69">
        <v>-0.5</v>
      </c>
      <c r="H666" s="69">
        <v>0</v>
      </c>
      <c r="I666" s="69">
        <f t="shared" si="190"/>
        <v>0</v>
      </c>
      <c r="J666" s="70">
        <v>1</v>
      </c>
      <c r="K666" s="69">
        <f t="shared" si="191"/>
        <v>-0.42499999999999999</v>
      </c>
      <c r="L666" s="79" t="s">
        <v>468</v>
      </c>
      <c r="M666" s="61">
        <f t="shared" si="192"/>
        <v>0</v>
      </c>
      <c r="N666" s="61">
        <f t="shared" si="193"/>
        <v>0</v>
      </c>
      <c r="O666" s="61"/>
      <c r="P666" s="2"/>
      <c r="Q666" s="2"/>
      <c r="R666" s="32"/>
      <c r="S666" s="32"/>
      <c r="T666" s="32"/>
      <c r="U666" s="32"/>
      <c r="V666" s="2"/>
      <c r="W666" s="2"/>
      <c r="X666" s="2"/>
      <c r="Y666" s="2"/>
      <c r="Z666" s="2"/>
    </row>
    <row r="667" spans="1:26" ht="13.8" x14ac:dyDescent="0.3">
      <c r="A667" s="2" t="s">
        <v>377</v>
      </c>
      <c r="B667" s="2" t="s">
        <v>244</v>
      </c>
      <c r="C667" s="10">
        <v>2304025</v>
      </c>
      <c r="D667" s="10" t="s">
        <v>1162</v>
      </c>
      <c r="E667" s="10">
        <v>2471540</v>
      </c>
      <c r="F667" s="10" t="s">
        <v>1172</v>
      </c>
      <c r="G667" s="69">
        <v>-201.78</v>
      </c>
      <c r="H667" s="69">
        <v>38.950000000000003</v>
      </c>
      <c r="I667" s="69">
        <f t="shared" si="190"/>
        <v>27.265000000000001</v>
      </c>
      <c r="J667" s="70">
        <v>1</v>
      </c>
      <c r="K667" s="69">
        <f t="shared" si="191"/>
        <v>-148.86357499999997</v>
      </c>
      <c r="L667" s="79" t="s">
        <v>468</v>
      </c>
      <c r="M667" s="61">
        <f t="shared" si="192"/>
        <v>-4.0897500000000004</v>
      </c>
      <c r="N667" s="61">
        <f t="shared" si="193"/>
        <v>4.8103249999999997</v>
      </c>
      <c r="O667" s="61"/>
      <c r="P667" s="2"/>
      <c r="Q667" s="2"/>
      <c r="R667" s="32"/>
      <c r="S667" s="32"/>
      <c r="T667" s="32"/>
      <c r="U667" s="32"/>
      <c r="V667" s="2"/>
      <c r="W667" s="2"/>
      <c r="X667" s="2"/>
      <c r="Y667" s="2"/>
      <c r="Z667" s="2"/>
    </row>
    <row r="668" spans="1:26" ht="13.8" x14ac:dyDescent="0.3">
      <c r="A668" s="2" t="s">
        <v>377</v>
      </c>
      <c r="B668" s="2" t="s">
        <v>244</v>
      </c>
      <c r="C668" s="10">
        <v>2304025</v>
      </c>
      <c r="D668" s="10" t="s">
        <v>1162</v>
      </c>
      <c r="E668" s="10">
        <v>2514199</v>
      </c>
      <c r="F668" s="10" t="s">
        <v>1175</v>
      </c>
      <c r="G668" s="69">
        <v>6.69</v>
      </c>
      <c r="H668" s="69">
        <v>18.14</v>
      </c>
      <c r="I668" s="69">
        <f t="shared" si="190"/>
        <v>12.698</v>
      </c>
      <c r="J668" s="70">
        <v>1</v>
      </c>
      <c r="K668" s="69">
        <f t="shared" si="191"/>
        <v>16.234909999999999</v>
      </c>
      <c r="L668" s="79" t="s">
        <v>468</v>
      </c>
      <c r="M668" s="61">
        <f t="shared" si="192"/>
        <v>-1.9046999999999998</v>
      </c>
      <c r="N668" s="61">
        <f t="shared" si="193"/>
        <v>2.2402899999999999</v>
      </c>
      <c r="O668" s="61"/>
      <c r="P668" s="2"/>
      <c r="Q668" s="2"/>
      <c r="R668" s="32"/>
      <c r="S668" s="32"/>
      <c r="T668" s="32"/>
      <c r="U668" s="32"/>
      <c r="V668" s="2"/>
      <c r="W668" s="2"/>
      <c r="X668" s="2"/>
      <c r="Y668" s="2"/>
      <c r="Z668" s="2"/>
    </row>
    <row r="669" spans="1:26" ht="13.8" x14ac:dyDescent="0.3">
      <c r="A669" s="2" t="s">
        <v>377</v>
      </c>
      <c r="B669" s="2" t="s">
        <v>244</v>
      </c>
      <c r="C669" s="10">
        <v>2304025</v>
      </c>
      <c r="D669" s="10" t="s">
        <v>1162</v>
      </c>
      <c r="E669" s="10">
        <v>2523424</v>
      </c>
      <c r="F669" s="10" t="s">
        <v>1177</v>
      </c>
      <c r="G669" s="69">
        <v>-46.58</v>
      </c>
      <c r="H669" s="69">
        <v>4.0599999999999996</v>
      </c>
      <c r="I669" s="69">
        <f t="shared" si="190"/>
        <v>2.8419999999999996</v>
      </c>
      <c r="J669" s="70">
        <v>1</v>
      </c>
      <c r="K669" s="69">
        <f t="shared" si="191"/>
        <v>-37.232109999999992</v>
      </c>
      <c r="L669" s="79" t="s">
        <v>468</v>
      </c>
      <c r="M669" s="61">
        <f t="shared" si="192"/>
        <v>-0.42629999999999996</v>
      </c>
      <c r="N669" s="61">
        <f t="shared" si="193"/>
        <v>0.50140999999999991</v>
      </c>
      <c r="O669" s="61"/>
      <c r="P669" s="2"/>
      <c r="Q669" s="2"/>
      <c r="R669" s="32"/>
      <c r="S669" s="32"/>
      <c r="T669" s="32"/>
      <c r="U669" s="32"/>
      <c r="V669" s="2"/>
      <c r="W669" s="2"/>
      <c r="X669" s="2"/>
      <c r="Y669" s="2"/>
      <c r="Z669" s="2"/>
    </row>
    <row r="670" spans="1:26" ht="13.8" x14ac:dyDescent="0.3">
      <c r="A670" s="2" t="s">
        <v>377</v>
      </c>
      <c r="B670" s="2" t="s">
        <v>244</v>
      </c>
      <c r="C670" s="10">
        <v>2304025</v>
      </c>
      <c r="D670" s="10" t="s">
        <v>1162</v>
      </c>
      <c r="E670" s="10">
        <v>2531140</v>
      </c>
      <c r="F670" s="10" t="s">
        <v>1257</v>
      </c>
      <c r="G670" s="69">
        <v>1844.53</v>
      </c>
      <c r="H670" s="69">
        <v>83.65</v>
      </c>
      <c r="I670" s="69">
        <f t="shared" si="190"/>
        <v>58.555</v>
      </c>
      <c r="J670" s="70">
        <v>1</v>
      </c>
      <c r="K670" s="69">
        <f t="shared" si="191"/>
        <v>1616.4929749999999</v>
      </c>
      <c r="L670" s="79" t="s">
        <v>468</v>
      </c>
      <c r="M670" s="61">
        <f t="shared" si="192"/>
        <v>-8.7832500000000095</v>
      </c>
      <c r="N670" s="61">
        <f t="shared" si="193"/>
        <v>10.330774999999999</v>
      </c>
      <c r="O670" s="61"/>
      <c r="P670" s="2"/>
      <c r="Q670" s="2"/>
      <c r="R670" s="32"/>
      <c r="S670" s="32"/>
      <c r="T670" s="32"/>
      <c r="U670" s="32"/>
      <c r="V670" s="2"/>
      <c r="W670" s="2"/>
      <c r="X670" s="2"/>
      <c r="Y670" s="2"/>
      <c r="Z670" s="2"/>
    </row>
    <row r="671" spans="1:26" ht="13.8" x14ac:dyDescent="0.3">
      <c r="A671" s="2" t="s">
        <v>377</v>
      </c>
      <c r="B671" s="2" t="s">
        <v>244</v>
      </c>
      <c r="C671" s="10">
        <v>2304025</v>
      </c>
      <c r="D671" s="10" t="s">
        <v>1162</v>
      </c>
      <c r="E671" s="10">
        <v>2531141</v>
      </c>
      <c r="F671" s="10" t="s">
        <v>1258</v>
      </c>
      <c r="G671" s="69">
        <v>-1524.14</v>
      </c>
      <c r="H671" s="69">
        <v>203.6</v>
      </c>
      <c r="I671" s="69">
        <f t="shared" si="190"/>
        <v>142.51999999999998</v>
      </c>
      <c r="J671" s="70">
        <v>1</v>
      </c>
      <c r="K671" s="69">
        <f t="shared" si="191"/>
        <v>-1177.1256000000003</v>
      </c>
      <c r="L671" s="79" t="s">
        <v>468</v>
      </c>
      <c r="M671" s="61">
        <f t="shared" si="192"/>
        <v>-21.377999999999993</v>
      </c>
      <c r="N671" s="61">
        <f t="shared" si="193"/>
        <v>25.144599999999997</v>
      </c>
      <c r="O671" s="61"/>
      <c r="P671" s="2"/>
      <c r="Q671" s="2"/>
      <c r="R671" s="32"/>
      <c r="S671" s="32"/>
      <c r="T671" s="32"/>
      <c r="U671" s="32"/>
      <c r="V671" s="2"/>
      <c r="W671" s="2"/>
      <c r="X671" s="2"/>
      <c r="Y671" s="2"/>
      <c r="Z671" s="2"/>
    </row>
    <row r="672" spans="1:26" ht="13.8" x14ac:dyDescent="0.3">
      <c r="A672" s="2" t="s">
        <v>377</v>
      </c>
      <c r="B672" s="2" t="s">
        <v>244</v>
      </c>
      <c r="C672" s="10">
        <v>2304025</v>
      </c>
      <c r="D672" s="10" t="s">
        <v>1162</v>
      </c>
      <c r="E672" s="10">
        <v>2531145</v>
      </c>
      <c r="F672" s="10" t="s">
        <v>1226</v>
      </c>
      <c r="G672" s="69">
        <v>-2079.63</v>
      </c>
      <c r="H672" s="69">
        <v>130.52000000000001</v>
      </c>
      <c r="I672" s="69">
        <f t="shared" si="190"/>
        <v>91.364000000000004</v>
      </c>
      <c r="J672" s="70">
        <v>1</v>
      </c>
      <c r="K672" s="69">
        <f t="shared" si="191"/>
        <v>-1691.7881199999999</v>
      </c>
      <c r="L672" s="79" t="s">
        <v>468</v>
      </c>
      <c r="M672" s="61">
        <f t="shared" si="192"/>
        <v>-13.704599999999981</v>
      </c>
      <c r="N672" s="61">
        <f t="shared" si="193"/>
        <v>16.119220000000002</v>
      </c>
      <c r="O672" s="61"/>
      <c r="P672" s="2"/>
      <c r="Q672" s="2"/>
      <c r="R672" s="32"/>
      <c r="S672" s="32"/>
      <c r="T672" s="32"/>
      <c r="U672" s="32"/>
      <c r="V672" s="2"/>
      <c r="W672" s="2"/>
      <c r="X672" s="2"/>
      <c r="Y672" s="2"/>
      <c r="Z672" s="2"/>
    </row>
    <row r="673" spans="1:26" ht="13.8" x14ac:dyDescent="0.3">
      <c r="A673" s="2" t="s">
        <v>377</v>
      </c>
      <c r="B673" s="2" t="s">
        <v>244</v>
      </c>
      <c r="C673" s="10">
        <v>2304025</v>
      </c>
      <c r="D673" s="10" t="s">
        <v>1162</v>
      </c>
      <c r="E673" s="10">
        <v>2531146</v>
      </c>
      <c r="F673" s="10" t="s">
        <v>1227</v>
      </c>
      <c r="G673" s="69">
        <v>-1545.29</v>
      </c>
      <c r="H673" s="69">
        <v>432.66</v>
      </c>
      <c r="I673" s="69">
        <f t="shared" si="190"/>
        <v>302.86200000000002</v>
      </c>
      <c r="J673" s="70">
        <v>1</v>
      </c>
      <c r="K673" s="69">
        <f t="shared" si="191"/>
        <v>-1061.90471</v>
      </c>
      <c r="L673" s="79" t="s">
        <v>468</v>
      </c>
      <c r="M673" s="61">
        <f t="shared" si="192"/>
        <v>-45.429300000000019</v>
      </c>
      <c r="N673" s="61">
        <f t="shared" si="193"/>
        <v>53.433510000000005</v>
      </c>
      <c r="O673" s="61"/>
      <c r="P673" s="2"/>
      <c r="Q673" s="2"/>
      <c r="R673" s="32"/>
      <c r="S673" s="32"/>
      <c r="T673" s="32"/>
      <c r="U673" s="32"/>
      <c r="V673" s="2"/>
      <c r="W673" s="2"/>
      <c r="X673" s="2"/>
      <c r="Y673" s="2"/>
      <c r="Z673" s="2"/>
    </row>
    <row r="674" spans="1:26" ht="13.8" x14ac:dyDescent="0.3">
      <c r="A674" s="2" t="s">
        <v>377</v>
      </c>
      <c r="B674" s="2" t="s">
        <v>244</v>
      </c>
      <c r="C674" s="10">
        <v>2304025</v>
      </c>
      <c r="D674" s="10" t="s">
        <v>1162</v>
      </c>
      <c r="E674" s="10">
        <v>2531191</v>
      </c>
      <c r="F674" s="10" t="s">
        <v>1259</v>
      </c>
      <c r="G674" s="69">
        <v>-45.56</v>
      </c>
      <c r="H674" s="69">
        <v>147.05000000000001</v>
      </c>
      <c r="I674" s="69">
        <f t="shared" si="190"/>
        <v>102.935</v>
      </c>
      <c r="J674" s="70">
        <v>1</v>
      </c>
      <c r="K674" s="69">
        <f t="shared" si="191"/>
        <v>46.783574999999999</v>
      </c>
      <c r="L674" s="79" t="s">
        <v>468</v>
      </c>
      <c r="M674" s="61">
        <f t="shared" si="192"/>
        <v>-15.440249999999999</v>
      </c>
      <c r="N674" s="61">
        <f t="shared" si="193"/>
        <v>18.160674999999998</v>
      </c>
      <c r="O674" s="61"/>
      <c r="P674" s="2"/>
      <c r="Q674" s="2"/>
      <c r="R674" s="32"/>
      <c r="S674" s="32"/>
      <c r="T674" s="32"/>
      <c r="U674" s="32"/>
      <c r="V674" s="2"/>
      <c r="W674" s="2"/>
      <c r="X674" s="2"/>
      <c r="Y674" s="2"/>
      <c r="Z674" s="2"/>
    </row>
    <row r="675" spans="1:26" ht="13.8" x14ac:dyDescent="0.3">
      <c r="A675" s="2" t="s">
        <v>377</v>
      </c>
      <c r="B675" s="2" t="s">
        <v>244</v>
      </c>
      <c r="C675" s="10">
        <v>2304025</v>
      </c>
      <c r="D675" s="10" t="s">
        <v>1162</v>
      </c>
      <c r="E675" s="10">
        <v>2531390</v>
      </c>
      <c r="F675" s="10" t="s">
        <v>1229</v>
      </c>
      <c r="G675" s="69">
        <v>63.71</v>
      </c>
      <c r="H675" s="69">
        <v>9.14</v>
      </c>
      <c r="I675" s="69">
        <f t="shared" si="190"/>
        <v>6.3979999999999997</v>
      </c>
      <c r="J675" s="70">
        <v>1</v>
      </c>
      <c r="K675" s="69">
        <f t="shared" si="191"/>
        <v>59.468409999999999</v>
      </c>
      <c r="L675" s="79" t="s">
        <v>468</v>
      </c>
      <c r="M675" s="61">
        <f t="shared" si="192"/>
        <v>-0.959699999999999</v>
      </c>
      <c r="N675" s="61">
        <f t="shared" si="193"/>
        <v>1.12879</v>
      </c>
      <c r="O675" s="61"/>
      <c r="P675" s="2"/>
      <c r="Q675" s="2"/>
      <c r="R675" s="32"/>
      <c r="S675" s="32"/>
      <c r="T675" s="32"/>
      <c r="U675" s="32"/>
      <c r="V675" s="2"/>
      <c r="W675" s="2"/>
      <c r="X675" s="2"/>
      <c r="Y675" s="2"/>
      <c r="Z675" s="2"/>
    </row>
    <row r="676" spans="1:26" ht="13.8" x14ac:dyDescent="0.3">
      <c r="A676" s="2" t="s">
        <v>377</v>
      </c>
      <c r="B676" s="2" t="s">
        <v>244</v>
      </c>
      <c r="C676" s="10">
        <v>2304025</v>
      </c>
      <c r="D676" s="10" t="s">
        <v>1162</v>
      </c>
      <c r="E676" s="10">
        <v>2540293</v>
      </c>
      <c r="F676" s="10" t="s">
        <v>1261</v>
      </c>
      <c r="G676" s="69">
        <v>229.15</v>
      </c>
      <c r="H676" s="69">
        <v>25.25</v>
      </c>
      <c r="I676" s="69">
        <f t="shared" si="190"/>
        <v>17.674999999999997</v>
      </c>
      <c r="J676" s="70">
        <v>1</v>
      </c>
      <c r="K676" s="69">
        <f t="shared" si="191"/>
        <v>209.460375</v>
      </c>
      <c r="L676" s="79" t="s">
        <v>468</v>
      </c>
      <c r="M676" s="61">
        <f t="shared" si="192"/>
        <v>-2.6512499999999957</v>
      </c>
      <c r="N676" s="61">
        <f t="shared" si="193"/>
        <v>3.1183749999999999</v>
      </c>
      <c r="O676" s="61"/>
      <c r="P676" s="2"/>
      <c r="Q676" s="2"/>
      <c r="R676" s="32"/>
      <c r="S676" s="32"/>
      <c r="T676" s="32"/>
      <c r="U676" s="32"/>
      <c r="V676" s="2"/>
      <c r="W676" s="2"/>
      <c r="X676" s="2"/>
      <c r="Y676" s="2"/>
      <c r="Z676" s="2"/>
    </row>
    <row r="677" spans="1:26" ht="13.8" x14ac:dyDescent="0.3">
      <c r="A677" s="2" t="s">
        <v>377</v>
      </c>
      <c r="B677" s="2" t="s">
        <v>244</v>
      </c>
      <c r="C677" s="10">
        <v>2304025</v>
      </c>
      <c r="D677" s="10" t="s">
        <v>1162</v>
      </c>
      <c r="E677" s="10">
        <v>2554720</v>
      </c>
      <c r="F677" s="10" t="s">
        <v>1270</v>
      </c>
      <c r="G677" s="69">
        <v>-696.55</v>
      </c>
      <c r="H677" s="69">
        <v>78.849999999999994</v>
      </c>
      <c r="I677" s="69">
        <f t="shared" si="190"/>
        <v>55.194999999999993</v>
      </c>
      <c r="J677" s="70">
        <v>1</v>
      </c>
      <c r="K677" s="69">
        <f t="shared" si="191"/>
        <v>-546.21622500000001</v>
      </c>
      <c r="L677" s="79" t="s">
        <v>468</v>
      </c>
      <c r="M677" s="61">
        <f t="shared" si="192"/>
        <v>-8.2792499999999993</v>
      </c>
      <c r="N677" s="61">
        <f t="shared" si="193"/>
        <v>9.7379749999999987</v>
      </c>
      <c r="O677" s="61"/>
      <c r="P677" s="2"/>
      <c r="Q677" s="2"/>
      <c r="R677" s="32"/>
      <c r="S677" s="32"/>
      <c r="T677" s="32"/>
      <c r="U677" s="32"/>
      <c r="V677" s="2"/>
      <c r="W677" s="2"/>
      <c r="X677" s="2"/>
      <c r="Y677" s="2"/>
      <c r="Z677" s="2"/>
    </row>
    <row r="678" spans="1:26" ht="13.8" x14ac:dyDescent="0.3">
      <c r="A678" s="2" t="s">
        <v>377</v>
      </c>
      <c r="B678" s="2" t="s">
        <v>244</v>
      </c>
      <c r="C678" s="10">
        <v>2304025</v>
      </c>
      <c r="D678" s="10" t="s">
        <v>1162</v>
      </c>
      <c r="E678" s="10">
        <v>2559299</v>
      </c>
      <c r="F678" s="10" t="s">
        <v>1302</v>
      </c>
      <c r="G678" s="69">
        <v>202.48</v>
      </c>
      <c r="H678" s="69">
        <v>8.32</v>
      </c>
      <c r="I678" s="69">
        <f t="shared" si="190"/>
        <v>5.8239999999999998</v>
      </c>
      <c r="J678" s="70">
        <v>1</v>
      </c>
      <c r="K678" s="69">
        <f t="shared" si="191"/>
        <v>176.94607999999999</v>
      </c>
      <c r="L678" s="79" t="s">
        <v>468</v>
      </c>
      <c r="M678" s="61">
        <f t="shared" si="192"/>
        <v>-0.87360000000000071</v>
      </c>
      <c r="N678" s="61">
        <f t="shared" si="193"/>
        <v>1.02752</v>
      </c>
      <c r="O678" s="61"/>
      <c r="P678" s="2"/>
      <c r="Q678" s="2"/>
      <c r="R678" s="32"/>
      <c r="S678" s="32"/>
      <c r="T678" s="32"/>
      <c r="U678" s="32"/>
      <c r="V678" s="2"/>
      <c r="W678" s="2"/>
      <c r="X678" s="2"/>
      <c r="Y678" s="2"/>
      <c r="Z678" s="2"/>
    </row>
    <row r="679" spans="1:26" ht="13.8" x14ac:dyDescent="0.3">
      <c r="A679" s="2" t="s">
        <v>377</v>
      </c>
      <c r="B679" s="2" t="s">
        <v>244</v>
      </c>
      <c r="C679" s="10">
        <v>2304025</v>
      </c>
      <c r="D679" s="10" t="s">
        <v>1162</v>
      </c>
      <c r="E679" s="10">
        <v>2575716</v>
      </c>
      <c r="F679" s="10" t="s">
        <v>1283</v>
      </c>
      <c r="G679" s="69">
        <v>-282.81</v>
      </c>
      <c r="H679" s="69">
        <v>23.67</v>
      </c>
      <c r="I679" s="69">
        <f t="shared" si="190"/>
        <v>16.568999999999999</v>
      </c>
      <c r="J679" s="70">
        <v>1</v>
      </c>
      <c r="K679" s="69">
        <f t="shared" si="191"/>
        <v>-226.62439499999996</v>
      </c>
      <c r="L679" s="79" t="s">
        <v>468</v>
      </c>
      <c r="M679" s="61">
        <f t="shared" si="192"/>
        <v>-2.4853500000000044</v>
      </c>
      <c r="N679" s="61">
        <f t="shared" si="193"/>
        <v>2.9232450000000001</v>
      </c>
      <c r="O679" s="61"/>
      <c r="P679" s="2"/>
      <c r="Q679" s="2"/>
      <c r="R679" s="32"/>
      <c r="S679" s="32"/>
      <c r="T679" s="32"/>
      <c r="U679" s="32"/>
      <c r="V679" s="2"/>
      <c r="W679" s="2"/>
      <c r="X679" s="2"/>
      <c r="Y679" s="2"/>
      <c r="Z679" s="2"/>
    </row>
    <row r="680" spans="1:26" ht="13.8" x14ac:dyDescent="0.3">
      <c r="A680" s="2" t="s">
        <v>377</v>
      </c>
      <c r="B680" s="2" t="s">
        <v>244</v>
      </c>
      <c r="C680" s="10">
        <v>2304025</v>
      </c>
      <c r="D680" s="10" t="s">
        <v>1162</v>
      </c>
      <c r="E680" s="10">
        <v>2575824</v>
      </c>
      <c r="F680" s="10" t="s">
        <v>1284</v>
      </c>
      <c r="G680" s="69">
        <v>-443.73</v>
      </c>
      <c r="H680" s="69">
        <v>39.69</v>
      </c>
      <c r="I680" s="69">
        <f t="shared" si="190"/>
        <v>27.782999999999998</v>
      </c>
      <c r="J680" s="70">
        <v>1</v>
      </c>
      <c r="K680" s="69">
        <f t="shared" si="191"/>
        <v>-354.09076500000003</v>
      </c>
      <c r="L680" s="79" t="s">
        <v>468</v>
      </c>
      <c r="M680" s="61">
        <f t="shared" si="192"/>
        <v>-4.1674499999999988</v>
      </c>
      <c r="N680" s="61">
        <f t="shared" si="193"/>
        <v>4.9017149999999994</v>
      </c>
      <c r="O680" s="61"/>
      <c r="P680" s="2"/>
      <c r="Q680" s="2"/>
      <c r="R680" s="32"/>
      <c r="S680" s="32"/>
      <c r="T680" s="32"/>
      <c r="U680" s="32"/>
      <c r="V680" s="2"/>
      <c r="W680" s="2"/>
      <c r="X680" s="2"/>
      <c r="Y680" s="2"/>
      <c r="Z680" s="2"/>
    </row>
    <row r="681" spans="1:26" ht="13.8" x14ac:dyDescent="0.3">
      <c r="A681" s="2" t="s">
        <v>377</v>
      </c>
      <c r="B681" s="2" t="s">
        <v>244</v>
      </c>
      <c r="C681" s="10">
        <v>2304025</v>
      </c>
      <c r="D681" s="10" t="s">
        <v>1162</v>
      </c>
      <c r="E681" s="10">
        <v>2575978</v>
      </c>
      <c r="F681" s="10" t="s">
        <v>1285</v>
      </c>
      <c r="G681" s="69">
        <v>-125.69</v>
      </c>
      <c r="H681" s="69">
        <v>40.75</v>
      </c>
      <c r="I681" s="69">
        <f t="shared" si="190"/>
        <v>28.524999999999999</v>
      </c>
      <c r="J681" s="70">
        <v>1</v>
      </c>
      <c r="K681" s="69">
        <f t="shared" si="191"/>
        <v>-83.140374999999992</v>
      </c>
      <c r="L681" s="79" t="s">
        <v>468</v>
      </c>
      <c r="M681" s="61">
        <f t="shared" si="192"/>
        <v>-4.2787500000000005</v>
      </c>
      <c r="N681" s="61">
        <f t="shared" si="193"/>
        <v>5.0326249999999995</v>
      </c>
      <c r="O681" s="61"/>
      <c r="P681" s="2"/>
      <c r="Q681" s="2"/>
      <c r="R681" s="32"/>
      <c r="S681" s="32"/>
      <c r="T681" s="32"/>
      <c r="U681" s="32"/>
      <c r="V681" s="2"/>
      <c r="W681" s="2"/>
      <c r="X681" s="2"/>
      <c r="Y681" s="2"/>
      <c r="Z681" s="2"/>
    </row>
    <row r="682" spans="1:26" ht="13.8" x14ac:dyDescent="0.3">
      <c r="A682" s="2" t="s">
        <v>377</v>
      </c>
      <c r="B682" s="2" t="s">
        <v>244</v>
      </c>
      <c r="C682" s="10">
        <v>2525136</v>
      </c>
      <c r="D682" s="10" t="s">
        <v>1205</v>
      </c>
      <c r="E682" s="10">
        <v>2523689</v>
      </c>
      <c r="F682" s="10" t="s">
        <v>1311</v>
      </c>
      <c r="G682" s="69">
        <v>414.51</v>
      </c>
      <c r="H682" s="69">
        <v>71.89</v>
      </c>
      <c r="I682" s="69">
        <f t="shared" si="190"/>
        <v>50.323</v>
      </c>
      <c r="J682" s="70">
        <v>1</v>
      </c>
      <c r="K682" s="69">
        <f t="shared" si="191"/>
        <v>394.13753500000001</v>
      </c>
      <c r="L682" s="79" t="s">
        <v>468</v>
      </c>
      <c r="M682" s="61">
        <f t="shared" si="192"/>
        <v>-7.5484499999999972</v>
      </c>
      <c r="N682" s="61">
        <f t="shared" si="193"/>
        <v>8.8784150000000004</v>
      </c>
      <c r="O682" s="61"/>
      <c r="P682" s="2"/>
      <c r="Q682" s="2"/>
      <c r="R682" s="32"/>
      <c r="S682" s="32"/>
      <c r="T682" s="32"/>
      <c r="U682" s="32"/>
      <c r="V682" s="2"/>
      <c r="W682" s="2"/>
      <c r="X682" s="2"/>
      <c r="Y682" s="2"/>
      <c r="Z682" s="2"/>
    </row>
    <row r="683" spans="1:26" ht="13.8" x14ac:dyDescent="0.3">
      <c r="A683" s="2" t="s">
        <v>377</v>
      </c>
      <c r="B683" s="2" t="s">
        <v>244</v>
      </c>
      <c r="C683" s="10">
        <v>2525136</v>
      </c>
      <c r="D683" s="10" t="s">
        <v>1205</v>
      </c>
      <c r="E683" s="10">
        <v>2525136</v>
      </c>
      <c r="F683" s="10" t="s">
        <v>1205</v>
      </c>
      <c r="G683" s="69">
        <v>-548.04</v>
      </c>
      <c r="H683" s="69">
        <v>77.61</v>
      </c>
      <c r="I683" s="69">
        <f t="shared" si="190"/>
        <v>54.326999999999998</v>
      </c>
      <c r="J683" s="70">
        <v>1</v>
      </c>
      <c r="K683" s="69">
        <f t="shared" si="191"/>
        <v>-420.70378499999998</v>
      </c>
      <c r="L683" s="79" t="s">
        <v>468</v>
      </c>
      <c r="M683" s="61">
        <f t="shared" si="192"/>
        <v>-8.1490499999999955</v>
      </c>
      <c r="N683" s="61">
        <f t="shared" si="193"/>
        <v>9.5848349999999982</v>
      </c>
      <c r="O683" s="61"/>
      <c r="P683" s="2"/>
      <c r="Q683" s="2"/>
      <c r="R683" s="32"/>
      <c r="S683" s="32"/>
      <c r="T683" s="32"/>
      <c r="U683" s="32"/>
      <c r="V683" s="2"/>
      <c r="W683" s="2"/>
      <c r="X683" s="2"/>
      <c r="Y683" s="2"/>
      <c r="Z683" s="2"/>
    </row>
    <row r="684" spans="1:26" ht="13.8" x14ac:dyDescent="0.3">
      <c r="A684" s="2" t="s">
        <v>377</v>
      </c>
      <c r="B684" s="2" t="s">
        <v>244</v>
      </c>
      <c r="C684" s="10">
        <v>2525136</v>
      </c>
      <c r="D684" s="10" t="s">
        <v>1205</v>
      </c>
      <c r="E684" s="10">
        <v>2600460</v>
      </c>
      <c r="F684" s="10" t="s">
        <v>1312</v>
      </c>
      <c r="G684" s="69">
        <v>-222.06</v>
      </c>
      <c r="H684" s="69">
        <v>23.76</v>
      </c>
      <c r="I684" s="69">
        <f t="shared" si="190"/>
        <v>16.632000000000001</v>
      </c>
      <c r="J684" s="70">
        <v>1</v>
      </c>
      <c r="K684" s="69">
        <f t="shared" si="191"/>
        <v>-174.93456</v>
      </c>
      <c r="L684" s="79" t="s">
        <v>468</v>
      </c>
      <c r="M684" s="61">
        <f t="shared" si="192"/>
        <v>-2.4947999999999975</v>
      </c>
      <c r="N684" s="61">
        <f t="shared" si="193"/>
        <v>2.9343599999999999</v>
      </c>
      <c r="O684" s="61"/>
      <c r="P684" s="2"/>
      <c r="Q684" s="2"/>
      <c r="R684" s="32"/>
      <c r="S684" s="32"/>
      <c r="T684" s="32"/>
      <c r="U684" s="32"/>
      <c r="V684" s="2"/>
      <c r="W684" s="2"/>
      <c r="X684" s="2"/>
      <c r="Y684" s="2"/>
      <c r="Z684" s="2"/>
    </row>
    <row r="685" spans="1:26" ht="13.8" x14ac:dyDescent="0.3">
      <c r="A685" s="2" t="s">
        <v>377</v>
      </c>
      <c r="B685" s="2" t="s">
        <v>244</v>
      </c>
      <c r="C685" s="10">
        <v>2550550</v>
      </c>
      <c r="D685" s="10" t="s">
        <v>1272</v>
      </c>
      <c r="E685" s="10">
        <v>2550550</v>
      </c>
      <c r="F685" s="10" t="s">
        <v>1272</v>
      </c>
      <c r="G685" s="69">
        <v>809.35</v>
      </c>
      <c r="H685" s="69">
        <v>38</v>
      </c>
      <c r="I685" s="69">
        <f t="shared" si="190"/>
        <v>26.599999999999998</v>
      </c>
      <c r="J685" s="70">
        <v>1</v>
      </c>
      <c r="K685" s="69">
        <f t="shared" ref="K685:K686" si="194">(G685+I685)*J685*0.96+(G685*0.04-(G685+H685)*0.04)*J685*0.3+I685*0.04*J685*0.3</f>
        <v>802.37520000000006</v>
      </c>
      <c r="L685" s="19" t="s">
        <v>468</v>
      </c>
      <c r="M685" s="61">
        <f t="shared" ref="M685:M686" si="195">(G685*0.04-(G685+H685)*0.04)*J685*0.7</f>
        <v>-1.0639999999999972</v>
      </c>
      <c r="N685" s="61">
        <f t="shared" ref="N685:N686" si="196">I685*0.04*J685*0.7+H685*0.05*J685</f>
        <v>2.6448</v>
      </c>
      <c r="O685" s="58"/>
      <c r="P685" s="2"/>
      <c r="Q685" s="2"/>
      <c r="R685" s="32"/>
      <c r="S685" s="32"/>
      <c r="T685" s="32"/>
      <c r="U685" s="32"/>
      <c r="V685" s="2"/>
      <c r="W685" s="2"/>
      <c r="X685" s="2"/>
      <c r="Y685" s="2"/>
      <c r="Z685" s="2"/>
    </row>
    <row r="686" spans="1:26" ht="13.8" x14ac:dyDescent="0.3">
      <c r="A686" s="2" t="s">
        <v>377</v>
      </c>
      <c r="B686" s="2" t="s">
        <v>244</v>
      </c>
      <c r="C686" s="10">
        <v>2550550</v>
      </c>
      <c r="D686" s="10" t="s">
        <v>1272</v>
      </c>
      <c r="E686" s="10">
        <v>2573879</v>
      </c>
      <c r="F686" s="10" t="s">
        <v>1308</v>
      </c>
      <c r="G686" s="69">
        <v>-320</v>
      </c>
      <c r="H686" s="69">
        <v>32</v>
      </c>
      <c r="I686" s="69">
        <f t="shared" si="190"/>
        <v>22.4</v>
      </c>
      <c r="J686" s="70">
        <v>1</v>
      </c>
      <c r="K686" s="69">
        <f t="shared" si="194"/>
        <v>-285.81120000000004</v>
      </c>
      <c r="L686" s="19" t="s">
        <v>468</v>
      </c>
      <c r="M686" s="61">
        <f t="shared" si="195"/>
        <v>-0.89600000000000068</v>
      </c>
      <c r="N686" s="61">
        <f t="shared" si="196"/>
        <v>2.2271999999999998</v>
      </c>
      <c r="O686" s="58"/>
      <c r="P686" s="2"/>
      <c r="Q686" s="2"/>
      <c r="R686" s="32"/>
      <c r="S686" s="32"/>
      <c r="T686" s="32"/>
      <c r="U686" s="32"/>
      <c r="V686" s="2"/>
      <c r="W686" s="2"/>
      <c r="X686" s="2"/>
      <c r="Y686" s="2"/>
      <c r="Z686" s="2"/>
    </row>
    <row r="687" spans="1:26" ht="13.8" x14ac:dyDescent="0.3">
      <c r="A687" s="2" t="s">
        <v>377</v>
      </c>
      <c r="B687" s="2" t="s">
        <v>244</v>
      </c>
      <c r="C687" s="10">
        <v>2566294</v>
      </c>
      <c r="D687" s="10" t="s">
        <v>1276</v>
      </c>
      <c r="E687" s="10">
        <v>2525032</v>
      </c>
      <c r="F687" s="10" t="s">
        <v>1277</v>
      </c>
      <c r="G687" s="69">
        <v>48.79</v>
      </c>
      <c r="H687" s="69">
        <v>88.16</v>
      </c>
      <c r="I687" s="69">
        <f t="shared" si="190"/>
        <v>61.711999999999996</v>
      </c>
      <c r="J687" s="70">
        <v>1</v>
      </c>
      <c r="K687" s="69">
        <f t="shared" ref="K687:K688" si="197">(G687+I687)*0.85+(G687*0.15-(G687+H687)*0.15)*J687*0.3+I687*0.15*J687*0.3</f>
        <v>92.736539999999991</v>
      </c>
      <c r="L687" s="79" t="s">
        <v>468</v>
      </c>
      <c r="M687" s="61">
        <f t="shared" ref="M687:M688" si="198">(G687*0.15-(G687+H687)*0.15)*J687*0.7</f>
        <v>-9.2567999999999966</v>
      </c>
      <c r="N687" s="61">
        <f t="shared" ref="N687:N688" si="199">I687*0.15*J687*0.7+H687*0.05*J687</f>
        <v>10.88776</v>
      </c>
      <c r="O687" s="61"/>
      <c r="P687" s="2"/>
      <c r="Q687" s="2"/>
      <c r="R687" s="32"/>
      <c r="S687" s="32"/>
      <c r="T687" s="32"/>
      <c r="U687" s="32"/>
      <c r="V687" s="2"/>
      <c r="W687" s="2"/>
      <c r="X687" s="2"/>
      <c r="Y687" s="2"/>
      <c r="Z687" s="2"/>
    </row>
    <row r="688" spans="1:26" ht="13.8" x14ac:dyDescent="0.3">
      <c r="A688" s="2" t="s">
        <v>377</v>
      </c>
      <c r="B688" s="2" t="s">
        <v>244</v>
      </c>
      <c r="C688" s="10" t="s">
        <v>15</v>
      </c>
      <c r="D688" s="10" t="s">
        <v>15</v>
      </c>
      <c r="E688" s="10">
        <v>2600460</v>
      </c>
      <c r="F688" s="10" t="s">
        <v>1312</v>
      </c>
      <c r="G688" s="69">
        <v>-22.19</v>
      </c>
      <c r="H688" s="69">
        <v>15.05</v>
      </c>
      <c r="I688" s="69">
        <f t="shared" si="190"/>
        <v>10.535</v>
      </c>
      <c r="J688" s="70">
        <v>1</v>
      </c>
      <c r="K688" s="69">
        <f t="shared" si="197"/>
        <v>-10.109925000000002</v>
      </c>
      <c r="L688" s="79" t="s">
        <v>468</v>
      </c>
      <c r="M688" s="61">
        <f t="shared" si="198"/>
        <v>-1.5802500000000002</v>
      </c>
      <c r="N688" s="61">
        <f t="shared" si="199"/>
        <v>1.8586749999999999</v>
      </c>
      <c r="O688" s="61"/>
      <c r="P688" s="2"/>
      <c r="Q688" s="2"/>
      <c r="R688" s="32"/>
      <c r="S688" s="32"/>
      <c r="T688" s="32"/>
      <c r="U688" s="32"/>
      <c r="V688" s="2"/>
      <c r="W688" s="2"/>
      <c r="X688" s="2"/>
      <c r="Y688" s="2"/>
      <c r="Z688" s="2"/>
    </row>
    <row r="689" spans="1:26" ht="13.8" x14ac:dyDescent="0.3">
      <c r="A689" s="32" t="s">
        <v>549</v>
      </c>
      <c r="B689" s="32" t="s">
        <v>55</v>
      </c>
      <c r="C689" s="2" t="s">
        <v>1138</v>
      </c>
      <c r="D689" s="2" t="s">
        <v>1139</v>
      </c>
      <c r="E689" s="2" t="s">
        <v>1206</v>
      </c>
      <c r="F689" s="32" t="s">
        <v>1207</v>
      </c>
      <c r="G689" s="69">
        <v>3422.96</v>
      </c>
      <c r="H689" s="69">
        <v>2199.4699999999998</v>
      </c>
      <c r="I689" s="69">
        <f>H689*0.62</f>
        <v>1363.6713999999999</v>
      </c>
      <c r="J689" s="70">
        <v>1</v>
      </c>
      <c r="K689" s="69">
        <f>(G689+I689)*J689*0.97</f>
        <v>4643.0324579999997</v>
      </c>
      <c r="L689" s="78" t="s">
        <v>468</v>
      </c>
      <c r="M689" s="61">
        <v>0</v>
      </c>
      <c r="N689" s="61">
        <f>H689*0.11*J689*0.97</f>
        <v>234.68344899999997</v>
      </c>
      <c r="O689" s="58"/>
      <c r="P689" s="2"/>
      <c r="Q689" s="2"/>
      <c r="R689" s="32"/>
      <c r="S689" s="32"/>
      <c r="T689" s="32"/>
      <c r="U689" s="32"/>
      <c r="V689" s="2"/>
      <c r="W689" s="2"/>
      <c r="X689" s="2"/>
      <c r="Y689" s="2"/>
      <c r="Z689" s="2"/>
    </row>
    <row r="690" spans="1:26" ht="13.8" x14ac:dyDescent="0.3">
      <c r="A690" s="2" t="s">
        <v>379</v>
      </c>
      <c r="B690" s="32" t="s">
        <v>69</v>
      </c>
      <c r="C690" s="10" t="s">
        <v>1230</v>
      </c>
      <c r="D690" s="10" t="s">
        <v>1231</v>
      </c>
      <c r="E690" s="10" t="s">
        <v>1232</v>
      </c>
      <c r="F690" s="10" t="s">
        <v>1233</v>
      </c>
      <c r="G690" s="69">
        <v>-1884.44</v>
      </c>
      <c r="H690" s="69">
        <v>580.33000000000004</v>
      </c>
      <c r="I690" s="69">
        <f t="shared" ref="I690:I691" si="200">H690*0.72</f>
        <v>417.83760000000001</v>
      </c>
      <c r="J690" s="70">
        <v>1</v>
      </c>
      <c r="K690" s="69">
        <f t="shared" ref="K690:K703" si="201">(G690+I690)*J690</f>
        <v>-1466.6024</v>
      </c>
      <c r="L690" s="78">
        <f t="shared" ref="L690:L691" si="202">H690*0.05*J690</f>
        <v>29.016500000000004</v>
      </c>
      <c r="M690" s="61">
        <v>0</v>
      </c>
      <c r="N690" s="61">
        <f t="shared" ref="N690:N691" si="203">H690*0.08*J690</f>
        <v>46.426400000000001</v>
      </c>
      <c r="O690" s="58"/>
      <c r="P690" s="2"/>
      <c r="Q690" s="2"/>
      <c r="R690" s="32"/>
      <c r="S690" s="32"/>
      <c r="T690" s="32"/>
      <c r="U690" s="32"/>
      <c r="V690" s="2"/>
      <c r="W690" s="2"/>
      <c r="X690" s="2"/>
      <c r="Y690" s="2"/>
      <c r="Z690" s="2"/>
    </row>
    <row r="691" spans="1:26" ht="13.8" x14ac:dyDescent="0.3">
      <c r="A691" s="2" t="s">
        <v>379</v>
      </c>
      <c r="B691" s="32" t="s">
        <v>69</v>
      </c>
      <c r="C691" s="10" t="s">
        <v>1290</v>
      </c>
      <c r="D691" s="10" t="s">
        <v>1291</v>
      </c>
      <c r="E691" s="10" t="s">
        <v>1292</v>
      </c>
      <c r="F691" s="10" t="s">
        <v>1293</v>
      </c>
      <c r="G691" s="69">
        <v>135</v>
      </c>
      <c r="H691" s="69">
        <v>13.61</v>
      </c>
      <c r="I691" s="69">
        <f t="shared" si="200"/>
        <v>9.799199999999999</v>
      </c>
      <c r="J691" s="70">
        <v>1</v>
      </c>
      <c r="K691" s="69">
        <f t="shared" si="201"/>
        <v>144.79919999999998</v>
      </c>
      <c r="L691" s="78">
        <f t="shared" si="202"/>
        <v>0.68049999999999999</v>
      </c>
      <c r="M691" s="61">
        <v>0</v>
      </c>
      <c r="N691" s="61">
        <f t="shared" si="203"/>
        <v>1.0888</v>
      </c>
      <c r="O691" s="58"/>
      <c r="P691" s="2"/>
      <c r="Q691" s="2"/>
      <c r="R691" s="32"/>
      <c r="S691" s="32"/>
      <c r="T691" s="32"/>
      <c r="U691" s="32"/>
      <c r="V691" s="2"/>
      <c r="W691" s="2"/>
      <c r="X691" s="2"/>
      <c r="Y691" s="2"/>
      <c r="Z691" s="2"/>
    </row>
    <row r="692" spans="1:26" ht="13.8" x14ac:dyDescent="0.3">
      <c r="A692" s="2" t="s">
        <v>379</v>
      </c>
      <c r="B692" s="10" t="s">
        <v>184</v>
      </c>
      <c r="C692" s="10" t="s">
        <v>1230</v>
      </c>
      <c r="D692" s="10" t="s">
        <v>1231</v>
      </c>
      <c r="E692" s="10" t="s">
        <v>1230</v>
      </c>
      <c r="F692" s="10" t="s">
        <v>1231</v>
      </c>
      <c r="G692" s="69">
        <v>5273.11</v>
      </c>
      <c r="H692" s="69">
        <v>7082.32</v>
      </c>
      <c r="I692" s="69">
        <f t="shared" ref="I692:I700" si="204">H692*0.725</f>
        <v>5134.6819999999998</v>
      </c>
      <c r="J692" s="75">
        <v>0.27393000000000001</v>
      </c>
      <c r="K692" s="69">
        <f t="shared" si="201"/>
        <v>2851.0064625599998</v>
      </c>
      <c r="L692" s="78">
        <f t="shared" ref="L692:L700" si="205">H692*0.025*J692</f>
        <v>48.50149794</v>
      </c>
      <c r="M692" s="61">
        <v>0</v>
      </c>
      <c r="N692" s="61">
        <f t="shared" ref="N692:N700" si="206">H692*0.05*J692</f>
        <v>97.00299588</v>
      </c>
      <c r="O692" s="58"/>
      <c r="P692" s="2"/>
      <c r="Q692" s="2"/>
      <c r="R692" s="32"/>
      <c r="S692" s="32"/>
      <c r="T692" s="32"/>
      <c r="U692" s="32"/>
      <c r="V692" s="2"/>
      <c r="W692" s="2"/>
      <c r="X692" s="2"/>
      <c r="Y692" s="2"/>
      <c r="Z692" s="2"/>
    </row>
    <row r="693" spans="1:26" ht="13.8" x14ac:dyDescent="0.3">
      <c r="A693" s="2" t="s">
        <v>379</v>
      </c>
      <c r="B693" s="10" t="s">
        <v>184</v>
      </c>
      <c r="C693" s="10" t="s">
        <v>1158</v>
      </c>
      <c r="D693" s="10" t="s">
        <v>1159</v>
      </c>
      <c r="E693" s="10" t="s">
        <v>1158</v>
      </c>
      <c r="F693" s="10" t="s">
        <v>1159</v>
      </c>
      <c r="G693" s="69">
        <v>-7510.83</v>
      </c>
      <c r="H693" s="69">
        <v>9642.0300000000007</v>
      </c>
      <c r="I693" s="69">
        <f t="shared" si="204"/>
        <v>6990.4717500000006</v>
      </c>
      <c r="J693" s="75">
        <v>0.27393000000000001</v>
      </c>
      <c r="K693" s="69">
        <f t="shared" si="201"/>
        <v>-142.54173542249981</v>
      </c>
      <c r="L693" s="78">
        <f t="shared" si="205"/>
        <v>66.031031947500011</v>
      </c>
      <c r="M693" s="61">
        <v>0</v>
      </c>
      <c r="N693" s="61">
        <f t="shared" si="206"/>
        <v>132.06206389500002</v>
      </c>
      <c r="O693" s="58"/>
      <c r="P693" s="2"/>
      <c r="Q693" s="2"/>
      <c r="R693" s="32"/>
      <c r="S693" s="32"/>
      <c r="T693" s="32"/>
      <c r="U693" s="32"/>
      <c r="V693" s="2"/>
      <c r="W693" s="2"/>
      <c r="X693" s="2"/>
      <c r="Y693" s="2"/>
      <c r="Z693" s="2"/>
    </row>
    <row r="694" spans="1:26" ht="13.8" x14ac:dyDescent="0.3">
      <c r="A694" s="2" t="s">
        <v>379</v>
      </c>
      <c r="B694" s="10" t="s">
        <v>184</v>
      </c>
      <c r="C694" s="10" t="s">
        <v>1138</v>
      </c>
      <c r="D694" s="10" t="s">
        <v>1139</v>
      </c>
      <c r="E694" s="10" t="s">
        <v>1268</v>
      </c>
      <c r="F694" s="10" t="s">
        <v>1269</v>
      </c>
      <c r="G694" s="69">
        <v>2047.69</v>
      </c>
      <c r="H694" s="69">
        <v>1923.85</v>
      </c>
      <c r="I694" s="69">
        <f t="shared" si="204"/>
        <v>1394.79125</v>
      </c>
      <c r="J694" s="75">
        <v>0.27393000000000001</v>
      </c>
      <c r="K694" s="69">
        <f t="shared" si="201"/>
        <v>942.99888881250001</v>
      </c>
      <c r="L694" s="78">
        <f t="shared" si="205"/>
        <v>13.1750057625</v>
      </c>
      <c r="M694" s="61">
        <v>0</v>
      </c>
      <c r="N694" s="61">
        <f t="shared" si="206"/>
        <v>26.350011524999999</v>
      </c>
      <c r="O694" s="58"/>
      <c r="P694" s="2"/>
      <c r="Q694" s="2"/>
      <c r="R694" s="32"/>
      <c r="S694" s="32"/>
      <c r="T694" s="32"/>
      <c r="U694" s="32"/>
      <c r="V694" s="2"/>
      <c r="W694" s="2"/>
      <c r="X694" s="2"/>
      <c r="Y694" s="2"/>
      <c r="Z694" s="2"/>
    </row>
    <row r="695" spans="1:26" ht="13.8" x14ac:dyDescent="0.3">
      <c r="A695" s="2" t="s">
        <v>379</v>
      </c>
      <c r="B695" s="10" t="s">
        <v>184</v>
      </c>
      <c r="C695" s="10" t="s">
        <v>1138</v>
      </c>
      <c r="D695" s="10" t="s">
        <v>1139</v>
      </c>
      <c r="E695" s="10" t="s">
        <v>1246</v>
      </c>
      <c r="F695" s="10" t="s">
        <v>1247</v>
      </c>
      <c r="G695" s="69">
        <v>930.07</v>
      </c>
      <c r="H695" s="69">
        <v>1297.8699999999999</v>
      </c>
      <c r="I695" s="69">
        <f t="shared" si="204"/>
        <v>940.95574999999985</v>
      </c>
      <c r="J695" s="75">
        <v>0.27393000000000001</v>
      </c>
      <c r="K695" s="69">
        <f t="shared" si="201"/>
        <v>512.5300836975</v>
      </c>
      <c r="L695" s="78">
        <f t="shared" si="205"/>
        <v>8.8881382275000007</v>
      </c>
      <c r="M695" s="61">
        <v>0</v>
      </c>
      <c r="N695" s="61">
        <f t="shared" si="206"/>
        <v>17.776276455000001</v>
      </c>
      <c r="O695" s="58"/>
      <c r="P695" s="2"/>
      <c r="Q695" s="2"/>
      <c r="R695" s="32"/>
      <c r="S695" s="32"/>
      <c r="T695" s="32"/>
      <c r="U695" s="32"/>
      <c r="V695" s="2"/>
      <c r="W695" s="2"/>
      <c r="X695" s="2"/>
      <c r="Y695" s="2"/>
      <c r="Z695" s="2"/>
    </row>
    <row r="696" spans="1:26" ht="13.8" x14ac:dyDescent="0.3">
      <c r="A696" s="2" t="s">
        <v>379</v>
      </c>
      <c r="B696" s="10" t="s">
        <v>184</v>
      </c>
      <c r="C696" s="10" t="s">
        <v>1138</v>
      </c>
      <c r="D696" s="10" t="s">
        <v>1139</v>
      </c>
      <c r="E696" s="10" t="s">
        <v>1140</v>
      </c>
      <c r="F696" s="10" t="s">
        <v>1141</v>
      </c>
      <c r="G696" s="69">
        <v>-12733.63</v>
      </c>
      <c r="H696" s="69">
        <v>4678.75</v>
      </c>
      <c r="I696" s="69">
        <f t="shared" si="204"/>
        <v>3392.09375</v>
      </c>
      <c r="J696" s="75">
        <v>0.27393000000000001</v>
      </c>
      <c r="K696" s="69">
        <f t="shared" si="201"/>
        <v>-2558.9270249624997</v>
      </c>
      <c r="L696" s="78">
        <f t="shared" si="205"/>
        <v>32.041249687499999</v>
      </c>
      <c r="M696" s="61">
        <v>0</v>
      </c>
      <c r="N696" s="61">
        <f t="shared" si="206"/>
        <v>64.082499374999998</v>
      </c>
      <c r="O696" s="58"/>
      <c r="P696" s="2"/>
      <c r="Q696" s="2"/>
      <c r="R696" s="32"/>
      <c r="S696" s="32"/>
      <c r="T696" s="32"/>
      <c r="U696" s="32"/>
      <c r="V696" s="2"/>
      <c r="W696" s="2"/>
      <c r="X696" s="2"/>
      <c r="Y696" s="2"/>
      <c r="Z696" s="2"/>
    </row>
    <row r="697" spans="1:26" ht="13.8" x14ac:dyDescent="0.3">
      <c r="A697" s="2" t="s">
        <v>379</v>
      </c>
      <c r="B697" s="10" t="s">
        <v>184</v>
      </c>
      <c r="C697" s="10" t="s">
        <v>1138</v>
      </c>
      <c r="D697" s="10" t="s">
        <v>1139</v>
      </c>
      <c r="E697" s="10" t="s">
        <v>1304</v>
      </c>
      <c r="F697" s="10" t="s">
        <v>1305</v>
      </c>
      <c r="G697" s="69">
        <v>-621.54</v>
      </c>
      <c r="H697" s="69">
        <v>636.51</v>
      </c>
      <c r="I697" s="69">
        <f t="shared" si="204"/>
        <v>461.46974999999998</v>
      </c>
      <c r="J697" s="75">
        <v>0.27393000000000001</v>
      </c>
      <c r="K697" s="69">
        <f t="shared" si="201"/>
        <v>-43.848043582499997</v>
      </c>
      <c r="L697" s="78">
        <f t="shared" si="205"/>
        <v>4.3589796075000002</v>
      </c>
      <c r="M697" s="61">
        <v>0</v>
      </c>
      <c r="N697" s="61">
        <f t="shared" si="206"/>
        <v>8.7179592150000005</v>
      </c>
      <c r="O697" s="58"/>
      <c r="P697" s="2"/>
      <c r="Q697" s="2"/>
      <c r="R697" s="32"/>
      <c r="S697" s="32"/>
      <c r="T697" s="32"/>
      <c r="U697" s="32"/>
      <c r="V697" s="2"/>
      <c r="W697" s="2"/>
      <c r="X697" s="2"/>
      <c r="Y697" s="2"/>
      <c r="Z697" s="2"/>
    </row>
    <row r="698" spans="1:26" ht="13.8" x14ac:dyDescent="0.3">
      <c r="A698" s="2" t="s">
        <v>379</v>
      </c>
      <c r="B698" s="10" t="s">
        <v>184</v>
      </c>
      <c r="C698" s="10" t="s">
        <v>1138</v>
      </c>
      <c r="D698" s="10" t="s">
        <v>1139</v>
      </c>
      <c r="E698" s="10" t="s">
        <v>1143</v>
      </c>
      <c r="F698" s="10" t="s">
        <v>1144</v>
      </c>
      <c r="G698" s="69">
        <v>-3913.97</v>
      </c>
      <c r="H698" s="69">
        <v>769.71</v>
      </c>
      <c r="I698" s="69">
        <f t="shared" si="204"/>
        <v>558.03975000000003</v>
      </c>
      <c r="J698" s="75">
        <v>0.27393000000000001</v>
      </c>
      <c r="K698" s="69">
        <f t="shared" si="201"/>
        <v>-919.28997338249997</v>
      </c>
      <c r="L698" s="78">
        <f t="shared" si="205"/>
        <v>5.2711665075000003</v>
      </c>
      <c r="M698" s="61">
        <v>0</v>
      </c>
      <c r="N698" s="61">
        <f t="shared" si="206"/>
        <v>10.542333015000001</v>
      </c>
      <c r="O698" s="58"/>
      <c r="P698" s="2"/>
      <c r="Q698" s="2"/>
      <c r="R698" s="32"/>
      <c r="S698" s="32"/>
      <c r="T698" s="32"/>
      <c r="U698" s="32"/>
      <c r="V698" s="2"/>
      <c r="W698" s="2"/>
      <c r="X698" s="2"/>
      <c r="Y698" s="2"/>
      <c r="Z698" s="2"/>
    </row>
    <row r="699" spans="1:26" ht="13.8" x14ac:dyDescent="0.3">
      <c r="A699" s="2" t="s">
        <v>379</v>
      </c>
      <c r="B699" s="10" t="s">
        <v>184</v>
      </c>
      <c r="C699" s="10" t="s">
        <v>1138</v>
      </c>
      <c r="D699" s="10" t="s">
        <v>1139</v>
      </c>
      <c r="E699" s="10" t="s">
        <v>1240</v>
      </c>
      <c r="F699" s="10" t="s">
        <v>1241</v>
      </c>
      <c r="G699" s="69">
        <v>392.4</v>
      </c>
      <c r="H699" s="69">
        <v>40.51</v>
      </c>
      <c r="I699" s="69">
        <f t="shared" si="204"/>
        <v>29.369749999999996</v>
      </c>
      <c r="J699" s="75">
        <v>0.27393000000000001</v>
      </c>
      <c r="K699" s="69">
        <f t="shared" si="201"/>
        <v>115.53538761749999</v>
      </c>
      <c r="L699" s="78">
        <f t="shared" si="205"/>
        <v>0.27742260750000003</v>
      </c>
      <c r="M699" s="61">
        <v>0</v>
      </c>
      <c r="N699" s="61">
        <f t="shared" si="206"/>
        <v>0.55484521500000006</v>
      </c>
      <c r="O699" s="58"/>
      <c r="P699" s="2"/>
      <c r="Q699" s="2"/>
      <c r="R699" s="32"/>
      <c r="S699" s="32"/>
      <c r="T699" s="32"/>
      <c r="U699" s="32"/>
      <c r="V699" s="2"/>
      <c r="W699" s="2"/>
      <c r="X699" s="2"/>
      <c r="Y699" s="2"/>
      <c r="Z699" s="2"/>
    </row>
    <row r="700" spans="1:26" ht="13.8" x14ac:dyDescent="0.3">
      <c r="A700" s="2" t="s">
        <v>379</v>
      </c>
      <c r="B700" s="10" t="s">
        <v>184</v>
      </c>
      <c r="C700" s="10" t="s">
        <v>1138</v>
      </c>
      <c r="D700" s="10" t="s">
        <v>1139</v>
      </c>
      <c r="E700" s="10" t="s">
        <v>1238</v>
      </c>
      <c r="F700" s="10" t="s">
        <v>1239</v>
      </c>
      <c r="G700" s="69">
        <v>-505.85</v>
      </c>
      <c r="H700" s="69">
        <v>51.89</v>
      </c>
      <c r="I700" s="69">
        <f t="shared" si="204"/>
        <v>37.620249999999999</v>
      </c>
      <c r="J700" s="75">
        <v>0.27393000000000001</v>
      </c>
      <c r="K700" s="69">
        <f t="shared" si="201"/>
        <v>-128.2621754175</v>
      </c>
      <c r="L700" s="78">
        <f t="shared" si="205"/>
        <v>0.35535569249999999</v>
      </c>
      <c r="M700" s="61">
        <v>0</v>
      </c>
      <c r="N700" s="61">
        <f t="shared" si="206"/>
        <v>0.71071138499999997</v>
      </c>
      <c r="O700" s="58"/>
      <c r="P700" s="2"/>
      <c r="Q700" s="2"/>
      <c r="R700" s="32"/>
      <c r="S700" s="32"/>
      <c r="T700" s="32"/>
      <c r="U700" s="32"/>
      <c r="V700" s="2"/>
      <c r="W700" s="2"/>
      <c r="X700" s="2"/>
      <c r="Y700" s="2"/>
      <c r="Z700" s="2"/>
    </row>
    <row r="701" spans="1:26" ht="13.8" x14ac:dyDescent="0.3">
      <c r="A701" s="2" t="s">
        <v>379</v>
      </c>
      <c r="B701" s="29" t="s">
        <v>35</v>
      </c>
      <c r="C701" s="10" t="s">
        <v>1290</v>
      </c>
      <c r="D701" s="10" t="s">
        <v>1291</v>
      </c>
      <c r="E701" s="10" t="s">
        <v>1292</v>
      </c>
      <c r="F701" s="10" t="s">
        <v>1293</v>
      </c>
      <c r="G701" s="69">
        <v>8970.43</v>
      </c>
      <c r="H701" s="69">
        <v>3492.75</v>
      </c>
      <c r="I701" s="69">
        <f t="shared" ref="I701:I703" si="207">H701*0.79</f>
        <v>2759.2725</v>
      </c>
      <c r="J701" s="75">
        <v>0.27393000000000001</v>
      </c>
      <c r="K701" s="69">
        <f t="shared" si="201"/>
        <v>3213.1174058249999</v>
      </c>
      <c r="L701" s="78">
        <f t="shared" ref="L701:L703" si="208">H701*0.05*J701</f>
        <v>47.838450375000008</v>
      </c>
      <c r="M701" s="61">
        <v>0</v>
      </c>
      <c r="N701" s="61">
        <f t="shared" ref="N701:N703" si="209">H701*0.04*J701</f>
        <v>38.270760300000006</v>
      </c>
      <c r="O701" s="61"/>
      <c r="P701" s="2"/>
      <c r="Q701" s="2"/>
      <c r="R701" s="32"/>
      <c r="S701" s="32"/>
      <c r="T701" s="32"/>
      <c r="U701" s="32"/>
      <c r="V701" s="2"/>
      <c r="W701" s="2"/>
      <c r="X701" s="2"/>
      <c r="Y701" s="2"/>
      <c r="Z701" s="2"/>
    </row>
    <row r="702" spans="1:26" ht="13.8" x14ac:dyDescent="0.3">
      <c r="A702" s="2" t="s">
        <v>379</v>
      </c>
      <c r="B702" s="29" t="s">
        <v>35</v>
      </c>
      <c r="C702" s="10" t="s">
        <v>1138</v>
      </c>
      <c r="D702" s="10" t="s">
        <v>1139</v>
      </c>
      <c r="E702" s="10" t="s">
        <v>1238</v>
      </c>
      <c r="F702" s="10" t="s">
        <v>1239</v>
      </c>
      <c r="G702" s="69">
        <v>-16.98</v>
      </c>
      <c r="H702" s="69">
        <v>450.22</v>
      </c>
      <c r="I702" s="69">
        <f t="shared" si="207"/>
        <v>355.67380000000003</v>
      </c>
      <c r="J702" s="75">
        <v>0.27393000000000001</v>
      </c>
      <c r="K702" s="69">
        <f t="shared" si="201"/>
        <v>92.778392633999999</v>
      </c>
      <c r="L702" s="78">
        <f t="shared" si="208"/>
        <v>6.1664382300000007</v>
      </c>
      <c r="M702" s="61">
        <v>0</v>
      </c>
      <c r="N702" s="61">
        <f t="shared" si="209"/>
        <v>4.9331505840000007</v>
      </c>
      <c r="O702" s="61"/>
      <c r="P702" s="2"/>
      <c r="Q702" s="2"/>
      <c r="R702" s="32"/>
      <c r="S702" s="32"/>
      <c r="T702" s="32"/>
      <c r="U702" s="32"/>
      <c r="V702" s="2"/>
      <c r="W702" s="2"/>
      <c r="X702" s="2"/>
      <c r="Y702" s="2"/>
      <c r="Z702" s="2"/>
    </row>
    <row r="703" spans="1:26" ht="13.8" x14ac:dyDescent="0.3">
      <c r="A703" s="2" t="s">
        <v>379</v>
      </c>
      <c r="B703" s="29" t="s">
        <v>35</v>
      </c>
      <c r="C703" s="10" t="s">
        <v>1138</v>
      </c>
      <c r="D703" s="10" t="s">
        <v>1139</v>
      </c>
      <c r="E703" s="10" t="s">
        <v>1240</v>
      </c>
      <c r="F703" s="10" t="s">
        <v>1241</v>
      </c>
      <c r="G703" s="69">
        <v>-719.01</v>
      </c>
      <c r="H703" s="69">
        <v>133.94999999999999</v>
      </c>
      <c r="I703" s="69">
        <f t="shared" si="207"/>
        <v>105.8205</v>
      </c>
      <c r="J703" s="75">
        <v>0.27393000000000001</v>
      </c>
      <c r="K703" s="69">
        <f t="shared" si="201"/>
        <v>-167.97099973499999</v>
      </c>
      <c r="L703" s="78">
        <f t="shared" si="208"/>
        <v>1.834646175</v>
      </c>
      <c r="M703" s="61">
        <v>0</v>
      </c>
      <c r="N703" s="61">
        <f t="shared" si="209"/>
        <v>1.4677169399999999</v>
      </c>
      <c r="O703" s="61"/>
      <c r="P703" s="2"/>
      <c r="Q703" s="2"/>
      <c r="R703" s="32"/>
      <c r="S703" s="32"/>
      <c r="T703" s="32"/>
      <c r="U703" s="32"/>
      <c r="V703" s="2"/>
      <c r="W703" s="2"/>
      <c r="X703" s="2"/>
      <c r="Y703" s="2"/>
      <c r="Z703" s="2"/>
    </row>
    <row r="704" spans="1:26" ht="13.8" x14ac:dyDescent="0.3">
      <c r="A704" s="2" t="s">
        <v>379</v>
      </c>
      <c r="B704" s="2" t="s">
        <v>186</v>
      </c>
      <c r="C704" s="10">
        <v>2304025</v>
      </c>
      <c r="D704" s="10" t="s">
        <v>1162</v>
      </c>
      <c r="E704" s="10">
        <v>2380008</v>
      </c>
      <c r="F704" s="10" t="s">
        <v>1192</v>
      </c>
      <c r="G704" s="69">
        <v>-166.44</v>
      </c>
      <c r="H704" s="69">
        <v>72.010000000000005</v>
      </c>
      <c r="I704" s="69">
        <f t="shared" ref="I704:I717" si="210">H704*0.5</f>
        <v>36.005000000000003</v>
      </c>
      <c r="J704" s="70">
        <v>1</v>
      </c>
      <c r="K704" s="69">
        <f t="shared" ref="K704:K717" si="211">(G704+I704)*J704*0.85+(-H704*0.4*0.15)*J704*0.3+H704*0.1*0.85*J704*0.3</f>
        <v>-110.32967500000001</v>
      </c>
      <c r="L704" s="79" t="s">
        <v>468</v>
      </c>
      <c r="M704" s="61">
        <f t="shared" ref="M704:M717" si="212">(-H704*0.4*0.15)*J704*0.7-(-H704*0.05*0.15)*J704</f>
        <v>-2.4843449999999998</v>
      </c>
      <c r="N704" s="61">
        <f t="shared" ref="N704:N717" si="213">H704*0.1*0.85*J704*0.7+H704*0.05*0.85*J704</f>
        <v>7.3450199999999999</v>
      </c>
      <c r="O704" s="61"/>
      <c r="P704" s="2"/>
      <c r="Q704" s="2"/>
      <c r="R704" s="32"/>
      <c r="S704" s="32"/>
      <c r="T704" s="32"/>
      <c r="U704" s="32"/>
      <c r="V704" s="2"/>
      <c r="W704" s="2"/>
      <c r="X704" s="2"/>
      <c r="Y704" s="2"/>
      <c r="Z704" s="2"/>
    </row>
    <row r="705" spans="1:26" ht="13.8" x14ac:dyDescent="0.3">
      <c r="A705" s="2" t="s">
        <v>379</v>
      </c>
      <c r="B705" s="2" t="s">
        <v>186</v>
      </c>
      <c r="C705" s="10">
        <v>2304025</v>
      </c>
      <c r="D705" s="10" t="s">
        <v>1162</v>
      </c>
      <c r="E705" s="10">
        <v>2531141</v>
      </c>
      <c r="F705" s="10" t="s">
        <v>1258</v>
      </c>
      <c r="G705" s="69">
        <v>-454.89</v>
      </c>
      <c r="H705" s="69">
        <v>72.989999999999995</v>
      </c>
      <c r="I705" s="69">
        <f t="shared" si="210"/>
        <v>36.494999999999997</v>
      </c>
      <c r="J705" s="70">
        <v>1</v>
      </c>
      <c r="K705" s="69">
        <f t="shared" si="211"/>
        <v>-355.088325</v>
      </c>
      <c r="L705" s="79" t="s">
        <v>468</v>
      </c>
      <c r="M705" s="61">
        <f t="shared" si="212"/>
        <v>-2.5181549999999993</v>
      </c>
      <c r="N705" s="61">
        <f t="shared" si="213"/>
        <v>7.4449799999999993</v>
      </c>
      <c r="O705" s="61"/>
      <c r="P705" s="2"/>
      <c r="Q705" s="2"/>
      <c r="R705" s="32"/>
      <c r="S705" s="32"/>
      <c r="T705" s="32"/>
      <c r="U705" s="32"/>
      <c r="V705" s="2"/>
      <c r="W705" s="2"/>
      <c r="X705" s="2"/>
      <c r="Y705" s="2"/>
      <c r="Z705" s="2"/>
    </row>
    <row r="706" spans="1:26" ht="13.8" x14ac:dyDescent="0.3">
      <c r="A706" s="2" t="s">
        <v>379</v>
      </c>
      <c r="B706" s="2" t="s">
        <v>186</v>
      </c>
      <c r="C706" s="10">
        <v>2304025</v>
      </c>
      <c r="D706" s="10" t="s">
        <v>1162</v>
      </c>
      <c r="E706" s="10">
        <v>2531145</v>
      </c>
      <c r="F706" s="10" t="s">
        <v>1226</v>
      </c>
      <c r="G706" s="69">
        <v>767.8</v>
      </c>
      <c r="H706" s="69">
        <v>51.88</v>
      </c>
      <c r="I706" s="69">
        <f t="shared" si="210"/>
        <v>25.94</v>
      </c>
      <c r="J706" s="70">
        <v>1</v>
      </c>
      <c r="K706" s="69">
        <f t="shared" si="211"/>
        <v>675.06809999999996</v>
      </c>
      <c r="L706" s="79" t="s">
        <v>468</v>
      </c>
      <c r="M706" s="61">
        <f t="shared" si="212"/>
        <v>-1.78986</v>
      </c>
      <c r="N706" s="61">
        <f t="shared" si="213"/>
        <v>5.29176</v>
      </c>
      <c r="O706" s="61"/>
      <c r="P706" s="2"/>
      <c r="Q706" s="2"/>
      <c r="R706" s="32"/>
      <c r="S706" s="32"/>
      <c r="T706" s="32"/>
      <c r="U706" s="32"/>
      <c r="V706" s="2"/>
      <c r="W706" s="2"/>
      <c r="X706" s="2"/>
      <c r="Y706" s="2"/>
      <c r="Z706" s="2"/>
    </row>
    <row r="707" spans="1:26" ht="13.8" x14ac:dyDescent="0.3">
      <c r="A707" s="2" t="s">
        <v>379</v>
      </c>
      <c r="B707" s="2" t="s">
        <v>186</v>
      </c>
      <c r="C707" s="10">
        <v>2304025</v>
      </c>
      <c r="D707" s="10" t="s">
        <v>1162</v>
      </c>
      <c r="E707" s="10">
        <v>2531191</v>
      </c>
      <c r="F707" s="10" t="s">
        <v>1259</v>
      </c>
      <c r="G707" s="69">
        <v>-5.83</v>
      </c>
      <c r="H707" s="69">
        <v>41.57</v>
      </c>
      <c r="I707" s="69">
        <f t="shared" si="210"/>
        <v>20.785</v>
      </c>
      <c r="J707" s="70">
        <v>1</v>
      </c>
      <c r="K707" s="69">
        <f t="shared" si="211"/>
        <v>13.023524999999999</v>
      </c>
      <c r="L707" s="79" t="s">
        <v>468</v>
      </c>
      <c r="M707" s="61">
        <f t="shared" si="212"/>
        <v>-1.4341649999999999</v>
      </c>
      <c r="N707" s="61">
        <f t="shared" si="213"/>
        <v>4.2401399999999994</v>
      </c>
      <c r="O707" s="61"/>
      <c r="P707" s="2"/>
      <c r="Q707" s="2"/>
      <c r="R707" s="32"/>
      <c r="S707" s="32"/>
      <c r="T707" s="32"/>
      <c r="U707" s="32"/>
      <c r="V707" s="2"/>
      <c r="W707" s="2"/>
      <c r="X707" s="2"/>
      <c r="Y707" s="2"/>
      <c r="Z707" s="2"/>
    </row>
    <row r="708" spans="1:26" ht="13.8" x14ac:dyDescent="0.3">
      <c r="A708" s="2" t="s">
        <v>379</v>
      </c>
      <c r="B708" s="2" t="s">
        <v>186</v>
      </c>
      <c r="C708" s="10">
        <v>2304025</v>
      </c>
      <c r="D708" s="10" t="s">
        <v>1162</v>
      </c>
      <c r="E708" s="10">
        <v>2540293</v>
      </c>
      <c r="F708" s="10" t="s">
        <v>1261</v>
      </c>
      <c r="G708" s="69">
        <v>158.49</v>
      </c>
      <c r="H708" s="69">
        <v>15.43</v>
      </c>
      <c r="I708" s="69">
        <f t="shared" si="210"/>
        <v>7.7149999999999999</v>
      </c>
      <c r="J708" s="70">
        <v>1</v>
      </c>
      <c r="K708" s="69">
        <f t="shared" si="211"/>
        <v>141.38997499999999</v>
      </c>
      <c r="L708" s="79" t="s">
        <v>468</v>
      </c>
      <c r="M708" s="61">
        <f t="shared" si="212"/>
        <v>-0.532335</v>
      </c>
      <c r="N708" s="61">
        <f t="shared" si="213"/>
        <v>1.5738599999999998</v>
      </c>
      <c r="O708" s="61"/>
      <c r="P708" s="2"/>
      <c r="Q708" s="2"/>
      <c r="R708" s="32"/>
      <c r="S708" s="32"/>
      <c r="T708" s="32"/>
      <c r="U708" s="32"/>
      <c r="V708" s="2"/>
      <c r="W708" s="2"/>
      <c r="X708" s="2"/>
      <c r="Y708" s="2"/>
      <c r="Z708" s="2"/>
    </row>
    <row r="709" spans="1:26" ht="13.8" x14ac:dyDescent="0.3">
      <c r="A709" s="2" t="s">
        <v>379</v>
      </c>
      <c r="B709" s="2" t="s">
        <v>186</v>
      </c>
      <c r="C709" s="10">
        <v>2304025</v>
      </c>
      <c r="D709" s="10" t="s">
        <v>1162</v>
      </c>
      <c r="E709" s="10">
        <v>2540315</v>
      </c>
      <c r="F709" s="10" t="s">
        <v>1262</v>
      </c>
      <c r="G709" s="69">
        <v>1.84</v>
      </c>
      <c r="H709" s="69">
        <v>0</v>
      </c>
      <c r="I709" s="69">
        <f t="shared" si="210"/>
        <v>0</v>
      </c>
      <c r="J709" s="70">
        <v>1</v>
      </c>
      <c r="K709" s="69">
        <f t="shared" si="211"/>
        <v>1.5640000000000001</v>
      </c>
      <c r="L709" s="79" t="s">
        <v>468</v>
      </c>
      <c r="M709" s="61">
        <f t="shared" si="212"/>
        <v>0</v>
      </c>
      <c r="N709" s="61">
        <f t="shared" si="213"/>
        <v>0</v>
      </c>
      <c r="O709" s="61"/>
      <c r="P709" s="2"/>
      <c r="Q709" s="2"/>
      <c r="R709" s="32"/>
      <c r="S709" s="32"/>
      <c r="T709" s="32"/>
      <c r="U709" s="32"/>
      <c r="V709" s="2"/>
      <c r="W709" s="2"/>
      <c r="X709" s="2"/>
      <c r="Y709" s="2"/>
      <c r="Z709" s="2"/>
    </row>
    <row r="710" spans="1:26" ht="13.8" x14ac:dyDescent="0.3">
      <c r="A710" s="2" t="s">
        <v>379</v>
      </c>
      <c r="B710" s="2" t="s">
        <v>186</v>
      </c>
      <c r="C710" s="10">
        <v>2304025</v>
      </c>
      <c r="D710" s="10" t="s">
        <v>1162</v>
      </c>
      <c r="E710" s="10">
        <v>2554720</v>
      </c>
      <c r="F710" s="10" t="s">
        <v>1270</v>
      </c>
      <c r="G710" s="69">
        <v>128.66</v>
      </c>
      <c r="H710" s="69">
        <v>16.8</v>
      </c>
      <c r="I710" s="69">
        <f t="shared" si="210"/>
        <v>8.4</v>
      </c>
      <c r="J710" s="70">
        <v>1</v>
      </c>
      <c r="K710" s="69">
        <f t="shared" si="211"/>
        <v>116.627</v>
      </c>
      <c r="L710" s="79" t="s">
        <v>468</v>
      </c>
      <c r="M710" s="61">
        <f t="shared" si="212"/>
        <v>-0.5796</v>
      </c>
      <c r="N710" s="61">
        <f t="shared" si="213"/>
        <v>1.7136</v>
      </c>
      <c r="O710" s="61"/>
      <c r="P710" s="2"/>
      <c r="Q710" s="2"/>
      <c r="R710" s="32"/>
      <c r="S710" s="32"/>
      <c r="T710" s="32"/>
      <c r="U710" s="32"/>
      <c r="V710" s="2"/>
      <c r="W710" s="2"/>
      <c r="X710" s="2"/>
      <c r="Y710" s="2"/>
      <c r="Z710" s="2"/>
    </row>
    <row r="711" spans="1:26" ht="13.8" x14ac:dyDescent="0.3">
      <c r="A711" s="2" t="s">
        <v>379</v>
      </c>
      <c r="B711" s="2" t="s">
        <v>186</v>
      </c>
      <c r="C711" s="10">
        <v>2304025</v>
      </c>
      <c r="D711" s="10" t="s">
        <v>1162</v>
      </c>
      <c r="E711" s="10">
        <v>2559299</v>
      </c>
      <c r="F711" s="10" t="s">
        <v>1302</v>
      </c>
      <c r="G711" s="69">
        <v>-56.34</v>
      </c>
      <c r="H711" s="69">
        <v>13.82</v>
      </c>
      <c r="I711" s="69">
        <f t="shared" si="210"/>
        <v>6.91</v>
      </c>
      <c r="J711" s="70">
        <v>1</v>
      </c>
      <c r="K711" s="69">
        <f t="shared" si="211"/>
        <v>-41.911850000000001</v>
      </c>
      <c r="L711" s="79" t="s">
        <v>468</v>
      </c>
      <c r="M711" s="61">
        <f t="shared" si="212"/>
        <v>-0.47678999999999994</v>
      </c>
      <c r="N711" s="61">
        <f t="shared" si="213"/>
        <v>1.40964</v>
      </c>
      <c r="O711" s="61"/>
      <c r="P711" s="2"/>
      <c r="Q711" s="2"/>
      <c r="R711" s="32"/>
      <c r="S711" s="32"/>
      <c r="T711" s="32"/>
      <c r="U711" s="32"/>
      <c r="V711" s="2"/>
      <c r="W711" s="2"/>
      <c r="X711" s="2"/>
      <c r="Y711" s="2"/>
      <c r="Z711" s="2"/>
    </row>
    <row r="712" spans="1:26" ht="13.8" x14ac:dyDescent="0.3">
      <c r="A712" s="2" t="s">
        <v>379</v>
      </c>
      <c r="B712" s="2" t="s">
        <v>186</v>
      </c>
      <c r="C712" s="10">
        <v>2304025</v>
      </c>
      <c r="D712" s="10" t="s">
        <v>1162</v>
      </c>
      <c r="E712" s="10">
        <v>2575716</v>
      </c>
      <c r="F712" s="10" t="s">
        <v>1283</v>
      </c>
      <c r="G712" s="69">
        <v>14.91</v>
      </c>
      <c r="H712" s="69">
        <v>0.36</v>
      </c>
      <c r="I712" s="69">
        <f t="shared" si="210"/>
        <v>0.18</v>
      </c>
      <c r="J712" s="70">
        <v>1</v>
      </c>
      <c r="K712" s="69">
        <f t="shared" si="211"/>
        <v>12.8292</v>
      </c>
      <c r="L712" s="79" t="s">
        <v>468</v>
      </c>
      <c r="M712" s="61">
        <f t="shared" si="212"/>
        <v>-1.2419999999999999E-2</v>
      </c>
      <c r="N712" s="61">
        <f t="shared" si="213"/>
        <v>3.6719999999999989E-2</v>
      </c>
      <c r="O712" s="61"/>
      <c r="P712" s="2"/>
      <c r="Q712" s="2"/>
      <c r="R712" s="32"/>
      <c r="S712" s="32"/>
      <c r="T712" s="32"/>
      <c r="U712" s="32"/>
      <c r="V712" s="2"/>
      <c r="W712" s="2"/>
      <c r="X712" s="2"/>
      <c r="Y712" s="2"/>
      <c r="Z712" s="2"/>
    </row>
    <row r="713" spans="1:26" ht="13.8" x14ac:dyDescent="0.3">
      <c r="A713" s="2" t="s">
        <v>379</v>
      </c>
      <c r="B713" s="2" t="s">
        <v>186</v>
      </c>
      <c r="C713" s="10">
        <v>2304025</v>
      </c>
      <c r="D713" s="10" t="s">
        <v>1162</v>
      </c>
      <c r="E713" s="10">
        <v>2575824</v>
      </c>
      <c r="F713" s="10" t="s">
        <v>1284</v>
      </c>
      <c r="G713" s="69">
        <v>110.37</v>
      </c>
      <c r="H713" s="69">
        <v>43.02</v>
      </c>
      <c r="I713" s="69">
        <f t="shared" si="210"/>
        <v>21.51</v>
      </c>
      <c r="J713" s="70">
        <v>1</v>
      </c>
      <c r="K713" s="69">
        <f t="shared" si="211"/>
        <v>112.42064999999999</v>
      </c>
      <c r="L713" s="79" t="s">
        <v>468</v>
      </c>
      <c r="M713" s="61">
        <f t="shared" si="212"/>
        <v>-1.4841900000000001</v>
      </c>
      <c r="N713" s="61">
        <f t="shared" si="213"/>
        <v>4.3880400000000002</v>
      </c>
      <c r="O713" s="61"/>
      <c r="P713" s="2"/>
      <c r="Q713" s="2"/>
      <c r="R713" s="32"/>
      <c r="S713" s="32"/>
      <c r="T713" s="32"/>
      <c r="U713" s="32"/>
      <c r="V713" s="2"/>
      <c r="W713" s="2"/>
      <c r="X713" s="2"/>
      <c r="Y713" s="2"/>
      <c r="Z713" s="2"/>
    </row>
    <row r="714" spans="1:26" ht="13.8" x14ac:dyDescent="0.3">
      <c r="A714" s="2" t="s">
        <v>379</v>
      </c>
      <c r="B714" s="2" t="s">
        <v>186</v>
      </c>
      <c r="C714" s="10">
        <v>2304025</v>
      </c>
      <c r="D714" s="10" t="s">
        <v>1162</v>
      </c>
      <c r="E714" s="10">
        <v>2575978</v>
      </c>
      <c r="F714" s="10" t="s">
        <v>1285</v>
      </c>
      <c r="G714" s="69">
        <v>264.98</v>
      </c>
      <c r="H714" s="69">
        <v>23.56</v>
      </c>
      <c r="I714" s="69">
        <f t="shared" si="210"/>
        <v>11.78</v>
      </c>
      <c r="J714" s="70">
        <v>1</v>
      </c>
      <c r="K714" s="69">
        <f t="shared" si="211"/>
        <v>235.42269999999996</v>
      </c>
      <c r="L714" s="79" t="s">
        <v>468</v>
      </c>
      <c r="M714" s="61">
        <f t="shared" si="212"/>
        <v>-0.81281999999999999</v>
      </c>
      <c r="N714" s="61">
        <f t="shared" si="213"/>
        <v>2.4031199999999995</v>
      </c>
      <c r="O714" s="61"/>
      <c r="P714" s="2"/>
      <c r="Q714" s="2"/>
      <c r="R714" s="32"/>
      <c r="S714" s="32"/>
      <c r="T714" s="32"/>
      <c r="U714" s="32"/>
      <c r="V714" s="2"/>
      <c r="W714" s="2"/>
      <c r="X714" s="2"/>
      <c r="Y714" s="2"/>
      <c r="Z714" s="2"/>
    </row>
    <row r="715" spans="1:26" ht="13.8" x14ac:dyDescent="0.3">
      <c r="A715" s="2" t="s">
        <v>379</v>
      </c>
      <c r="B715" s="2" t="s">
        <v>186</v>
      </c>
      <c r="C715" s="10">
        <v>2525136</v>
      </c>
      <c r="D715" s="10" t="s">
        <v>1205</v>
      </c>
      <c r="E715" s="10">
        <v>2523689</v>
      </c>
      <c r="F715" s="10" t="s">
        <v>1311</v>
      </c>
      <c r="G715" s="69">
        <v>91.92</v>
      </c>
      <c r="H715" s="69">
        <v>25.04</v>
      </c>
      <c r="I715" s="69">
        <f t="shared" si="210"/>
        <v>12.52</v>
      </c>
      <c r="J715" s="70">
        <v>1</v>
      </c>
      <c r="K715" s="69">
        <f t="shared" si="211"/>
        <v>88.961799999999997</v>
      </c>
      <c r="L715" s="79" t="s">
        <v>468</v>
      </c>
      <c r="M715" s="61">
        <f t="shared" si="212"/>
        <v>-0.86387999999999998</v>
      </c>
      <c r="N715" s="61">
        <f t="shared" si="213"/>
        <v>2.5540799999999999</v>
      </c>
      <c r="O715" s="61"/>
      <c r="P715" s="2"/>
      <c r="Q715" s="2"/>
      <c r="R715" s="32"/>
      <c r="S715" s="32"/>
      <c r="T715" s="32"/>
      <c r="U715" s="32"/>
      <c r="V715" s="2"/>
      <c r="W715" s="2"/>
      <c r="X715" s="2"/>
      <c r="Y715" s="2"/>
      <c r="Z715" s="2"/>
    </row>
    <row r="716" spans="1:26" ht="13.8" x14ac:dyDescent="0.3">
      <c r="A716" s="2" t="s">
        <v>379</v>
      </c>
      <c r="B716" s="2" t="s">
        <v>186</v>
      </c>
      <c r="C716" s="10">
        <v>2525136</v>
      </c>
      <c r="D716" s="10" t="s">
        <v>1205</v>
      </c>
      <c r="E716" s="10">
        <v>2525136</v>
      </c>
      <c r="F716" s="10" t="s">
        <v>1205</v>
      </c>
      <c r="G716" s="69">
        <v>391.04</v>
      </c>
      <c r="H716" s="69">
        <v>4.95</v>
      </c>
      <c r="I716" s="69">
        <f t="shared" si="210"/>
        <v>2.4750000000000001</v>
      </c>
      <c r="J716" s="70">
        <v>1</v>
      </c>
      <c r="K716" s="69">
        <f t="shared" si="211"/>
        <v>334.52487500000001</v>
      </c>
      <c r="L716" s="79" t="s">
        <v>468</v>
      </c>
      <c r="M716" s="61">
        <f t="shared" si="212"/>
        <v>-0.17077500000000001</v>
      </c>
      <c r="N716" s="61">
        <f t="shared" si="213"/>
        <v>0.50490000000000002</v>
      </c>
      <c r="O716" s="61"/>
      <c r="P716" s="2"/>
      <c r="Q716" s="2"/>
      <c r="R716" s="32"/>
      <c r="S716" s="32"/>
      <c r="T716" s="32"/>
      <c r="U716" s="32"/>
      <c r="V716" s="2"/>
      <c r="W716" s="2"/>
      <c r="X716" s="2"/>
      <c r="Y716" s="2"/>
      <c r="Z716" s="2"/>
    </row>
    <row r="717" spans="1:26" ht="13.8" x14ac:dyDescent="0.3">
      <c r="A717" s="2" t="s">
        <v>379</v>
      </c>
      <c r="B717" s="2" t="s">
        <v>186</v>
      </c>
      <c r="C717" s="10">
        <v>2525136</v>
      </c>
      <c r="D717" s="10" t="s">
        <v>1205</v>
      </c>
      <c r="E717" s="10">
        <v>2600460</v>
      </c>
      <c r="F717" s="10" t="s">
        <v>1312</v>
      </c>
      <c r="G717" s="69">
        <v>-82.34</v>
      </c>
      <c r="H717" s="69">
        <v>11.42</v>
      </c>
      <c r="I717" s="69">
        <f t="shared" si="210"/>
        <v>5.71</v>
      </c>
      <c r="J717" s="70">
        <v>1</v>
      </c>
      <c r="K717" s="69">
        <f t="shared" si="211"/>
        <v>-65.049850000000006</v>
      </c>
      <c r="L717" s="79" t="s">
        <v>468</v>
      </c>
      <c r="M717" s="61">
        <f t="shared" si="212"/>
        <v>-0.39399000000000001</v>
      </c>
      <c r="N717" s="61">
        <f t="shared" si="213"/>
        <v>1.1648400000000001</v>
      </c>
      <c r="O717" s="61"/>
      <c r="P717" s="2"/>
      <c r="Q717" s="2"/>
      <c r="R717" s="32"/>
      <c r="S717" s="32"/>
      <c r="T717" s="32"/>
      <c r="U717" s="32"/>
      <c r="V717" s="2"/>
      <c r="W717" s="2"/>
      <c r="X717" s="2"/>
      <c r="Y717" s="2"/>
      <c r="Z717" s="2"/>
    </row>
    <row r="718" spans="1:26" ht="13.8" x14ac:dyDescent="0.3">
      <c r="A718" s="2" t="s">
        <v>379</v>
      </c>
      <c r="B718" s="2" t="s">
        <v>244</v>
      </c>
      <c r="C718" s="10">
        <v>2304025</v>
      </c>
      <c r="D718" s="10" t="s">
        <v>1162</v>
      </c>
      <c r="E718" s="10">
        <v>2380008</v>
      </c>
      <c r="F718" s="10" t="s">
        <v>1192</v>
      </c>
      <c r="G718" s="69">
        <v>-0.71</v>
      </c>
      <c r="H718" s="69">
        <v>65.02</v>
      </c>
      <c r="I718" s="69">
        <f t="shared" ref="I718:I745" si="214">H718*0.7</f>
        <v>45.513999999999996</v>
      </c>
      <c r="J718" s="70">
        <v>1</v>
      </c>
      <c r="K718" s="69">
        <f t="shared" ref="K718:K744" si="215">(G718+I718)*0.85+(G718*0.15-(G718+H718)*0.15)*J718*0.3+I718*0.15*J718*0.3</f>
        <v>37.205629999999999</v>
      </c>
      <c r="L718" s="79" t="s">
        <v>468</v>
      </c>
      <c r="M718" s="61">
        <f t="shared" ref="M718:M744" si="216">(G718*0.15-(G718+H718)*0.15)*J718*0.7</f>
        <v>-6.8270999999999997</v>
      </c>
      <c r="N718" s="61">
        <f t="shared" ref="N718:N744" si="217">I718*0.15*J718*0.7+H718*0.05*J718</f>
        <v>8.0299699999999987</v>
      </c>
      <c r="O718" s="61"/>
      <c r="P718" s="2"/>
      <c r="Q718" s="2"/>
      <c r="R718" s="32"/>
      <c r="S718" s="32"/>
      <c r="T718" s="32"/>
      <c r="U718" s="32"/>
      <c r="V718" s="2"/>
      <c r="W718" s="2"/>
      <c r="X718" s="2"/>
      <c r="Y718" s="2"/>
      <c r="Z718" s="2"/>
    </row>
    <row r="719" spans="1:26" ht="13.8" x14ac:dyDescent="0.3">
      <c r="A719" s="2" t="s">
        <v>379</v>
      </c>
      <c r="B719" s="2" t="s">
        <v>244</v>
      </c>
      <c r="C719" s="10">
        <v>2304025</v>
      </c>
      <c r="D719" s="10" t="s">
        <v>1162</v>
      </c>
      <c r="E719" s="10">
        <v>2435202</v>
      </c>
      <c r="F719" s="10" t="s">
        <v>1223</v>
      </c>
      <c r="G719" s="69">
        <v>267.42</v>
      </c>
      <c r="H719" s="69">
        <v>73.75</v>
      </c>
      <c r="I719" s="69">
        <f t="shared" si="214"/>
        <v>51.625</v>
      </c>
      <c r="J719" s="70">
        <v>1</v>
      </c>
      <c r="K719" s="69">
        <f t="shared" si="215"/>
        <v>270.19262499999996</v>
      </c>
      <c r="L719" s="79" t="s">
        <v>468</v>
      </c>
      <c r="M719" s="61">
        <f t="shared" si="216"/>
        <v>-7.7437499999999995</v>
      </c>
      <c r="N719" s="61">
        <f t="shared" si="217"/>
        <v>9.1081249999999994</v>
      </c>
      <c r="O719" s="61"/>
      <c r="P719" s="2"/>
      <c r="Q719" s="2"/>
      <c r="R719" s="32"/>
      <c r="S719" s="32"/>
      <c r="T719" s="32"/>
      <c r="U719" s="32"/>
      <c r="V719" s="2"/>
      <c r="W719" s="2"/>
      <c r="X719" s="2"/>
      <c r="Y719" s="2"/>
      <c r="Z719" s="2"/>
    </row>
    <row r="720" spans="1:26" ht="13.8" x14ac:dyDescent="0.3">
      <c r="A720" s="2" t="s">
        <v>379</v>
      </c>
      <c r="B720" s="2" t="s">
        <v>244</v>
      </c>
      <c r="C720" s="10">
        <v>2304025</v>
      </c>
      <c r="D720" s="10" t="s">
        <v>1162</v>
      </c>
      <c r="E720" s="10">
        <v>2435203</v>
      </c>
      <c r="F720" s="10" t="s">
        <v>1224</v>
      </c>
      <c r="G720" s="69">
        <v>-341.79</v>
      </c>
      <c r="H720" s="69">
        <v>40.24</v>
      </c>
      <c r="I720" s="69">
        <f t="shared" si="214"/>
        <v>28.167999999999999</v>
      </c>
      <c r="J720" s="70">
        <v>1</v>
      </c>
      <c r="K720" s="69">
        <f t="shared" si="215"/>
        <v>-267.12194</v>
      </c>
      <c r="L720" s="79" t="s">
        <v>468</v>
      </c>
      <c r="M720" s="61">
        <f t="shared" si="216"/>
        <v>-4.225200000000001</v>
      </c>
      <c r="N720" s="61">
        <f t="shared" si="217"/>
        <v>4.9696400000000001</v>
      </c>
      <c r="O720" s="61"/>
      <c r="P720" s="2"/>
      <c r="Q720" s="2"/>
      <c r="R720" s="32"/>
      <c r="S720" s="32"/>
      <c r="T720" s="32"/>
      <c r="U720" s="32"/>
      <c r="V720" s="2"/>
      <c r="W720" s="2"/>
      <c r="X720" s="2"/>
      <c r="Y720" s="2"/>
      <c r="Z720" s="2"/>
    </row>
    <row r="721" spans="1:26" ht="13.8" x14ac:dyDescent="0.3">
      <c r="A721" s="2" t="s">
        <v>379</v>
      </c>
      <c r="B721" s="2" t="s">
        <v>244</v>
      </c>
      <c r="C721" s="10">
        <v>2304025</v>
      </c>
      <c r="D721" s="10" t="s">
        <v>1162</v>
      </c>
      <c r="E721" s="10">
        <v>2435206</v>
      </c>
      <c r="F721" s="10" t="s">
        <v>1225</v>
      </c>
      <c r="G721" s="69">
        <v>7.41</v>
      </c>
      <c r="H721" s="69">
        <v>62.78</v>
      </c>
      <c r="I721" s="69">
        <f t="shared" si="214"/>
        <v>43.945999999999998</v>
      </c>
      <c r="J721" s="70">
        <v>1</v>
      </c>
      <c r="K721" s="69">
        <f t="shared" si="215"/>
        <v>42.805069999999994</v>
      </c>
      <c r="L721" s="79" t="s">
        <v>468</v>
      </c>
      <c r="M721" s="61">
        <f t="shared" si="216"/>
        <v>-6.5918999999999999</v>
      </c>
      <c r="N721" s="61">
        <f t="shared" si="217"/>
        <v>7.7533300000000001</v>
      </c>
      <c r="O721" s="61"/>
      <c r="P721" s="2"/>
      <c r="Q721" s="2"/>
      <c r="R721" s="32"/>
      <c r="S721" s="32"/>
      <c r="T721" s="32"/>
      <c r="U721" s="32"/>
      <c r="V721" s="2"/>
      <c r="W721" s="2"/>
      <c r="X721" s="2"/>
      <c r="Y721" s="2"/>
      <c r="Z721" s="2"/>
    </row>
    <row r="722" spans="1:26" ht="13.8" x14ac:dyDescent="0.3">
      <c r="A722" s="2" t="s">
        <v>379</v>
      </c>
      <c r="B722" s="2" t="s">
        <v>244</v>
      </c>
      <c r="C722" s="10">
        <v>2304025</v>
      </c>
      <c r="D722" s="10" t="s">
        <v>1162</v>
      </c>
      <c r="E722" s="10">
        <v>2452300</v>
      </c>
      <c r="F722" s="10" t="s">
        <v>1288</v>
      </c>
      <c r="G722" s="69">
        <v>-4.3499999999999996</v>
      </c>
      <c r="H722" s="69">
        <v>7.67</v>
      </c>
      <c r="I722" s="69">
        <f t="shared" si="214"/>
        <v>5.3689999999999998</v>
      </c>
      <c r="J722" s="70">
        <v>1</v>
      </c>
      <c r="K722" s="69">
        <f t="shared" si="215"/>
        <v>0.76260500000000009</v>
      </c>
      <c r="L722" s="79" t="s">
        <v>468</v>
      </c>
      <c r="M722" s="61">
        <f t="shared" si="216"/>
        <v>-0.80535000000000001</v>
      </c>
      <c r="N722" s="61">
        <f t="shared" si="217"/>
        <v>0.94724499999999989</v>
      </c>
      <c r="O722" s="61"/>
      <c r="P722" s="2"/>
      <c r="Q722" s="2"/>
      <c r="R722" s="32"/>
      <c r="S722" s="32"/>
      <c r="T722" s="32"/>
      <c r="U722" s="32"/>
      <c r="V722" s="2"/>
      <c r="W722" s="2"/>
      <c r="X722" s="2"/>
      <c r="Y722" s="2"/>
      <c r="Z722" s="2"/>
    </row>
    <row r="723" spans="1:26" ht="13.8" x14ac:dyDescent="0.3">
      <c r="A723" s="2" t="s">
        <v>379</v>
      </c>
      <c r="B723" s="2" t="s">
        <v>244</v>
      </c>
      <c r="C723" s="10">
        <v>2304025</v>
      </c>
      <c r="D723" s="10" t="s">
        <v>1162</v>
      </c>
      <c r="E723" s="10">
        <v>2493795</v>
      </c>
      <c r="F723" s="10" t="s">
        <v>1174</v>
      </c>
      <c r="G723" s="69">
        <v>58.1</v>
      </c>
      <c r="H723" s="69">
        <v>7.53</v>
      </c>
      <c r="I723" s="69">
        <f t="shared" si="214"/>
        <v>5.2709999999999999</v>
      </c>
      <c r="J723" s="70">
        <v>1</v>
      </c>
      <c r="K723" s="69">
        <f t="shared" si="215"/>
        <v>53.763694999999998</v>
      </c>
      <c r="L723" s="79" t="s">
        <v>468</v>
      </c>
      <c r="M723" s="61">
        <f t="shared" si="216"/>
        <v>-0.79064999999999885</v>
      </c>
      <c r="N723" s="61">
        <f t="shared" si="217"/>
        <v>0.92995499999999998</v>
      </c>
      <c r="O723" s="61"/>
      <c r="P723" s="2"/>
      <c r="Q723" s="2"/>
      <c r="R723" s="32"/>
      <c r="S723" s="32"/>
      <c r="T723" s="32"/>
      <c r="U723" s="32"/>
      <c r="V723" s="2"/>
      <c r="W723" s="2"/>
      <c r="X723" s="2"/>
      <c r="Y723" s="2"/>
      <c r="Z723" s="2"/>
    </row>
    <row r="724" spans="1:26" ht="13.8" x14ac:dyDescent="0.3">
      <c r="A724" s="2" t="s">
        <v>379</v>
      </c>
      <c r="B724" s="2" t="s">
        <v>244</v>
      </c>
      <c r="C724" s="10">
        <v>2304025</v>
      </c>
      <c r="D724" s="10" t="s">
        <v>1162</v>
      </c>
      <c r="E724" s="10">
        <v>2531140</v>
      </c>
      <c r="F724" s="10" t="s">
        <v>1257</v>
      </c>
      <c r="G724" s="69">
        <v>-1437.9</v>
      </c>
      <c r="H724" s="69">
        <v>217.7</v>
      </c>
      <c r="I724" s="69">
        <f t="shared" si="214"/>
        <v>152.38999999999999</v>
      </c>
      <c r="J724" s="70">
        <v>1</v>
      </c>
      <c r="K724" s="69">
        <f t="shared" si="215"/>
        <v>-1095.6224500000001</v>
      </c>
      <c r="L724" s="79" t="s">
        <v>468</v>
      </c>
      <c r="M724" s="61">
        <f t="shared" si="216"/>
        <v>-22.858499999999999</v>
      </c>
      <c r="N724" s="61">
        <f t="shared" si="217"/>
        <v>26.885949999999994</v>
      </c>
      <c r="O724" s="61"/>
      <c r="P724" s="2"/>
      <c r="Q724" s="2"/>
      <c r="R724" s="32"/>
      <c r="S724" s="32"/>
      <c r="T724" s="32"/>
      <c r="U724" s="32"/>
      <c r="V724" s="2"/>
      <c r="W724" s="2"/>
      <c r="X724" s="2"/>
      <c r="Y724" s="2"/>
      <c r="Z724" s="2"/>
    </row>
    <row r="725" spans="1:26" ht="13.8" x14ac:dyDescent="0.3">
      <c r="A725" s="2" t="s">
        <v>379</v>
      </c>
      <c r="B725" s="2" t="s">
        <v>244</v>
      </c>
      <c r="C725" s="10">
        <v>2304025</v>
      </c>
      <c r="D725" s="10" t="s">
        <v>1162</v>
      </c>
      <c r="E725" s="10">
        <v>2531141</v>
      </c>
      <c r="F725" s="10" t="s">
        <v>1258</v>
      </c>
      <c r="G725" s="69">
        <v>-1625.67</v>
      </c>
      <c r="H725" s="69">
        <v>80.34</v>
      </c>
      <c r="I725" s="69">
        <f t="shared" si="214"/>
        <v>56.238</v>
      </c>
      <c r="J725" s="70">
        <v>1</v>
      </c>
      <c r="K725" s="69">
        <f t="shared" si="215"/>
        <v>-1335.1017899999999</v>
      </c>
      <c r="L725" s="79" t="s">
        <v>468</v>
      </c>
      <c r="M725" s="61">
        <f t="shared" si="216"/>
        <v>-8.43569999999999</v>
      </c>
      <c r="N725" s="61">
        <f t="shared" si="217"/>
        <v>9.9219899999999992</v>
      </c>
      <c r="O725" s="61"/>
      <c r="P725" s="2"/>
      <c r="Q725" s="2"/>
      <c r="R725" s="32"/>
      <c r="S725" s="32"/>
      <c r="T725" s="32"/>
      <c r="U725" s="32"/>
      <c r="V725" s="2"/>
      <c r="W725" s="2"/>
      <c r="X725" s="2"/>
      <c r="Y725" s="2"/>
      <c r="Z725" s="2"/>
    </row>
    <row r="726" spans="1:26" ht="13.8" x14ac:dyDescent="0.3">
      <c r="A726" s="2" t="s">
        <v>379</v>
      </c>
      <c r="B726" s="2" t="s">
        <v>244</v>
      </c>
      <c r="C726" s="10">
        <v>2304025</v>
      </c>
      <c r="D726" s="10" t="s">
        <v>1162</v>
      </c>
      <c r="E726" s="10">
        <v>2531145</v>
      </c>
      <c r="F726" s="10" t="s">
        <v>1226</v>
      </c>
      <c r="G726" s="69">
        <v>526.61</v>
      </c>
      <c r="H726" s="69">
        <v>47.12</v>
      </c>
      <c r="I726" s="69">
        <f t="shared" si="214"/>
        <v>32.983999999999995</v>
      </c>
      <c r="J726" s="70">
        <v>1</v>
      </c>
      <c r="K726" s="69">
        <f t="shared" si="215"/>
        <v>475.01878000000005</v>
      </c>
      <c r="L726" s="79" t="s">
        <v>468</v>
      </c>
      <c r="M726" s="61">
        <f t="shared" si="216"/>
        <v>-4.9475999999999978</v>
      </c>
      <c r="N726" s="61">
        <f t="shared" si="217"/>
        <v>5.8193199999999994</v>
      </c>
      <c r="O726" s="61"/>
      <c r="P726" s="2"/>
      <c r="Q726" s="2"/>
      <c r="R726" s="32"/>
      <c r="S726" s="32"/>
      <c r="T726" s="32"/>
      <c r="U726" s="32"/>
      <c r="V726" s="2"/>
      <c r="W726" s="2"/>
      <c r="X726" s="2"/>
      <c r="Y726" s="2"/>
      <c r="Z726" s="2"/>
    </row>
    <row r="727" spans="1:26" ht="13.8" x14ac:dyDescent="0.3">
      <c r="A727" s="2" t="s">
        <v>379</v>
      </c>
      <c r="B727" s="2" t="s">
        <v>244</v>
      </c>
      <c r="C727" s="10">
        <v>2304025</v>
      </c>
      <c r="D727" s="10" t="s">
        <v>1162</v>
      </c>
      <c r="E727" s="10">
        <v>2531146</v>
      </c>
      <c r="F727" s="10" t="s">
        <v>1227</v>
      </c>
      <c r="G727" s="69">
        <v>597.38</v>
      </c>
      <c r="H727" s="69">
        <v>339.06</v>
      </c>
      <c r="I727" s="69">
        <f t="shared" si="214"/>
        <v>237.34199999999998</v>
      </c>
      <c r="J727" s="70">
        <v>1</v>
      </c>
      <c r="K727" s="69">
        <f t="shared" si="215"/>
        <v>704.93638999999996</v>
      </c>
      <c r="L727" s="79" t="s">
        <v>468</v>
      </c>
      <c r="M727" s="61">
        <f t="shared" si="216"/>
        <v>-35.601300000000002</v>
      </c>
      <c r="N727" s="61">
        <f t="shared" si="217"/>
        <v>41.873909999999995</v>
      </c>
      <c r="O727" s="61"/>
      <c r="P727" s="2"/>
      <c r="Q727" s="2"/>
      <c r="R727" s="32"/>
      <c r="S727" s="32"/>
      <c r="T727" s="32"/>
      <c r="U727" s="32"/>
      <c r="V727" s="2"/>
      <c r="W727" s="2"/>
      <c r="X727" s="2"/>
      <c r="Y727" s="2"/>
      <c r="Z727" s="2"/>
    </row>
    <row r="728" spans="1:26" ht="13.8" x14ac:dyDescent="0.3">
      <c r="A728" s="2" t="s">
        <v>379</v>
      </c>
      <c r="B728" s="2" t="s">
        <v>244</v>
      </c>
      <c r="C728" s="10">
        <v>2304025</v>
      </c>
      <c r="D728" s="10" t="s">
        <v>1162</v>
      </c>
      <c r="E728" s="10">
        <v>2531191</v>
      </c>
      <c r="F728" s="10" t="s">
        <v>1259</v>
      </c>
      <c r="G728" s="69">
        <v>-483.13</v>
      </c>
      <c r="H728" s="69">
        <v>83.13</v>
      </c>
      <c r="I728" s="69">
        <f t="shared" si="214"/>
        <v>58.190999999999995</v>
      </c>
      <c r="J728" s="70">
        <v>1</v>
      </c>
      <c r="K728" s="69">
        <f t="shared" si="215"/>
        <v>-362.32040499999999</v>
      </c>
      <c r="L728" s="79" t="s">
        <v>468</v>
      </c>
      <c r="M728" s="61">
        <f t="shared" si="216"/>
        <v>-8.7286499999999965</v>
      </c>
      <c r="N728" s="61">
        <f t="shared" si="217"/>
        <v>10.266554999999999</v>
      </c>
      <c r="O728" s="61"/>
      <c r="P728" s="2"/>
      <c r="Q728" s="2"/>
      <c r="R728" s="32"/>
      <c r="S728" s="32"/>
      <c r="T728" s="32"/>
      <c r="U728" s="32"/>
      <c r="V728" s="2"/>
      <c r="W728" s="2"/>
      <c r="X728" s="2"/>
      <c r="Y728" s="2"/>
      <c r="Z728" s="2"/>
    </row>
    <row r="729" spans="1:26" ht="13.8" x14ac:dyDescent="0.3">
      <c r="A729" s="2" t="s">
        <v>379</v>
      </c>
      <c r="B729" s="2" t="s">
        <v>244</v>
      </c>
      <c r="C729" s="10">
        <v>2304025</v>
      </c>
      <c r="D729" s="10" t="s">
        <v>1162</v>
      </c>
      <c r="E729" s="10">
        <v>2531365</v>
      </c>
      <c r="F729" s="10" t="s">
        <v>1228</v>
      </c>
      <c r="G729" s="69">
        <v>-3</v>
      </c>
      <c r="H729" s="69">
        <v>0.31</v>
      </c>
      <c r="I729" s="69">
        <f t="shared" si="214"/>
        <v>0.217</v>
      </c>
      <c r="J729" s="70">
        <v>1</v>
      </c>
      <c r="K729" s="69">
        <f t="shared" si="215"/>
        <v>-2.3697349999999999</v>
      </c>
      <c r="L729" s="79" t="s">
        <v>468</v>
      </c>
      <c r="M729" s="61">
        <f t="shared" si="216"/>
        <v>-3.2549999999999989E-2</v>
      </c>
      <c r="N729" s="61">
        <f t="shared" si="217"/>
        <v>3.8285E-2</v>
      </c>
      <c r="O729" s="61"/>
      <c r="P729" s="2"/>
      <c r="Q729" s="2"/>
      <c r="R729" s="32"/>
      <c r="S729" s="32"/>
      <c r="T729" s="32"/>
      <c r="U729" s="32"/>
      <c r="V729" s="2"/>
      <c r="W729" s="2"/>
      <c r="X729" s="2"/>
      <c r="Y729" s="2"/>
      <c r="Z729" s="2"/>
    </row>
    <row r="730" spans="1:26" ht="13.8" x14ac:dyDescent="0.3">
      <c r="A730" s="2" t="s">
        <v>379</v>
      </c>
      <c r="B730" s="2" t="s">
        <v>244</v>
      </c>
      <c r="C730" s="10">
        <v>2304025</v>
      </c>
      <c r="D730" s="10" t="s">
        <v>1162</v>
      </c>
      <c r="E730" s="10">
        <v>2531390</v>
      </c>
      <c r="F730" s="10" t="s">
        <v>1229</v>
      </c>
      <c r="G730" s="69">
        <v>-65.33</v>
      </c>
      <c r="H730" s="69">
        <v>7.57</v>
      </c>
      <c r="I730" s="69">
        <f t="shared" si="214"/>
        <v>5.2989999999999995</v>
      </c>
      <c r="J730" s="70">
        <v>1</v>
      </c>
      <c r="K730" s="69">
        <f t="shared" si="215"/>
        <v>-51.128545000000003</v>
      </c>
      <c r="L730" s="79" t="s">
        <v>468</v>
      </c>
      <c r="M730" s="61">
        <f t="shared" si="216"/>
        <v>-0.79485000000000028</v>
      </c>
      <c r="N730" s="61">
        <f t="shared" si="217"/>
        <v>0.93489500000000003</v>
      </c>
      <c r="O730" s="61"/>
      <c r="P730" s="2"/>
      <c r="Q730" s="2"/>
      <c r="R730" s="32"/>
      <c r="S730" s="32"/>
      <c r="T730" s="32"/>
      <c r="U730" s="32"/>
      <c r="V730" s="2"/>
      <c r="W730" s="2"/>
      <c r="X730" s="2"/>
      <c r="Y730" s="2"/>
      <c r="Z730" s="2"/>
    </row>
    <row r="731" spans="1:26" ht="13.8" x14ac:dyDescent="0.3">
      <c r="A731" s="2" t="s">
        <v>379</v>
      </c>
      <c r="B731" s="2" t="s">
        <v>244</v>
      </c>
      <c r="C731" s="10">
        <v>2304025</v>
      </c>
      <c r="D731" s="10" t="s">
        <v>1162</v>
      </c>
      <c r="E731" s="10">
        <v>2538386</v>
      </c>
      <c r="F731" s="10" t="s">
        <v>1260</v>
      </c>
      <c r="G731" s="69">
        <v>86</v>
      </c>
      <c r="H731" s="69">
        <v>5.38</v>
      </c>
      <c r="I731" s="69">
        <f t="shared" si="214"/>
        <v>3.7659999999999996</v>
      </c>
      <c r="J731" s="70">
        <v>1</v>
      </c>
      <c r="K731" s="69">
        <f t="shared" si="215"/>
        <v>76.228470000000016</v>
      </c>
      <c r="L731" s="79" t="s">
        <v>468</v>
      </c>
      <c r="M731" s="61">
        <f t="shared" si="216"/>
        <v>-0.56489999999999896</v>
      </c>
      <c r="N731" s="61">
        <f t="shared" si="217"/>
        <v>0.66442999999999997</v>
      </c>
      <c r="O731" s="61"/>
      <c r="P731" s="2"/>
      <c r="Q731" s="2"/>
      <c r="R731" s="32"/>
      <c r="S731" s="32"/>
      <c r="T731" s="32"/>
      <c r="U731" s="32"/>
      <c r="V731" s="2"/>
      <c r="W731" s="2"/>
      <c r="X731" s="2"/>
      <c r="Y731" s="2"/>
      <c r="Z731" s="2"/>
    </row>
    <row r="732" spans="1:26" ht="13.8" x14ac:dyDescent="0.3">
      <c r="A732" s="2" t="s">
        <v>379</v>
      </c>
      <c r="B732" s="2" t="s">
        <v>244</v>
      </c>
      <c r="C732" s="10">
        <v>2304025</v>
      </c>
      <c r="D732" s="10" t="s">
        <v>1162</v>
      </c>
      <c r="E732" s="10">
        <v>2540293</v>
      </c>
      <c r="F732" s="10" t="s">
        <v>1261</v>
      </c>
      <c r="G732" s="69">
        <v>141.04</v>
      </c>
      <c r="H732" s="69">
        <v>96.96</v>
      </c>
      <c r="I732" s="69">
        <f t="shared" si="214"/>
        <v>67.871999999999986</v>
      </c>
      <c r="J732" s="70">
        <v>1</v>
      </c>
      <c r="K732" s="69">
        <f t="shared" si="215"/>
        <v>176.26623999999995</v>
      </c>
      <c r="L732" s="79" t="s">
        <v>468</v>
      </c>
      <c r="M732" s="61">
        <f t="shared" si="216"/>
        <v>-10.180799999999998</v>
      </c>
      <c r="N732" s="61">
        <f t="shared" si="217"/>
        <v>11.974559999999997</v>
      </c>
      <c r="O732" s="61"/>
      <c r="P732" s="2"/>
      <c r="Q732" s="2"/>
      <c r="R732" s="32"/>
      <c r="S732" s="32"/>
      <c r="T732" s="32"/>
      <c r="U732" s="32"/>
      <c r="V732" s="2"/>
      <c r="W732" s="2"/>
      <c r="X732" s="2"/>
      <c r="Y732" s="2"/>
      <c r="Z732" s="2"/>
    </row>
    <row r="733" spans="1:26" ht="13.8" x14ac:dyDescent="0.3">
      <c r="A733" s="2" t="s">
        <v>379</v>
      </c>
      <c r="B733" s="2" t="s">
        <v>244</v>
      </c>
      <c r="C733" s="10">
        <v>2304025</v>
      </c>
      <c r="D733" s="10" t="s">
        <v>1162</v>
      </c>
      <c r="E733" s="10">
        <v>2540315</v>
      </c>
      <c r="F733" s="10" t="s">
        <v>1262</v>
      </c>
      <c r="G733" s="69">
        <v>-451.6</v>
      </c>
      <c r="H733" s="69">
        <v>91.4</v>
      </c>
      <c r="I733" s="69">
        <f t="shared" si="214"/>
        <v>63.98</v>
      </c>
      <c r="J733" s="70">
        <v>1</v>
      </c>
      <c r="K733" s="69">
        <f t="shared" si="215"/>
        <v>-330.71089999999998</v>
      </c>
      <c r="L733" s="79" t="s">
        <v>468</v>
      </c>
      <c r="M733" s="61">
        <f t="shared" si="216"/>
        <v>-9.5969999999999906</v>
      </c>
      <c r="N733" s="61">
        <f t="shared" si="217"/>
        <v>11.2879</v>
      </c>
      <c r="O733" s="61"/>
      <c r="P733" s="2"/>
      <c r="Q733" s="2"/>
      <c r="R733" s="32"/>
      <c r="S733" s="32"/>
      <c r="T733" s="32"/>
      <c r="U733" s="32"/>
      <c r="V733" s="2"/>
      <c r="W733" s="2"/>
      <c r="X733" s="2"/>
      <c r="Y733" s="2"/>
      <c r="Z733" s="2"/>
    </row>
    <row r="734" spans="1:26" ht="13.8" x14ac:dyDescent="0.3">
      <c r="A734" s="2" t="s">
        <v>379</v>
      </c>
      <c r="B734" s="2" t="s">
        <v>244</v>
      </c>
      <c r="C734" s="10">
        <v>2304025</v>
      </c>
      <c r="D734" s="10" t="s">
        <v>1162</v>
      </c>
      <c r="E734" s="10">
        <v>2554720</v>
      </c>
      <c r="F734" s="10" t="s">
        <v>1270</v>
      </c>
      <c r="G734" s="69">
        <v>-611.33000000000004</v>
      </c>
      <c r="H734" s="69">
        <v>99.59</v>
      </c>
      <c r="I734" s="69">
        <f t="shared" si="214"/>
        <v>69.712999999999994</v>
      </c>
      <c r="J734" s="70">
        <v>1</v>
      </c>
      <c r="K734" s="69">
        <f t="shared" si="215"/>
        <v>-461.71891500000004</v>
      </c>
      <c r="L734" s="79" t="s">
        <v>468</v>
      </c>
      <c r="M734" s="61">
        <f t="shared" si="216"/>
        <v>-10.456950000000003</v>
      </c>
      <c r="N734" s="61">
        <f t="shared" si="217"/>
        <v>12.299365</v>
      </c>
      <c r="O734" s="61"/>
      <c r="P734" s="2"/>
      <c r="Q734" s="2"/>
      <c r="R734" s="32"/>
      <c r="S734" s="32"/>
      <c r="T734" s="32"/>
      <c r="U734" s="32"/>
      <c r="V734" s="2"/>
      <c r="W734" s="2"/>
      <c r="X734" s="2"/>
      <c r="Y734" s="2"/>
      <c r="Z734" s="2"/>
    </row>
    <row r="735" spans="1:26" ht="13.8" x14ac:dyDescent="0.3">
      <c r="A735" s="2" t="s">
        <v>379</v>
      </c>
      <c r="B735" s="2" t="s">
        <v>244</v>
      </c>
      <c r="C735" s="10">
        <v>2304025</v>
      </c>
      <c r="D735" s="10" t="s">
        <v>1162</v>
      </c>
      <c r="E735" s="10">
        <v>2559299</v>
      </c>
      <c r="F735" s="10" t="s">
        <v>1302</v>
      </c>
      <c r="G735" s="69">
        <v>167.69</v>
      </c>
      <c r="H735" s="69">
        <v>20.76</v>
      </c>
      <c r="I735" s="69">
        <f t="shared" si="214"/>
        <v>14.532</v>
      </c>
      <c r="J735" s="70">
        <v>1</v>
      </c>
      <c r="K735" s="69">
        <f t="shared" si="215"/>
        <v>154.60844</v>
      </c>
      <c r="L735" s="79" t="s">
        <v>468</v>
      </c>
      <c r="M735" s="61">
        <f t="shared" si="216"/>
        <v>-2.1798000000000002</v>
      </c>
      <c r="N735" s="61">
        <f t="shared" si="217"/>
        <v>2.56386</v>
      </c>
      <c r="O735" s="61"/>
      <c r="P735" s="2"/>
      <c r="Q735" s="2"/>
      <c r="R735" s="32"/>
      <c r="S735" s="32"/>
      <c r="T735" s="32"/>
      <c r="U735" s="32"/>
      <c r="V735" s="2"/>
      <c r="W735" s="2"/>
      <c r="X735" s="2"/>
      <c r="Y735" s="2"/>
      <c r="Z735" s="2"/>
    </row>
    <row r="736" spans="1:26" ht="13.8" x14ac:dyDescent="0.3">
      <c r="A736" s="2" t="s">
        <v>379</v>
      </c>
      <c r="B736" s="2" t="s">
        <v>244</v>
      </c>
      <c r="C736" s="10">
        <v>2304025</v>
      </c>
      <c r="D736" s="10" t="s">
        <v>1162</v>
      </c>
      <c r="E736" s="10">
        <v>2575716</v>
      </c>
      <c r="F736" s="10" t="s">
        <v>1283</v>
      </c>
      <c r="G736" s="69">
        <v>-158.03</v>
      </c>
      <c r="H736" s="69">
        <v>58.88</v>
      </c>
      <c r="I736" s="69">
        <f t="shared" si="214"/>
        <v>41.216000000000001</v>
      </c>
      <c r="J736" s="70">
        <v>1</v>
      </c>
      <c r="K736" s="69">
        <f t="shared" si="215"/>
        <v>-100.08677999999999</v>
      </c>
      <c r="L736" s="79" t="s">
        <v>468</v>
      </c>
      <c r="M736" s="61">
        <f t="shared" si="216"/>
        <v>-6.1823999999999986</v>
      </c>
      <c r="N736" s="61">
        <f t="shared" si="217"/>
        <v>7.2716799999999999</v>
      </c>
      <c r="O736" s="61"/>
      <c r="P736" s="2"/>
      <c r="Q736" s="2"/>
      <c r="R736" s="32"/>
      <c r="S736" s="32"/>
      <c r="T736" s="32"/>
      <c r="U736" s="32"/>
      <c r="V736" s="2"/>
      <c r="W736" s="2"/>
      <c r="X736" s="2"/>
      <c r="Y736" s="2"/>
      <c r="Z736" s="2"/>
    </row>
    <row r="737" spans="1:26" ht="13.8" x14ac:dyDescent="0.3">
      <c r="A737" s="2" t="s">
        <v>379</v>
      </c>
      <c r="B737" s="2" t="s">
        <v>244</v>
      </c>
      <c r="C737" s="10">
        <v>2304025</v>
      </c>
      <c r="D737" s="10" t="s">
        <v>1162</v>
      </c>
      <c r="E737" s="10">
        <v>2575824</v>
      </c>
      <c r="F737" s="10" t="s">
        <v>1284</v>
      </c>
      <c r="G737" s="69">
        <v>-148.83000000000001</v>
      </c>
      <c r="H737" s="69">
        <v>49.06</v>
      </c>
      <c r="I737" s="69">
        <f t="shared" si="214"/>
        <v>34.341999999999999</v>
      </c>
      <c r="J737" s="70">
        <v>1</v>
      </c>
      <c r="K737" s="69">
        <f t="shared" si="215"/>
        <v>-97.97711000000001</v>
      </c>
      <c r="L737" s="79" t="s">
        <v>468</v>
      </c>
      <c r="M737" s="61">
        <f t="shared" si="216"/>
        <v>-5.1513</v>
      </c>
      <c r="N737" s="61">
        <f t="shared" si="217"/>
        <v>6.05891</v>
      </c>
      <c r="O737" s="61"/>
      <c r="P737" s="2"/>
      <c r="Q737" s="2"/>
      <c r="R737" s="32"/>
      <c r="S737" s="32"/>
      <c r="T737" s="32"/>
      <c r="U737" s="32"/>
      <c r="V737" s="2"/>
      <c r="W737" s="2"/>
      <c r="X737" s="2"/>
      <c r="Y737" s="2"/>
      <c r="Z737" s="2"/>
    </row>
    <row r="738" spans="1:26" ht="13.8" x14ac:dyDescent="0.3">
      <c r="A738" s="2" t="s">
        <v>379</v>
      </c>
      <c r="B738" s="2" t="s">
        <v>244</v>
      </c>
      <c r="C738" s="10">
        <v>2304025</v>
      </c>
      <c r="D738" s="10" t="s">
        <v>1162</v>
      </c>
      <c r="E738" s="10">
        <v>2575978</v>
      </c>
      <c r="F738" s="10" t="s">
        <v>1285</v>
      </c>
      <c r="G738" s="69">
        <v>112.46</v>
      </c>
      <c r="H738" s="69">
        <v>24.67</v>
      </c>
      <c r="I738" s="69">
        <f t="shared" si="214"/>
        <v>17.268999999999998</v>
      </c>
      <c r="J738" s="70">
        <v>1</v>
      </c>
      <c r="K738" s="69">
        <f t="shared" si="215"/>
        <v>109.93660499999999</v>
      </c>
      <c r="L738" s="79" t="s">
        <v>468</v>
      </c>
      <c r="M738" s="61">
        <f t="shared" si="216"/>
        <v>-2.5903499999999986</v>
      </c>
      <c r="N738" s="61">
        <f t="shared" si="217"/>
        <v>3.0467449999999996</v>
      </c>
      <c r="O738" s="61"/>
      <c r="P738" s="2"/>
      <c r="Q738" s="2"/>
      <c r="R738" s="32"/>
      <c r="S738" s="32"/>
      <c r="T738" s="32"/>
      <c r="U738" s="32"/>
      <c r="V738" s="2"/>
      <c r="W738" s="2"/>
      <c r="X738" s="2"/>
      <c r="Y738" s="2"/>
      <c r="Z738" s="2"/>
    </row>
    <row r="739" spans="1:26" ht="13.8" x14ac:dyDescent="0.3">
      <c r="A739" s="2" t="s">
        <v>379</v>
      </c>
      <c r="B739" s="2" t="s">
        <v>244</v>
      </c>
      <c r="C739" s="10">
        <v>2517580</v>
      </c>
      <c r="D739" s="10" t="s">
        <v>1313</v>
      </c>
      <c r="E739" s="10">
        <v>2486993</v>
      </c>
      <c r="F739" s="10" t="s">
        <v>1314</v>
      </c>
      <c r="G739" s="69">
        <v>-804.19</v>
      </c>
      <c r="H739" s="69">
        <v>112.88</v>
      </c>
      <c r="I739" s="69">
        <f t="shared" si="214"/>
        <v>79.015999999999991</v>
      </c>
      <c r="J739" s="70">
        <v>1</v>
      </c>
      <c r="K739" s="69">
        <f t="shared" si="215"/>
        <v>-617.92178000000013</v>
      </c>
      <c r="L739" s="79" t="s">
        <v>468</v>
      </c>
      <c r="M739" s="61">
        <f t="shared" si="216"/>
        <v>-11.852400000000001</v>
      </c>
      <c r="N739" s="61">
        <f t="shared" si="217"/>
        <v>13.940679999999999</v>
      </c>
      <c r="O739" s="61"/>
      <c r="P739" s="2"/>
      <c r="Q739" s="2"/>
      <c r="R739" s="32"/>
      <c r="S739" s="32"/>
      <c r="T739" s="32"/>
      <c r="U739" s="32"/>
      <c r="V739" s="2"/>
      <c r="W739" s="2"/>
      <c r="X739" s="2"/>
      <c r="Y739" s="2"/>
      <c r="Z739" s="2"/>
    </row>
    <row r="740" spans="1:26" ht="13.8" x14ac:dyDescent="0.3">
      <c r="A740" s="2" t="s">
        <v>379</v>
      </c>
      <c r="B740" s="2" t="s">
        <v>244</v>
      </c>
      <c r="C740" s="10">
        <v>2517580</v>
      </c>
      <c r="D740" s="10" t="s">
        <v>1313</v>
      </c>
      <c r="E740" s="10">
        <v>2487414</v>
      </c>
      <c r="F740" s="10" t="s">
        <v>1315</v>
      </c>
      <c r="G740" s="69">
        <v>-2255.5</v>
      </c>
      <c r="H740" s="69">
        <v>189.22</v>
      </c>
      <c r="I740" s="69">
        <f t="shared" si="214"/>
        <v>132.45399999999998</v>
      </c>
      <c r="J740" s="70">
        <v>1</v>
      </c>
      <c r="K740" s="69">
        <f t="shared" si="215"/>
        <v>-1807.1435699999995</v>
      </c>
      <c r="L740" s="79" t="s">
        <v>468</v>
      </c>
      <c r="M740" s="61">
        <f t="shared" si="216"/>
        <v>-19.868099999999984</v>
      </c>
      <c r="N740" s="61">
        <f t="shared" si="217"/>
        <v>23.368669999999995</v>
      </c>
      <c r="O740" s="61"/>
      <c r="P740" s="2"/>
      <c r="Q740" s="2"/>
      <c r="R740" s="32"/>
      <c r="S740" s="32"/>
      <c r="T740" s="32"/>
      <c r="U740" s="32"/>
      <c r="V740" s="2"/>
      <c r="W740" s="2"/>
      <c r="X740" s="2"/>
      <c r="Y740" s="2"/>
      <c r="Z740" s="2"/>
    </row>
    <row r="741" spans="1:26" ht="13.8" x14ac:dyDescent="0.3">
      <c r="A741" s="2" t="s">
        <v>379</v>
      </c>
      <c r="B741" s="2" t="s">
        <v>244</v>
      </c>
      <c r="C741" s="10">
        <v>2525136</v>
      </c>
      <c r="D741" s="10" t="s">
        <v>1205</v>
      </c>
      <c r="E741" s="10">
        <v>2523689</v>
      </c>
      <c r="F741" s="10" t="s">
        <v>1311</v>
      </c>
      <c r="G741" s="69">
        <v>-764.8</v>
      </c>
      <c r="H741" s="69">
        <v>160.36000000000001</v>
      </c>
      <c r="I741" s="69">
        <f t="shared" si="214"/>
        <v>112.252</v>
      </c>
      <c r="J741" s="70">
        <v>1</v>
      </c>
      <c r="K741" s="69">
        <f t="shared" si="215"/>
        <v>-556.83065999999997</v>
      </c>
      <c r="L741" s="79" t="s">
        <v>468</v>
      </c>
      <c r="M741" s="61">
        <f t="shared" si="216"/>
        <v>-16.837800000000001</v>
      </c>
      <c r="N741" s="61">
        <f t="shared" si="217"/>
        <v>19.804459999999999</v>
      </c>
      <c r="O741" s="61"/>
      <c r="P741" s="2"/>
      <c r="Q741" s="2"/>
      <c r="R741" s="32"/>
      <c r="S741" s="32"/>
      <c r="T741" s="32"/>
      <c r="U741" s="32"/>
      <c r="V741" s="2"/>
      <c r="W741" s="2"/>
      <c r="X741" s="2"/>
      <c r="Y741" s="2"/>
      <c r="Z741" s="2"/>
    </row>
    <row r="742" spans="1:26" ht="13.8" x14ac:dyDescent="0.3">
      <c r="A742" s="2" t="s">
        <v>379</v>
      </c>
      <c r="B742" s="2" t="s">
        <v>244</v>
      </c>
      <c r="C742" s="10">
        <v>2525136</v>
      </c>
      <c r="D742" s="10" t="s">
        <v>1205</v>
      </c>
      <c r="E742" s="10">
        <v>2525136</v>
      </c>
      <c r="F742" s="10" t="s">
        <v>1205</v>
      </c>
      <c r="G742" s="69">
        <v>563.96</v>
      </c>
      <c r="H742" s="69">
        <v>114.84</v>
      </c>
      <c r="I742" s="69">
        <f t="shared" si="214"/>
        <v>80.387999999999991</v>
      </c>
      <c r="J742" s="70">
        <v>1</v>
      </c>
      <c r="K742" s="69">
        <f t="shared" si="215"/>
        <v>546.14546000000007</v>
      </c>
      <c r="L742" s="79" t="s">
        <v>468</v>
      </c>
      <c r="M742" s="61">
        <f t="shared" si="216"/>
        <v>-12.058199999999999</v>
      </c>
      <c r="N742" s="61">
        <f t="shared" si="217"/>
        <v>14.182739999999999</v>
      </c>
      <c r="O742" s="61"/>
      <c r="P742" s="2"/>
      <c r="Q742" s="2"/>
      <c r="R742" s="32"/>
      <c r="S742" s="32"/>
      <c r="T742" s="32"/>
      <c r="U742" s="32"/>
      <c r="V742" s="2"/>
      <c r="W742" s="2"/>
      <c r="X742" s="2"/>
      <c r="Y742" s="2"/>
      <c r="Z742" s="2"/>
    </row>
    <row r="743" spans="1:26" ht="13.8" x14ac:dyDescent="0.3">
      <c r="A743" s="2" t="s">
        <v>379</v>
      </c>
      <c r="B743" s="2" t="s">
        <v>244</v>
      </c>
      <c r="C743" s="10">
        <v>2525136</v>
      </c>
      <c r="D743" s="10" t="s">
        <v>1205</v>
      </c>
      <c r="E743" s="10">
        <v>2600460</v>
      </c>
      <c r="F743" s="10" t="s">
        <v>1312</v>
      </c>
      <c r="G743" s="69">
        <v>820.12</v>
      </c>
      <c r="H743" s="69">
        <v>242.45</v>
      </c>
      <c r="I743" s="69">
        <f t="shared" si="214"/>
        <v>169.71499999999997</v>
      </c>
      <c r="J743" s="70">
        <v>1</v>
      </c>
      <c r="K743" s="69">
        <f t="shared" si="215"/>
        <v>838.0866749999999</v>
      </c>
      <c r="L743" s="79" t="s">
        <v>468</v>
      </c>
      <c r="M743" s="61">
        <f t="shared" si="216"/>
        <v>-25.457249999999984</v>
      </c>
      <c r="N743" s="61">
        <f t="shared" si="217"/>
        <v>29.942574999999998</v>
      </c>
      <c r="O743" s="61"/>
      <c r="P743" s="2"/>
      <c r="Q743" s="2"/>
      <c r="R743" s="32"/>
      <c r="S743" s="32"/>
      <c r="T743" s="32"/>
      <c r="U743" s="32"/>
      <c r="V743" s="2"/>
      <c r="W743" s="2"/>
      <c r="X743" s="2"/>
      <c r="Y743" s="2"/>
      <c r="Z743" s="2"/>
    </row>
    <row r="744" spans="1:26" ht="13.8" x14ac:dyDescent="0.3">
      <c r="A744" s="2" t="s">
        <v>379</v>
      </c>
      <c r="B744" s="2" t="s">
        <v>244</v>
      </c>
      <c r="C744" s="10">
        <v>2550550</v>
      </c>
      <c r="D744" s="10" t="s">
        <v>1272</v>
      </c>
      <c r="E744" s="10">
        <v>2550550</v>
      </c>
      <c r="F744" s="10" t="s">
        <v>1272</v>
      </c>
      <c r="G744" s="69">
        <v>-217.68</v>
      </c>
      <c r="H744" s="69">
        <v>59.26</v>
      </c>
      <c r="I744" s="69">
        <f t="shared" si="214"/>
        <v>41.481999999999999</v>
      </c>
      <c r="J744" s="70">
        <v>1</v>
      </c>
      <c r="K744" s="69">
        <f t="shared" si="215"/>
        <v>-150.56831</v>
      </c>
      <c r="L744" s="79" t="s">
        <v>468</v>
      </c>
      <c r="M744" s="61">
        <f t="shared" si="216"/>
        <v>-6.2222999999999988</v>
      </c>
      <c r="N744" s="61">
        <f t="shared" si="217"/>
        <v>7.3186099999999996</v>
      </c>
      <c r="O744" s="61"/>
      <c r="P744" s="2"/>
      <c r="Q744" s="2"/>
      <c r="R744" s="32"/>
      <c r="S744" s="32"/>
      <c r="T744" s="32"/>
      <c r="U744" s="32"/>
      <c r="V744" s="2"/>
      <c r="W744" s="2"/>
      <c r="X744" s="2"/>
      <c r="Y744" s="2"/>
      <c r="Z744" s="2"/>
    </row>
    <row r="745" spans="1:26" ht="13.8" x14ac:dyDescent="0.3">
      <c r="A745" s="2" t="s">
        <v>379</v>
      </c>
      <c r="B745" s="2" t="s">
        <v>244</v>
      </c>
      <c r="C745" s="10">
        <v>2550550</v>
      </c>
      <c r="D745" s="10" t="s">
        <v>1272</v>
      </c>
      <c r="E745" s="10">
        <v>2550550</v>
      </c>
      <c r="F745" s="10" t="s">
        <v>1272</v>
      </c>
      <c r="G745" s="69">
        <v>162.5</v>
      </c>
      <c r="H745" s="69">
        <v>25</v>
      </c>
      <c r="I745" s="69">
        <f t="shared" si="214"/>
        <v>17.5</v>
      </c>
      <c r="J745" s="70">
        <v>1</v>
      </c>
      <c r="K745" s="69">
        <f>(G745+I745)*J745*0.96+(G745*0.04-(G745+H745)*0.04)*J745*0.3+I745*0.04*J745*0.3</f>
        <v>172.70999999999998</v>
      </c>
      <c r="L745" s="19" t="s">
        <v>468</v>
      </c>
      <c r="M745" s="61">
        <f>(G745*0.04-(G745+H745)*0.04)*J745*0.7</f>
        <v>-0.7</v>
      </c>
      <c r="N745" s="61">
        <f>I745*0.04*J745*0.7+H745*0.05*J745</f>
        <v>1.74</v>
      </c>
      <c r="O745" s="58"/>
      <c r="P745" s="2"/>
      <c r="Q745" s="2"/>
      <c r="R745" s="32"/>
      <c r="S745" s="32"/>
      <c r="T745" s="32"/>
      <c r="U745" s="32"/>
      <c r="V745" s="2"/>
      <c r="W745" s="2"/>
      <c r="X745" s="2"/>
      <c r="Y745" s="2"/>
      <c r="Z745" s="2"/>
    </row>
    <row r="746" spans="1:26" ht="13.8" x14ac:dyDescent="0.3">
      <c r="A746" s="2" t="s">
        <v>379</v>
      </c>
      <c r="B746" s="2" t="s">
        <v>107</v>
      </c>
      <c r="C746" s="10">
        <v>2304025</v>
      </c>
      <c r="D746" s="10" t="s">
        <v>1162</v>
      </c>
      <c r="E746" s="10">
        <v>2435202</v>
      </c>
      <c r="F746" s="10" t="s">
        <v>1223</v>
      </c>
      <c r="G746" s="69">
        <v>-34.700000000000003</v>
      </c>
      <c r="H746" s="69">
        <v>87.74</v>
      </c>
      <c r="I746" s="69">
        <f t="shared" ref="I746:I761" si="218">H746*0.65</f>
        <v>57.030999999999999</v>
      </c>
      <c r="J746" s="70">
        <v>1</v>
      </c>
      <c r="K746" s="69">
        <f t="shared" ref="K746:K761" si="219">(G746+I746)*J746*0.8+(G746*0.05-H746*0.25*0.15)*J746*0.3+(H746*0.1*0.85+I746*0.05)*J746*0.3</f>
        <v>19.450060000000001</v>
      </c>
      <c r="L746" s="79" t="s">
        <v>468</v>
      </c>
      <c r="M746" s="61">
        <f t="shared" ref="M746:M758" si="220">(G746*0.05-H746*0.25*0.15)*J746*0.7-(-H746*0.03*0.15)*J746</f>
        <v>-3.1228449999999999</v>
      </c>
      <c r="N746" s="61">
        <f t="shared" ref="N746:N758" si="221">(H746*0.1*0.85+I746*0.05)*J746*0.7+H746*0.03*0.85*J746</f>
        <v>9.4539849999999976</v>
      </c>
      <c r="O746" s="61"/>
      <c r="P746" s="2"/>
      <c r="Q746" s="2"/>
      <c r="R746" s="32"/>
      <c r="S746" s="32"/>
      <c r="T746" s="32"/>
      <c r="U746" s="32"/>
      <c r="V746" s="2"/>
      <c r="W746" s="2"/>
      <c r="X746" s="2"/>
      <c r="Y746" s="2"/>
      <c r="Z746" s="2"/>
    </row>
    <row r="747" spans="1:26" ht="13.8" x14ac:dyDescent="0.3">
      <c r="A747" s="2" t="s">
        <v>379</v>
      </c>
      <c r="B747" s="2" t="s">
        <v>107</v>
      </c>
      <c r="C747" s="10">
        <v>2304025</v>
      </c>
      <c r="D747" s="10" t="s">
        <v>1162</v>
      </c>
      <c r="E747" s="10">
        <v>2435203</v>
      </c>
      <c r="F747" s="10" t="s">
        <v>1224</v>
      </c>
      <c r="G747" s="69">
        <v>1150.7</v>
      </c>
      <c r="H747" s="69">
        <v>176.05</v>
      </c>
      <c r="I747" s="69">
        <f t="shared" si="218"/>
        <v>114.4325</v>
      </c>
      <c r="J747" s="70">
        <v>1</v>
      </c>
      <c r="K747" s="69">
        <f t="shared" si="219"/>
        <v>1033.5917000000002</v>
      </c>
      <c r="L747" s="79" t="s">
        <v>468</v>
      </c>
      <c r="M747" s="61">
        <f t="shared" si="220"/>
        <v>36.445412500000003</v>
      </c>
      <c r="N747" s="61">
        <f t="shared" si="221"/>
        <v>18.9693875</v>
      </c>
      <c r="O747" s="61"/>
      <c r="P747" s="2"/>
      <c r="Q747" s="2"/>
      <c r="R747" s="32"/>
      <c r="S747" s="32"/>
      <c r="T747" s="32"/>
      <c r="U747" s="32"/>
      <c r="V747" s="2"/>
      <c r="W747" s="2"/>
      <c r="X747" s="2"/>
      <c r="Y747" s="2"/>
      <c r="Z747" s="2"/>
    </row>
    <row r="748" spans="1:26" ht="13.8" x14ac:dyDescent="0.3">
      <c r="A748" s="2" t="s">
        <v>379</v>
      </c>
      <c r="B748" s="2" t="s">
        <v>107</v>
      </c>
      <c r="C748" s="10">
        <v>2304025</v>
      </c>
      <c r="D748" s="10" t="s">
        <v>1162</v>
      </c>
      <c r="E748" s="10">
        <v>2435206</v>
      </c>
      <c r="F748" s="10" t="s">
        <v>1225</v>
      </c>
      <c r="G748" s="69">
        <v>-302.36</v>
      </c>
      <c r="H748" s="69">
        <v>74.849999999999994</v>
      </c>
      <c r="I748" s="69">
        <f t="shared" si="218"/>
        <v>48.652499999999996</v>
      </c>
      <c r="J748" s="70">
        <v>1</v>
      </c>
      <c r="K748" s="69">
        <f t="shared" si="219"/>
        <v>-205.70500000000001</v>
      </c>
      <c r="L748" s="79" t="s">
        <v>468</v>
      </c>
      <c r="M748" s="61">
        <f t="shared" si="220"/>
        <v>-12.210587500000001</v>
      </c>
      <c r="N748" s="61">
        <f t="shared" si="221"/>
        <v>8.0650874999999989</v>
      </c>
      <c r="O748" s="61"/>
      <c r="P748" s="2"/>
      <c r="Q748" s="2"/>
      <c r="R748" s="32"/>
      <c r="S748" s="32"/>
      <c r="T748" s="32"/>
      <c r="U748" s="32"/>
      <c r="V748" s="2"/>
      <c r="W748" s="2"/>
      <c r="X748" s="2"/>
      <c r="Y748" s="2"/>
      <c r="Z748" s="2"/>
    </row>
    <row r="749" spans="1:26" ht="13.8" x14ac:dyDescent="0.3">
      <c r="A749" s="2" t="s">
        <v>379</v>
      </c>
      <c r="B749" s="2" t="s">
        <v>107</v>
      </c>
      <c r="C749" s="10">
        <v>2304025</v>
      </c>
      <c r="D749" s="10" t="s">
        <v>1162</v>
      </c>
      <c r="E749" s="10">
        <v>2531140</v>
      </c>
      <c r="F749" s="10" t="s">
        <v>1257</v>
      </c>
      <c r="G749" s="69">
        <v>-1926.07</v>
      </c>
      <c r="H749" s="69">
        <v>376.13</v>
      </c>
      <c r="I749" s="69">
        <f t="shared" si="218"/>
        <v>244.4845</v>
      </c>
      <c r="J749" s="70">
        <v>1</v>
      </c>
      <c r="K749" s="69">
        <f t="shared" si="219"/>
        <v>-1365.1323299999999</v>
      </c>
      <c r="L749" s="79" t="s">
        <v>468</v>
      </c>
      <c r="M749" s="61">
        <f t="shared" si="220"/>
        <v>-75.593277499999999</v>
      </c>
      <c r="N749" s="61">
        <f t="shared" si="221"/>
        <v>40.528007499999994</v>
      </c>
      <c r="O749" s="61"/>
      <c r="P749" s="2"/>
      <c r="Q749" s="2"/>
      <c r="R749" s="32"/>
      <c r="S749" s="32"/>
      <c r="T749" s="32"/>
      <c r="U749" s="32"/>
      <c r="V749" s="2"/>
      <c r="W749" s="2"/>
      <c r="X749" s="2"/>
      <c r="Y749" s="2"/>
      <c r="Z749" s="2"/>
    </row>
    <row r="750" spans="1:26" ht="13.8" x14ac:dyDescent="0.3">
      <c r="A750" s="2" t="s">
        <v>379</v>
      </c>
      <c r="B750" s="2" t="s">
        <v>107</v>
      </c>
      <c r="C750" s="10">
        <v>2304025</v>
      </c>
      <c r="D750" s="10" t="s">
        <v>1162</v>
      </c>
      <c r="E750" s="10">
        <v>2531141</v>
      </c>
      <c r="F750" s="10" t="s">
        <v>1258</v>
      </c>
      <c r="G750" s="69">
        <v>1321.98</v>
      </c>
      <c r="H750" s="69">
        <v>62.04</v>
      </c>
      <c r="I750" s="69">
        <f t="shared" si="218"/>
        <v>40.326000000000001</v>
      </c>
      <c r="J750" s="70">
        <v>1</v>
      </c>
      <c r="K750" s="69">
        <f t="shared" si="219"/>
        <v>1111.16346</v>
      </c>
      <c r="L750" s="79" t="s">
        <v>468</v>
      </c>
      <c r="M750" s="61">
        <f t="shared" si="220"/>
        <v>44.919929999999994</v>
      </c>
      <c r="N750" s="61">
        <f t="shared" si="221"/>
        <v>6.6848100000000006</v>
      </c>
      <c r="O750" s="61"/>
      <c r="P750" s="2"/>
      <c r="Q750" s="2"/>
      <c r="R750" s="32"/>
      <c r="S750" s="32"/>
      <c r="T750" s="32"/>
      <c r="U750" s="32"/>
      <c r="V750" s="2"/>
      <c r="W750" s="2"/>
      <c r="X750" s="2"/>
      <c r="Y750" s="2"/>
      <c r="Z750" s="2"/>
    </row>
    <row r="751" spans="1:26" ht="13.8" x14ac:dyDescent="0.3">
      <c r="A751" s="2" t="s">
        <v>379</v>
      </c>
      <c r="B751" s="2" t="s">
        <v>107</v>
      </c>
      <c r="C751" s="10">
        <v>2304025</v>
      </c>
      <c r="D751" s="10" t="s">
        <v>1162</v>
      </c>
      <c r="E751" s="10">
        <v>2531145</v>
      </c>
      <c r="F751" s="10" t="s">
        <v>1226</v>
      </c>
      <c r="G751" s="69">
        <v>2149.98</v>
      </c>
      <c r="H751" s="69">
        <v>608.9</v>
      </c>
      <c r="I751" s="69">
        <f t="shared" si="218"/>
        <v>395.78500000000003</v>
      </c>
      <c r="J751" s="70">
        <v>1</v>
      </c>
      <c r="K751" s="69">
        <f t="shared" si="219"/>
        <v>2083.4753000000001</v>
      </c>
      <c r="L751" s="79" t="s">
        <v>468</v>
      </c>
      <c r="M751" s="61">
        <f t="shared" si="220"/>
        <v>62.005725000000005</v>
      </c>
      <c r="N751" s="61">
        <f t="shared" si="221"/>
        <v>65.608974999999987</v>
      </c>
      <c r="O751" s="61"/>
      <c r="P751" s="2"/>
      <c r="Q751" s="2"/>
      <c r="R751" s="32"/>
      <c r="S751" s="32"/>
      <c r="T751" s="32"/>
      <c r="U751" s="32"/>
      <c r="V751" s="2"/>
      <c r="W751" s="2"/>
      <c r="X751" s="2"/>
      <c r="Y751" s="2"/>
      <c r="Z751" s="2"/>
    </row>
    <row r="752" spans="1:26" ht="13.8" x14ac:dyDescent="0.3">
      <c r="A752" s="2" t="s">
        <v>379</v>
      </c>
      <c r="B752" s="2" t="s">
        <v>107</v>
      </c>
      <c r="C752" s="10">
        <v>2304025</v>
      </c>
      <c r="D752" s="10" t="s">
        <v>1162</v>
      </c>
      <c r="E752" s="10">
        <v>2531146</v>
      </c>
      <c r="F752" s="10" t="s">
        <v>1227</v>
      </c>
      <c r="G752" s="69">
        <v>-1946.78</v>
      </c>
      <c r="H752" s="69">
        <v>121.84</v>
      </c>
      <c r="I752" s="69">
        <f t="shared" si="218"/>
        <v>79.195999999999998</v>
      </c>
      <c r="J752" s="70">
        <v>1</v>
      </c>
      <c r="K752" s="69">
        <f t="shared" si="219"/>
        <v>-1520.3447400000002</v>
      </c>
      <c r="L752" s="79" t="s">
        <v>468</v>
      </c>
      <c r="M752" s="61">
        <f t="shared" si="220"/>
        <v>-70.787319999999994</v>
      </c>
      <c r="N752" s="61">
        <f t="shared" si="221"/>
        <v>13.128260000000001</v>
      </c>
      <c r="O752" s="61"/>
      <c r="P752" s="2"/>
      <c r="Q752" s="2"/>
      <c r="R752" s="32"/>
      <c r="S752" s="32"/>
      <c r="T752" s="32"/>
      <c r="U752" s="32"/>
      <c r="V752" s="2"/>
      <c r="W752" s="2"/>
      <c r="X752" s="2"/>
      <c r="Y752" s="2"/>
      <c r="Z752" s="2"/>
    </row>
    <row r="753" spans="1:26" ht="13.8" x14ac:dyDescent="0.3">
      <c r="A753" s="2" t="s">
        <v>379</v>
      </c>
      <c r="B753" s="2" t="s">
        <v>107</v>
      </c>
      <c r="C753" s="10">
        <v>2304025</v>
      </c>
      <c r="D753" s="10" t="s">
        <v>1162</v>
      </c>
      <c r="E753" s="10">
        <v>2531365</v>
      </c>
      <c r="F753" s="10" t="s">
        <v>1228</v>
      </c>
      <c r="G753" s="69">
        <v>427.65</v>
      </c>
      <c r="H753" s="69">
        <v>18.52</v>
      </c>
      <c r="I753" s="69">
        <f t="shared" si="218"/>
        <v>12.038</v>
      </c>
      <c r="J753" s="70">
        <v>1</v>
      </c>
      <c r="K753" s="69">
        <f t="shared" si="219"/>
        <v>358.60962999999998</v>
      </c>
      <c r="L753" s="79" t="s">
        <v>468</v>
      </c>
      <c r="M753" s="61">
        <f t="shared" si="220"/>
        <v>14.564939999999998</v>
      </c>
      <c r="N753" s="61">
        <f t="shared" si="221"/>
        <v>1.9955299999999998</v>
      </c>
      <c r="O753" s="61"/>
      <c r="P753" s="2"/>
      <c r="Q753" s="2"/>
      <c r="R753" s="32"/>
      <c r="S753" s="32"/>
      <c r="T753" s="32"/>
      <c r="U753" s="32"/>
      <c r="V753" s="2"/>
      <c r="W753" s="2"/>
      <c r="X753" s="2"/>
      <c r="Y753" s="2"/>
      <c r="Z753" s="2"/>
    </row>
    <row r="754" spans="1:26" ht="13.8" x14ac:dyDescent="0.3">
      <c r="A754" s="2" t="s">
        <v>379</v>
      </c>
      <c r="B754" s="2" t="s">
        <v>107</v>
      </c>
      <c r="C754" s="10">
        <v>2304025</v>
      </c>
      <c r="D754" s="10" t="s">
        <v>1162</v>
      </c>
      <c r="E754" s="10">
        <v>2531390</v>
      </c>
      <c r="F754" s="10" t="s">
        <v>1229</v>
      </c>
      <c r="G754" s="69">
        <v>-409.16</v>
      </c>
      <c r="H754" s="69">
        <v>73.88</v>
      </c>
      <c r="I754" s="69">
        <f t="shared" si="218"/>
        <v>48.021999999999998</v>
      </c>
      <c r="J754" s="70">
        <v>1</v>
      </c>
      <c r="K754" s="69">
        <f t="shared" si="219"/>
        <v>-293.27468000000005</v>
      </c>
      <c r="L754" s="79" t="s">
        <v>468</v>
      </c>
      <c r="M754" s="61">
        <f t="shared" si="220"/>
        <v>-15.927490000000001</v>
      </c>
      <c r="N754" s="61">
        <f t="shared" si="221"/>
        <v>7.9605699999999988</v>
      </c>
      <c r="O754" s="61"/>
      <c r="P754" s="2"/>
      <c r="Q754" s="2"/>
      <c r="R754" s="32"/>
      <c r="S754" s="32"/>
      <c r="T754" s="32"/>
      <c r="U754" s="32"/>
      <c r="V754" s="2"/>
      <c r="W754" s="2"/>
      <c r="X754" s="2"/>
      <c r="Y754" s="2"/>
      <c r="Z754" s="2"/>
    </row>
    <row r="755" spans="1:26" ht="13.8" x14ac:dyDescent="0.3">
      <c r="A755" s="2" t="s">
        <v>379</v>
      </c>
      <c r="B755" s="2" t="s">
        <v>107</v>
      </c>
      <c r="C755" s="10">
        <v>2304025</v>
      </c>
      <c r="D755" s="10" t="s">
        <v>1162</v>
      </c>
      <c r="E755" s="10">
        <v>2564684</v>
      </c>
      <c r="F755" s="10" t="s">
        <v>1282</v>
      </c>
      <c r="G755" s="69">
        <v>-67.27</v>
      </c>
      <c r="H755" s="69">
        <v>9.41</v>
      </c>
      <c r="I755" s="69">
        <f t="shared" si="218"/>
        <v>6.1165000000000003</v>
      </c>
      <c r="J755" s="70">
        <v>1</v>
      </c>
      <c r="K755" s="69">
        <f t="shared" si="219"/>
        <v>-49.706009999999999</v>
      </c>
      <c r="L755" s="79" t="s">
        <v>468</v>
      </c>
      <c r="M755" s="61">
        <f t="shared" si="220"/>
        <v>-2.5591174999999997</v>
      </c>
      <c r="N755" s="61">
        <f t="shared" si="221"/>
        <v>1.0139275000000001</v>
      </c>
      <c r="O755" s="61"/>
      <c r="P755" s="2"/>
      <c r="Q755" s="2"/>
      <c r="R755" s="32"/>
      <c r="S755" s="32"/>
      <c r="T755" s="32"/>
      <c r="U755" s="32"/>
      <c r="V755" s="2"/>
      <c r="W755" s="2"/>
      <c r="X755" s="2"/>
      <c r="Y755" s="2"/>
      <c r="Z755" s="2"/>
    </row>
    <row r="756" spans="1:26" ht="13.8" x14ac:dyDescent="0.3">
      <c r="A756" s="2" t="s">
        <v>379</v>
      </c>
      <c r="B756" s="2" t="s">
        <v>107</v>
      </c>
      <c r="C756" s="10">
        <v>2304025</v>
      </c>
      <c r="D756" s="10" t="s">
        <v>1162</v>
      </c>
      <c r="E756" s="10">
        <v>2575716</v>
      </c>
      <c r="F756" s="10" t="s">
        <v>1283</v>
      </c>
      <c r="G756" s="69">
        <v>-4.1900000000000004</v>
      </c>
      <c r="H756" s="69">
        <v>2.5099999999999998</v>
      </c>
      <c r="I756" s="69">
        <f t="shared" si="218"/>
        <v>1.6315</v>
      </c>
      <c r="J756" s="70">
        <v>1</v>
      </c>
      <c r="K756" s="69">
        <f t="shared" si="219"/>
        <v>-2.0494100000000004</v>
      </c>
      <c r="L756" s="79" t="s">
        <v>468</v>
      </c>
      <c r="M756" s="61">
        <f t="shared" si="220"/>
        <v>-0.20124250000000002</v>
      </c>
      <c r="N756" s="61">
        <f t="shared" si="221"/>
        <v>0.27045249999999998</v>
      </c>
      <c r="O756" s="61"/>
      <c r="P756" s="2"/>
      <c r="Q756" s="2"/>
      <c r="R756" s="32"/>
      <c r="S756" s="32"/>
      <c r="T756" s="32"/>
      <c r="U756" s="32"/>
      <c r="V756" s="2"/>
      <c r="W756" s="2"/>
      <c r="X756" s="2"/>
      <c r="Y756" s="2"/>
      <c r="Z756" s="2"/>
    </row>
    <row r="757" spans="1:26" ht="13.8" x14ac:dyDescent="0.3">
      <c r="A757" s="2" t="s">
        <v>379</v>
      </c>
      <c r="B757" s="2" t="s">
        <v>107</v>
      </c>
      <c r="C757" s="10">
        <v>2304025</v>
      </c>
      <c r="D757" s="10" t="s">
        <v>1162</v>
      </c>
      <c r="E757" s="10">
        <v>2575824</v>
      </c>
      <c r="F757" s="10" t="s">
        <v>1284</v>
      </c>
      <c r="G757" s="69">
        <v>17.690000000000001</v>
      </c>
      <c r="H757" s="69">
        <v>16.989999999999998</v>
      </c>
      <c r="I757" s="69">
        <f t="shared" si="218"/>
        <v>11.0435</v>
      </c>
      <c r="J757" s="70">
        <v>1</v>
      </c>
      <c r="K757" s="69">
        <f t="shared" si="219"/>
        <v>23.659910000000004</v>
      </c>
      <c r="L757" s="79" t="s">
        <v>468</v>
      </c>
      <c r="M757" s="61">
        <f t="shared" si="220"/>
        <v>0.24961750000000005</v>
      </c>
      <c r="N757" s="61">
        <f t="shared" si="221"/>
        <v>1.8306724999999995</v>
      </c>
      <c r="O757" s="61"/>
      <c r="P757" s="2"/>
      <c r="Q757" s="2"/>
      <c r="R757" s="32"/>
      <c r="S757" s="32"/>
      <c r="T757" s="32"/>
      <c r="U757" s="32"/>
      <c r="V757" s="2"/>
      <c r="W757" s="2"/>
      <c r="X757" s="2"/>
      <c r="Y757" s="2"/>
      <c r="Z757" s="2"/>
    </row>
    <row r="758" spans="1:26" ht="13.8" x14ac:dyDescent="0.3">
      <c r="A758" s="2" t="s">
        <v>379</v>
      </c>
      <c r="B758" s="2" t="s">
        <v>107</v>
      </c>
      <c r="C758" s="10">
        <v>2304025</v>
      </c>
      <c r="D758" s="10" t="s">
        <v>1162</v>
      </c>
      <c r="E758" s="10">
        <v>2575978</v>
      </c>
      <c r="F758" s="10" t="s">
        <v>1285</v>
      </c>
      <c r="G758" s="69">
        <v>-311.97000000000003</v>
      </c>
      <c r="H758" s="69">
        <v>20.51</v>
      </c>
      <c r="I758" s="69">
        <f t="shared" si="218"/>
        <v>13.331500000000002</v>
      </c>
      <c r="J758" s="70">
        <v>1</v>
      </c>
      <c r="K758" s="69">
        <f t="shared" si="219"/>
        <v>-243.09811000000002</v>
      </c>
      <c r="L758" s="79" t="s">
        <v>468</v>
      </c>
      <c r="M758" s="61">
        <f t="shared" si="220"/>
        <v>-11.365042499999999</v>
      </c>
      <c r="N758" s="61">
        <f t="shared" si="221"/>
        <v>2.2099525</v>
      </c>
      <c r="O758" s="61"/>
      <c r="P758" s="2"/>
      <c r="Q758" s="2"/>
      <c r="R758" s="32"/>
      <c r="S758" s="32"/>
      <c r="T758" s="32"/>
      <c r="U758" s="32"/>
      <c r="V758" s="2"/>
      <c r="W758" s="2"/>
      <c r="X758" s="2"/>
      <c r="Y758" s="2"/>
      <c r="Z758" s="2"/>
    </row>
    <row r="759" spans="1:26" ht="13.8" x14ac:dyDescent="0.3">
      <c r="A759" s="2" t="s">
        <v>379</v>
      </c>
      <c r="B759" s="2" t="s">
        <v>107</v>
      </c>
      <c r="C759" s="10">
        <v>2525136</v>
      </c>
      <c r="D759" s="10" t="s">
        <v>1205</v>
      </c>
      <c r="E759" s="10">
        <v>2523689</v>
      </c>
      <c r="F759" s="10" t="s">
        <v>1311</v>
      </c>
      <c r="G759" s="69">
        <v>298.13</v>
      </c>
      <c r="H759" s="69">
        <v>55.89</v>
      </c>
      <c r="I759" s="69">
        <f t="shared" si="218"/>
        <v>36.328499999999998</v>
      </c>
      <c r="J759" s="70">
        <v>1</v>
      </c>
      <c r="K759" s="69">
        <f t="shared" si="219"/>
        <v>273.38011</v>
      </c>
      <c r="L759" s="79" t="s">
        <v>468</v>
      </c>
      <c r="M759" s="61">
        <f t="shared" ref="M759:M761" si="222">(G759*0.05-H759*0.25*0.15)*J759*0.7-(-H759*0.02*0.15)*J759</f>
        <v>9.1351075000000002</v>
      </c>
      <c r="N759" s="61">
        <f t="shared" ref="N759:N761" si="223">(H759*0.1*0.85+I759*0.05)*J759*0.7+H759*0.02*0.85*J759</f>
        <v>5.5470824999999992</v>
      </c>
      <c r="O759" s="61"/>
      <c r="P759" s="2"/>
      <c r="Q759" s="2"/>
      <c r="R759" s="32"/>
      <c r="S759" s="32"/>
      <c r="T759" s="32"/>
      <c r="U759" s="32"/>
      <c r="V759" s="2"/>
      <c r="W759" s="2"/>
      <c r="X759" s="2"/>
      <c r="Y759" s="2"/>
      <c r="Z759" s="2"/>
    </row>
    <row r="760" spans="1:26" ht="13.8" x14ac:dyDescent="0.3">
      <c r="A760" s="2" t="s">
        <v>379</v>
      </c>
      <c r="B760" s="2" t="s">
        <v>107</v>
      </c>
      <c r="C760" s="10">
        <v>2525136</v>
      </c>
      <c r="D760" s="10" t="s">
        <v>1205</v>
      </c>
      <c r="E760" s="10">
        <v>2525136</v>
      </c>
      <c r="F760" s="10" t="s">
        <v>1205</v>
      </c>
      <c r="G760" s="69">
        <v>25.5</v>
      </c>
      <c r="H760" s="69">
        <v>0</v>
      </c>
      <c r="I760" s="69">
        <f t="shared" si="218"/>
        <v>0</v>
      </c>
      <c r="J760" s="70">
        <v>1</v>
      </c>
      <c r="K760" s="69">
        <f t="shared" si="219"/>
        <v>20.782500000000002</v>
      </c>
      <c r="L760" s="79" t="s">
        <v>468</v>
      </c>
      <c r="M760" s="61">
        <f t="shared" si="222"/>
        <v>0.89250000000000007</v>
      </c>
      <c r="N760" s="61">
        <f t="shared" si="223"/>
        <v>0</v>
      </c>
      <c r="O760" s="61"/>
      <c r="P760" s="2"/>
      <c r="Q760" s="2"/>
      <c r="R760" s="32"/>
      <c r="S760" s="32"/>
      <c r="T760" s="32"/>
      <c r="U760" s="32"/>
      <c r="V760" s="2"/>
      <c r="W760" s="2"/>
      <c r="X760" s="2"/>
      <c r="Y760" s="2"/>
      <c r="Z760" s="2"/>
    </row>
    <row r="761" spans="1:26" ht="13.8" x14ac:dyDescent="0.3">
      <c r="A761" s="2" t="s">
        <v>379</v>
      </c>
      <c r="B761" s="2" t="s">
        <v>107</v>
      </c>
      <c r="C761" s="10">
        <v>2525136</v>
      </c>
      <c r="D761" s="10" t="s">
        <v>1205</v>
      </c>
      <c r="E761" s="10">
        <v>2600460</v>
      </c>
      <c r="F761" s="10" t="s">
        <v>1312</v>
      </c>
      <c r="G761" s="69">
        <v>69.09</v>
      </c>
      <c r="H761" s="69">
        <v>6.71</v>
      </c>
      <c r="I761" s="69">
        <f t="shared" si="218"/>
        <v>4.3615000000000004</v>
      </c>
      <c r="J761" s="70">
        <v>1</v>
      </c>
      <c r="K761" s="69">
        <f t="shared" si="219"/>
        <v>59.958590000000008</v>
      </c>
      <c r="L761" s="79" t="s">
        <v>468</v>
      </c>
      <c r="M761" s="61">
        <f t="shared" si="222"/>
        <v>2.2621425000000004</v>
      </c>
      <c r="N761" s="61">
        <f t="shared" si="223"/>
        <v>0.66596750000000005</v>
      </c>
      <c r="O761" s="61"/>
      <c r="P761" s="2"/>
      <c r="Q761" s="2"/>
      <c r="R761" s="32"/>
      <c r="S761" s="32"/>
      <c r="T761" s="32"/>
      <c r="U761" s="32"/>
      <c r="V761" s="2"/>
      <c r="W761" s="2"/>
      <c r="X761" s="2"/>
      <c r="Y761" s="2"/>
      <c r="Z761" s="2"/>
    </row>
    <row r="762" spans="1:26" ht="13.8" x14ac:dyDescent="0.3">
      <c r="A762" s="2" t="s">
        <v>379</v>
      </c>
      <c r="B762" s="32" t="s">
        <v>61</v>
      </c>
      <c r="C762" s="2" t="s">
        <v>1138</v>
      </c>
      <c r="D762" s="2" t="s">
        <v>1139</v>
      </c>
      <c r="E762" s="2" t="s">
        <v>1206</v>
      </c>
      <c r="F762" s="2" t="s">
        <v>1207</v>
      </c>
      <c r="G762" s="69">
        <v>-14668.76</v>
      </c>
      <c r="H762" s="69">
        <v>5029.2</v>
      </c>
      <c r="I762" s="69">
        <f t="shared" ref="I762:I763" si="224">H762*0.57</f>
        <v>2866.6439999999998</v>
      </c>
      <c r="J762" s="70">
        <v>1.12683</v>
      </c>
      <c r="K762" s="69">
        <f t="shared" ref="K762:K763" si="225">(G762+I762)*J762</f>
        <v>-13298.97837228</v>
      </c>
      <c r="L762" s="78" t="s">
        <v>468</v>
      </c>
      <c r="M762" s="61">
        <v>0</v>
      </c>
      <c r="N762" s="61">
        <f t="shared" ref="N762:N763" si="226">H762*0.08*J762</f>
        <v>453.36427488000004</v>
      </c>
      <c r="O762" s="58"/>
      <c r="P762" s="2"/>
      <c r="Q762" s="2"/>
      <c r="R762" s="32"/>
      <c r="S762" s="32"/>
      <c r="T762" s="32"/>
      <c r="U762" s="32"/>
      <c r="V762" s="2"/>
      <c r="W762" s="2"/>
      <c r="X762" s="2"/>
      <c r="Y762" s="2"/>
      <c r="Z762" s="2"/>
    </row>
    <row r="763" spans="1:26" ht="13.8" x14ac:dyDescent="0.3">
      <c r="A763" s="2" t="s">
        <v>379</v>
      </c>
      <c r="B763" s="32" t="s">
        <v>61</v>
      </c>
      <c r="C763" s="10" t="s">
        <v>1230</v>
      </c>
      <c r="D763" s="10" t="s">
        <v>1231</v>
      </c>
      <c r="E763" s="2" t="s">
        <v>1230</v>
      </c>
      <c r="F763" s="2" t="s">
        <v>1231</v>
      </c>
      <c r="G763" s="69">
        <v>-5939.8</v>
      </c>
      <c r="H763" s="69">
        <v>870.55</v>
      </c>
      <c r="I763" s="69">
        <f t="shared" si="224"/>
        <v>496.21349999999995</v>
      </c>
      <c r="J763" s="70">
        <v>1.12683</v>
      </c>
      <c r="K763" s="69">
        <f t="shared" si="225"/>
        <v>-6133.9965757950004</v>
      </c>
      <c r="L763" s="78" t="s">
        <v>468</v>
      </c>
      <c r="M763" s="61">
        <v>0</v>
      </c>
      <c r="N763" s="61">
        <f t="shared" si="226"/>
        <v>78.476948519999993</v>
      </c>
      <c r="O763" s="58"/>
      <c r="P763" s="2"/>
      <c r="Q763" s="2"/>
      <c r="R763" s="32"/>
      <c r="S763" s="32"/>
      <c r="T763" s="32"/>
      <c r="U763" s="32"/>
      <c r="V763" s="2"/>
      <c r="W763" s="2"/>
      <c r="X763" s="2"/>
      <c r="Y763" s="2"/>
      <c r="Z763" s="2"/>
    </row>
    <row r="764" spans="1:26" ht="13.8" x14ac:dyDescent="0.3">
      <c r="A764" s="32" t="s">
        <v>380</v>
      </c>
      <c r="B764" s="2" t="s">
        <v>107</v>
      </c>
      <c r="C764" s="10">
        <v>2304025</v>
      </c>
      <c r="D764" s="10" t="s">
        <v>1162</v>
      </c>
      <c r="E764" s="10">
        <v>2420208</v>
      </c>
      <c r="F764" s="10" t="s">
        <v>1170</v>
      </c>
      <c r="G764" s="69">
        <v>-182.91</v>
      </c>
      <c r="H764" s="69">
        <v>7.47</v>
      </c>
      <c r="I764" s="69">
        <f t="shared" ref="I764:I776" si="227">H764*0.65</f>
        <v>4.8555000000000001</v>
      </c>
      <c r="J764" s="70">
        <v>1</v>
      </c>
      <c r="K764" s="69">
        <f t="shared" ref="K764:K776" si="228">(G764+I764)*J764*0.8+(G764*0.05-H764*0.25*0.15)*J764*0.3+(H764*0.1*0.85+I764*0.05)*J764*0.3</f>
        <v>-145.00797</v>
      </c>
      <c r="L764" s="79" t="s">
        <v>468</v>
      </c>
      <c r="M764" s="61">
        <f t="shared" ref="M764:M773" si="229">(G764*0.05-H764*0.25*0.15)*J764*0.7-(-H764*0.03*0.15)*J764</f>
        <v>-6.5643224999999994</v>
      </c>
      <c r="N764" s="61">
        <f t="shared" ref="N764:N773" si="230">(H764*0.1*0.85+I764*0.05)*J764*0.7+H764*0.03*0.85*J764</f>
        <v>0.80489250000000001</v>
      </c>
      <c r="O764" s="58"/>
      <c r="P764" s="2"/>
      <c r="Q764" s="2"/>
      <c r="R764" s="32"/>
      <c r="S764" s="32"/>
      <c r="T764" s="32"/>
      <c r="U764" s="32"/>
      <c r="V764" s="2"/>
      <c r="W764" s="2"/>
      <c r="X764" s="2"/>
      <c r="Y764" s="2"/>
      <c r="Z764" s="2"/>
    </row>
    <row r="765" spans="1:26" ht="13.8" x14ac:dyDescent="0.3">
      <c r="A765" s="32" t="s">
        <v>380</v>
      </c>
      <c r="B765" s="2" t="s">
        <v>107</v>
      </c>
      <c r="C765" s="10">
        <v>2304025</v>
      </c>
      <c r="D765" s="10" t="s">
        <v>1162</v>
      </c>
      <c r="E765" s="10">
        <v>2435202</v>
      </c>
      <c r="F765" s="10" t="s">
        <v>1223</v>
      </c>
      <c r="G765" s="69">
        <v>-262.43</v>
      </c>
      <c r="H765" s="69">
        <v>122.48</v>
      </c>
      <c r="I765" s="69">
        <f t="shared" si="227"/>
        <v>79.612000000000009</v>
      </c>
      <c r="J765" s="70">
        <v>1</v>
      </c>
      <c r="K765" s="69">
        <f t="shared" si="228"/>
        <v>-147.25133</v>
      </c>
      <c r="L765" s="79" t="s">
        <v>468</v>
      </c>
      <c r="M765" s="61">
        <f t="shared" si="229"/>
        <v>-11.848990000000001</v>
      </c>
      <c r="N765" s="61">
        <f t="shared" si="230"/>
        <v>13.197220000000002</v>
      </c>
      <c r="O765" s="58"/>
      <c r="P765" s="2"/>
      <c r="Q765" s="2"/>
      <c r="R765" s="32"/>
      <c r="S765" s="32"/>
      <c r="T765" s="32"/>
      <c r="U765" s="32"/>
      <c r="V765" s="2"/>
      <c r="W765" s="2"/>
      <c r="X765" s="2"/>
      <c r="Y765" s="2"/>
      <c r="Z765" s="2"/>
    </row>
    <row r="766" spans="1:26" ht="13.8" x14ac:dyDescent="0.3">
      <c r="A766" s="32" t="s">
        <v>380</v>
      </c>
      <c r="B766" s="2" t="s">
        <v>107</v>
      </c>
      <c r="C766" s="10">
        <v>2304025</v>
      </c>
      <c r="D766" s="10" t="s">
        <v>1162</v>
      </c>
      <c r="E766" s="10">
        <v>2435203</v>
      </c>
      <c r="F766" s="10" t="s">
        <v>1224</v>
      </c>
      <c r="G766" s="69">
        <v>-23.71</v>
      </c>
      <c r="H766" s="69">
        <v>94.1</v>
      </c>
      <c r="I766" s="69">
        <f t="shared" si="227"/>
        <v>61.164999999999999</v>
      </c>
      <c r="J766" s="70">
        <v>1</v>
      </c>
      <c r="K766" s="69">
        <f t="shared" si="228"/>
        <v>31.86675</v>
      </c>
      <c r="L766" s="79" t="s">
        <v>468</v>
      </c>
      <c r="M766" s="61">
        <f t="shared" si="229"/>
        <v>-2.876525</v>
      </c>
      <c r="N766" s="61">
        <f t="shared" si="230"/>
        <v>10.139275</v>
      </c>
      <c r="O766" s="58"/>
      <c r="P766" s="2"/>
      <c r="Q766" s="2"/>
      <c r="R766" s="32"/>
      <c r="S766" s="32"/>
      <c r="T766" s="32"/>
      <c r="U766" s="32"/>
      <c r="V766" s="2"/>
      <c r="W766" s="2"/>
      <c r="X766" s="2"/>
      <c r="Y766" s="2"/>
      <c r="Z766" s="2"/>
    </row>
    <row r="767" spans="1:26" ht="13.8" x14ac:dyDescent="0.3">
      <c r="A767" s="32" t="s">
        <v>380</v>
      </c>
      <c r="B767" s="2" t="s">
        <v>107</v>
      </c>
      <c r="C767" s="10">
        <v>2304025</v>
      </c>
      <c r="D767" s="10" t="s">
        <v>1162</v>
      </c>
      <c r="E767" s="10">
        <v>2435206</v>
      </c>
      <c r="F767" s="10" t="s">
        <v>1225</v>
      </c>
      <c r="G767" s="69">
        <v>472.05</v>
      </c>
      <c r="H767" s="69">
        <v>39.42</v>
      </c>
      <c r="I767" s="69">
        <f t="shared" si="227"/>
        <v>25.623000000000001</v>
      </c>
      <c r="J767" s="70">
        <v>1</v>
      </c>
      <c r="K767" s="69">
        <f t="shared" si="228"/>
        <v>406.16523000000001</v>
      </c>
      <c r="L767" s="79" t="s">
        <v>468</v>
      </c>
      <c r="M767" s="61">
        <f t="shared" si="229"/>
        <v>15.664365000000002</v>
      </c>
      <c r="N767" s="61">
        <f t="shared" si="230"/>
        <v>4.2475050000000003</v>
      </c>
      <c r="O767" s="58"/>
      <c r="P767" s="2"/>
      <c r="Q767" s="2"/>
      <c r="R767" s="32"/>
      <c r="S767" s="32"/>
      <c r="T767" s="32"/>
      <c r="U767" s="32"/>
      <c r="V767" s="2"/>
      <c r="W767" s="2"/>
      <c r="X767" s="2"/>
      <c r="Y767" s="2"/>
      <c r="Z767" s="2"/>
    </row>
    <row r="768" spans="1:26" ht="13.8" x14ac:dyDescent="0.3">
      <c r="A768" s="32" t="s">
        <v>380</v>
      </c>
      <c r="B768" s="2" t="s">
        <v>107</v>
      </c>
      <c r="C768" s="10">
        <v>2304025</v>
      </c>
      <c r="D768" s="10" t="s">
        <v>1162</v>
      </c>
      <c r="E768" s="10">
        <v>2531390</v>
      </c>
      <c r="F768" s="10" t="s">
        <v>1229</v>
      </c>
      <c r="G768" s="69">
        <v>138.1</v>
      </c>
      <c r="H768" s="69">
        <v>8.27</v>
      </c>
      <c r="I768" s="69">
        <f t="shared" si="227"/>
        <v>5.3754999999999997</v>
      </c>
      <c r="J768" s="70">
        <v>1</v>
      </c>
      <c r="K768" s="69">
        <f t="shared" si="228"/>
        <v>117.05037999999999</v>
      </c>
      <c r="L768" s="79" t="s">
        <v>468</v>
      </c>
      <c r="M768" s="61">
        <f t="shared" si="229"/>
        <v>4.6536274999999998</v>
      </c>
      <c r="N768" s="61">
        <f t="shared" si="230"/>
        <v>0.89109249999999995</v>
      </c>
      <c r="O768" s="58"/>
      <c r="P768" s="2"/>
      <c r="Q768" s="2"/>
      <c r="R768" s="32"/>
      <c r="S768" s="32"/>
      <c r="T768" s="32"/>
      <c r="U768" s="32"/>
      <c r="V768" s="2"/>
      <c r="W768" s="2"/>
      <c r="X768" s="2"/>
      <c r="Y768" s="2"/>
      <c r="Z768" s="2"/>
    </row>
    <row r="769" spans="1:26" ht="13.8" x14ac:dyDescent="0.3">
      <c r="A769" s="32" t="s">
        <v>380</v>
      </c>
      <c r="B769" s="2" t="s">
        <v>107</v>
      </c>
      <c r="C769" s="10">
        <v>2304025</v>
      </c>
      <c r="D769" s="10" t="s">
        <v>1162</v>
      </c>
      <c r="E769" s="10">
        <v>2541423</v>
      </c>
      <c r="F769" s="10" t="s">
        <v>1263</v>
      </c>
      <c r="G769" s="69">
        <v>52.8</v>
      </c>
      <c r="H769" s="69">
        <v>3.42</v>
      </c>
      <c r="I769" s="69">
        <f t="shared" si="227"/>
        <v>2.2229999999999999</v>
      </c>
      <c r="J769" s="70">
        <v>1</v>
      </c>
      <c r="K769" s="69">
        <f t="shared" si="228"/>
        <v>44.892480000000006</v>
      </c>
      <c r="L769" s="79" t="s">
        <v>468</v>
      </c>
      <c r="M769" s="61">
        <f t="shared" si="229"/>
        <v>1.7736149999999999</v>
      </c>
      <c r="N769" s="61">
        <f t="shared" si="230"/>
        <v>0.36850500000000003</v>
      </c>
      <c r="O769" s="58"/>
      <c r="P769" s="2"/>
      <c r="Q769" s="2"/>
      <c r="R769" s="32"/>
      <c r="S769" s="32"/>
      <c r="T769" s="32"/>
      <c r="U769" s="32"/>
      <c r="V769" s="2"/>
      <c r="W769" s="2"/>
      <c r="X769" s="2"/>
      <c r="Y769" s="2"/>
      <c r="Z769" s="2"/>
    </row>
    <row r="770" spans="1:26" ht="13.8" x14ac:dyDescent="0.3">
      <c r="A770" s="32" t="s">
        <v>380</v>
      </c>
      <c r="B770" s="2" t="s">
        <v>107</v>
      </c>
      <c r="C770" s="10">
        <v>2304025</v>
      </c>
      <c r="D770" s="10" t="s">
        <v>1162</v>
      </c>
      <c r="E770" s="10">
        <v>2564684</v>
      </c>
      <c r="F770" s="10" t="s">
        <v>1282</v>
      </c>
      <c r="G770" s="69">
        <v>27.37</v>
      </c>
      <c r="H770" s="69">
        <v>1.79</v>
      </c>
      <c r="I770" s="69">
        <f t="shared" si="227"/>
        <v>1.1635</v>
      </c>
      <c r="J770" s="70">
        <v>1</v>
      </c>
      <c r="K770" s="69">
        <f t="shared" si="228"/>
        <v>23.280310000000004</v>
      </c>
      <c r="L770" s="79" t="s">
        <v>468</v>
      </c>
      <c r="M770" s="61">
        <f t="shared" si="229"/>
        <v>0.91901749999999993</v>
      </c>
      <c r="N770" s="61">
        <f t="shared" si="230"/>
        <v>0.1928725</v>
      </c>
      <c r="O770" s="58"/>
      <c r="P770" s="2"/>
      <c r="Q770" s="2"/>
      <c r="R770" s="32"/>
      <c r="S770" s="32"/>
      <c r="T770" s="32"/>
      <c r="U770" s="32"/>
      <c r="V770" s="2"/>
      <c r="W770" s="2"/>
      <c r="X770" s="2"/>
      <c r="Y770" s="2"/>
      <c r="Z770" s="2"/>
    </row>
    <row r="771" spans="1:26" ht="13.8" x14ac:dyDescent="0.3">
      <c r="A771" s="32" t="s">
        <v>380</v>
      </c>
      <c r="B771" s="2" t="s">
        <v>107</v>
      </c>
      <c r="C771" s="10">
        <v>2304025</v>
      </c>
      <c r="D771" s="10" t="s">
        <v>1162</v>
      </c>
      <c r="E771" s="10">
        <v>2575716</v>
      </c>
      <c r="F771" s="10" t="s">
        <v>1283</v>
      </c>
      <c r="G771" s="69">
        <v>147.75</v>
      </c>
      <c r="H771" s="69">
        <v>19.34</v>
      </c>
      <c r="I771" s="69">
        <f t="shared" si="227"/>
        <v>12.571</v>
      </c>
      <c r="J771" s="70">
        <v>1</v>
      </c>
      <c r="K771" s="69">
        <f t="shared" si="228"/>
        <v>130.93720999999999</v>
      </c>
      <c r="L771" s="79" t="s">
        <v>468</v>
      </c>
      <c r="M771" s="61">
        <f t="shared" si="229"/>
        <v>4.7506050000000002</v>
      </c>
      <c r="N771" s="61">
        <f t="shared" si="230"/>
        <v>2.083885</v>
      </c>
      <c r="O771" s="58"/>
      <c r="P771" s="2"/>
      <c r="Q771" s="2"/>
      <c r="R771" s="32"/>
      <c r="S771" s="32"/>
      <c r="T771" s="32"/>
      <c r="U771" s="32"/>
      <c r="V771" s="2"/>
      <c r="W771" s="2"/>
      <c r="X771" s="2"/>
      <c r="Y771" s="2"/>
      <c r="Z771" s="2"/>
    </row>
    <row r="772" spans="1:26" ht="13.8" x14ac:dyDescent="0.3">
      <c r="A772" s="32" t="s">
        <v>380</v>
      </c>
      <c r="B772" s="2" t="s">
        <v>107</v>
      </c>
      <c r="C772" s="10">
        <v>2304025</v>
      </c>
      <c r="D772" s="10" t="s">
        <v>1162</v>
      </c>
      <c r="E772" s="10">
        <v>2575824</v>
      </c>
      <c r="F772" s="10" t="s">
        <v>1284</v>
      </c>
      <c r="G772" s="69">
        <v>-2.7</v>
      </c>
      <c r="H772" s="69">
        <v>0.15</v>
      </c>
      <c r="I772" s="69">
        <f t="shared" si="227"/>
        <v>9.7500000000000003E-2</v>
      </c>
      <c r="J772" s="70">
        <v>1</v>
      </c>
      <c r="K772" s="69">
        <f t="shared" si="228"/>
        <v>-2.1189</v>
      </c>
      <c r="L772" s="79" t="s">
        <v>468</v>
      </c>
      <c r="M772" s="61">
        <f t="shared" si="229"/>
        <v>-9.7762500000000002E-2</v>
      </c>
      <c r="N772" s="61">
        <f t="shared" si="230"/>
        <v>1.61625E-2</v>
      </c>
      <c r="O772" s="58"/>
      <c r="P772" s="2"/>
      <c r="Q772" s="2"/>
      <c r="R772" s="32"/>
      <c r="S772" s="32"/>
      <c r="T772" s="32"/>
      <c r="U772" s="32"/>
      <c r="V772" s="2"/>
      <c r="W772" s="2"/>
      <c r="X772" s="2"/>
      <c r="Y772" s="2"/>
      <c r="Z772" s="2"/>
    </row>
    <row r="773" spans="1:26" ht="13.8" x14ac:dyDescent="0.3">
      <c r="A773" s="32" t="s">
        <v>380</v>
      </c>
      <c r="B773" s="2" t="s">
        <v>107</v>
      </c>
      <c r="C773" s="10">
        <v>2304025</v>
      </c>
      <c r="D773" s="10" t="s">
        <v>1162</v>
      </c>
      <c r="E773" s="10">
        <v>2575978</v>
      </c>
      <c r="F773" s="10" t="s">
        <v>1285</v>
      </c>
      <c r="G773" s="69">
        <v>-0.7</v>
      </c>
      <c r="H773" s="69">
        <v>37.659999999999997</v>
      </c>
      <c r="I773" s="69">
        <f t="shared" si="227"/>
        <v>24.478999999999999</v>
      </c>
      <c r="J773" s="70">
        <v>1</v>
      </c>
      <c r="K773" s="69">
        <f t="shared" si="228"/>
        <v>19.916539999999998</v>
      </c>
      <c r="L773" s="79" t="s">
        <v>468</v>
      </c>
      <c r="M773" s="61">
        <f t="shared" si="229"/>
        <v>-0.84360499999999972</v>
      </c>
      <c r="N773" s="61">
        <f t="shared" si="230"/>
        <v>4.0578649999999996</v>
      </c>
      <c r="O773" s="58"/>
      <c r="P773" s="2"/>
      <c r="Q773" s="2"/>
      <c r="R773" s="32"/>
      <c r="S773" s="32"/>
      <c r="T773" s="32"/>
      <c r="U773" s="32"/>
      <c r="V773" s="2"/>
      <c r="W773" s="2"/>
      <c r="X773" s="2"/>
      <c r="Y773" s="2"/>
      <c r="Z773" s="2"/>
    </row>
    <row r="774" spans="1:26" ht="13.8" x14ac:dyDescent="0.3">
      <c r="A774" s="32" t="s">
        <v>380</v>
      </c>
      <c r="B774" s="2" t="s">
        <v>107</v>
      </c>
      <c r="C774" s="10">
        <v>2525136</v>
      </c>
      <c r="D774" s="10" t="s">
        <v>1205</v>
      </c>
      <c r="E774" s="10">
        <v>2523689</v>
      </c>
      <c r="F774" s="10" t="s">
        <v>1311</v>
      </c>
      <c r="G774" s="69">
        <v>-26.8</v>
      </c>
      <c r="H774" s="69">
        <v>11.62</v>
      </c>
      <c r="I774" s="69">
        <f t="shared" si="227"/>
        <v>7.5529999999999999</v>
      </c>
      <c r="J774" s="70">
        <v>1</v>
      </c>
      <c r="K774" s="69">
        <f t="shared" si="228"/>
        <v>-15.520720000000001</v>
      </c>
      <c r="L774" s="79" t="s">
        <v>468</v>
      </c>
      <c r="M774" s="61">
        <f t="shared" ref="M774:M776" si="231">(G774*0.05-H774*0.25*0.15)*J774*0.7-(-H774*0.02*0.15)*J774</f>
        <v>-1.2081649999999999</v>
      </c>
      <c r="N774" s="61">
        <f t="shared" ref="N774:N776" si="232">(H774*0.1*0.85+I774*0.05)*J774*0.7+H774*0.02*0.85*J774</f>
        <v>1.1532849999999999</v>
      </c>
      <c r="O774" s="58"/>
      <c r="P774" s="2"/>
      <c r="Q774" s="2"/>
      <c r="R774" s="32"/>
      <c r="S774" s="32"/>
      <c r="T774" s="32"/>
      <c r="U774" s="32"/>
      <c r="V774" s="2"/>
      <c r="W774" s="2"/>
      <c r="X774" s="2"/>
      <c r="Y774" s="2"/>
      <c r="Z774" s="2"/>
    </row>
    <row r="775" spans="1:26" ht="13.8" x14ac:dyDescent="0.3">
      <c r="A775" s="32" t="s">
        <v>380</v>
      </c>
      <c r="B775" s="2" t="s">
        <v>107</v>
      </c>
      <c r="C775" s="10">
        <v>2525136</v>
      </c>
      <c r="D775" s="10" t="s">
        <v>1205</v>
      </c>
      <c r="E775" s="10">
        <v>2525136</v>
      </c>
      <c r="F775" s="10" t="s">
        <v>1205</v>
      </c>
      <c r="G775" s="69">
        <v>7</v>
      </c>
      <c r="H775" s="69">
        <v>0</v>
      </c>
      <c r="I775" s="69">
        <f t="shared" si="227"/>
        <v>0</v>
      </c>
      <c r="J775" s="70">
        <v>1</v>
      </c>
      <c r="K775" s="69">
        <f t="shared" si="228"/>
        <v>5.705000000000001</v>
      </c>
      <c r="L775" s="79" t="s">
        <v>468</v>
      </c>
      <c r="M775" s="61">
        <f t="shared" si="231"/>
        <v>0.245</v>
      </c>
      <c r="N775" s="61">
        <f t="shared" si="232"/>
        <v>0</v>
      </c>
      <c r="O775" s="58"/>
      <c r="P775" s="2"/>
      <c r="Q775" s="2"/>
      <c r="R775" s="32"/>
      <c r="S775" s="32"/>
      <c r="T775" s="32"/>
      <c r="U775" s="32"/>
      <c r="V775" s="2"/>
      <c r="W775" s="2"/>
      <c r="X775" s="2"/>
      <c r="Y775" s="2"/>
      <c r="Z775" s="2"/>
    </row>
    <row r="776" spans="1:26" ht="13.8" x14ac:dyDescent="0.3">
      <c r="A776" s="32" t="s">
        <v>380</v>
      </c>
      <c r="B776" s="2" t="s">
        <v>107</v>
      </c>
      <c r="C776" s="10">
        <v>2525136</v>
      </c>
      <c r="D776" s="10" t="s">
        <v>1205</v>
      </c>
      <c r="E776" s="10">
        <v>2600460</v>
      </c>
      <c r="F776" s="10" t="s">
        <v>1312</v>
      </c>
      <c r="G776" s="69">
        <v>22.89</v>
      </c>
      <c r="H776" s="69">
        <v>0.73</v>
      </c>
      <c r="I776" s="69">
        <f t="shared" si="227"/>
        <v>0.47449999999999998</v>
      </c>
      <c r="J776" s="70">
        <v>1</v>
      </c>
      <c r="K776" s="69">
        <f t="shared" si="228"/>
        <v>19.05247</v>
      </c>
      <c r="L776" s="79" t="s">
        <v>468</v>
      </c>
      <c r="M776" s="61">
        <f t="shared" si="231"/>
        <v>0.78417750000000008</v>
      </c>
      <c r="N776" s="61">
        <f t="shared" si="232"/>
        <v>7.2452499999999989E-2</v>
      </c>
      <c r="O776" s="58"/>
      <c r="P776" s="2"/>
      <c r="Q776" s="2"/>
      <c r="R776" s="32"/>
      <c r="S776" s="32"/>
      <c r="T776" s="32"/>
      <c r="U776" s="32"/>
      <c r="V776" s="2"/>
      <c r="W776" s="2"/>
      <c r="X776" s="2"/>
      <c r="Y776" s="2"/>
      <c r="Z776" s="2"/>
    </row>
    <row r="777" spans="1:26" ht="13.8" x14ac:dyDescent="0.3">
      <c r="A777" s="32" t="s">
        <v>380</v>
      </c>
      <c r="B777" s="32" t="s">
        <v>69</v>
      </c>
      <c r="C777" s="10" t="s">
        <v>1230</v>
      </c>
      <c r="D777" s="10" t="s">
        <v>1231</v>
      </c>
      <c r="E777" s="10" t="s">
        <v>1232</v>
      </c>
      <c r="F777" s="10" t="s">
        <v>1233</v>
      </c>
      <c r="G777" s="69">
        <v>146.44</v>
      </c>
      <c r="H777" s="69">
        <v>64</v>
      </c>
      <c r="I777" s="69">
        <f>H777*0.72</f>
        <v>46.08</v>
      </c>
      <c r="J777" s="70">
        <v>1</v>
      </c>
      <c r="K777" s="69">
        <f t="shared" ref="K777:K789" si="233">(G777+I777)*J777</f>
        <v>192.51999999999998</v>
      </c>
      <c r="L777" s="78">
        <f t="shared" ref="L777:L781" si="234">H777*0.05*J777</f>
        <v>3.2</v>
      </c>
      <c r="M777" s="61">
        <v>0</v>
      </c>
      <c r="N777" s="61">
        <f>H777*0.08*J777</f>
        <v>5.12</v>
      </c>
      <c r="O777" s="58"/>
      <c r="P777" s="2"/>
      <c r="Q777" s="2"/>
      <c r="R777" s="32"/>
      <c r="S777" s="32"/>
      <c r="T777" s="32"/>
      <c r="U777" s="32"/>
      <c r="V777" s="2"/>
      <c r="W777" s="2"/>
      <c r="X777" s="2"/>
      <c r="Y777" s="2"/>
      <c r="Z777" s="2"/>
    </row>
    <row r="778" spans="1:26" ht="13.8" x14ac:dyDescent="0.3">
      <c r="A778" s="32" t="s">
        <v>380</v>
      </c>
      <c r="B778" s="29" t="s">
        <v>35</v>
      </c>
      <c r="C778" s="10" t="s">
        <v>1230</v>
      </c>
      <c r="D778" s="10" t="s">
        <v>1231</v>
      </c>
      <c r="E778" s="10" t="s">
        <v>1316</v>
      </c>
      <c r="F778" s="10" t="s">
        <v>1317</v>
      </c>
      <c r="G778" s="69">
        <v>-8</v>
      </c>
      <c r="H778" s="69">
        <v>0.39</v>
      </c>
      <c r="I778" s="69">
        <f t="shared" ref="I778:I781" si="235">H778*0.79</f>
        <v>0.30810000000000004</v>
      </c>
      <c r="J778" s="75">
        <v>0.27349000000000001</v>
      </c>
      <c r="K778" s="69">
        <f t="shared" si="233"/>
        <v>-2.1036577310000002</v>
      </c>
      <c r="L778" s="78">
        <f t="shared" si="234"/>
        <v>5.3330550000000015E-3</v>
      </c>
      <c r="M778" s="61">
        <v>0</v>
      </c>
      <c r="N778" s="61">
        <f t="shared" ref="N778:N781" si="236">H778*0.04*J778</f>
        <v>4.2664440000000003E-3</v>
      </c>
      <c r="O778" s="61"/>
      <c r="P778" s="2"/>
      <c r="Q778" s="2"/>
      <c r="R778" s="32"/>
      <c r="S778" s="32"/>
      <c r="T778" s="32"/>
      <c r="U778" s="32"/>
      <c r="V778" s="2"/>
      <c r="W778" s="2"/>
      <c r="X778" s="2"/>
      <c r="Y778" s="2"/>
      <c r="Z778" s="2"/>
    </row>
    <row r="779" spans="1:26" ht="13.8" x14ac:dyDescent="0.3">
      <c r="A779" s="32" t="s">
        <v>380</v>
      </c>
      <c r="B779" s="29" t="s">
        <v>35</v>
      </c>
      <c r="C779" s="10" t="s">
        <v>1138</v>
      </c>
      <c r="D779" s="10" t="s">
        <v>1139</v>
      </c>
      <c r="E779" s="10" t="s">
        <v>1140</v>
      </c>
      <c r="F779" s="10" t="s">
        <v>1141</v>
      </c>
      <c r="G779" s="69">
        <v>-63.6</v>
      </c>
      <c r="H779" s="69">
        <v>3.18</v>
      </c>
      <c r="I779" s="69">
        <f t="shared" si="235"/>
        <v>2.5122000000000004</v>
      </c>
      <c r="J779" s="75">
        <v>0.27349000000000001</v>
      </c>
      <c r="K779" s="69">
        <f t="shared" si="233"/>
        <v>-16.706902422000002</v>
      </c>
      <c r="L779" s="78">
        <f t="shared" si="234"/>
        <v>4.3484910000000009E-2</v>
      </c>
      <c r="M779" s="61">
        <v>0</v>
      </c>
      <c r="N779" s="61">
        <f t="shared" si="236"/>
        <v>3.4787928000000003E-2</v>
      </c>
      <c r="O779" s="61"/>
      <c r="P779" s="2"/>
      <c r="Q779" s="2"/>
      <c r="R779" s="32"/>
      <c r="S779" s="32"/>
      <c r="T779" s="32"/>
      <c r="U779" s="32"/>
      <c r="V779" s="2"/>
      <c r="W779" s="2"/>
      <c r="X779" s="2"/>
      <c r="Y779" s="2"/>
      <c r="Z779" s="2"/>
    </row>
    <row r="780" spans="1:26" ht="13.8" x14ac:dyDescent="0.3">
      <c r="A780" s="32" t="s">
        <v>380</v>
      </c>
      <c r="B780" s="29" t="s">
        <v>35</v>
      </c>
      <c r="C780" s="10" t="s">
        <v>1138</v>
      </c>
      <c r="D780" s="10" t="s">
        <v>1139</v>
      </c>
      <c r="E780" s="10" t="s">
        <v>1238</v>
      </c>
      <c r="F780" s="10" t="s">
        <v>1239</v>
      </c>
      <c r="G780" s="69">
        <v>1253.75</v>
      </c>
      <c r="H780" s="69">
        <v>794.68</v>
      </c>
      <c r="I780" s="69">
        <f t="shared" si="235"/>
        <v>627.79719999999998</v>
      </c>
      <c r="J780" s="75">
        <v>0.27349000000000001</v>
      </c>
      <c r="K780" s="69">
        <f t="shared" si="233"/>
        <v>514.58434372800002</v>
      </c>
      <c r="L780" s="78">
        <f t="shared" si="234"/>
        <v>10.866851660000002</v>
      </c>
      <c r="M780" s="61">
        <v>0</v>
      </c>
      <c r="N780" s="61">
        <f t="shared" si="236"/>
        <v>8.6934813280000007</v>
      </c>
      <c r="O780" s="61"/>
      <c r="P780" s="2"/>
      <c r="Q780" s="2"/>
      <c r="R780" s="32"/>
      <c r="S780" s="32"/>
      <c r="T780" s="32"/>
      <c r="U780" s="32"/>
      <c r="V780" s="2"/>
      <c r="W780" s="2"/>
      <c r="X780" s="2"/>
      <c r="Y780" s="2"/>
      <c r="Z780" s="2"/>
    </row>
    <row r="781" spans="1:26" ht="13.8" x14ac:dyDescent="0.3">
      <c r="A781" s="32" t="s">
        <v>380</v>
      </c>
      <c r="B781" s="29" t="s">
        <v>35</v>
      </c>
      <c r="C781" s="10" t="s">
        <v>1138</v>
      </c>
      <c r="D781" s="10" t="s">
        <v>1139</v>
      </c>
      <c r="E781" s="10" t="s">
        <v>1240</v>
      </c>
      <c r="F781" s="10" t="s">
        <v>1241</v>
      </c>
      <c r="G781" s="69">
        <v>21.6</v>
      </c>
      <c r="H781" s="69">
        <v>1.2</v>
      </c>
      <c r="I781" s="69">
        <f t="shared" si="235"/>
        <v>0.94799999999999995</v>
      </c>
      <c r="J781" s="75">
        <v>0.27349000000000001</v>
      </c>
      <c r="K781" s="69">
        <f t="shared" si="233"/>
        <v>6.1666525200000004</v>
      </c>
      <c r="L781" s="78">
        <f t="shared" si="234"/>
        <v>1.6409400000000001E-2</v>
      </c>
      <c r="M781" s="61">
        <v>0</v>
      </c>
      <c r="N781" s="61">
        <f t="shared" si="236"/>
        <v>1.312752E-2</v>
      </c>
      <c r="O781" s="61"/>
      <c r="P781" s="2"/>
      <c r="Q781" s="2"/>
      <c r="R781" s="32"/>
      <c r="S781" s="32"/>
      <c r="T781" s="32"/>
      <c r="U781" s="32"/>
      <c r="V781" s="2"/>
      <c r="W781" s="2"/>
      <c r="X781" s="2"/>
      <c r="Y781" s="2"/>
      <c r="Z781" s="2"/>
    </row>
    <row r="782" spans="1:26" ht="13.8" x14ac:dyDescent="0.3">
      <c r="A782" s="32" t="s">
        <v>380</v>
      </c>
      <c r="B782" s="10" t="s">
        <v>184</v>
      </c>
      <c r="C782" s="10" t="s">
        <v>1158</v>
      </c>
      <c r="D782" s="10" t="s">
        <v>1159</v>
      </c>
      <c r="E782" s="10" t="s">
        <v>1158</v>
      </c>
      <c r="F782" s="10" t="s">
        <v>1159</v>
      </c>
      <c r="G782" s="69">
        <v>-20394.5</v>
      </c>
      <c r="H782" s="69">
        <v>1591.65</v>
      </c>
      <c r="I782" s="69">
        <f t="shared" ref="I782:I789" si="237">H782*0.725</f>
        <v>1153.94625</v>
      </c>
      <c r="J782" s="75">
        <v>0.27349000000000001</v>
      </c>
      <c r="K782" s="69">
        <f t="shared" si="233"/>
        <v>-5262.0990450874997</v>
      </c>
      <c r="L782" s="78">
        <f t="shared" ref="L782:L789" si="238">H782*0.025*J782</f>
        <v>10.882508962500001</v>
      </c>
      <c r="M782" s="61">
        <v>0</v>
      </c>
      <c r="N782" s="61">
        <f t="shared" ref="N782:N789" si="239">H782*0.05*J782</f>
        <v>21.765017925000002</v>
      </c>
      <c r="O782" s="58"/>
      <c r="P782" s="2"/>
      <c r="Q782" s="2"/>
      <c r="R782" s="32"/>
      <c r="S782" s="32"/>
      <c r="T782" s="32"/>
      <c r="U782" s="32"/>
      <c r="V782" s="2"/>
      <c r="W782" s="2"/>
      <c r="X782" s="2"/>
      <c r="Y782" s="2"/>
      <c r="Z782" s="2"/>
    </row>
    <row r="783" spans="1:26" ht="13.8" x14ac:dyDescent="0.3">
      <c r="A783" s="32" t="s">
        <v>380</v>
      </c>
      <c r="B783" s="10" t="s">
        <v>184</v>
      </c>
      <c r="C783" s="10" t="s">
        <v>1138</v>
      </c>
      <c r="D783" s="10" t="s">
        <v>1139</v>
      </c>
      <c r="E783" s="10" t="s">
        <v>1268</v>
      </c>
      <c r="F783" s="10" t="s">
        <v>1269</v>
      </c>
      <c r="G783" s="69">
        <v>2782.98</v>
      </c>
      <c r="H783" s="69">
        <v>2198.62</v>
      </c>
      <c r="I783" s="69">
        <f t="shared" si="237"/>
        <v>1593.9994999999999</v>
      </c>
      <c r="J783" s="75">
        <v>0.27349000000000001</v>
      </c>
      <c r="K783" s="69">
        <f t="shared" si="233"/>
        <v>1197.0601234549999</v>
      </c>
      <c r="L783" s="78">
        <f t="shared" si="238"/>
        <v>15.032514595</v>
      </c>
      <c r="M783" s="61">
        <v>0</v>
      </c>
      <c r="N783" s="61">
        <f t="shared" si="239"/>
        <v>30.065029190000001</v>
      </c>
      <c r="O783" s="58"/>
      <c r="P783" s="2"/>
      <c r="Q783" s="2"/>
      <c r="R783" s="32"/>
      <c r="S783" s="32"/>
      <c r="T783" s="32"/>
      <c r="U783" s="32"/>
      <c r="V783" s="2"/>
      <c r="W783" s="2"/>
      <c r="X783" s="2"/>
      <c r="Y783" s="2"/>
      <c r="Z783" s="2"/>
    </row>
    <row r="784" spans="1:26" ht="13.8" x14ac:dyDescent="0.3">
      <c r="A784" s="32" t="s">
        <v>380</v>
      </c>
      <c r="B784" s="10" t="s">
        <v>184</v>
      </c>
      <c r="C784" s="10" t="s">
        <v>1138</v>
      </c>
      <c r="D784" s="10" t="s">
        <v>1139</v>
      </c>
      <c r="E784" s="10" t="s">
        <v>1246</v>
      </c>
      <c r="F784" s="10" t="s">
        <v>1247</v>
      </c>
      <c r="G784" s="69">
        <v>-170.23</v>
      </c>
      <c r="H784" s="69">
        <v>542.4</v>
      </c>
      <c r="I784" s="69">
        <f t="shared" si="237"/>
        <v>393.23999999999995</v>
      </c>
      <c r="J784" s="75">
        <v>0.27349000000000001</v>
      </c>
      <c r="K784" s="69">
        <f t="shared" si="233"/>
        <v>60.991004899999993</v>
      </c>
      <c r="L784" s="78">
        <f t="shared" si="238"/>
        <v>3.7085244000000004</v>
      </c>
      <c r="M784" s="61">
        <v>0</v>
      </c>
      <c r="N784" s="61">
        <f t="shared" si="239"/>
        <v>7.4170488000000008</v>
      </c>
      <c r="O784" s="58"/>
      <c r="P784" s="2"/>
      <c r="Q784" s="2"/>
      <c r="R784" s="32"/>
      <c r="S784" s="32"/>
      <c r="T784" s="32"/>
      <c r="U784" s="32"/>
      <c r="V784" s="2"/>
      <c r="W784" s="2"/>
      <c r="X784" s="2"/>
      <c r="Y784" s="2"/>
      <c r="Z784" s="2"/>
    </row>
    <row r="785" spans="1:26" ht="13.8" x14ac:dyDescent="0.3">
      <c r="A785" s="32" t="s">
        <v>380</v>
      </c>
      <c r="B785" s="10" t="s">
        <v>184</v>
      </c>
      <c r="C785" s="10" t="s">
        <v>1138</v>
      </c>
      <c r="D785" s="10" t="s">
        <v>1139</v>
      </c>
      <c r="E785" s="10" t="s">
        <v>1140</v>
      </c>
      <c r="F785" s="10" t="s">
        <v>1141</v>
      </c>
      <c r="G785" s="69">
        <v>6388.09</v>
      </c>
      <c r="H785" s="69">
        <v>2471.7800000000002</v>
      </c>
      <c r="I785" s="69">
        <f t="shared" si="237"/>
        <v>1792.0405000000001</v>
      </c>
      <c r="J785" s="75">
        <v>0.27349000000000001</v>
      </c>
      <c r="K785" s="69">
        <f t="shared" si="233"/>
        <v>2237.1838904450001</v>
      </c>
      <c r="L785" s="78">
        <f t="shared" si="238"/>
        <v>16.900177805000002</v>
      </c>
      <c r="M785" s="61">
        <v>0</v>
      </c>
      <c r="N785" s="61">
        <f t="shared" si="239"/>
        <v>33.800355610000004</v>
      </c>
      <c r="O785" s="58"/>
      <c r="P785" s="2"/>
      <c r="Q785" s="2"/>
      <c r="R785" s="32"/>
      <c r="S785" s="32"/>
      <c r="T785" s="32"/>
      <c r="U785" s="32"/>
      <c r="V785" s="2"/>
      <c r="W785" s="2"/>
      <c r="X785" s="2"/>
      <c r="Y785" s="2"/>
      <c r="Z785" s="2"/>
    </row>
    <row r="786" spans="1:26" ht="13.8" x14ac:dyDescent="0.3">
      <c r="A786" s="32" t="s">
        <v>380</v>
      </c>
      <c r="B786" s="10" t="s">
        <v>184</v>
      </c>
      <c r="C786" s="10" t="s">
        <v>1138</v>
      </c>
      <c r="D786" s="10" t="s">
        <v>1139</v>
      </c>
      <c r="E786" s="10" t="s">
        <v>1304</v>
      </c>
      <c r="F786" s="10" t="s">
        <v>1305</v>
      </c>
      <c r="G786" s="69">
        <v>-1293.44</v>
      </c>
      <c r="H786" s="69">
        <v>100.74</v>
      </c>
      <c r="I786" s="69">
        <f t="shared" si="237"/>
        <v>73.03649999999999</v>
      </c>
      <c r="J786" s="75">
        <v>0.27349000000000001</v>
      </c>
      <c r="K786" s="69">
        <f t="shared" si="233"/>
        <v>-333.76815321500004</v>
      </c>
      <c r="L786" s="78">
        <f t="shared" si="238"/>
        <v>0.68878456500000007</v>
      </c>
      <c r="M786" s="61">
        <v>0</v>
      </c>
      <c r="N786" s="61">
        <f t="shared" si="239"/>
        <v>1.3775691300000001</v>
      </c>
      <c r="O786" s="58"/>
      <c r="P786" s="2"/>
      <c r="Q786" s="2"/>
      <c r="R786" s="32"/>
      <c r="S786" s="32"/>
      <c r="T786" s="32"/>
      <c r="U786" s="32"/>
      <c r="V786" s="2"/>
      <c r="W786" s="2"/>
      <c r="X786" s="2"/>
      <c r="Y786" s="2"/>
      <c r="Z786" s="2"/>
    </row>
    <row r="787" spans="1:26" ht="13.8" x14ac:dyDescent="0.3">
      <c r="A787" s="32" t="s">
        <v>380</v>
      </c>
      <c r="B787" s="10" t="s">
        <v>184</v>
      </c>
      <c r="C787" s="10" t="s">
        <v>1138</v>
      </c>
      <c r="D787" s="10" t="s">
        <v>1139</v>
      </c>
      <c r="E787" s="10" t="s">
        <v>1143</v>
      </c>
      <c r="F787" s="10" t="s">
        <v>1144</v>
      </c>
      <c r="G787" s="69">
        <v>-137.47999999999999</v>
      </c>
      <c r="H787" s="69">
        <v>105.64</v>
      </c>
      <c r="I787" s="69">
        <f t="shared" si="237"/>
        <v>76.588999999999999</v>
      </c>
      <c r="J787" s="75">
        <v>0.27349000000000001</v>
      </c>
      <c r="K787" s="69">
        <f t="shared" si="233"/>
        <v>-16.653079589999997</v>
      </c>
      <c r="L787" s="78">
        <f t="shared" si="238"/>
        <v>0.72228709000000002</v>
      </c>
      <c r="M787" s="61">
        <v>0</v>
      </c>
      <c r="N787" s="61">
        <f t="shared" si="239"/>
        <v>1.44457418</v>
      </c>
      <c r="O787" s="58"/>
      <c r="P787" s="2"/>
      <c r="Q787" s="2"/>
      <c r="R787" s="32"/>
      <c r="S787" s="32"/>
      <c r="T787" s="32"/>
      <c r="U787" s="32"/>
      <c r="V787" s="2"/>
      <c r="W787" s="2"/>
      <c r="X787" s="2"/>
      <c r="Y787" s="2"/>
      <c r="Z787" s="2"/>
    </row>
    <row r="788" spans="1:26" ht="13.8" x14ac:dyDescent="0.3">
      <c r="A788" s="32" t="s">
        <v>380</v>
      </c>
      <c r="B788" s="10" t="s">
        <v>184</v>
      </c>
      <c r="C788" s="10" t="s">
        <v>1138</v>
      </c>
      <c r="D788" s="10" t="s">
        <v>1139</v>
      </c>
      <c r="E788" s="10" t="s">
        <v>1240</v>
      </c>
      <c r="F788" s="10" t="s">
        <v>1241</v>
      </c>
      <c r="G788" s="69">
        <v>129.57</v>
      </c>
      <c r="H788" s="69">
        <v>49.71</v>
      </c>
      <c r="I788" s="69">
        <f t="shared" si="237"/>
        <v>36.039749999999998</v>
      </c>
      <c r="J788" s="75">
        <v>0.27349000000000001</v>
      </c>
      <c r="K788" s="69">
        <f t="shared" si="233"/>
        <v>45.292610527500003</v>
      </c>
      <c r="L788" s="78">
        <f t="shared" si="238"/>
        <v>0.33987969750000002</v>
      </c>
      <c r="M788" s="61">
        <v>0</v>
      </c>
      <c r="N788" s="61">
        <f t="shared" si="239"/>
        <v>0.67975939500000004</v>
      </c>
      <c r="O788" s="58"/>
      <c r="P788" s="2"/>
      <c r="Q788" s="2"/>
      <c r="R788" s="32"/>
      <c r="S788" s="32"/>
      <c r="T788" s="32"/>
      <c r="U788" s="32"/>
      <c r="V788" s="2"/>
      <c r="W788" s="2"/>
      <c r="X788" s="2"/>
      <c r="Y788" s="2"/>
      <c r="Z788" s="2"/>
    </row>
    <row r="789" spans="1:26" ht="13.8" x14ac:dyDescent="0.3">
      <c r="A789" s="32" t="s">
        <v>380</v>
      </c>
      <c r="B789" s="10" t="s">
        <v>184</v>
      </c>
      <c r="C789" s="10" t="s">
        <v>1230</v>
      </c>
      <c r="D789" s="10" t="s">
        <v>1231</v>
      </c>
      <c r="E789" s="10" t="s">
        <v>1230</v>
      </c>
      <c r="F789" s="10" t="s">
        <v>1231</v>
      </c>
      <c r="G789" s="69">
        <v>-763.34</v>
      </c>
      <c r="H789" s="69">
        <v>2594.85</v>
      </c>
      <c r="I789" s="69">
        <f t="shared" si="237"/>
        <v>1881.2662499999999</v>
      </c>
      <c r="J789" s="75">
        <v>0.27349000000000001</v>
      </c>
      <c r="K789" s="69">
        <f t="shared" si="233"/>
        <v>305.7416501125</v>
      </c>
      <c r="L789" s="78">
        <f t="shared" si="238"/>
        <v>17.741638162500003</v>
      </c>
      <c r="M789" s="61">
        <v>0</v>
      </c>
      <c r="N789" s="61">
        <f t="shared" si="239"/>
        <v>35.483276325000006</v>
      </c>
      <c r="O789" s="58"/>
      <c r="P789" s="2"/>
      <c r="Q789" s="2"/>
      <c r="R789" s="32"/>
      <c r="S789" s="32"/>
      <c r="T789" s="32"/>
      <c r="U789" s="32"/>
      <c r="V789" s="2"/>
      <c r="W789" s="2"/>
      <c r="X789" s="2"/>
      <c r="Y789" s="2"/>
      <c r="Z789" s="2"/>
    </row>
    <row r="790" spans="1:26" ht="13.8" x14ac:dyDescent="0.3">
      <c r="A790" s="32" t="s">
        <v>380</v>
      </c>
      <c r="B790" s="2" t="s">
        <v>186</v>
      </c>
      <c r="C790" s="10" t="s">
        <v>15</v>
      </c>
      <c r="D790" s="10" t="s">
        <v>15</v>
      </c>
      <c r="E790" s="10">
        <v>1714680</v>
      </c>
      <c r="F790" s="76" t="s">
        <v>535</v>
      </c>
      <c r="G790" s="69">
        <v>-2619.69</v>
      </c>
      <c r="H790" s="69">
        <v>131.06</v>
      </c>
      <c r="I790" s="69">
        <v>0</v>
      </c>
      <c r="J790" s="70">
        <v>1</v>
      </c>
      <c r="K790" s="69">
        <f>(-H790*0.4*0.15+G790*0.25)*J790*0.3+(H790*0.1*0.85+H790*0.5*0.25)*J790*0.3</f>
        <v>-190.57905000000002</v>
      </c>
      <c r="L790" s="79" t="s">
        <v>468</v>
      </c>
      <c r="M790" s="61">
        <v>0</v>
      </c>
      <c r="N790" s="61">
        <v>0</v>
      </c>
      <c r="O790" s="61"/>
      <c r="P790" s="2"/>
      <c r="Q790" s="2"/>
      <c r="R790" s="32"/>
      <c r="S790" s="32"/>
      <c r="T790" s="32"/>
      <c r="U790" s="32"/>
      <c r="V790" s="2"/>
      <c r="W790" s="2"/>
      <c r="X790" s="2"/>
      <c r="Y790" s="2"/>
      <c r="Z790" s="2"/>
    </row>
    <row r="791" spans="1:26" ht="13.8" x14ac:dyDescent="0.3">
      <c r="A791" s="32" t="s">
        <v>380</v>
      </c>
      <c r="B791" s="2" t="s">
        <v>186</v>
      </c>
      <c r="C791" s="10">
        <v>2304025</v>
      </c>
      <c r="D791" s="10" t="s">
        <v>1162</v>
      </c>
      <c r="E791" s="10">
        <v>2380008</v>
      </c>
      <c r="F791" s="10" t="s">
        <v>1192</v>
      </c>
      <c r="G791" s="69">
        <v>118.01</v>
      </c>
      <c r="H791" s="69">
        <v>13.61</v>
      </c>
      <c r="I791" s="69">
        <f t="shared" ref="I791:I802" si="240">H791*0.5</f>
        <v>6.8049999999999997</v>
      </c>
      <c r="J791" s="70">
        <v>1</v>
      </c>
      <c r="K791" s="69">
        <f t="shared" ref="K791:K802" si="241">(G791+I791)*J791*0.85+(-H791*0.4*0.15)*J791*0.3+H791*0.1*0.85*J791*0.3</f>
        <v>106.19482499999999</v>
      </c>
      <c r="L791" s="79" t="s">
        <v>468</v>
      </c>
      <c r="M791" s="61">
        <f t="shared" ref="M791:M802" si="242">(-H791*0.4*0.15)*J791*0.7-(-H791*0.05*0.15)*J791</f>
        <v>-0.46954499999999988</v>
      </c>
      <c r="N791" s="61">
        <f t="shared" ref="N791:N802" si="243">H791*0.1*0.85*J791*0.7+H791*0.05*0.85*J791</f>
        <v>1.38822</v>
      </c>
      <c r="O791" s="61"/>
      <c r="P791" s="2"/>
      <c r="Q791" s="2"/>
      <c r="R791" s="32"/>
      <c r="S791" s="32"/>
      <c r="T791" s="32"/>
      <c r="U791" s="32"/>
      <c r="V791" s="2"/>
      <c r="W791" s="2"/>
      <c r="X791" s="2"/>
      <c r="Y791" s="2"/>
      <c r="Z791" s="2"/>
    </row>
    <row r="792" spans="1:26" ht="13.8" x14ac:dyDescent="0.3">
      <c r="A792" s="32" t="s">
        <v>380</v>
      </c>
      <c r="B792" s="2" t="s">
        <v>186</v>
      </c>
      <c r="C792" s="10">
        <v>2304025</v>
      </c>
      <c r="D792" s="10" t="s">
        <v>1162</v>
      </c>
      <c r="E792" s="10">
        <v>2381522</v>
      </c>
      <c r="F792" s="10" t="s">
        <v>1166</v>
      </c>
      <c r="G792" s="69">
        <v>-19.52</v>
      </c>
      <c r="H792" s="69">
        <v>38.090000000000003</v>
      </c>
      <c r="I792" s="69">
        <f t="shared" si="240"/>
        <v>19.045000000000002</v>
      </c>
      <c r="J792" s="70">
        <v>1</v>
      </c>
      <c r="K792" s="69">
        <f t="shared" si="241"/>
        <v>-0.11807499999999815</v>
      </c>
      <c r="L792" s="79" t="s">
        <v>468</v>
      </c>
      <c r="M792" s="61">
        <f t="shared" si="242"/>
        <v>-1.3141050000000001</v>
      </c>
      <c r="N792" s="61">
        <f t="shared" si="243"/>
        <v>3.8851800000000001</v>
      </c>
      <c r="O792" s="61"/>
      <c r="P792" s="2"/>
      <c r="Q792" s="2"/>
      <c r="R792" s="32"/>
      <c r="S792" s="32"/>
      <c r="T792" s="32"/>
      <c r="U792" s="32"/>
      <c r="V792" s="2"/>
      <c r="W792" s="2"/>
      <c r="X792" s="2"/>
      <c r="Y792" s="2"/>
      <c r="Z792" s="2"/>
    </row>
    <row r="793" spans="1:26" ht="13.8" x14ac:dyDescent="0.3">
      <c r="A793" s="32" t="s">
        <v>380</v>
      </c>
      <c r="B793" s="2" t="s">
        <v>186</v>
      </c>
      <c r="C793" s="10">
        <v>2304025</v>
      </c>
      <c r="D793" s="10" t="s">
        <v>1162</v>
      </c>
      <c r="E793" s="10">
        <v>2420208</v>
      </c>
      <c r="F793" s="10" t="s">
        <v>1170</v>
      </c>
      <c r="G793" s="69">
        <v>-171.84</v>
      </c>
      <c r="H793" s="69">
        <v>14.35</v>
      </c>
      <c r="I793" s="69">
        <f t="shared" si="240"/>
        <v>7.1749999999999998</v>
      </c>
      <c r="J793" s="70">
        <v>1</v>
      </c>
      <c r="K793" s="69">
        <f t="shared" si="241"/>
        <v>-139.85762499999998</v>
      </c>
      <c r="L793" s="79" t="s">
        <v>468</v>
      </c>
      <c r="M793" s="61">
        <f t="shared" si="242"/>
        <v>-0.49507499999999993</v>
      </c>
      <c r="N793" s="61">
        <f t="shared" si="243"/>
        <v>1.4637000000000002</v>
      </c>
      <c r="O793" s="61"/>
      <c r="P793" s="2"/>
      <c r="Q793" s="2"/>
      <c r="R793" s="32"/>
      <c r="S793" s="32"/>
      <c r="T793" s="32"/>
      <c r="U793" s="32"/>
      <c r="V793" s="2"/>
      <c r="W793" s="2"/>
      <c r="X793" s="2"/>
      <c r="Y793" s="2"/>
      <c r="Z793" s="2"/>
    </row>
    <row r="794" spans="1:26" ht="13.8" x14ac:dyDescent="0.3">
      <c r="A794" s="32" t="s">
        <v>380</v>
      </c>
      <c r="B794" s="2" t="s">
        <v>186</v>
      </c>
      <c r="C794" s="10">
        <v>2304025</v>
      </c>
      <c r="D794" s="10" t="s">
        <v>1162</v>
      </c>
      <c r="E794" s="10">
        <v>2471540</v>
      </c>
      <c r="F794" s="10" t="s">
        <v>1172</v>
      </c>
      <c r="G794" s="69">
        <v>-373.8</v>
      </c>
      <c r="H794" s="69">
        <v>35.69</v>
      </c>
      <c r="I794" s="69">
        <f t="shared" si="240"/>
        <v>17.844999999999999</v>
      </c>
      <c r="J794" s="70">
        <v>1</v>
      </c>
      <c r="K794" s="69">
        <f t="shared" si="241"/>
        <v>-302.29407500000002</v>
      </c>
      <c r="L794" s="79" t="s">
        <v>468</v>
      </c>
      <c r="M794" s="61">
        <f t="shared" si="242"/>
        <v>-1.2313049999999999</v>
      </c>
      <c r="N794" s="61">
        <f t="shared" si="243"/>
        <v>3.6403799999999995</v>
      </c>
      <c r="O794" s="61"/>
      <c r="P794" s="2"/>
      <c r="Q794" s="2"/>
      <c r="R794" s="32"/>
      <c r="S794" s="32"/>
      <c r="T794" s="32"/>
      <c r="U794" s="32"/>
      <c r="V794" s="2"/>
      <c r="W794" s="2"/>
      <c r="X794" s="2"/>
      <c r="Y794" s="2"/>
      <c r="Z794" s="2"/>
    </row>
    <row r="795" spans="1:26" ht="13.8" x14ac:dyDescent="0.3">
      <c r="A795" s="32" t="s">
        <v>380</v>
      </c>
      <c r="B795" s="2" t="s">
        <v>186</v>
      </c>
      <c r="C795" s="10">
        <v>2304025</v>
      </c>
      <c r="D795" s="10" t="s">
        <v>1162</v>
      </c>
      <c r="E795" s="10">
        <v>2531191</v>
      </c>
      <c r="F795" s="10" t="s">
        <v>1259</v>
      </c>
      <c r="G795" s="69">
        <v>633.04</v>
      </c>
      <c r="H795" s="69">
        <v>135.19999999999999</v>
      </c>
      <c r="I795" s="69">
        <f t="shared" si="240"/>
        <v>67.599999999999994</v>
      </c>
      <c r="J795" s="70">
        <v>1</v>
      </c>
      <c r="K795" s="69">
        <f t="shared" si="241"/>
        <v>596.55799999999999</v>
      </c>
      <c r="L795" s="79" t="s">
        <v>468</v>
      </c>
      <c r="M795" s="61">
        <f t="shared" si="242"/>
        <v>-4.6643999999999997</v>
      </c>
      <c r="N795" s="61">
        <f t="shared" si="243"/>
        <v>13.790399999999998</v>
      </c>
      <c r="O795" s="61"/>
      <c r="P795" s="2"/>
      <c r="Q795" s="2"/>
      <c r="R795" s="32"/>
      <c r="S795" s="32"/>
      <c r="T795" s="32"/>
      <c r="U795" s="32"/>
      <c r="V795" s="2"/>
      <c r="W795" s="2"/>
      <c r="X795" s="2"/>
      <c r="Y795" s="2"/>
      <c r="Z795" s="2"/>
    </row>
    <row r="796" spans="1:26" ht="13.8" x14ac:dyDescent="0.3">
      <c r="A796" s="32" t="s">
        <v>380</v>
      </c>
      <c r="B796" s="2" t="s">
        <v>186</v>
      </c>
      <c r="C796" s="10">
        <v>2304025</v>
      </c>
      <c r="D796" s="10" t="s">
        <v>1162</v>
      </c>
      <c r="E796" s="10">
        <v>2540293</v>
      </c>
      <c r="F796" s="10" t="s">
        <v>1261</v>
      </c>
      <c r="G796" s="69">
        <v>8.35</v>
      </c>
      <c r="H796" s="69">
        <v>29.36</v>
      </c>
      <c r="I796" s="69">
        <f t="shared" si="240"/>
        <v>14.68</v>
      </c>
      <c r="J796" s="70">
        <v>1</v>
      </c>
      <c r="K796" s="69">
        <f t="shared" si="241"/>
        <v>19.795700000000004</v>
      </c>
      <c r="L796" s="79" t="s">
        <v>468</v>
      </c>
      <c r="M796" s="61">
        <f t="shared" si="242"/>
        <v>-1.0129199999999998</v>
      </c>
      <c r="N796" s="61">
        <f t="shared" si="243"/>
        <v>2.99472</v>
      </c>
      <c r="O796" s="61"/>
      <c r="P796" s="2"/>
      <c r="Q796" s="2"/>
      <c r="R796" s="32"/>
      <c r="S796" s="32"/>
      <c r="T796" s="32"/>
      <c r="U796" s="32"/>
      <c r="V796" s="2"/>
      <c r="W796" s="2"/>
      <c r="X796" s="2"/>
      <c r="Y796" s="2"/>
      <c r="Z796" s="2"/>
    </row>
    <row r="797" spans="1:26" ht="13.8" x14ac:dyDescent="0.3">
      <c r="A797" s="32" t="s">
        <v>380</v>
      </c>
      <c r="B797" s="2" t="s">
        <v>186</v>
      </c>
      <c r="C797" s="10">
        <v>2304025</v>
      </c>
      <c r="D797" s="10" t="s">
        <v>1162</v>
      </c>
      <c r="E797" s="10">
        <v>2540315</v>
      </c>
      <c r="F797" s="10" t="s">
        <v>1262</v>
      </c>
      <c r="G797" s="69">
        <v>6.45</v>
      </c>
      <c r="H797" s="69">
        <v>8.7899999999999991</v>
      </c>
      <c r="I797" s="69">
        <f t="shared" si="240"/>
        <v>4.3949999999999996</v>
      </c>
      <c r="J797" s="70">
        <v>1</v>
      </c>
      <c r="K797" s="69">
        <f t="shared" si="241"/>
        <v>9.2841749999999994</v>
      </c>
      <c r="L797" s="79" t="s">
        <v>468</v>
      </c>
      <c r="M797" s="61">
        <f t="shared" si="242"/>
        <v>-0.30325499999999994</v>
      </c>
      <c r="N797" s="61">
        <f t="shared" si="243"/>
        <v>0.89657999999999993</v>
      </c>
      <c r="O797" s="61"/>
      <c r="P797" s="2"/>
      <c r="Q797" s="2"/>
      <c r="R797" s="32"/>
      <c r="S797" s="32"/>
      <c r="T797" s="32"/>
      <c r="U797" s="32"/>
      <c r="V797" s="2"/>
      <c r="W797" s="2"/>
      <c r="X797" s="2"/>
      <c r="Y797" s="2"/>
      <c r="Z797" s="2"/>
    </row>
    <row r="798" spans="1:26" ht="13.8" x14ac:dyDescent="0.3">
      <c r="A798" s="32" t="s">
        <v>380</v>
      </c>
      <c r="B798" s="2" t="s">
        <v>186</v>
      </c>
      <c r="C798" s="10">
        <v>2304025</v>
      </c>
      <c r="D798" s="10" t="s">
        <v>1162</v>
      </c>
      <c r="E798" s="10">
        <v>2554720</v>
      </c>
      <c r="F798" s="10" t="s">
        <v>1270</v>
      </c>
      <c r="G798" s="69">
        <v>-43.18</v>
      </c>
      <c r="H798" s="69">
        <v>14.29</v>
      </c>
      <c r="I798" s="69">
        <f t="shared" si="240"/>
        <v>7.1449999999999996</v>
      </c>
      <c r="J798" s="70">
        <v>1</v>
      </c>
      <c r="K798" s="69">
        <f t="shared" si="241"/>
        <v>-30.522575</v>
      </c>
      <c r="L798" s="79" t="s">
        <v>468</v>
      </c>
      <c r="M798" s="61">
        <f t="shared" si="242"/>
        <v>-0.49300500000000003</v>
      </c>
      <c r="N798" s="61">
        <f t="shared" si="243"/>
        <v>1.4575800000000001</v>
      </c>
      <c r="O798" s="61"/>
      <c r="P798" s="2"/>
      <c r="Q798" s="2"/>
      <c r="R798" s="32"/>
      <c r="S798" s="32"/>
      <c r="T798" s="32"/>
      <c r="U798" s="32"/>
      <c r="V798" s="2"/>
      <c r="W798" s="2"/>
      <c r="X798" s="2"/>
      <c r="Y798" s="2"/>
      <c r="Z798" s="2"/>
    </row>
    <row r="799" spans="1:26" ht="13.8" x14ac:dyDescent="0.3">
      <c r="A799" s="32" t="s">
        <v>380</v>
      </c>
      <c r="B799" s="2" t="s">
        <v>186</v>
      </c>
      <c r="C799" s="10">
        <v>2304025</v>
      </c>
      <c r="D799" s="10" t="s">
        <v>1162</v>
      </c>
      <c r="E799" s="10">
        <v>2559299</v>
      </c>
      <c r="F799" s="10" t="s">
        <v>1302</v>
      </c>
      <c r="G799" s="69">
        <v>104.13</v>
      </c>
      <c r="H799" s="69">
        <v>8.15</v>
      </c>
      <c r="I799" s="69">
        <f t="shared" si="240"/>
        <v>4.0750000000000002</v>
      </c>
      <c r="J799" s="70">
        <v>1</v>
      </c>
      <c r="K799" s="69">
        <f t="shared" si="241"/>
        <v>92.035375000000002</v>
      </c>
      <c r="L799" s="79" t="s">
        <v>468</v>
      </c>
      <c r="M799" s="61">
        <f t="shared" si="242"/>
        <v>-0.28117500000000001</v>
      </c>
      <c r="N799" s="61">
        <f t="shared" si="243"/>
        <v>0.83129999999999993</v>
      </c>
      <c r="O799" s="61"/>
      <c r="P799" s="2"/>
      <c r="Q799" s="2"/>
      <c r="R799" s="32"/>
      <c r="S799" s="32"/>
      <c r="T799" s="32"/>
      <c r="U799" s="32"/>
      <c r="V799" s="2"/>
      <c r="W799" s="2"/>
      <c r="X799" s="2"/>
      <c r="Y799" s="2"/>
      <c r="Z799" s="2"/>
    </row>
    <row r="800" spans="1:26" ht="13.8" x14ac:dyDescent="0.3">
      <c r="A800" s="32" t="s">
        <v>380</v>
      </c>
      <c r="B800" s="2" t="s">
        <v>186</v>
      </c>
      <c r="C800" s="10">
        <v>2304025</v>
      </c>
      <c r="D800" s="10" t="s">
        <v>1162</v>
      </c>
      <c r="E800" s="10">
        <v>2575824</v>
      </c>
      <c r="F800" s="10" t="s">
        <v>1284</v>
      </c>
      <c r="G800" s="69">
        <v>-86.14</v>
      </c>
      <c r="H800" s="69">
        <v>30.55</v>
      </c>
      <c r="I800" s="69">
        <f t="shared" si="240"/>
        <v>15.275</v>
      </c>
      <c r="J800" s="70">
        <v>1</v>
      </c>
      <c r="K800" s="69">
        <f t="shared" si="241"/>
        <v>-60.006124999999997</v>
      </c>
      <c r="L800" s="79" t="s">
        <v>468</v>
      </c>
      <c r="M800" s="61">
        <f t="shared" si="242"/>
        <v>-1.0539749999999999</v>
      </c>
      <c r="N800" s="61">
        <f t="shared" si="243"/>
        <v>3.1161000000000003</v>
      </c>
      <c r="O800" s="61"/>
      <c r="P800" s="2"/>
      <c r="Q800" s="2"/>
      <c r="R800" s="32"/>
      <c r="S800" s="32"/>
      <c r="T800" s="32"/>
      <c r="U800" s="32"/>
      <c r="V800" s="2"/>
      <c r="W800" s="2"/>
      <c r="X800" s="2"/>
      <c r="Y800" s="2"/>
      <c r="Z800" s="2"/>
    </row>
    <row r="801" spans="1:26" ht="13.8" x14ac:dyDescent="0.3">
      <c r="A801" s="32" t="s">
        <v>380</v>
      </c>
      <c r="B801" s="2" t="s">
        <v>186</v>
      </c>
      <c r="C801" s="10">
        <v>2304025</v>
      </c>
      <c r="D801" s="10" t="s">
        <v>1162</v>
      </c>
      <c r="E801" s="10">
        <v>2575978</v>
      </c>
      <c r="F801" s="10" t="s">
        <v>1285</v>
      </c>
      <c r="G801" s="69">
        <v>68.88</v>
      </c>
      <c r="H801" s="69">
        <v>4.58</v>
      </c>
      <c r="I801" s="69">
        <f t="shared" si="240"/>
        <v>2.29</v>
      </c>
      <c r="J801" s="70">
        <v>1</v>
      </c>
      <c r="K801" s="69">
        <f t="shared" si="241"/>
        <v>60.528850000000006</v>
      </c>
      <c r="L801" s="79" t="s">
        <v>468</v>
      </c>
      <c r="M801" s="61">
        <f t="shared" si="242"/>
        <v>-0.15800999999999998</v>
      </c>
      <c r="N801" s="61">
        <f t="shared" si="243"/>
        <v>0.46715999999999996</v>
      </c>
      <c r="O801" s="61"/>
      <c r="P801" s="2"/>
      <c r="Q801" s="2"/>
      <c r="R801" s="32"/>
      <c r="S801" s="32"/>
      <c r="T801" s="32"/>
      <c r="U801" s="32"/>
      <c r="V801" s="2"/>
      <c r="W801" s="2"/>
      <c r="X801" s="2"/>
      <c r="Y801" s="2"/>
      <c r="Z801" s="2"/>
    </row>
    <row r="802" spans="1:26" ht="13.8" x14ac:dyDescent="0.3">
      <c r="A802" s="32" t="s">
        <v>380</v>
      </c>
      <c r="B802" s="2" t="s">
        <v>186</v>
      </c>
      <c r="C802" s="10">
        <v>2525136</v>
      </c>
      <c r="D802" s="10" t="s">
        <v>1205</v>
      </c>
      <c r="E802" s="10">
        <v>2525136</v>
      </c>
      <c r="F802" s="10" t="s">
        <v>1205</v>
      </c>
      <c r="G802" s="69">
        <v>493.27</v>
      </c>
      <c r="H802" s="69">
        <v>67.56</v>
      </c>
      <c r="I802" s="69">
        <f t="shared" si="240"/>
        <v>33.78</v>
      </c>
      <c r="J802" s="70">
        <v>1</v>
      </c>
      <c r="K802" s="69">
        <f t="shared" si="241"/>
        <v>448.49919999999997</v>
      </c>
      <c r="L802" s="79" t="s">
        <v>468</v>
      </c>
      <c r="M802" s="61">
        <f t="shared" si="242"/>
        <v>-2.3308200000000001</v>
      </c>
      <c r="N802" s="61">
        <f t="shared" si="243"/>
        <v>6.8911200000000008</v>
      </c>
      <c r="O802" s="61"/>
      <c r="P802" s="2"/>
      <c r="Q802" s="2"/>
      <c r="R802" s="32"/>
      <c r="S802" s="32"/>
      <c r="T802" s="32"/>
      <c r="U802" s="32"/>
      <c r="V802" s="2"/>
      <c r="W802" s="2"/>
      <c r="X802" s="2"/>
      <c r="Y802" s="2"/>
      <c r="Z802" s="2"/>
    </row>
    <row r="803" spans="1:26" ht="13.8" x14ac:dyDescent="0.3">
      <c r="A803" s="32" t="s">
        <v>380</v>
      </c>
      <c r="B803" s="2" t="s">
        <v>244</v>
      </c>
      <c r="C803" s="10">
        <v>2304025</v>
      </c>
      <c r="D803" s="10" t="s">
        <v>1162</v>
      </c>
      <c r="E803" s="10">
        <v>2380008</v>
      </c>
      <c r="F803" s="10" t="s">
        <v>1192</v>
      </c>
      <c r="G803" s="69">
        <v>-432.57</v>
      </c>
      <c r="H803" s="69">
        <v>156.27000000000001</v>
      </c>
      <c r="I803" s="69">
        <f t="shared" ref="I803:I824" si="244">H803*0.7</f>
        <v>109.389</v>
      </c>
      <c r="J803" s="70">
        <v>1</v>
      </c>
      <c r="K803" s="69">
        <f t="shared" ref="K803:K824" si="245">(G803+I803)*0.85+(G803*0.15-(G803+H803)*0.15)*J803*0.3+I803*0.15*J803*0.3</f>
        <v>-276.81349499999999</v>
      </c>
      <c r="L803" s="79" t="s">
        <v>468</v>
      </c>
      <c r="M803" s="61">
        <f t="shared" ref="M803:M824" si="246">(G803*0.15-(G803+H803)*0.15)*J803*0.7</f>
        <v>-16.408349999999999</v>
      </c>
      <c r="N803" s="61">
        <f t="shared" ref="N803:N824" si="247">I803*0.15*J803*0.7+H803*0.05*J803</f>
        <v>19.299344999999999</v>
      </c>
      <c r="O803" s="61"/>
      <c r="P803" s="2"/>
      <c r="Q803" s="2"/>
      <c r="R803" s="32"/>
      <c r="S803" s="32"/>
      <c r="T803" s="32"/>
      <c r="U803" s="32"/>
      <c r="V803" s="2"/>
      <c r="W803" s="2"/>
      <c r="X803" s="2"/>
      <c r="Y803" s="2"/>
      <c r="Z803" s="2"/>
    </row>
    <row r="804" spans="1:26" ht="13.8" x14ac:dyDescent="0.3">
      <c r="A804" s="32" t="s">
        <v>380</v>
      </c>
      <c r="B804" s="2" t="s">
        <v>244</v>
      </c>
      <c r="C804" s="10">
        <v>2304025</v>
      </c>
      <c r="D804" s="10" t="s">
        <v>1162</v>
      </c>
      <c r="E804" s="10">
        <v>2381522</v>
      </c>
      <c r="F804" s="10" t="s">
        <v>1166</v>
      </c>
      <c r="G804" s="69">
        <v>-724.46</v>
      </c>
      <c r="H804" s="69">
        <v>40.71</v>
      </c>
      <c r="I804" s="69">
        <f t="shared" si="244"/>
        <v>28.497</v>
      </c>
      <c r="J804" s="70">
        <v>1</v>
      </c>
      <c r="K804" s="69">
        <f t="shared" si="245"/>
        <v>-592.11813500000005</v>
      </c>
      <c r="L804" s="79" t="s">
        <v>468</v>
      </c>
      <c r="M804" s="61">
        <f t="shared" si="246"/>
        <v>-4.2745499999999979</v>
      </c>
      <c r="N804" s="61">
        <f t="shared" si="247"/>
        <v>5.027685</v>
      </c>
      <c r="O804" s="61"/>
      <c r="P804" s="2"/>
      <c r="Q804" s="2"/>
      <c r="R804" s="32"/>
      <c r="S804" s="32"/>
      <c r="T804" s="32"/>
      <c r="U804" s="32"/>
      <c r="V804" s="2"/>
      <c r="W804" s="2"/>
      <c r="X804" s="2"/>
      <c r="Y804" s="2"/>
      <c r="Z804" s="2"/>
    </row>
    <row r="805" spans="1:26" ht="13.8" x14ac:dyDescent="0.3">
      <c r="A805" s="32" t="s">
        <v>380</v>
      </c>
      <c r="B805" s="2" t="s">
        <v>244</v>
      </c>
      <c r="C805" s="10">
        <v>2304025</v>
      </c>
      <c r="D805" s="10" t="s">
        <v>1162</v>
      </c>
      <c r="E805" s="10">
        <v>2420208</v>
      </c>
      <c r="F805" s="10" t="s">
        <v>1170</v>
      </c>
      <c r="G805" s="69">
        <v>-31.5</v>
      </c>
      <c r="H805" s="69">
        <v>3.31</v>
      </c>
      <c r="I805" s="69">
        <f t="shared" si="244"/>
        <v>2.3169999999999997</v>
      </c>
      <c r="J805" s="70">
        <v>1</v>
      </c>
      <c r="K805" s="69">
        <f t="shared" si="245"/>
        <v>-24.850234999999998</v>
      </c>
      <c r="L805" s="79" t="s">
        <v>468</v>
      </c>
      <c r="M805" s="61">
        <f t="shared" si="246"/>
        <v>-0.34754999999999947</v>
      </c>
      <c r="N805" s="61">
        <f t="shared" si="247"/>
        <v>0.40878499999999995</v>
      </c>
      <c r="O805" s="61"/>
      <c r="P805" s="2"/>
      <c r="Q805" s="2"/>
      <c r="R805" s="32"/>
      <c r="S805" s="32"/>
      <c r="T805" s="32"/>
      <c r="U805" s="32"/>
      <c r="V805" s="2"/>
      <c r="W805" s="2"/>
      <c r="X805" s="2"/>
      <c r="Y805" s="2"/>
      <c r="Z805" s="2"/>
    </row>
    <row r="806" spans="1:26" ht="13.8" x14ac:dyDescent="0.3">
      <c r="A806" s="32" t="s">
        <v>380</v>
      </c>
      <c r="B806" s="2" t="s">
        <v>244</v>
      </c>
      <c r="C806" s="10">
        <v>2304025</v>
      </c>
      <c r="D806" s="10" t="s">
        <v>1162</v>
      </c>
      <c r="E806" s="10">
        <v>2435202</v>
      </c>
      <c r="F806" s="10" t="s">
        <v>1223</v>
      </c>
      <c r="G806" s="69">
        <v>-291.42</v>
      </c>
      <c r="H806" s="69">
        <v>29.94</v>
      </c>
      <c r="I806" s="69">
        <f t="shared" si="244"/>
        <v>20.957999999999998</v>
      </c>
      <c r="J806" s="70">
        <v>1</v>
      </c>
      <c r="K806" s="69">
        <f t="shared" si="245"/>
        <v>-230.29688999999999</v>
      </c>
      <c r="L806" s="79" t="s">
        <v>468</v>
      </c>
      <c r="M806" s="61">
        <f t="shared" si="246"/>
        <v>-3.1436999999999995</v>
      </c>
      <c r="N806" s="61">
        <f t="shared" si="247"/>
        <v>3.6975899999999999</v>
      </c>
      <c r="O806" s="61"/>
      <c r="P806" s="2"/>
      <c r="Q806" s="2"/>
      <c r="R806" s="32"/>
      <c r="S806" s="32"/>
      <c r="T806" s="32"/>
      <c r="U806" s="32"/>
      <c r="V806" s="2"/>
      <c r="W806" s="2"/>
      <c r="X806" s="2"/>
      <c r="Y806" s="2"/>
      <c r="Z806" s="2"/>
    </row>
    <row r="807" spans="1:26" ht="13.8" x14ac:dyDescent="0.3">
      <c r="A807" s="32" t="s">
        <v>380</v>
      </c>
      <c r="B807" s="2" t="s">
        <v>244</v>
      </c>
      <c r="C807" s="10">
        <v>2304025</v>
      </c>
      <c r="D807" s="10" t="s">
        <v>1162</v>
      </c>
      <c r="E807" s="10">
        <v>2435203</v>
      </c>
      <c r="F807" s="10" t="s">
        <v>1224</v>
      </c>
      <c r="G807" s="69">
        <v>0.06</v>
      </c>
      <c r="H807" s="69">
        <v>62.38</v>
      </c>
      <c r="I807" s="69">
        <f t="shared" si="244"/>
        <v>43.665999999999997</v>
      </c>
      <c r="J807" s="70">
        <v>1</v>
      </c>
      <c r="K807" s="69">
        <f t="shared" si="245"/>
        <v>36.32497</v>
      </c>
      <c r="L807" s="79" t="s">
        <v>468</v>
      </c>
      <c r="M807" s="61">
        <f t="shared" si="246"/>
        <v>-6.5498999999999992</v>
      </c>
      <c r="N807" s="61">
        <f t="shared" si="247"/>
        <v>7.7039299999999997</v>
      </c>
      <c r="O807" s="61"/>
      <c r="P807" s="2"/>
      <c r="Q807" s="2"/>
      <c r="R807" s="32"/>
      <c r="S807" s="32"/>
      <c r="T807" s="32"/>
      <c r="U807" s="32"/>
      <c r="V807" s="2"/>
      <c r="W807" s="2"/>
      <c r="X807" s="2"/>
      <c r="Y807" s="2"/>
      <c r="Z807" s="2"/>
    </row>
    <row r="808" spans="1:26" ht="13.8" x14ac:dyDescent="0.3">
      <c r="A808" s="32" t="s">
        <v>380</v>
      </c>
      <c r="B808" s="2" t="s">
        <v>244</v>
      </c>
      <c r="C808" s="10">
        <v>2304025</v>
      </c>
      <c r="D808" s="10" t="s">
        <v>1162</v>
      </c>
      <c r="E808" s="10">
        <v>2435206</v>
      </c>
      <c r="F808" s="10" t="s">
        <v>1225</v>
      </c>
      <c r="G808" s="69">
        <v>-61.19</v>
      </c>
      <c r="H808" s="69">
        <v>98.57</v>
      </c>
      <c r="I808" s="69">
        <f t="shared" si="244"/>
        <v>68.998999999999995</v>
      </c>
      <c r="J808" s="70">
        <v>1</v>
      </c>
      <c r="K808" s="69">
        <f t="shared" si="245"/>
        <v>5.3069549999999976</v>
      </c>
      <c r="L808" s="79" t="s">
        <v>468</v>
      </c>
      <c r="M808" s="61">
        <f t="shared" si="246"/>
        <v>-10.349849999999998</v>
      </c>
      <c r="N808" s="61">
        <f t="shared" si="247"/>
        <v>12.173394999999998</v>
      </c>
      <c r="O808" s="61"/>
      <c r="P808" s="2"/>
      <c r="Q808" s="2"/>
      <c r="R808" s="32"/>
      <c r="S808" s="32"/>
      <c r="T808" s="32"/>
      <c r="U808" s="32"/>
      <c r="V808" s="2"/>
      <c r="W808" s="2"/>
      <c r="X808" s="2"/>
      <c r="Y808" s="2"/>
      <c r="Z808" s="2"/>
    </row>
    <row r="809" spans="1:26" ht="13.8" x14ac:dyDescent="0.3">
      <c r="A809" s="32" t="s">
        <v>380</v>
      </c>
      <c r="B809" s="2" t="s">
        <v>244</v>
      </c>
      <c r="C809" s="10">
        <v>2304025</v>
      </c>
      <c r="D809" s="10" t="s">
        <v>1162</v>
      </c>
      <c r="E809" s="10">
        <v>2471540</v>
      </c>
      <c r="F809" s="10" t="s">
        <v>1172</v>
      </c>
      <c r="G809" s="69">
        <v>136.01</v>
      </c>
      <c r="H809" s="69">
        <v>3.31</v>
      </c>
      <c r="I809" s="69">
        <f t="shared" si="244"/>
        <v>2.3169999999999997</v>
      </c>
      <c r="J809" s="70">
        <v>1</v>
      </c>
      <c r="K809" s="69">
        <f t="shared" si="245"/>
        <v>117.533265</v>
      </c>
      <c r="L809" s="79" t="s">
        <v>468</v>
      </c>
      <c r="M809" s="61">
        <f t="shared" si="246"/>
        <v>-0.34755000000000069</v>
      </c>
      <c r="N809" s="61">
        <f t="shared" si="247"/>
        <v>0.40878499999999995</v>
      </c>
      <c r="O809" s="61"/>
      <c r="P809" s="2"/>
      <c r="Q809" s="2"/>
      <c r="R809" s="32"/>
      <c r="S809" s="32"/>
      <c r="T809" s="32"/>
      <c r="U809" s="32"/>
      <c r="V809" s="2"/>
      <c r="W809" s="2"/>
      <c r="X809" s="2"/>
      <c r="Y809" s="2"/>
      <c r="Z809" s="2"/>
    </row>
    <row r="810" spans="1:26" ht="13.8" x14ac:dyDescent="0.3">
      <c r="A810" s="32" t="s">
        <v>380</v>
      </c>
      <c r="B810" s="2" t="s">
        <v>244</v>
      </c>
      <c r="C810" s="10">
        <v>2304025</v>
      </c>
      <c r="D810" s="10" t="s">
        <v>1162</v>
      </c>
      <c r="E810" s="10">
        <v>2531191</v>
      </c>
      <c r="F810" s="10" t="s">
        <v>1259</v>
      </c>
      <c r="G810" s="69">
        <v>-1047.95</v>
      </c>
      <c r="H810" s="69">
        <v>223.18</v>
      </c>
      <c r="I810" s="69">
        <f t="shared" si="244"/>
        <v>156.226</v>
      </c>
      <c r="J810" s="70">
        <v>1</v>
      </c>
      <c r="K810" s="69">
        <f t="shared" si="245"/>
        <v>-760.97833000000003</v>
      </c>
      <c r="L810" s="79" t="s">
        <v>468</v>
      </c>
      <c r="M810" s="61">
        <f t="shared" si="246"/>
        <v>-23.433900000000001</v>
      </c>
      <c r="N810" s="61">
        <f t="shared" si="247"/>
        <v>27.562729999999995</v>
      </c>
      <c r="O810" s="61"/>
      <c r="P810" s="2"/>
      <c r="Q810" s="2"/>
      <c r="R810" s="32"/>
      <c r="S810" s="32"/>
      <c r="T810" s="32"/>
      <c r="U810" s="32"/>
      <c r="V810" s="2"/>
      <c r="W810" s="2"/>
      <c r="X810" s="2"/>
      <c r="Y810" s="2"/>
      <c r="Z810" s="2"/>
    </row>
    <row r="811" spans="1:26" ht="13.8" x14ac:dyDescent="0.3">
      <c r="A811" s="32" t="s">
        <v>380</v>
      </c>
      <c r="B811" s="2" t="s">
        <v>244</v>
      </c>
      <c r="C811" s="10">
        <v>2304025</v>
      </c>
      <c r="D811" s="10" t="s">
        <v>1162</v>
      </c>
      <c r="E811" s="10">
        <v>2531390</v>
      </c>
      <c r="F811" s="10" t="s">
        <v>1229</v>
      </c>
      <c r="G811" s="69">
        <v>3.05</v>
      </c>
      <c r="H811" s="69">
        <v>0.05</v>
      </c>
      <c r="I811" s="69">
        <f t="shared" si="244"/>
        <v>3.4999999999999996E-2</v>
      </c>
      <c r="J811" s="70">
        <v>1</v>
      </c>
      <c r="K811" s="69">
        <f t="shared" si="245"/>
        <v>2.6215749999999995</v>
      </c>
      <c r="L811" s="79" t="s">
        <v>468</v>
      </c>
      <c r="M811" s="61">
        <f t="shared" si="246"/>
        <v>-5.2499999999999656E-3</v>
      </c>
      <c r="N811" s="61">
        <f t="shared" si="247"/>
        <v>6.1749999999999999E-3</v>
      </c>
      <c r="O811" s="61"/>
      <c r="P811" s="2"/>
      <c r="Q811" s="2"/>
      <c r="R811" s="32"/>
      <c r="S811" s="32"/>
      <c r="T811" s="32"/>
      <c r="U811" s="32"/>
      <c r="V811" s="2"/>
      <c r="W811" s="2"/>
      <c r="X811" s="2"/>
      <c r="Y811" s="2"/>
      <c r="Z811" s="2"/>
    </row>
    <row r="812" spans="1:26" ht="13.8" x14ac:dyDescent="0.3">
      <c r="A812" s="32" t="s">
        <v>380</v>
      </c>
      <c r="B812" s="2" t="s">
        <v>244</v>
      </c>
      <c r="C812" s="10">
        <v>2304025</v>
      </c>
      <c r="D812" s="10" t="s">
        <v>1162</v>
      </c>
      <c r="E812" s="10">
        <v>2538386</v>
      </c>
      <c r="F812" s="10" t="s">
        <v>1260</v>
      </c>
      <c r="G812" s="69">
        <v>-616.53</v>
      </c>
      <c r="H812" s="69">
        <v>100.01</v>
      </c>
      <c r="I812" s="69">
        <f t="shared" si="244"/>
        <v>70.007000000000005</v>
      </c>
      <c r="J812" s="70">
        <v>1</v>
      </c>
      <c r="K812" s="69">
        <f t="shared" si="245"/>
        <v>-465.89468499999992</v>
      </c>
      <c r="L812" s="79" t="s">
        <v>468</v>
      </c>
      <c r="M812" s="61">
        <f t="shared" si="246"/>
        <v>-10.501049999999994</v>
      </c>
      <c r="N812" s="61">
        <f t="shared" si="247"/>
        <v>12.351235000000001</v>
      </c>
      <c r="O812" s="61"/>
      <c r="P812" s="2"/>
      <c r="Q812" s="2"/>
      <c r="R812" s="32"/>
      <c r="S812" s="32"/>
      <c r="T812" s="32"/>
      <c r="U812" s="32"/>
      <c r="V812" s="2"/>
      <c r="W812" s="2"/>
      <c r="X812" s="2"/>
      <c r="Y812" s="2"/>
      <c r="Z812" s="2"/>
    </row>
    <row r="813" spans="1:26" ht="13.8" x14ac:dyDescent="0.3">
      <c r="A813" s="32" t="s">
        <v>380</v>
      </c>
      <c r="B813" s="2" t="s">
        <v>244</v>
      </c>
      <c r="C813" s="10">
        <v>2304025</v>
      </c>
      <c r="D813" s="10" t="s">
        <v>1162</v>
      </c>
      <c r="E813" s="10">
        <v>2540293</v>
      </c>
      <c r="F813" s="10" t="s">
        <v>1261</v>
      </c>
      <c r="G813" s="69">
        <v>155.21</v>
      </c>
      <c r="H813" s="69">
        <v>2.81</v>
      </c>
      <c r="I813" s="69">
        <f t="shared" si="244"/>
        <v>1.9669999999999999</v>
      </c>
      <c r="J813" s="70">
        <v>1</v>
      </c>
      <c r="K813" s="69">
        <f t="shared" si="245"/>
        <v>133.56251500000002</v>
      </c>
      <c r="L813" s="79" t="s">
        <v>468</v>
      </c>
      <c r="M813" s="61">
        <f t="shared" si="246"/>
        <v>-0.2950499999999987</v>
      </c>
      <c r="N813" s="61">
        <f t="shared" si="247"/>
        <v>0.34703499999999998</v>
      </c>
      <c r="O813" s="61"/>
      <c r="P813" s="2"/>
      <c r="Q813" s="2"/>
      <c r="R813" s="32"/>
      <c r="S813" s="32"/>
      <c r="T813" s="32"/>
      <c r="U813" s="32"/>
      <c r="V813" s="2"/>
      <c r="W813" s="2"/>
      <c r="X813" s="2"/>
      <c r="Y813" s="2"/>
      <c r="Z813" s="2"/>
    </row>
    <row r="814" spans="1:26" ht="13.8" x14ac:dyDescent="0.3">
      <c r="A814" s="32" t="s">
        <v>380</v>
      </c>
      <c r="B814" s="2" t="s">
        <v>244</v>
      </c>
      <c r="C814" s="10">
        <v>2304025</v>
      </c>
      <c r="D814" s="10" t="s">
        <v>1162</v>
      </c>
      <c r="E814" s="10">
        <v>2540315</v>
      </c>
      <c r="F814" s="10" t="s">
        <v>1262</v>
      </c>
      <c r="G814" s="69">
        <v>-3.79</v>
      </c>
      <c r="H814" s="69">
        <v>44.28</v>
      </c>
      <c r="I814" s="69">
        <f t="shared" si="244"/>
        <v>30.995999999999999</v>
      </c>
      <c r="J814" s="70">
        <v>1</v>
      </c>
      <c r="K814" s="69">
        <f t="shared" si="245"/>
        <v>22.52732</v>
      </c>
      <c r="L814" s="79" t="s">
        <v>468</v>
      </c>
      <c r="M814" s="61">
        <f t="shared" si="246"/>
        <v>-4.6494</v>
      </c>
      <c r="N814" s="61">
        <f t="shared" si="247"/>
        <v>5.4685799999999993</v>
      </c>
      <c r="O814" s="61"/>
      <c r="P814" s="2"/>
      <c r="Q814" s="2"/>
      <c r="R814" s="32"/>
      <c r="S814" s="32"/>
      <c r="T814" s="32"/>
      <c r="U814" s="32"/>
      <c r="V814" s="2"/>
      <c r="W814" s="2"/>
      <c r="X814" s="2"/>
      <c r="Y814" s="2"/>
      <c r="Z814" s="2"/>
    </row>
    <row r="815" spans="1:26" ht="13.8" x14ac:dyDescent="0.3">
      <c r="A815" s="32" t="s">
        <v>380</v>
      </c>
      <c r="B815" s="2" t="s">
        <v>244</v>
      </c>
      <c r="C815" s="10">
        <v>2304025</v>
      </c>
      <c r="D815" s="10" t="s">
        <v>1162</v>
      </c>
      <c r="E815" s="10">
        <v>2541423</v>
      </c>
      <c r="F815" s="10" t="s">
        <v>1263</v>
      </c>
      <c r="G815" s="69">
        <v>-19.71</v>
      </c>
      <c r="H815" s="69">
        <v>80.39</v>
      </c>
      <c r="I815" s="69">
        <f t="shared" si="244"/>
        <v>56.272999999999996</v>
      </c>
      <c r="J815" s="70">
        <v>1</v>
      </c>
      <c r="K815" s="69">
        <f t="shared" si="245"/>
        <v>29.993284999999993</v>
      </c>
      <c r="L815" s="79" t="s">
        <v>468</v>
      </c>
      <c r="M815" s="61">
        <f t="shared" si="246"/>
        <v>-8.4409499999999991</v>
      </c>
      <c r="N815" s="61">
        <f t="shared" si="247"/>
        <v>9.9281649999999999</v>
      </c>
      <c r="O815" s="61"/>
      <c r="P815" s="2"/>
      <c r="Q815" s="2"/>
      <c r="R815" s="32"/>
      <c r="S815" s="32"/>
      <c r="T815" s="32"/>
      <c r="U815" s="32"/>
      <c r="V815" s="2"/>
      <c r="W815" s="2"/>
      <c r="X815" s="2"/>
      <c r="Y815" s="2"/>
      <c r="Z815" s="2"/>
    </row>
    <row r="816" spans="1:26" ht="13.8" x14ac:dyDescent="0.3">
      <c r="A816" s="32" t="s">
        <v>380</v>
      </c>
      <c r="B816" s="2" t="s">
        <v>244</v>
      </c>
      <c r="C816" s="10">
        <v>2304025</v>
      </c>
      <c r="D816" s="10" t="s">
        <v>1162</v>
      </c>
      <c r="E816" s="10">
        <v>2554720</v>
      </c>
      <c r="F816" s="10" t="s">
        <v>1270</v>
      </c>
      <c r="G816" s="69">
        <v>341.41</v>
      </c>
      <c r="H816" s="69">
        <v>31.02</v>
      </c>
      <c r="I816" s="69">
        <f t="shared" si="244"/>
        <v>21.713999999999999</v>
      </c>
      <c r="J816" s="70">
        <v>1</v>
      </c>
      <c r="K816" s="69">
        <f t="shared" si="245"/>
        <v>308.23662999999999</v>
      </c>
      <c r="L816" s="79" t="s">
        <v>468</v>
      </c>
      <c r="M816" s="61">
        <f t="shared" si="246"/>
        <v>-3.257099999999999</v>
      </c>
      <c r="N816" s="61">
        <f t="shared" si="247"/>
        <v>3.8309699999999998</v>
      </c>
      <c r="O816" s="61"/>
      <c r="P816" s="2"/>
      <c r="Q816" s="2"/>
      <c r="R816" s="32"/>
      <c r="S816" s="32"/>
      <c r="T816" s="32"/>
      <c r="U816" s="32"/>
      <c r="V816" s="2"/>
      <c r="W816" s="2"/>
      <c r="X816" s="2"/>
      <c r="Y816" s="2"/>
      <c r="Z816" s="2"/>
    </row>
    <row r="817" spans="1:26" ht="13.8" x14ac:dyDescent="0.3">
      <c r="A817" s="32" t="s">
        <v>380</v>
      </c>
      <c r="B817" s="2" t="s">
        <v>244</v>
      </c>
      <c r="C817" s="10">
        <v>2304025</v>
      </c>
      <c r="D817" s="10" t="s">
        <v>1162</v>
      </c>
      <c r="E817" s="10">
        <v>2559299</v>
      </c>
      <c r="F817" s="10" t="s">
        <v>1302</v>
      </c>
      <c r="G817" s="69">
        <v>65.8</v>
      </c>
      <c r="H817" s="69">
        <v>4.25</v>
      </c>
      <c r="I817" s="69">
        <f t="shared" si="244"/>
        <v>2.9749999999999996</v>
      </c>
      <c r="J817" s="70">
        <v>1</v>
      </c>
      <c r="K817" s="69">
        <f t="shared" si="245"/>
        <v>58.401374999999994</v>
      </c>
      <c r="L817" s="79" t="s">
        <v>468</v>
      </c>
      <c r="M817" s="61">
        <f t="shared" si="246"/>
        <v>-0.44624999999999948</v>
      </c>
      <c r="N817" s="61">
        <f t="shared" si="247"/>
        <v>0.52487499999999998</v>
      </c>
      <c r="O817" s="61"/>
      <c r="P817" s="2"/>
      <c r="Q817" s="2"/>
      <c r="R817" s="32"/>
      <c r="S817" s="32"/>
      <c r="T817" s="32"/>
      <c r="U817" s="32"/>
      <c r="V817" s="2"/>
      <c r="W817" s="2"/>
      <c r="X817" s="2"/>
      <c r="Y817" s="2"/>
      <c r="Z817" s="2"/>
    </row>
    <row r="818" spans="1:26" ht="13.8" x14ac:dyDescent="0.3">
      <c r="A818" s="32" t="s">
        <v>380</v>
      </c>
      <c r="B818" s="2" t="s">
        <v>244</v>
      </c>
      <c r="C818" s="10">
        <v>2304025</v>
      </c>
      <c r="D818" s="10" t="s">
        <v>1162</v>
      </c>
      <c r="E818" s="10">
        <v>2564684</v>
      </c>
      <c r="F818" s="10" t="s">
        <v>1282</v>
      </c>
      <c r="G818" s="69">
        <v>450.65</v>
      </c>
      <c r="H818" s="69">
        <v>18.39</v>
      </c>
      <c r="I818" s="69">
        <f t="shared" si="244"/>
        <v>12.872999999999999</v>
      </c>
      <c r="J818" s="70">
        <v>1</v>
      </c>
      <c r="K818" s="69">
        <f t="shared" si="245"/>
        <v>393.746285</v>
      </c>
      <c r="L818" s="79" t="s">
        <v>468</v>
      </c>
      <c r="M818" s="61">
        <f t="shared" si="246"/>
        <v>-1.9309499999999984</v>
      </c>
      <c r="N818" s="61">
        <f t="shared" si="247"/>
        <v>2.2711649999999999</v>
      </c>
      <c r="O818" s="61"/>
      <c r="P818" s="2"/>
      <c r="Q818" s="2"/>
      <c r="R818" s="32"/>
      <c r="S818" s="32"/>
      <c r="T818" s="32"/>
      <c r="U818" s="32"/>
      <c r="V818" s="2"/>
      <c r="W818" s="2"/>
      <c r="X818" s="2"/>
      <c r="Y818" s="2"/>
      <c r="Z818" s="2"/>
    </row>
    <row r="819" spans="1:26" ht="13.8" x14ac:dyDescent="0.3">
      <c r="A819" s="32" t="s">
        <v>380</v>
      </c>
      <c r="B819" s="2" t="s">
        <v>244</v>
      </c>
      <c r="C819" s="10">
        <v>2304025</v>
      </c>
      <c r="D819" s="10" t="s">
        <v>1162</v>
      </c>
      <c r="E819" s="10">
        <v>2575716</v>
      </c>
      <c r="F819" s="10" t="s">
        <v>1283</v>
      </c>
      <c r="G819" s="69">
        <v>63.35</v>
      </c>
      <c r="H819" s="69">
        <v>8.09</v>
      </c>
      <c r="I819" s="69">
        <f t="shared" si="244"/>
        <v>5.6629999999999994</v>
      </c>
      <c r="J819" s="70">
        <v>1</v>
      </c>
      <c r="K819" s="69">
        <f t="shared" si="245"/>
        <v>58.551835000000004</v>
      </c>
      <c r="L819" s="79" t="s">
        <v>468</v>
      </c>
      <c r="M819" s="61">
        <f t="shared" si="246"/>
        <v>-0.84944999999999982</v>
      </c>
      <c r="N819" s="61">
        <f t="shared" si="247"/>
        <v>0.99911499999999998</v>
      </c>
      <c r="O819" s="61"/>
      <c r="P819" s="2"/>
      <c r="Q819" s="2"/>
      <c r="R819" s="32"/>
      <c r="S819" s="32"/>
      <c r="T819" s="32"/>
      <c r="U819" s="32"/>
      <c r="V819" s="2"/>
      <c r="W819" s="2"/>
      <c r="X819" s="2"/>
      <c r="Y819" s="2"/>
      <c r="Z819" s="2"/>
    </row>
    <row r="820" spans="1:26" ht="13.8" x14ac:dyDescent="0.3">
      <c r="A820" s="32" t="s">
        <v>380</v>
      </c>
      <c r="B820" s="2" t="s">
        <v>244</v>
      </c>
      <c r="C820" s="10">
        <v>2304025</v>
      </c>
      <c r="D820" s="10" t="s">
        <v>1162</v>
      </c>
      <c r="E820" s="10">
        <v>2575824</v>
      </c>
      <c r="F820" s="10" t="s">
        <v>1284</v>
      </c>
      <c r="G820" s="69">
        <v>44.68</v>
      </c>
      <c r="H820" s="69">
        <v>14.98</v>
      </c>
      <c r="I820" s="69">
        <f t="shared" si="244"/>
        <v>10.485999999999999</v>
      </c>
      <c r="J820" s="70">
        <v>1</v>
      </c>
      <c r="K820" s="69">
        <f t="shared" si="245"/>
        <v>46.688869999999994</v>
      </c>
      <c r="L820" s="79" t="s">
        <v>468</v>
      </c>
      <c r="M820" s="61">
        <f t="shared" si="246"/>
        <v>-1.5728999999999997</v>
      </c>
      <c r="N820" s="61">
        <f t="shared" si="247"/>
        <v>1.8500299999999998</v>
      </c>
      <c r="O820" s="61"/>
      <c r="P820" s="2"/>
      <c r="Q820" s="2"/>
      <c r="R820" s="32"/>
      <c r="S820" s="32"/>
      <c r="T820" s="32"/>
      <c r="U820" s="32"/>
      <c r="V820" s="2"/>
      <c r="W820" s="2"/>
      <c r="X820" s="2"/>
      <c r="Y820" s="2"/>
      <c r="Z820" s="2"/>
    </row>
    <row r="821" spans="1:26" ht="13.8" x14ac:dyDescent="0.3">
      <c r="A821" s="32" t="s">
        <v>380</v>
      </c>
      <c r="B821" s="2" t="s">
        <v>244</v>
      </c>
      <c r="C821" s="10">
        <v>2304025</v>
      </c>
      <c r="D821" s="10" t="s">
        <v>1162</v>
      </c>
      <c r="E821" s="10">
        <v>2575978</v>
      </c>
      <c r="F821" s="10" t="s">
        <v>1285</v>
      </c>
      <c r="G821" s="69">
        <v>-59.73</v>
      </c>
      <c r="H821" s="69">
        <v>25.62</v>
      </c>
      <c r="I821" s="69">
        <f t="shared" si="244"/>
        <v>17.934000000000001</v>
      </c>
      <c r="J821" s="70">
        <v>1</v>
      </c>
      <c r="K821" s="69">
        <f t="shared" si="245"/>
        <v>-35.87247</v>
      </c>
      <c r="L821" s="79" t="s">
        <v>468</v>
      </c>
      <c r="M821" s="61">
        <f t="shared" si="246"/>
        <v>-2.6900999999999993</v>
      </c>
      <c r="N821" s="61">
        <f t="shared" si="247"/>
        <v>3.1640700000000002</v>
      </c>
      <c r="O821" s="61"/>
      <c r="P821" s="2"/>
      <c r="Q821" s="2"/>
      <c r="R821" s="32"/>
      <c r="S821" s="32"/>
      <c r="T821" s="32"/>
      <c r="U821" s="32"/>
      <c r="V821" s="2"/>
      <c r="W821" s="2"/>
      <c r="X821" s="2"/>
      <c r="Y821" s="2"/>
      <c r="Z821" s="2"/>
    </row>
    <row r="822" spans="1:26" ht="13.8" x14ac:dyDescent="0.3">
      <c r="A822" s="32" t="s">
        <v>380</v>
      </c>
      <c r="B822" s="2" t="s">
        <v>244</v>
      </c>
      <c r="C822" s="10">
        <v>2525136</v>
      </c>
      <c r="D822" s="10" t="s">
        <v>1205</v>
      </c>
      <c r="E822" s="10">
        <v>2523689</v>
      </c>
      <c r="F822" s="10" t="s">
        <v>1311</v>
      </c>
      <c r="G822" s="69">
        <v>1220.76</v>
      </c>
      <c r="H822" s="69">
        <v>338.37</v>
      </c>
      <c r="I822" s="69">
        <f t="shared" si="244"/>
        <v>236.85899999999998</v>
      </c>
      <c r="J822" s="70">
        <v>1</v>
      </c>
      <c r="K822" s="69">
        <f t="shared" si="245"/>
        <v>1234.4081549999999</v>
      </c>
      <c r="L822" s="79" t="s">
        <v>468</v>
      </c>
      <c r="M822" s="61">
        <f t="shared" si="246"/>
        <v>-35.528850000000006</v>
      </c>
      <c r="N822" s="61">
        <f t="shared" si="247"/>
        <v>41.788695000000004</v>
      </c>
      <c r="O822" s="61"/>
      <c r="P822" s="2"/>
      <c r="Q822" s="2"/>
      <c r="R822" s="32"/>
      <c r="S822" s="32"/>
      <c r="T822" s="32"/>
      <c r="U822" s="32"/>
      <c r="V822" s="2"/>
      <c r="W822" s="2"/>
      <c r="X822" s="2"/>
      <c r="Y822" s="2"/>
      <c r="Z822" s="2"/>
    </row>
    <row r="823" spans="1:26" ht="13.8" x14ac:dyDescent="0.3">
      <c r="A823" s="32" t="s">
        <v>380</v>
      </c>
      <c r="B823" s="2" t="s">
        <v>244</v>
      </c>
      <c r="C823" s="10">
        <v>2525136</v>
      </c>
      <c r="D823" s="10" t="s">
        <v>1205</v>
      </c>
      <c r="E823" s="10">
        <v>2525136</v>
      </c>
      <c r="F823" s="10" t="s">
        <v>1205</v>
      </c>
      <c r="G823" s="69">
        <v>584.16999999999996</v>
      </c>
      <c r="H823" s="69">
        <v>362.17</v>
      </c>
      <c r="I823" s="69">
        <f t="shared" si="244"/>
        <v>253.51900000000001</v>
      </c>
      <c r="J823" s="70">
        <v>1</v>
      </c>
      <c r="K823" s="69">
        <f t="shared" si="245"/>
        <v>707.14635499999997</v>
      </c>
      <c r="L823" s="79" t="s">
        <v>468</v>
      </c>
      <c r="M823" s="61">
        <f t="shared" si="246"/>
        <v>-38.027850000000001</v>
      </c>
      <c r="N823" s="61">
        <f t="shared" si="247"/>
        <v>44.727995000000007</v>
      </c>
      <c r="O823" s="61"/>
      <c r="P823" s="2"/>
      <c r="Q823" s="2"/>
      <c r="R823" s="32"/>
      <c r="S823" s="32"/>
      <c r="T823" s="32"/>
      <c r="U823" s="32"/>
      <c r="V823" s="2"/>
      <c r="W823" s="2"/>
      <c r="X823" s="2"/>
      <c r="Y823" s="2"/>
      <c r="Z823" s="2"/>
    </row>
    <row r="824" spans="1:26" ht="13.8" x14ac:dyDescent="0.3">
      <c r="A824" s="32" t="s">
        <v>380</v>
      </c>
      <c r="B824" s="2" t="s">
        <v>244</v>
      </c>
      <c r="C824" s="10">
        <v>2525136</v>
      </c>
      <c r="D824" s="10" t="s">
        <v>1205</v>
      </c>
      <c r="E824" s="10">
        <v>2600460</v>
      </c>
      <c r="F824" s="10" t="s">
        <v>1312</v>
      </c>
      <c r="G824" s="69">
        <v>201.72</v>
      </c>
      <c r="H824" s="69">
        <v>317.20999999999998</v>
      </c>
      <c r="I824" s="69">
        <f t="shared" si="244"/>
        <v>222.04699999999997</v>
      </c>
      <c r="J824" s="70">
        <v>1</v>
      </c>
      <c r="K824" s="69">
        <f t="shared" si="245"/>
        <v>355.91961499999996</v>
      </c>
      <c r="L824" s="79" t="s">
        <v>468</v>
      </c>
      <c r="M824" s="61">
        <f t="shared" si="246"/>
        <v>-33.30704999999999</v>
      </c>
      <c r="N824" s="61">
        <f t="shared" si="247"/>
        <v>39.175434999999993</v>
      </c>
      <c r="O824" s="61"/>
      <c r="P824" s="2"/>
      <c r="Q824" s="2"/>
      <c r="R824" s="32"/>
      <c r="S824" s="32"/>
      <c r="T824" s="32"/>
      <c r="U824" s="32"/>
      <c r="V824" s="2"/>
      <c r="W824" s="2"/>
      <c r="X824" s="2"/>
      <c r="Y824" s="2"/>
      <c r="Z824" s="2"/>
    </row>
    <row r="825" spans="1:26" ht="13.8" x14ac:dyDescent="0.3">
      <c r="A825" s="32" t="s">
        <v>380</v>
      </c>
      <c r="B825" s="32" t="s">
        <v>61</v>
      </c>
      <c r="C825" s="10" t="s">
        <v>1230</v>
      </c>
      <c r="D825" s="10" t="s">
        <v>1231</v>
      </c>
      <c r="E825" s="10" t="s">
        <v>1230</v>
      </c>
      <c r="F825" s="10" t="s">
        <v>1231</v>
      </c>
      <c r="G825" s="69">
        <v>1590.02</v>
      </c>
      <c r="H825" s="69">
        <v>260.3</v>
      </c>
      <c r="I825" s="69">
        <f t="shared" ref="I825:I827" si="248">H825*0.57</f>
        <v>148.37099999999998</v>
      </c>
      <c r="J825" s="70">
        <v>1.10371</v>
      </c>
      <c r="K825" s="69">
        <f t="shared" ref="K825:K827" si="249">(G825+I825)*J825</f>
        <v>1918.67953061</v>
      </c>
      <c r="L825" s="78" t="s">
        <v>468</v>
      </c>
      <c r="M825" s="61">
        <v>0</v>
      </c>
      <c r="N825" s="61">
        <f t="shared" ref="N825:N827" si="250">H825*0.08*J825</f>
        <v>22.983657040000001</v>
      </c>
      <c r="O825" s="58"/>
      <c r="P825" s="2"/>
      <c r="Q825" s="2"/>
      <c r="R825" s="32"/>
      <c r="S825" s="32"/>
      <c r="T825" s="32"/>
      <c r="U825" s="32"/>
      <c r="V825" s="2"/>
      <c r="W825" s="2"/>
      <c r="X825" s="2"/>
      <c r="Y825" s="2"/>
      <c r="Z825" s="2"/>
    </row>
    <row r="826" spans="1:26" ht="13.8" x14ac:dyDescent="0.3">
      <c r="A826" s="32" t="s">
        <v>380</v>
      </c>
      <c r="B826" s="32" t="s">
        <v>61</v>
      </c>
      <c r="C826" s="10" t="s">
        <v>1126</v>
      </c>
      <c r="D826" s="10" t="s">
        <v>1127</v>
      </c>
      <c r="E826" s="10" t="s">
        <v>1318</v>
      </c>
      <c r="F826" s="10" t="s">
        <v>1319</v>
      </c>
      <c r="G826" s="69">
        <v>344.04</v>
      </c>
      <c r="H826" s="69">
        <v>378.23</v>
      </c>
      <c r="I826" s="69">
        <f t="shared" si="248"/>
        <v>215.59109999999998</v>
      </c>
      <c r="J826" s="70">
        <v>1.10371</v>
      </c>
      <c r="K826" s="69">
        <f t="shared" si="249"/>
        <v>617.67044138100005</v>
      </c>
      <c r="L826" s="78" t="s">
        <v>468</v>
      </c>
      <c r="M826" s="61">
        <v>0</v>
      </c>
      <c r="N826" s="61">
        <f t="shared" si="250"/>
        <v>33.396498663999999</v>
      </c>
      <c r="O826" s="58"/>
      <c r="P826" s="2"/>
      <c r="Q826" s="2"/>
      <c r="R826" s="32"/>
      <c r="S826" s="32"/>
      <c r="T826" s="32"/>
      <c r="U826" s="32"/>
      <c r="V826" s="2"/>
      <c r="W826" s="2"/>
      <c r="X826" s="2"/>
      <c r="Y826" s="2"/>
      <c r="Z826" s="2"/>
    </row>
    <row r="827" spans="1:26" ht="13.8" x14ac:dyDescent="0.3">
      <c r="A827" s="32" t="s">
        <v>380</v>
      </c>
      <c r="B827" s="32" t="s">
        <v>61</v>
      </c>
      <c r="C827" s="2" t="s">
        <v>1138</v>
      </c>
      <c r="D827" s="10" t="s">
        <v>1139</v>
      </c>
      <c r="E827" s="10" t="s">
        <v>1206</v>
      </c>
      <c r="F827" s="10" t="s">
        <v>1207</v>
      </c>
      <c r="G827" s="69">
        <v>-6945.07</v>
      </c>
      <c r="H827" s="69">
        <v>3701.97</v>
      </c>
      <c r="I827" s="69">
        <f t="shared" si="248"/>
        <v>2110.1228999999998</v>
      </c>
      <c r="J827" s="70">
        <v>1.10371</v>
      </c>
      <c r="K827" s="69">
        <f t="shared" si="249"/>
        <v>-5336.3794637409992</v>
      </c>
      <c r="L827" s="78" t="s">
        <v>468</v>
      </c>
      <c r="M827" s="61">
        <v>0</v>
      </c>
      <c r="N827" s="61">
        <f t="shared" si="250"/>
        <v>326.87210469600001</v>
      </c>
      <c r="O827" s="58"/>
      <c r="P827" s="2"/>
      <c r="Q827" s="2"/>
      <c r="R827" s="32"/>
      <c r="S827" s="32"/>
      <c r="T827" s="32"/>
      <c r="U827" s="32"/>
      <c r="V827" s="2"/>
      <c r="W827" s="2"/>
      <c r="X827" s="2"/>
      <c r="Y827" s="2"/>
      <c r="Z827" s="2"/>
    </row>
    <row r="828" spans="1:26" ht="13.8" x14ac:dyDescent="0.3">
      <c r="A828" s="32" t="s">
        <v>381</v>
      </c>
      <c r="B828" s="2" t="s">
        <v>107</v>
      </c>
      <c r="C828" s="10">
        <v>2304025</v>
      </c>
      <c r="D828" s="10" t="s">
        <v>1162</v>
      </c>
      <c r="E828" s="10">
        <v>2435202</v>
      </c>
      <c r="F828" s="10" t="s">
        <v>1223</v>
      </c>
      <c r="G828" s="69">
        <v>156.19</v>
      </c>
      <c r="H828" s="69">
        <v>100.35</v>
      </c>
      <c r="I828" s="69">
        <f t="shared" ref="I828:I843" si="251">H828*0.65</f>
        <v>65.227499999999992</v>
      </c>
      <c r="J828" s="70">
        <v>1</v>
      </c>
      <c r="K828" s="69">
        <f t="shared" ref="K828:K842" si="252">(G828+I828)*J828*0.8+(G828*0.05-H828*0.25*0.15)*J828*0.3+(H828*0.1*0.85+I828*0.05)*J828*0.3</f>
        <v>181.88525000000001</v>
      </c>
      <c r="L828" s="79" t="s">
        <v>468</v>
      </c>
      <c r="M828" s="61">
        <f t="shared" ref="M828:M837" si="253">(G828*0.05-H828*0.25*0.15)*J828*0.7-(-H828*0.03*0.15)*J828</f>
        <v>3.2840375000000002</v>
      </c>
      <c r="N828" s="61">
        <f t="shared" ref="N828:N837" si="254">(H828*0.1*0.85+I828*0.05)*J828*0.7+H828*0.03*0.85*J828</f>
        <v>10.8127125</v>
      </c>
      <c r="O828" s="58"/>
      <c r="P828" s="2"/>
      <c r="Q828" s="2"/>
      <c r="R828" s="32"/>
      <c r="S828" s="32"/>
      <c r="T828" s="32"/>
      <c r="U828" s="32"/>
      <c r="V828" s="2"/>
      <c r="W828" s="2"/>
      <c r="X828" s="2"/>
      <c r="Y828" s="2"/>
      <c r="Z828" s="2"/>
    </row>
    <row r="829" spans="1:26" ht="13.8" x14ac:dyDescent="0.3">
      <c r="A829" s="32" t="s">
        <v>381</v>
      </c>
      <c r="B829" s="2" t="s">
        <v>107</v>
      </c>
      <c r="C829" s="10">
        <v>2304025</v>
      </c>
      <c r="D829" s="10" t="s">
        <v>1162</v>
      </c>
      <c r="E829" s="10">
        <v>2435203</v>
      </c>
      <c r="F829" s="10" t="s">
        <v>1224</v>
      </c>
      <c r="G829" s="69">
        <v>-32.24</v>
      </c>
      <c r="H829" s="69">
        <v>85.79</v>
      </c>
      <c r="I829" s="69">
        <f t="shared" si="251"/>
        <v>55.763500000000008</v>
      </c>
      <c r="J829" s="70">
        <v>1</v>
      </c>
      <c r="K829" s="69">
        <f t="shared" si="252"/>
        <v>20.394160000000007</v>
      </c>
      <c r="L829" s="79" t="s">
        <v>468</v>
      </c>
      <c r="M829" s="61">
        <f t="shared" si="253"/>
        <v>-2.9943325000000001</v>
      </c>
      <c r="N829" s="61">
        <f t="shared" si="254"/>
        <v>9.2438725000000019</v>
      </c>
      <c r="O829" s="58"/>
      <c r="P829" s="2"/>
      <c r="Q829" s="2"/>
      <c r="R829" s="32"/>
      <c r="S829" s="32"/>
      <c r="T829" s="32"/>
      <c r="U829" s="32"/>
      <c r="V829" s="2"/>
      <c r="W829" s="2"/>
      <c r="X829" s="2"/>
      <c r="Y829" s="2"/>
      <c r="Z829" s="2"/>
    </row>
    <row r="830" spans="1:26" ht="13.8" x14ac:dyDescent="0.3">
      <c r="A830" s="32" t="s">
        <v>381</v>
      </c>
      <c r="B830" s="2" t="s">
        <v>107</v>
      </c>
      <c r="C830" s="10">
        <v>2304025</v>
      </c>
      <c r="D830" s="10" t="s">
        <v>1162</v>
      </c>
      <c r="E830" s="10">
        <v>2435206</v>
      </c>
      <c r="F830" s="10" t="s">
        <v>1225</v>
      </c>
      <c r="G830" s="69">
        <v>191.7</v>
      </c>
      <c r="H830" s="69">
        <v>52.63</v>
      </c>
      <c r="I830" s="69">
        <f t="shared" si="251"/>
        <v>34.209500000000006</v>
      </c>
      <c r="J830" s="70">
        <v>1</v>
      </c>
      <c r="K830" s="69">
        <f t="shared" si="252"/>
        <v>184.86622</v>
      </c>
      <c r="L830" s="79" t="s">
        <v>468</v>
      </c>
      <c r="M830" s="61">
        <f t="shared" si="253"/>
        <v>5.5647974999999992</v>
      </c>
      <c r="N830" s="61">
        <f t="shared" si="254"/>
        <v>5.6708825000000003</v>
      </c>
      <c r="O830" s="58"/>
      <c r="P830" s="2"/>
      <c r="Q830" s="2"/>
      <c r="R830" s="32"/>
      <c r="S830" s="32"/>
      <c r="T830" s="32"/>
      <c r="U830" s="32"/>
      <c r="V830" s="2"/>
      <c r="W830" s="2"/>
      <c r="X830" s="2"/>
      <c r="Y830" s="2"/>
      <c r="Z830" s="2"/>
    </row>
    <row r="831" spans="1:26" ht="13.8" x14ac:dyDescent="0.3">
      <c r="A831" s="32" t="s">
        <v>381</v>
      </c>
      <c r="B831" s="2" t="s">
        <v>107</v>
      </c>
      <c r="C831" s="10">
        <v>2304025</v>
      </c>
      <c r="D831" s="10" t="s">
        <v>1162</v>
      </c>
      <c r="E831" s="10">
        <v>2523424</v>
      </c>
      <c r="F831" s="10" t="s">
        <v>1177</v>
      </c>
      <c r="G831" s="69">
        <v>-147.06</v>
      </c>
      <c r="H831" s="69">
        <v>32.450000000000003</v>
      </c>
      <c r="I831" s="69">
        <f t="shared" si="251"/>
        <v>21.092500000000001</v>
      </c>
      <c r="J831" s="70">
        <v>1</v>
      </c>
      <c r="K831" s="69">
        <f t="shared" si="252"/>
        <v>-102.20110000000001</v>
      </c>
      <c r="L831" s="79" t="s">
        <v>468</v>
      </c>
      <c r="M831" s="61">
        <f t="shared" si="253"/>
        <v>-5.8528875000000005</v>
      </c>
      <c r="N831" s="61">
        <f t="shared" si="254"/>
        <v>3.4964874999999997</v>
      </c>
      <c r="O831" s="58"/>
      <c r="P831" s="2"/>
      <c r="Q831" s="2"/>
      <c r="R831" s="32"/>
      <c r="S831" s="32"/>
      <c r="T831" s="32"/>
      <c r="U831" s="32"/>
      <c r="V831" s="2"/>
      <c r="W831" s="2"/>
      <c r="X831" s="2"/>
      <c r="Y831" s="2"/>
      <c r="Z831" s="2"/>
    </row>
    <row r="832" spans="1:26" ht="13.8" x14ac:dyDescent="0.3">
      <c r="A832" s="32" t="s">
        <v>381</v>
      </c>
      <c r="B832" s="2" t="s">
        <v>107</v>
      </c>
      <c r="C832" s="10">
        <v>2304025</v>
      </c>
      <c r="D832" s="10" t="s">
        <v>1162</v>
      </c>
      <c r="E832" s="10">
        <v>2531365</v>
      </c>
      <c r="F832" s="10" t="s">
        <v>1228</v>
      </c>
      <c r="G832" s="69">
        <v>-136.66</v>
      </c>
      <c r="H832" s="69">
        <v>16.78</v>
      </c>
      <c r="I832" s="69">
        <f t="shared" si="251"/>
        <v>10.907000000000002</v>
      </c>
      <c r="J832" s="70">
        <v>1</v>
      </c>
      <c r="K832" s="69">
        <f t="shared" si="252"/>
        <v>-102.24958000000001</v>
      </c>
      <c r="L832" s="79" t="s">
        <v>468</v>
      </c>
      <c r="M832" s="61">
        <f t="shared" si="253"/>
        <v>-5.148064999999999</v>
      </c>
      <c r="N832" s="61">
        <f t="shared" si="254"/>
        <v>1.8080450000000003</v>
      </c>
      <c r="O832" s="58"/>
      <c r="P832" s="2"/>
      <c r="Q832" s="2"/>
      <c r="R832" s="32"/>
      <c r="S832" s="32"/>
      <c r="T832" s="32"/>
      <c r="U832" s="32"/>
      <c r="V832" s="2"/>
      <c r="W832" s="2"/>
      <c r="X832" s="2"/>
      <c r="Y832" s="2"/>
      <c r="Z832" s="2"/>
    </row>
    <row r="833" spans="1:26" ht="13.8" x14ac:dyDescent="0.3">
      <c r="A833" s="32" t="s">
        <v>381</v>
      </c>
      <c r="B833" s="2" t="s">
        <v>107</v>
      </c>
      <c r="C833" s="10">
        <v>2304025</v>
      </c>
      <c r="D833" s="10" t="s">
        <v>1162</v>
      </c>
      <c r="E833" s="10">
        <v>2531390</v>
      </c>
      <c r="F833" s="10" t="s">
        <v>1229</v>
      </c>
      <c r="G833" s="69">
        <v>-390.34</v>
      </c>
      <c r="H833" s="69">
        <v>35.369999999999997</v>
      </c>
      <c r="I833" s="69">
        <f t="shared" si="251"/>
        <v>22.990500000000001</v>
      </c>
      <c r="J833" s="70">
        <v>1</v>
      </c>
      <c r="K833" s="69">
        <f t="shared" si="252"/>
        <v>-298.88581999999997</v>
      </c>
      <c r="L833" s="79" t="s">
        <v>468</v>
      </c>
      <c r="M833" s="61">
        <f t="shared" si="253"/>
        <v>-14.431197499999998</v>
      </c>
      <c r="N833" s="61">
        <f t="shared" si="254"/>
        <v>3.8111174999999995</v>
      </c>
      <c r="O833" s="58"/>
      <c r="P833" s="2"/>
      <c r="Q833" s="2"/>
      <c r="R833" s="32"/>
      <c r="S833" s="32"/>
      <c r="T833" s="32"/>
      <c r="U833" s="32"/>
      <c r="V833" s="2"/>
      <c r="W833" s="2"/>
      <c r="X833" s="2"/>
      <c r="Y833" s="2"/>
      <c r="Z833" s="2"/>
    </row>
    <row r="834" spans="1:26" ht="13.8" x14ac:dyDescent="0.3">
      <c r="A834" s="32" t="s">
        <v>381</v>
      </c>
      <c r="B834" s="2" t="s">
        <v>107</v>
      </c>
      <c r="C834" s="10">
        <v>2304025</v>
      </c>
      <c r="D834" s="10" t="s">
        <v>1162</v>
      </c>
      <c r="E834" s="10">
        <v>2564684</v>
      </c>
      <c r="F834" s="10" t="s">
        <v>1282</v>
      </c>
      <c r="G834" s="69">
        <v>17</v>
      </c>
      <c r="H834" s="69">
        <v>3.54</v>
      </c>
      <c r="I834" s="69">
        <f t="shared" si="251"/>
        <v>2.3010000000000002</v>
      </c>
      <c r="J834" s="70">
        <v>1</v>
      </c>
      <c r="K834" s="69">
        <f t="shared" si="252"/>
        <v>15.780760000000003</v>
      </c>
      <c r="L834" s="79" t="s">
        <v>468</v>
      </c>
      <c r="M834" s="61">
        <f t="shared" si="253"/>
        <v>0.51800500000000005</v>
      </c>
      <c r="N834" s="61">
        <f t="shared" si="254"/>
        <v>0.38143500000000002</v>
      </c>
      <c r="O834" s="58"/>
      <c r="P834" s="2"/>
      <c r="Q834" s="2"/>
      <c r="R834" s="32"/>
      <c r="S834" s="32"/>
      <c r="T834" s="32"/>
      <c r="U834" s="32"/>
      <c r="V834" s="2"/>
      <c r="W834" s="2"/>
      <c r="X834" s="2"/>
      <c r="Y834" s="2"/>
      <c r="Z834" s="2"/>
    </row>
    <row r="835" spans="1:26" ht="13.8" x14ac:dyDescent="0.3">
      <c r="A835" s="32" t="s">
        <v>381</v>
      </c>
      <c r="B835" s="2" t="s">
        <v>107</v>
      </c>
      <c r="C835" s="10">
        <v>2304025</v>
      </c>
      <c r="D835" s="10" t="s">
        <v>1162</v>
      </c>
      <c r="E835" s="10">
        <v>2575716</v>
      </c>
      <c r="F835" s="10" t="s">
        <v>1283</v>
      </c>
      <c r="G835" s="69">
        <v>6.54</v>
      </c>
      <c r="H835" s="69">
        <v>0.32</v>
      </c>
      <c r="I835" s="69">
        <f t="shared" si="251"/>
        <v>0.20800000000000002</v>
      </c>
      <c r="J835" s="70">
        <v>1</v>
      </c>
      <c r="K835" s="69">
        <f t="shared" si="252"/>
        <v>5.5041800000000007</v>
      </c>
      <c r="L835" s="79" t="s">
        <v>468</v>
      </c>
      <c r="M835" s="61">
        <f t="shared" si="253"/>
        <v>0.22193999999999997</v>
      </c>
      <c r="N835" s="61">
        <f t="shared" si="254"/>
        <v>3.4479999999999997E-2</v>
      </c>
      <c r="O835" s="58"/>
      <c r="P835" s="2"/>
      <c r="Q835" s="2"/>
      <c r="R835" s="32"/>
      <c r="S835" s="32"/>
      <c r="T835" s="32"/>
      <c r="U835" s="32"/>
      <c r="V835" s="2"/>
      <c r="W835" s="2"/>
      <c r="X835" s="2"/>
      <c r="Y835" s="2"/>
      <c r="Z835" s="2"/>
    </row>
    <row r="836" spans="1:26" ht="13.8" x14ac:dyDescent="0.3">
      <c r="A836" s="32" t="s">
        <v>381</v>
      </c>
      <c r="B836" s="2" t="s">
        <v>107</v>
      </c>
      <c r="C836" s="10">
        <v>2304025</v>
      </c>
      <c r="D836" s="10" t="s">
        <v>1162</v>
      </c>
      <c r="E836" s="10">
        <v>2575824</v>
      </c>
      <c r="F836" s="10" t="s">
        <v>1284</v>
      </c>
      <c r="G836" s="69">
        <v>48.01</v>
      </c>
      <c r="H836" s="69">
        <v>23.35</v>
      </c>
      <c r="I836" s="69">
        <f t="shared" si="251"/>
        <v>15.177500000000002</v>
      </c>
      <c r="J836" s="70">
        <v>1</v>
      </c>
      <c r="K836" s="69">
        <f t="shared" si="252"/>
        <v>51.830550000000002</v>
      </c>
      <c r="L836" s="79" t="s">
        <v>468</v>
      </c>
      <c r="M836" s="61">
        <f t="shared" si="253"/>
        <v>1.1724875000000001</v>
      </c>
      <c r="N836" s="61">
        <f t="shared" si="254"/>
        <v>2.5159625000000001</v>
      </c>
      <c r="O836" s="58"/>
      <c r="P836" s="2"/>
      <c r="Q836" s="2"/>
      <c r="R836" s="32"/>
      <c r="S836" s="32"/>
      <c r="T836" s="32"/>
      <c r="U836" s="32"/>
      <c r="V836" s="2"/>
      <c r="W836" s="2"/>
      <c r="X836" s="2"/>
      <c r="Y836" s="2"/>
      <c r="Z836" s="2"/>
    </row>
    <row r="837" spans="1:26" ht="13.8" x14ac:dyDescent="0.3">
      <c r="A837" s="32" t="s">
        <v>381</v>
      </c>
      <c r="B837" s="2" t="s">
        <v>107</v>
      </c>
      <c r="C837" s="10">
        <v>2304025</v>
      </c>
      <c r="D837" s="10" t="s">
        <v>1162</v>
      </c>
      <c r="E837" s="10">
        <v>2575978</v>
      </c>
      <c r="F837" s="10" t="s">
        <v>1285</v>
      </c>
      <c r="G837" s="69">
        <v>-81.290000000000006</v>
      </c>
      <c r="H837" s="69">
        <v>24.99</v>
      </c>
      <c r="I837" s="69">
        <f t="shared" si="251"/>
        <v>16.243500000000001</v>
      </c>
      <c r="J837" s="70">
        <v>1</v>
      </c>
      <c r="K837" s="69">
        <f t="shared" si="252"/>
        <v>-52.656790000000008</v>
      </c>
      <c r="L837" s="79" t="s">
        <v>468</v>
      </c>
      <c r="M837" s="61">
        <f t="shared" si="253"/>
        <v>-3.3886825000000003</v>
      </c>
      <c r="N837" s="61">
        <f t="shared" si="254"/>
        <v>2.6926725</v>
      </c>
      <c r="O837" s="58"/>
      <c r="P837" s="2"/>
      <c r="Q837" s="2"/>
      <c r="R837" s="32"/>
      <c r="S837" s="32"/>
      <c r="T837" s="32"/>
      <c r="U837" s="32"/>
      <c r="V837" s="2"/>
      <c r="W837" s="2"/>
      <c r="X837" s="2"/>
      <c r="Y837" s="2"/>
      <c r="Z837" s="2"/>
    </row>
    <row r="838" spans="1:26" ht="13.8" x14ac:dyDescent="0.3">
      <c r="A838" s="32" t="s">
        <v>381</v>
      </c>
      <c r="B838" s="2" t="s">
        <v>107</v>
      </c>
      <c r="C838" s="10">
        <v>2373023</v>
      </c>
      <c r="D838" s="10" t="s">
        <v>1127</v>
      </c>
      <c r="E838" s="10">
        <v>2630335</v>
      </c>
      <c r="F838" s="10" t="s">
        <v>1320</v>
      </c>
      <c r="G838" s="69">
        <v>41.6</v>
      </c>
      <c r="H838" s="69">
        <v>79.260000000000005</v>
      </c>
      <c r="I838" s="69">
        <f t="shared" si="251"/>
        <v>51.519000000000005</v>
      </c>
      <c r="J838" s="70">
        <v>1</v>
      </c>
      <c r="K838" s="69">
        <f t="shared" si="252"/>
        <v>77.021439999999998</v>
      </c>
      <c r="L838" s="79" t="s">
        <v>468</v>
      </c>
      <c r="M838" s="61">
        <f t="shared" ref="M838:M842" si="255">(G838*0.05-H838*0.25*0.15)*J838*0.7-(-H838*0.02*0.15)*J838</f>
        <v>-0.38679500000000011</v>
      </c>
      <c r="N838" s="61">
        <f t="shared" ref="N838:N842" si="256">(H838*0.1*0.85+I838*0.05)*J838*0.7+H838*0.02*0.85*J838</f>
        <v>7.866555</v>
      </c>
      <c r="O838" s="58"/>
      <c r="P838" s="2"/>
      <c r="Q838" s="2"/>
      <c r="R838" s="32"/>
      <c r="S838" s="32"/>
      <c r="T838" s="32"/>
      <c r="U838" s="32"/>
      <c r="V838" s="2"/>
      <c r="W838" s="2"/>
      <c r="X838" s="2"/>
      <c r="Y838" s="2"/>
      <c r="Z838" s="2"/>
    </row>
    <row r="839" spans="1:26" ht="13.8" x14ac:dyDescent="0.3">
      <c r="A839" s="32" t="s">
        <v>381</v>
      </c>
      <c r="B839" s="2" t="s">
        <v>107</v>
      </c>
      <c r="C839" s="10">
        <v>2373023</v>
      </c>
      <c r="D839" s="10" t="s">
        <v>1127</v>
      </c>
      <c r="E839" s="10">
        <v>2630345</v>
      </c>
      <c r="F839" s="10" t="s">
        <v>1321</v>
      </c>
      <c r="G839" s="69">
        <v>-755.91</v>
      </c>
      <c r="H839" s="69">
        <v>55.02</v>
      </c>
      <c r="I839" s="69">
        <f t="shared" si="251"/>
        <v>35.763000000000005</v>
      </c>
      <c r="J839" s="70">
        <v>1</v>
      </c>
      <c r="K839" s="69">
        <f t="shared" si="252"/>
        <v>-586.13576999999998</v>
      </c>
      <c r="L839" s="79" t="s">
        <v>468</v>
      </c>
      <c r="M839" s="61">
        <f t="shared" si="255"/>
        <v>-27.736065</v>
      </c>
      <c r="N839" s="61">
        <f t="shared" si="256"/>
        <v>5.4607349999999997</v>
      </c>
      <c r="O839" s="58"/>
      <c r="P839" s="2"/>
      <c r="Q839" s="2"/>
      <c r="R839" s="32"/>
      <c r="S839" s="32"/>
      <c r="T839" s="32"/>
      <c r="U839" s="32"/>
      <c r="V839" s="2"/>
      <c r="W839" s="2"/>
      <c r="X839" s="2"/>
      <c r="Y839" s="2"/>
      <c r="Z839" s="2"/>
    </row>
    <row r="840" spans="1:26" ht="13.8" x14ac:dyDescent="0.3">
      <c r="A840" s="32" t="s">
        <v>381</v>
      </c>
      <c r="B840" s="2" t="s">
        <v>107</v>
      </c>
      <c r="C840" s="10">
        <v>2525136</v>
      </c>
      <c r="D840" s="10" t="s">
        <v>1205</v>
      </c>
      <c r="E840" s="10">
        <v>2523689</v>
      </c>
      <c r="F840" s="10" t="s">
        <v>1311</v>
      </c>
      <c r="G840" s="69">
        <v>-48.22</v>
      </c>
      <c r="H840" s="69">
        <v>10.83</v>
      </c>
      <c r="I840" s="69">
        <f t="shared" si="251"/>
        <v>7.0395000000000003</v>
      </c>
      <c r="J840" s="70">
        <v>1</v>
      </c>
      <c r="K840" s="69">
        <f t="shared" si="252"/>
        <v>-33.407779999999995</v>
      </c>
      <c r="L840" s="79" t="s">
        <v>468</v>
      </c>
      <c r="M840" s="61">
        <f t="shared" si="255"/>
        <v>-1.9394974999999999</v>
      </c>
      <c r="N840" s="61">
        <f t="shared" si="256"/>
        <v>1.0748774999999999</v>
      </c>
      <c r="O840" s="58"/>
      <c r="P840" s="2"/>
      <c r="Q840" s="2"/>
      <c r="R840" s="32"/>
      <c r="S840" s="32"/>
      <c r="T840" s="32"/>
      <c r="U840" s="32"/>
      <c r="V840" s="2"/>
      <c r="W840" s="2"/>
      <c r="X840" s="2"/>
      <c r="Y840" s="2"/>
      <c r="Z840" s="2"/>
    </row>
    <row r="841" spans="1:26" ht="13.8" x14ac:dyDescent="0.3">
      <c r="A841" s="32" t="s">
        <v>381</v>
      </c>
      <c r="B841" s="2" t="s">
        <v>107</v>
      </c>
      <c r="C841" s="10">
        <v>2525136</v>
      </c>
      <c r="D841" s="10" t="s">
        <v>1205</v>
      </c>
      <c r="E841" s="10">
        <v>2525136</v>
      </c>
      <c r="F841" s="10" t="s">
        <v>1205</v>
      </c>
      <c r="G841" s="69">
        <v>-101.88</v>
      </c>
      <c r="H841" s="69">
        <v>12.28</v>
      </c>
      <c r="I841" s="69">
        <f t="shared" si="251"/>
        <v>7.9820000000000002</v>
      </c>
      <c r="J841" s="70">
        <v>1</v>
      </c>
      <c r="K841" s="69">
        <f t="shared" si="252"/>
        <v>-76.351879999999994</v>
      </c>
      <c r="L841" s="79" t="s">
        <v>468</v>
      </c>
      <c r="M841" s="61">
        <f t="shared" si="255"/>
        <v>-3.8513099999999993</v>
      </c>
      <c r="N841" s="61">
        <f t="shared" si="256"/>
        <v>1.21879</v>
      </c>
      <c r="O841" s="58"/>
      <c r="P841" s="2"/>
      <c r="Q841" s="2"/>
      <c r="R841" s="32"/>
      <c r="S841" s="32"/>
      <c r="T841" s="32"/>
      <c r="U841" s="32"/>
      <c r="V841" s="2"/>
      <c r="W841" s="2"/>
      <c r="X841" s="2"/>
      <c r="Y841" s="2"/>
      <c r="Z841" s="2"/>
    </row>
    <row r="842" spans="1:26" ht="13.8" x14ac:dyDescent="0.3">
      <c r="A842" s="32" t="s">
        <v>381</v>
      </c>
      <c r="B842" s="2" t="s">
        <v>107</v>
      </c>
      <c r="C842" s="10">
        <v>2525136</v>
      </c>
      <c r="D842" s="10" t="s">
        <v>1205</v>
      </c>
      <c r="E842" s="10">
        <v>2600460</v>
      </c>
      <c r="F842" s="10" t="s">
        <v>1312</v>
      </c>
      <c r="G842" s="69">
        <v>61</v>
      </c>
      <c r="H842" s="69">
        <v>1.49</v>
      </c>
      <c r="I842" s="69">
        <f t="shared" si="251"/>
        <v>0.96850000000000003</v>
      </c>
      <c r="J842" s="70">
        <v>1</v>
      </c>
      <c r="K842" s="69">
        <f t="shared" si="252"/>
        <v>50.525560000000006</v>
      </c>
      <c r="L842" s="79" t="s">
        <v>468</v>
      </c>
      <c r="M842" s="61">
        <f t="shared" si="255"/>
        <v>2.1003575000000003</v>
      </c>
      <c r="N842" s="61">
        <f t="shared" si="256"/>
        <v>0.14788249999999997</v>
      </c>
      <c r="O842" s="58"/>
      <c r="P842" s="2"/>
      <c r="Q842" s="2"/>
      <c r="R842" s="32"/>
      <c r="S842" s="32"/>
      <c r="T842" s="32"/>
      <c r="U842" s="32"/>
      <c r="V842" s="2"/>
      <c r="W842" s="2"/>
      <c r="X842" s="2"/>
      <c r="Y842" s="2"/>
      <c r="Z842" s="2"/>
    </row>
    <row r="843" spans="1:26" ht="13.8" x14ac:dyDescent="0.3">
      <c r="A843" s="32" t="s">
        <v>381</v>
      </c>
      <c r="B843" s="2" t="s">
        <v>107</v>
      </c>
      <c r="C843" s="10">
        <v>2550550</v>
      </c>
      <c r="D843" s="10" t="s">
        <v>1272</v>
      </c>
      <c r="E843" s="10">
        <v>2550550</v>
      </c>
      <c r="F843" s="10" t="s">
        <v>1272</v>
      </c>
      <c r="G843" s="69">
        <v>-20</v>
      </c>
      <c r="H843" s="69">
        <v>2</v>
      </c>
      <c r="I843" s="69">
        <f t="shared" si="251"/>
        <v>1.3</v>
      </c>
      <c r="J843" s="70">
        <v>1</v>
      </c>
      <c r="K843" s="69">
        <f>(G843+I843)*J843*0.96+(-H843*0.25*0.04)*J843*0.3+H843*0.1*0.96*J843*0.3</f>
        <v>-17.900399999999998</v>
      </c>
      <c r="L843" s="79"/>
      <c r="M843" s="61">
        <f>(-H843*0.25*0.04)*J843*0.7</f>
        <v>-1.3999999999999999E-2</v>
      </c>
      <c r="N843" s="61">
        <f>H843*0.1*0.96*J843*0.7+H843*0.02*0.04*J843+H843*0.02*0.96*J843</f>
        <v>0.17439999999999997</v>
      </c>
      <c r="O843" s="61"/>
      <c r="P843" s="2"/>
      <c r="Q843" s="2"/>
      <c r="R843" s="32"/>
      <c r="S843" s="32"/>
      <c r="T843" s="32"/>
      <c r="U843" s="32"/>
      <c r="V843" s="2"/>
      <c r="W843" s="2"/>
      <c r="X843" s="2"/>
      <c r="Y843" s="2"/>
      <c r="Z843" s="2"/>
    </row>
    <row r="844" spans="1:26" ht="13.8" x14ac:dyDescent="0.3">
      <c r="A844" s="32" t="s">
        <v>381</v>
      </c>
      <c r="B844" s="32" t="s">
        <v>69</v>
      </c>
      <c r="C844" s="10" t="s">
        <v>1230</v>
      </c>
      <c r="D844" s="10" t="s">
        <v>1231</v>
      </c>
      <c r="E844" s="10" t="s">
        <v>1232</v>
      </c>
      <c r="F844" s="10" t="s">
        <v>1233</v>
      </c>
      <c r="G844" s="69">
        <v>-59.5</v>
      </c>
      <c r="H844" s="69">
        <v>140.05000000000001</v>
      </c>
      <c r="I844" s="69">
        <f>H844*0.72</f>
        <v>100.836</v>
      </c>
      <c r="J844" s="70">
        <v>1</v>
      </c>
      <c r="K844" s="69">
        <f t="shared" ref="K844:K862" si="257">(G844+I844)*J844</f>
        <v>41.335999999999999</v>
      </c>
      <c r="L844" s="78">
        <f>H844*0.05*J844</f>
        <v>7.0025000000000013</v>
      </c>
      <c r="M844" s="61">
        <v>0</v>
      </c>
      <c r="N844" s="61">
        <f>H844*0.08*J844</f>
        <v>11.204000000000001</v>
      </c>
      <c r="O844" s="58"/>
      <c r="P844" s="2"/>
      <c r="Q844" s="2"/>
      <c r="R844" s="32"/>
      <c r="S844" s="32"/>
      <c r="T844" s="32"/>
      <c r="U844" s="32"/>
      <c r="V844" s="2"/>
      <c r="W844" s="2"/>
      <c r="X844" s="2"/>
      <c r="Y844" s="2"/>
      <c r="Z844" s="2"/>
    </row>
    <row r="845" spans="1:26" ht="13.8" x14ac:dyDescent="0.3">
      <c r="A845" s="32" t="s">
        <v>381</v>
      </c>
      <c r="B845" s="10" t="s">
        <v>184</v>
      </c>
      <c r="C845" s="10" t="s">
        <v>1138</v>
      </c>
      <c r="D845" s="10" t="s">
        <v>1139</v>
      </c>
      <c r="E845" s="10" t="s">
        <v>1268</v>
      </c>
      <c r="F845" s="10" t="s">
        <v>1269</v>
      </c>
      <c r="G845" s="69">
        <v>242.1</v>
      </c>
      <c r="H845" s="69">
        <v>468.28</v>
      </c>
      <c r="I845" s="69">
        <f t="shared" ref="I845:I853" si="258">H845*0.725</f>
        <v>339.50299999999999</v>
      </c>
      <c r="J845" s="75">
        <v>0.27132000000000001</v>
      </c>
      <c r="K845" s="69">
        <f t="shared" si="257"/>
        <v>157.80052595999999</v>
      </c>
      <c r="L845" s="78">
        <f t="shared" ref="L845:L853" si="259">H845*0.025*J845</f>
        <v>3.1763432400000005</v>
      </c>
      <c r="M845" s="61">
        <v>0</v>
      </c>
      <c r="N845" s="61">
        <f t="shared" ref="N845:N853" si="260">H845*0.05*J845</f>
        <v>6.3526864800000009</v>
      </c>
      <c r="O845" s="58"/>
      <c r="P845" s="2"/>
      <c r="Q845" s="2"/>
      <c r="R845" s="32"/>
      <c r="S845" s="32"/>
      <c r="T845" s="32"/>
      <c r="U845" s="32"/>
      <c r="V845" s="2"/>
      <c r="W845" s="2"/>
      <c r="X845" s="2"/>
      <c r="Y845" s="2"/>
      <c r="Z845" s="2"/>
    </row>
    <row r="846" spans="1:26" ht="13.8" x14ac:dyDescent="0.3">
      <c r="A846" s="32" t="s">
        <v>381</v>
      </c>
      <c r="B846" s="10" t="s">
        <v>184</v>
      </c>
      <c r="C846" s="10" t="s">
        <v>1138</v>
      </c>
      <c r="D846" s="10" t="s">
        <v>1139</v>
      </c>
      <c r="E846" s="10" t="s">
        <v>1246</v>
      </c>
      <c r="F846" s="10" t="s">
        <v>1247</v>
      </c>
      <c r="G846" s="69">
        <v>-1329.54</v>
      </c>
      <c r="H846" s="69">
        <v>416.63</v>
      </c>
      <c r="I846" s="69">
        <f t="shared" si="258"/>
        <v>302.05674999999997</v>
      </c>
      <c r="J846" s="75">
        <v>0.27132000000000001</v>
      </c>
      <c r="K846" s="69">
        <f t="shared" si="257"/>
        <v>-278.77675539000001</v>
      </c>
      <c r="L846" s="78">
        <f t="shared" si="259"/>
        <v>2.8260012900000002</v>
      </c>
      <c r="M846" s="61">
        <v>0</v>
      </c>
      <c r="N846" s="61">
        <f t="shared" si="260"/>
        <v>5.6520025800000004</v>
      </c>
      <c r="O846" s="58"/>
      <c r="P846" s="2"/>
      <c r="Q846" s="2"/>
      <c r="R846" s="32"/>
      <c r="S846" s="32"/>
      <c r="T846" s="32"/>
      <c r="U846" s="32"/>
      <c r="V846" s="2"/>
      <c r="W846" s="2"/>
      <c r="X846" s="2"/>
      <c r="Y846" s="2"/>
      <c r="Z846" s="2"/>
    </row>
    <row r="847" spans="1:26" ht="13.8" x14ac:dyDescent="0.3">
      <c r="A847" s="32" t="s">
        <v>381</v>
      </c>
      <c r="B847" s="10" t="s">
        <v>184</v>
      </c>
      <c r="C847" s="10" t="s">
        <v>1138</v>
      </c>
      <c r="D847" s="10" t="s">
        <v>1139</v>
      </c>
      <c r="E847" s="10" t="s">
        <v>1140</v>
      </c>
      <c r="F847" s="10" t="s">
        <v>1141</v>
      </c>
      <c r="G847" s="69">
        <v>-4139.82</v>
      </c>
      <c r="H847" s="69">
        <v>2202.16</v>
      </c>
      <c r="I847" s="69">
        <f t="shared" si="258"/>
        <v>1596.5659999999998</v>
      </c>
      <c r="J847" s="75">
        <v>0.27132000000000001</v>
      </c>
      <c r="K847" s="69">
        <f t="shared" si="257"/>
        <v>-690.03567527999996</v>
      </c>
      <c r="L847" s="78">
        <f t="shared" si="259"/>
        <v>14.937251280000002</v>
      </c>
      <c r="M847" s="61">
        <v>0</v>
      </c>
      <c r="N847" s="61">
        <f t="shared" si="260"/>
        <v>29.874502560000003</v>
      </c>
      <c r="O847" s="58"/>
      <c r="P847" s="2"/>
      <c r="Q847" s="2"/>
      <c r="R847" s="32"/>
      <c r="S847" s="32"/>
      <c r="T847" s="32"/>
      <c r="U847" s="32"/>
      <c r="V847" s="2"/>
      <c r="W847" s="2"/>
      <c r="X847" s="2"/>
      <c r="Y847" s="2"/>
      <c r="Z847" s="2"/>
    </row>
    <row r="848" spans="1:26" ht="13.8" x14ac:dyDescent="0.3">
      <c r="A848" s="32" t="s">
        <v>381</v>
      </c>
      <c r="B848" s="10" t="s">
        <v>184</v>
      </c>
      <c r="C848" s="10" t="s">
        <v>1138</v>
      </c>
      <c r="D848" s="10" t="s">
        <v>1139</v>
      </c>
      <c r="E848" s="10" t="s">
        <v>1304</v>
      </c>
      <c r="F848" s="10" t="s">
        <v>1305</v>
      </c>
      <c r="G848" s="69">
        <v>0</v>
      </c>
      <c r="H848" s="69">
        <v>0</v>
      </c>
      <c r="I848" s="69">
        <f t="shared" si="258"/>
        <v>0</v>
      </c>
      <c r="J848" s="75">
        <v>0.27132000000000001</v>
      </c>
      <c r="K848" s="69">
        <f t="shared" si="257"/>
        <v>0</v>
      </c>
      <c r="L848" s="78">
        <f t="shared" si="259"/>
        <v>0</v>
      </c>
      <c r="M848" s="61">
        <v>0</v>
      </c>
      <c r="N848" s="61">
        <f t="shared" si="260"/>
        <v>0</v>
      </c>
      <c r="O848" s="58"/>
      <c r="P848" s="2"/>
      <c r="Q848" s="2"/>
      <c r="R848" s="32"/>
      <c r="S848" s="32"/>
      <c r="T848" s="32"/>
      <c r="U848" s="32"/>
      <c r="V848" s="2"/>
      <c r="W848" s="2"/>
      <c r="X848" s="2"/>
      <c r="Y848" s="2"/>
      <c r="Z848" s="2"/>
    </row>
    <row r="849" spans="1:26" ht="13.8" x14ac:dyDescent="0.3">
      <c r="A849" s="32" t="s">
        <v>381</v>
      </c>
      <c r="B849" s="10" t="s">
        <v>184</v>
      </c>
      <c r="C849" s="10" t="s">
        <v>1138</v>
      </c>
      <c r="D849" s="10" t="s">
        <v>1139</v>
      </c>
      <c r="E849" s="10" t="s">
        <v>1286</v>
      </c>
      <c r="F849" s="10" t="s">
        <v>1287</v>
      </c>
      <c r="G849" s="69">
        <v>-629.12</v>
      </c>
      <c r="H849" s="69">
        <v>59.29</v>
      </c>
      <c r="I849" s="69">
        <f t="shared" si="258"/>
        <v>42.985250000000001</v>
      </c>
      <c r="J849" s="75">
        <v>0.27132000000000001</v>
      </c>
      <c r="K849" s="69">
        <f t="shared" si="257"/>
        <v>-159.03008037000001</v>
      </c>
      <c r="L849" s="78">
        <f t="shared" si="259"/>
        <v>0.40216407000000004</v>
      </c>
      <c r="M849" s="61">
        <v>0</v>
      </c>
      <c r="N849" s="61">
        <f t="shared" si="260"/>
        <v>0.80432814000000008</v>
      </c>
      <c r="O849" s="58"/>
      <c r="P849" s="2"/>
      <c r="Q849" s="2"/>
      <c r="R849" s="32"/>
      <c r="S849" s="32"/>
      <c r="T849" s="32"/>
      <c r="U849" s="32"/>
      <c r="V849" s="2"/>
      <c r="W849" s="2"/>
      <c r="X849" s="2"/>
      <c r="Y849" s="2"/>
      <c r="Z849" s="2"/>
    </row>
    <row r="850" spans="1:26" ht="13.8" x14ac:dyDescent="0.3">
      <c r="A850" s="32" t="s">
        <v>381</v>
      </c>
      <c r="B850" s="10" t="s">
        <v>184</v>
      </c>
      <c r="C850" s="10" t="s">
        <v>1138</v>
      </c>
      <c r="D850" s="10" t="s">
        <v>1139</v>
      </c>
      <c r="E850" s="10" t="s">
        <v>1240</v>
      </c>
      <c r="F850" s="10" t="s">
        <v>1241</v>
      </c>
      <c r="G850" s="69">
        <v>-647.59</v>
      </c>
      <c r="H850" s="69">
        <v>27.82</v>
      </c>
      <c r="I850" s="69">
        <f t="shared" si="258"/>
        <v>20.169499999999999</v>
      </c>
      <c r="J850" s="75">
        <v>0.27132000000000001</v>
      </c>
      <c r="K850" s="69">
        <f t="shared" si="257"/>
        <v>-170.23173006000002</v>
      </c>
      <c r="L850" s="78">
        <f t="shared" si="259"/>
        <v>0.18870306000000001</v>
      </c>
      <c r="M850" s="61">
        <v>0</v>
      </c>
      <c r="N850" s="61">
        <f t="shared" si="260"/>
        <v>0.37740612000000001</v>
      </c>
      <c r="O850" s="58"/>
      <c r="P850" s="2"/>
      <c r="Q850" s="2"/>
      <c r="R850" s="32"/>
      <c r="S850" s="32"/>
      <c r="T850" s="32"/>
      <c r="U850" s="32"/>
      <c r="V850" s="2"/>
      <c r="W850" s="2"/>
      <c r="X850" s="2"/>
      <c r="Y850" s="2"/>
      <c r="Z850" s="2"/>
    </row>
    <row r="851" spans="1:26" ht="13.8" x14ac:dyDescent="0.3">
      <c r="A851" s="32" t="s">
        <v>381</v>
      </c>
      <c r="B851" s="10" t="s">
        <v>184</v>
      </c>
      <c r="C851" s="10" t="s">
        <v>1126</v>
      </c>
      <c r="D851" s="10" t="s">
        <v>1127</v>
      </c>
      <c r="E851" s="10" t="s">
        <v>1322</v>
      </c>
      <c r="F851" s="10" t="s">
        <v>1320</v>
      </c>
      <c r="G851" s="69">
        <v>-6455.85</v>
      </c>
      <c r="H851" s="69">
        <v>1669.15</v>
      </c>
      <c r="I851" s="69">
        <f t="shared" si="258"/>
        <v>1210.13375</v>
      </c>
      <c r="J851" s="75">
        <v>0.27132000000000001</v>
      </c>
      <c r="K851" s="69">
        <f t="shared" si="257"/>
        <v>-1423.2677329500002</v>
      </c>
      <c r="L851" s="78">
        <f t="shared" si="259"/>
        <v>11.321844450000002</v>
      </c>
      <c r="M851" s="61">
        <v>0</v>
      </c>
      <c r="N851" s="61">
        <f t="shared" si="260"/>
        <v>22.643688900000004</v>
      </c>
      <c r="O851" s="58"/>
      <c r="P851" s="2"/>
      <c r="Q851" s="2"/>
      <c r="R851" s="32"/>
      <c r="S851" s="32"/>
      <c r="T851" s="32"/>
      <c r="U851" s="32"/>
      <c r="V851" s="2"/>
      <c r="W851" s="2"/>
      <c r="X851" s="2"/>
      <c r="Y851" s="2"/>
      <c r="Z851" s="2"/>
    </row>
    <row r="852" spans="1:26" ht="13.8" x14ac:dyDescent="0.3">
      <c r="A852" s="32" t="s">
        <v>381</v>
      </c>
      <c r="B852" s="10" t="s">
        <v>184</v>
      </c>
      <c r="C852" s="10" t="s">
        <v>1126</v>
      </c>
      <c r="D852" s="10" t="s">
        <v>1127</v>
      </c>
      <c r="E852" s="10" t="s">
        <v>1126</v>
      </c>
      <c r="F852" s="10" t="s">
        <v>1127</v>
      </c>
      <c r="G852" s="69">
        <v>0</v>
      </c>
      <c r="H852" s="69">
        <v>0</v>
      </c>
      <c r="I852" s="69">
        <f t="shared" si="258"/>
        <v>0</v>
      </c>
      <c r="J852" s="75">
        <v>0.27132000000000001</v>
      </c>
      <c r="K852" s="69">
        <f t="shared" si="257"/>
        <v>0</v>
      </c>
      <c r="L852" s="78">
        <f t="shared" si="259"/>
        <v>0</v>
      </c>
      <c r="M852" s="61">
        <v>0</v>
      </c>
      <c r="N852" s="61">
        <f t="shared" si="260"/>
        <v>0</v>
      </c>
      <c r="O852" s="58"/>
      <c r="P852" s="2"/>
      <c r="Q852" s="2"/>
      <c r="R852" s="32"/>
      <c r="S852" s="32"/>
      <c r="T852" s="32"/>
      <c r="U852" s="32"/>
      <c r="V852" s="2"/>
      <c r="W852" s="2"/>
      <c r="X852" s="2"/>
      <c r="Y852" s="2"/>
      <c r="Z852" s="2"/>
    </row>
    <row r="853" spans="1:26" ht="13.8" x14ac:dyDescent="0.3">
      <c r="A853" s="32" t="s">
        <v>381</v>
      </c>
      <c r="B853" s="10" t="s">
        <v>184</v>
      </c>
      <c r="C853" s="10" t="s">
        <v>1230</v>
      </c>
      <c r="D853" s="10" t="s">
        <v>1231</v>
      </c>
      <c r="E853" s="10" t="s">
        <v>1230</v>
      </c>
      <c r="F853" s="10" t="s">
        <v>1231</v>
      </c>
      <c r="G853" s="69">
        <v>-10230.5</v>
      </c>
      <c r="H853" s="69">
        <v>6148.04</v>
      </c>
      <c r="I853" s="69">
        <f t="shared" si="258"/>
        <v>4457.3289999999997</v>
      </c>
      <c r="J853" s="75">
        <v>0.27132000000000001</v>
      </c>
      <c r="K853" s="69">
        <f t="shared" si="257"/>
        <v>-1566.3767557200001</v>
      </c>
      <c r="L853" s="78">
        <f t="shared" si="259"/>
        <v>41.70215532000001</v>
      </c>
      <c r="M853" s="61">
        <v>0</v>
      </c>
      <c r="N853" s="61">
        <f t="shared" si="260"/>
        <v>83.40431064000002</v>
      </c>
      <c r="O853" s="58"/>
      <c r="P853" s="2"/>
      <c r="Q853" s="2"/>
      <c r="R853" s="32"/>
      <c r="S853" s="32"/>
      <c r="T853" s="32"/>
      <c r="U853" s="32"/>
      <c r="V853" s="2"/>
      <c r="W853" s="2"/>
      <c r="X853" s="2"/>
      <c r="Y853" s="2"/>
      <c r="Z853" s="2"/>
    </row>
    <row r="854" spans="1:26" ht="13.8" x14ac:dyDescent="0.3">
      <c r="A854" s="32" t="s">
        <v>381</v>
      </c>
      <c r="B854" s="29" t="s">
        <v>35</v>
      </c>
      <c r="C854" s="10" t="s">
        <v>1114</v>
      </c>
      <c r="D854" s="10" t="s">
        <v>1115</v>
      </c>
      <c r="E854" s="10" t="s">
        <v>1298</v>
      </c>
      <c r="F854" s="10" t="s">
        <v>1299</v>
      </c>
      <c r="G854" s="69">
        <v>-7302.4</v>
      </c>
      <c r="H854" s="69">
        <v>1449.84</v>
      </c>
      <c r="I854" s="69">
        <f t="shared" ref="I854:I860" si="261">H854*0.79</f>
        <v>1145.3735999999999</v>
      </c>
      <c r="J854" s="75">
        <v>0.27132000000000001</v>
      </c>
      <c r="K854" s="69">
        <f t="shared" si="257"/>
        <v>-1670.5244028479999</v>
      </c>
      <c r="L854" s="78">
        <f t="shared" ref="L854:L860" si="262">H854*0.05*J854</f>
        <v>19.66852944</v>
      </c>
      <c r="M854" s="61">
        <v>0</v>
      </c>
      <c r="N854" s="61">
        <f t="shared" ref="N854:N860" si="263">H854*0.04*J854</f>
        <v>15.734823552</v>
      </c>
      <c r="O854" s="61"/>
      <c r="P854" s="2"/>
      <c r="Q854" s="2"/>
      <c r="R854" s="32"/>
      <c r="S854" s="32"/>
      <c r="T854" s="32"/>
      <c r="U854" s="32"/>
      <c r="V854" s="2"/>
      <c r="W854" s="2"/>
      <c r="X854" s="2"/>
      <c r="Y854" s="2"/>
      <c r="Z854" s="2"/>
    </row>
    <row r="855" spans="1:26" ht="13.8" x14ac:dyDescent="0.3">
      <c r="A855" s="32" t="s">
        <v>381</v>
      </c>
      <c r="B855" s="29" t="s">
        <v>35</v>
      </c>
      <c r="C855" s="10" t="s">
        <v>1118</v>
      </c>
      <c r="D855" s="10" t="s">
        <v>1119</v>
      </c>
      <c r="E855" s="10" t="s">
        <v>1123</v>
      </c>
      <c r="F855" s="10" t="s">
        <v>1124</v>
      </c>
      <c r="G855" s="69">
        <v>-817.42</v>
      </c>
      <c r="H855" s="69">
        <v>14.73</v>
      </c>
      <c r="I855" s="69">
        <f t="shared" si="261"/>
        <v>11.636700000000001</v>
      </c>
      <c r="J855" s="75">
        <v>0.27132000000000001</v>
      </c>
      <c r="K855" s="69">
        <f t="shared" si="257"/>
        <v>-218.62512495599998</v>
      </c>
      <c r="L855" s="78">
        <f t="shared" si="262"/>
        <v>0.19982718000000002</v>
      </c>
      <c r="M855" s="61">
        <v>0</v>
      </c>
      <c r="N855" s="61">
        <f t="shared" si="263"/>
        <v>0.15986174400000003</v>
      </c>
      <c r="O855" s="61"/>
      <c r="P855" s="2"/>
      <c r="Q855" s="2"/>
      <c r="R855" s="32"/>
      <c r="S855" s="32"/>
      <c r="T855" s="32"/>
      <c r="U855" s="32"/>
      <c r="V855" s="2"/>
      <c r="W855" s="2"/>
      <c r="X855" s="2"/>
      <c r="Y855" s="2"/>
      <c r="Z855" s="2"/>
    </row>
    <row r="856" spans="1:26" ht="13.8" x14ac:dyDescent="0.3">
      <c r="A856" s="32" t="s">
        <v>381</v>
      </c>
      <c r="B856" s="29" t="s">
        <v>35</v>
      </c>
      <c r="C856" s="10" t="s">
        <v>1126</v>
      </c>
      <c r="D856" s="10" t="s">
        <v>1127</v>
      </c>
      <c r="E856" s="10" t="s">
        <v>1322</v>
      </c>
      <c r="F856" s="10" t="s">
        <v>1320</v>
      </c>
      <c r="G856" s="69">
        <v>4961.8999999999996</v>
      </c>
      <c r="H856" s="69">
        <v>199.27</v>
      </c>
      <c r="I856" s="69">
        <f t="shared" si="261"/>
        <v>157.42330000000001</v>
      </c>
      <c r="J856" s="75">
        <v>0.27132000000000001</v>
      </c>
      <c r="K856" s="69">
        <f t="shared" si="257"/>
        <v>1388.974797756</v>
      </c>
      <c r="L856" s="78">
        <f t="shared" si="262"/>
        <v>2.7032968200000003</v>
      </c>
      <c r="M856" s="61">
        <v>0</v>
      </c>
      <c r="N856" s="61">
        <f t="shared" si="263"/>
        <v>2.1626374560000001</v>
      </c>
      <c r="O856" s="61"/>
      <c r="P856" s="2"/>
      <c r="Q856" s="2"/>
      <c r="R856" s="32"/>
      <c r="S856" s="32"/>
      <c r="T856" s="32"/>
      <c r="U856" s="32"/>
      <c r="V856" s="2"/>
      <c r="W856" s="2"/>
      <c r="X856" s="2"/>
      <c r="Y856" s="2"/>
      <c r="Z856" s="2"/>
    </row>
    <row r="857" spans="1:26" ht="13.8" x14ac:dyDescent="0.3">
      <c r="A857" s="32" t="s">
        <v>381</v>
      </c>
      <c r="B857" s="29" t="s">
        <v>35</v>
      </c>
      <c r="C857" s="10" t="s">
        <v>1138</v>
      </c>
      <c r="D857" s="10" t="s">
        <v>1139</v>
      </c>
      <c r="E857" s="10" t="s">
        <v>1238</v>
      </c>
      <c r="F857" s="10" t="s">
        <v>1239</v>
      </c>
      <c r="G857" s="69">
        <v>-3239.18</v>
      </c>
      <c r="H857" s="69">
        <v>144.51</v>
      </c>
      <c r="I857" s="69">
        <f t="shared" si="261"/>
        <v>114.16289999999999</v>
      </c>
      <c r="J857" s="75">
        <v>0.27132000000000001</v>
      </c>
      <c r="K857" s="69">
        <f t="shared" si="257"/>
        <v>-847.87963957199997</v>
      </c>
      <c r="L857" s="78">
        <f t="shared" si="262"/>
        <v>1.9604226600000001</v>
      </c>
      <c r="M857" s="61">
        <v>0</v>
      </c>
      <c r="N857" s="61">
        <f t="shared" si="263"/>
        <v>1.5683381279999999</v>
      </c>
      <c r="O857" s="61"/>
      <c r="P857" s="2"/>
      <c r="Q857" s="2"/>
      <c r="R857" s="32"/>
      <c r="S857" s="32"/>
      <c r="T857" s="32"/>
      <c r="U857" s="32"/>
      <c r="V857" s="2"/>
      <c r="W857" s="2"/>
      <c r="X857" s="2"/>
      <c r="Y857" s="2"/>
      <c r="Z857" s="2"/>
    </row>
    <row r="858" spans="1:26" ht="13.8" x14ac:dyDescent="0.3">
      <c r="A858" s="32" t="s">
        <v>381</v>
      </c>
      <c r="B858" s="29" t="s">
        <v>35</v>
      </c>
      <c r="C858" s="10" t="s">
        <v>1138</v>
      </c>
      <c r="D858" s="10" t="s">
        <v>1139</v>
      </c>
      <c r="E858" s="10" t="s">
        <v>1240</v>
      </c>
      <c r="F858" s="10" t="s">
        <v>1241</v>
      </c>
      <c r="G858" s="69">
        <v>759.29</v>
      </c>
      <c r="H858" s="69">
        <v>298.64</v>
      </c>
      <c r="I858" s="69">
        <f t="shared" si="261"/>
        <v>235.9256</v>
      </c>
      <c r="J858" s="75">
        <v>0.27132000000000001</v>
      </c>
      <c r="K858" s="69">
        <f t="shared" si="257"/>
        <v>270.02189659200002</v>
      </c>
      <c r="L858" s="78">
        <f t="shared" si="262"/>
        <v>4.0513502400000005</v>
      </c>
      <c r="M858" s="61">
        <v>0</v>
      </c>
      <c r="N858" s="61">
        <f t="shared" si="263"/>
        <v>3.2410801919999996</v>
      </c>
      <c r="O858" s="61"/>
      <c r="P858" s="2"/>
      <c r="Q858" s="2"/>
      <c r="R858" s="32"/>
      <c r="S858" s="32"/>
      <c r="T858" s="32"/>
      <c r="U858" s="32"/>
      <c r="V858" s="2"/>
      <c r="W858" s="2"/>
      <c r="X858" s="2"/>
      <c r="Y858" s="2"/>
      <c r="Z858" s="2"/>
    </row>
    <row r="859" spans="1:26" ht="13.8" x14ac:dyDescent="0.3">
      <c r="A859" s="32" t="s">
        <v>381</v>
      </c>
      <c r="B859" s="29" t="s">
        <v>35</v>
      </c>
      <c r="C859" s="10" t="s">
        <v>1138</v>
      </c>
      <c r="D859" s="10" t="s">
        <v>1139</v>
      </c>
      <c r="E859" s="10" t="s">
        <v>1294</v>
      </c>
      <c r="F859" s="10" t="s">
        <v>1295</v>
      </c>
      <c r="G859" s="69">
        <v>-42</v>
      </c>
      <c r="H859" s="69">
        <v>1.58</v>
      </c>
      <c r="I859" s="69">
        <f t="shared" si="261"/>
        <v>1.2482000000000002</v>
      </c>
      <c r="J859" s="75">
        <v>0.27132000000000001</v>
      </c>
      <c r="K859" s="69">
        <f t="shared" si="257"/>
        <v>-11.056778376</v>
      </c>
      <c r="L859" s="78">
        <f t="shared" si="262"/>
        <v>2.1434280000000003E-2</v>
      </c>
      <c r="M859" s="61">
        <v>0</v>
      </c>
      <c r="N859" s="61">
        <f t="shared" si="263"/>
        <v>1.7147424000000001E-2</v>
      </c>
      <c r="O859" s="61"/>
      <c r="P859" s="2"/>
      <c r="Q859" s="2"/>
      <c r="R859" s="32"/>
      <c r="S859" s="32"/>
      <c r="T859" s="32"/>
      <c r="U859" s="32"/>
      <c r="V859" s="2"/>
      <c r="W859" s="2"/>
      <c r="X859" s="2"/>
      <c r="Y859" s="2"/>
      <c r="Z859" s="2"/>
    </row>
    <row r="860" spans="1:26" ht="13.8" x14ac:dyDescent="0.3">
      <c r="A860" s="32" t="s">
        <v>381</v>
      </c>
      <c r="B860" s="29" t="s">
        <v>35</v>
      </c>
      <c r="C860" s="10" t="s">
        <v>1138</v>
      </c>
      <c r="D860" s="10" t="s">
        <v>1139</v>
      </c>
      <c r="E860" s="10" t="s">
        <v>1286</v>
      </c>
      <c r="F860" s="10" t="s">
        <v>1287</v>
      </c>
      <c r="G860" s="69">
        <v>3.64</v>
      </c>
      <c r="H860" s="69">
        <v>41.43</v>
      </c>
      <c r="I860" s="69">
        <f t="shared" si="261"/>
        <v>32.729700000000001</v>
      </c>
      <c r="J860" s="75">
        <v>0.27132000000000001</v>
      </c>
      <c r="K860" s="69">
        <f t="shared" si="257"/>
        <v>9.8678270040000005</v>
      </c>
      <c r="L860" s="78">
        <f t="shared" si="262"/>
        <v>0.56203937999999998</v>
      </c>
      <c r="M860" s="61">
        <v>0</v>
      </c>
      <c r="N860" s="61">
        <f t="shared" si="263"/>
        <v>0.44963150400000002</v>
      </c>
      <c r="O860" s="61"/>
      <c r="P860" s="2"/>
      <c r="Q860" s="2"/>
      <c r="R860" s="32"/>
      <c r="S860" s="32"/>
      <c r="T860" s="32"/>
      <c r="U860" s="32"/>
      <c r="V860" s="2"/>
      <c r="W860" s="2"/>
      <c r="X860" s="2"/>
      <c r="Y860" s="2"/>
      <c r="Z860" s="2"/>
    </row>
    <row r="861" spans="1:26" ht="13.8" x14ac:dyDescent="0.3">
      <c r="A861" s="32" t="s">
        <v>381</v>
      </c>
      <c r="B861" s="32" t="s">
        <v>61</v>
      </c>
      <c r="C861" s="2" t="s">
        <v>1138</v>
      </c>
      <c r="D861" s="10" t="s">
        <v>1139</v>
      </c>
      <c r="E861" s="10" t="s">
        <v>1206</v>
      </c>
      <c r="F861" s="10" t="s">
        <v>1207</v>
      </c>
      <c r="G861" s="69">
        <v>-880.77</v>
      </c>
      <c r="H861" s="69">
        <v>184.65</v>
      </c>
      <c r="I861" s="69">
        <f t="shared" ref="I861:I862" si="264">H861*0.57</f>
        <v>105.25049999999999</v>
      </c>
      <c r="J861" s="70">
        <v>1.10571</v>
      </c>
      <c r="K861" s="69">
        <f t="shared" si="257"/>
        <v>-857.49966634499992</v>
      </c>
      <c r="L861" s="78" t="s">
        <v>468</v>
      </c>
      <c r="M861" s="61">
        <v>0</v>
      </c>
      <c r="N861" s="61">
        <f t="shared" ref="N861:N862" si="265">H861*0.08*J861</f>
        <v>16.33354812</v>
      </c>
      <c r="O861" s="58"/>
      <c r="P861" s="2"/>
      <c r="Q861" s="2"/>
      <c r="R861" s="32"/>
      <c r="S861" s="32"/>
      <c r="T861" s="32"/>
      <c r="U861" s="32"/>
      <c r="V861" s="2"/>
      <c r="W861" s="2"/>
      <c r="X861" s="2"/>
      <c r="Y861" s="2"/>
      <c r="Z861" s="2"/>
    </row>
    <row r="862" spans="1:26" ht="13.8" x14ac:dyDescent="0.3">
      <c r="A862" s="32" t="s">
        <v>381</v>
      </c>
      <c r="B862" s="32" t="s">
        <v>61</v>
      </c>
      <c r="C862" s="10" t="s">
        <v>1230</v>
      </c>
      <c r="D862" s="10" t="s">
        <v>1231</v>
      </c>
      <c r="E862" s="10" t="s">
        <v>1230</v>
      </c>
      <c r="F862" s="10" t="s">
        <v>1231</v>
      </c>
      <c r="G862" s="69">
        <v>1299.31</v>
      </c>
      <c r="H862" s="69">
        <v>427.41</v>
      </c>
      <c r="I862" s="69">
        <f t="shared" si="264"/>
        <v>243.62369999999999</v>
      </c>
      <c r="J862" s="70">
        <v>1.10571</v>
      </c>
      <c r="K862" s="69">
        <f t="shared" si="257"/>
        <v>1706.0372214270001</v>
      </c>
      <c r="L862" s="78" t="s">
        <v>468</v>
      </c>
      <c r="M862" s="61">
        <v>0</v>
      </c>
      <c r="N862" s="61">
        <f t="shared" si="265"/>
        <v>37.807320888000007</v>
      </c>
      <c r="O862" s="58"/>
      <c r="P862" s="2"/>
      <c r="Q862" s="2"/>
      <c r="R862" s="32"/>
      <c r="S862" s="32"/>
      <c r="T862" s="32"/>
      <c r="U862" s="32"/>
      <c r="V862" s="2"/>
      <c r="W862" s="2"/>
      <c r="X862" s="2"/>
      <c r="Y862" s="2"/>
      <c r="Z862" s="2"/>
    </row>
    <row r="863" spans="1:26" ht="13.8" x14ac:dyDescent="0.3">
      <c r="A863" s="32" t="s">
        <v>381</v>
      </c>
      <c r="B863" s="2" t="s">
        <v>186</v>
      </c>
      <c r="C863" s="10" t="s">
        <v>15</v>
      </c>
      <c r="D863" s="10" t="s">
        <v>15</v>
      </c>
      <c r="E863" s="10">
        <v>1714680</v>
      </c>
      <c r="F863" s="76" t="s">
        <v>535</v>
      </c>
      <c r="G863" s="69">
        <v>-5389.62</v>
      </c>
      <c r="H863" s="69">
        <v>894.49</v>
      </c>
      <c r="I863" s="69">
        <v>0</v>
      </c>
      <c r="J863" s="70">
        <v>1</v>
      </c>
      <c r="K863" s="69">
        <f>(-H863*0.4*0.15+G863*0.25)*J863*0.3+(H863*0.1*0.85+H863*0.5*0.25)*J863*0.3</f>
        <v>-363.96944999999999</v>
      </c>
      <c r="L863" s="79" t="s">
        <v>468</v>
      </c>
      <c r="M863" s="61">
        <v>0</v>
      </c>
      <c r="N863" s="61">
        <v>0</v>
      </c>
      <c r="O863" s="61"/>
      <c r="P863" s="2"/>
      <c r="Q863" s="2"/>
      <c r="R863" s="32"/>
      <c r="S863" s="32"/>
      <c r="T863" s="32"/>
      <c r="U863" s="32"/>
      <c r="V863" s="2"/>
      <c r="W863" s="2"/>
      <c r="X863" s="2"/>
      <c r="Y863" s="2"/>
      <c r="Z863" s="2"/>
    </row>
    <row r="864" spans="1:26" ht="13.8" x14ac:dyDescent="0.3">
      <c r="A864" s="32" t="s">
        <v>381</v>
      </c>
      <c r="B864" s="2" t="s">
        <v>186</v>
      </c>
      <c r="C864" s="10">
        <v>2304025</v>
      </c>
      <c r="D864" s="10" t="s">
        <v>1162</v>
      </c>
      <c r="E864" s="10">
        <v>2514199</v>
      </c>
      <c r="F864" s="10" t="s">
        <v>1175</v>
      </c>
      <c r="G864" s="69">
        <v>7.16</v>
      </c>
      <c r="H864" s="69">
        <v>0</v>
      </c>
      <c r="I864" s="69">
        <f t="shared" ref="I864:I873" si="266">H864*0.5</f>
        <v>0</v>
      </c>
      <c r="J864" s="70">
        <v>1</v>
      </c>
      <c r="K864" s="69">
        <f t="shared" ref="K864:K873" si="267">(G864+I864)*J864*0.85+(-H864*0.4*0.15)*J864*0.3+H864*0.1*0.85*J864*0.3</f>
        <v>6.0860000000000003</v>
      </c>
      <c r="L864" s="79" t="s">
        <v>468</v>
      </c>
      <c r="M864" s="61">
        <f t="shared" ref="M864:M873" si="268">(-H864*0.4*0.15)*J864*0.7-(-H864*0.05*0.15)*J864</f>
        <v>0</v>
      </c>
      <c r="N864" s="61">
        <f t="shared" ref="N864:N873" si="269">H864*0.1*0.85*J864*0.7+H864*0.05*0.85*J864</f>
        <v>0</v>
      </c>
      <c r="O864" s="61"/>
      <c r="P864" s="2"/>
      <c r="Q864" s="2"/>
      <c r="R864" s="32"/>
      <c r="S864" s="32"/>
      <c r="T864" s="32"/>
      <c r="U864" s="32"/>
      <c r="V864" s="2"/>
      <c r="W864" s="2"/>
      <c r="X864" s="2"/>
      <c r="Y864" s="2"/>
      <c r="Z864" s="2"/>
    </row>
    <row r="865" spans="1:26" ht="13.8" x14ac:dyDescent="0.3">
      <c r="A865" s="32" t="s">
        <v>381</v>
      </c>
      <c r="B865" s="2" t="s">
        <v>186</v>
      </c>
      <c r="C865" s="10">
        <v>2304025</v>
      </c>
      <c r="D865" s="10" t="s">
        <v>1162</v>
      </c>
      <c r="E865" s="10">
        <v>2531191</v>
      </c>
      <c r="F865" s="10" t="s">
        <v>1259</v>
      </c>
      <c r="G865" s="69">
        <v>137.34</v>
      </c>
      <c r="H865" s="69">
        <v>108.59</v>
      </c>
      <c r="I865" s="69">
        <f t="shared" si="266"/>
        <v>54.295000000000002</v>
      </c>
      <c r="J865" s="70">
        <v>1</v>
      </c>
      <c r="K865" s="69">
        <f t="shared" si="267"/>
        <v>163.70417499999999</v>
      </c>
      <c r="L865" s="79" t="s">
        <v>468</v>
      </c>
      <c r="M865" s="61">
        <f t="shared" si="268"/>
        <v>-3.7463550000000003</v>
      </c>
      <c r="N865" s="61">
        <f t="shared" si="269"/>
        <v>11.076180000000001</v>
      </c>
      <c r="O865" s="61"/>
      <c r="P865" s="2"/>
      <c r="Q865" s="2"/>
      <c r="R865" s="32"/>
      <c r="S865" s="32"/>
      <c r="T865" s="32"/>
      <c r="U865" s="32"/>
      <c r="V865" s="2"/>
      <c r="W865" s="2"/>
      <c r="X865" s="2"/>
      <c r="Y865" s="2"/>
      <c r="Z865" s="2"/>
    </row>
    <row r="866" spans="1:26" ht="13.8" x14ac:dyDescent="0.3">
      <c r="A866" s="32" t="s">
        <v>381</v>
      </c>
      <c r="B866" s="2" t="s">
        <v>186</v>
      </c>
      <c r="C866" s="10">
        <v>2304025</v>
      </c>
      <c r="D866" s="10" t="s">
        <v>1162</v>
      </c>
      <c r="E866" s="10">
        <v>2540293</v>
      </c>
      <c r="F866" s="10" t="s">
        <v>1261</v>
      </c>
      <c r="G866" s="69">
        <v>-135.69</v>
      </c>
      <c r="H866" s="69">
        <v>16.82</v>
      </c>
      <c r="I866" s="69">
        <f t="shared" si="266"/>
        <v>8.41</v>
      </c>
      <c r="J866" s="70">
        <v>1</v>
      </c>
      <c r="K866" s="69">
        <f t="shared" si="267"/>
        <v>-108.06185000000001</v>
      </c>
      <c r="L866" s="79" t="s">
        <v>468</v>
      </c>
      <c r="M866" s="61">
        <f t="shared" si="268"/>
        <v>-0.58029000000000008</v>
      </c>
      <c r="N866" s="61">
        <f t="shared" si="269"/>
        <v>1.7156400000000001</v>
      </c>
      <c r="O866" s="61"/>
      <c r="P866" s="2"/>
      <c r="Q866" s="2"/>
      <c r="R866" s="32"/>
      <c r="S866" s="32"/>
      <c r="T866" s="32"/>
      <c r="U866" s="32"/>
      <c r="V866" s="2"/>
      <c r="W866" s="2"/>
      <c r="X866" s="2"/>
      <c r="Y866" s="2"/>
      <c r="Z866" s="2"/>
    </row>
    <row r="867" spans="1:26" ht="13.8" x14ac:dyDescent="0.3">
      <c r="A867" s="32" t="s">
        <v>381</v>
      </c>
      <c r="B867" s="2" t="s">
        <v>186</v>
      </c>
      <c r="C867" s="10">
        <v>2304025</v>
      </c>
      <c r="D867" s="10" t="s">
        <v>1162</v>
      </c>
      <c r="E867" s="10">
        <v>2559299</v>
      </c>
      <c r="F867" s="10" t="s">
        <v>1302</v>
      </c>
      <c r="G867" s="69">
        <v>115.21</v>
      </c>
      <c r="H867" s="69">
        <v>2.95</v>
      </c>
      <c r="I867" s="69">
        <f t="shared" si="266"/>
        <v>1.4750000000000001</v>
      </c>
      <c r="J867" s="70">
        <v>1</v>
      </c>
      <c r="K867" s="69">
        <f t="shared" si="267"/>
        <v>99.204374999999985</v>
      </c>
      <c r="L867" s="79" t="s">
        <v>468</v>
      </c>
      <c r="M867" s="61">
        <f t="shared" si="268"/>
        <v>-0.101775</v>
      </c>
      <c r="N867" s="61">
        <f t="shared" si="269"/>
        <v>0.30090000000000006</v>
      </c>
      <c r="O867" s="61"/>
      <c r="P867" s="2"/>
      <c r="Q867" s="2"/>
      <c r="R867" s="32"/>
      <c r="S867" s="32"/>
      <c r="T867" s="32"/>
      <c r="U867" s="32"/>
      <c r="V867" s="2"/>
      <c r="W867" s="2"/>
      <c r="X867" s="2"/>
      <c r="Y867" s="2"/>
      <c r="Z867" s="2"/>
    </row>
    <row r="868" spans="1:26" ht="13.8" x14ac:dyDescent="0.3">
      <c r="A868" s="32" t="s">
        <v>381</v>
      </c>
      <c r="B868" s="2" t="s">
        <v>186</v>
      </c>
      <c r="C868" s="10">
        <v>2304025</v>
      </c>
      <c r="D868" s="10" t="s">
        <v>1162</v>
      </c>
      <c r="E868" s="10">
        <v>2575716</v>
      </c>
      <c r="F868" s="10" t="s">
        <v>1283</v>
      </c>
      <c r="G868" s="69">
        <v>5.5</v>
      </c>
      <c r="H868" s="69">
        <v>2.48</v>
      </c>
      <c r="I868" s="69">
        <f t="shared" si="266"/>
        <v>1.24</v>
      </c>
      <c r="J868" s="70">
        <v>1</v>
      </c>
      <c r="K868" s="69">
        <f t="shared" si="267"/>
        <v>5.7476000000000003</v>
      </c>
      <c r="L868" s="79" t="s">
        <v>468</v>
      </c>
      <c r="M868" s="61">
        <f t="shared" si="268"/>
        <v>-8.5559999999999997E-2</v>
      </c>
      <c r="N868" s="61">
        <f t="shared" si="269"/>
        <v>0.25295999999999996</v>
      </c>
      <c r="O868" s="61"/>
      <c r="P868" s="2"/>
      <c r="Q868" s="2"/>
      <c r="R868" s="32"/>
      <c r="S868" s="32"/>
      <c r="T868" s="32"/>
      <c r="U868" s="32"/>
      <c r="V868" s="2"/>
      <c r="W868" s="2"/>
      <c r="X868" s="2"/>
      <c r="Y868" s="2"/>
      <c r="Z868" s="2"/>
    </row>
    <row r="869" spans="1:26" ht="13.8" x14ac:dyDescent="0.3">
      <c r="A869" s="32" t="s">
        <v>381</v>
      </c>
      <c r="B869" s="2" t="s">
        <v>186</v>
      </c>
      <c r="C869" s="10">
        <v>2304025</v>
      </c>
      <c r="D869" s="10" t="s">
        <v>1162</v>
      </c>
      <c r="E869" s="10">
        <v>2575824</v>
      </c>
      <c r="F869" s="10" t="s">
        <v>1284</v>
      </c>
      <c r="G869" s="69">
        <v>28.1</v>
      </c>
      <c r="H869" s="69">
        <v>1.29</v>
      </c>
      <c r="I869" s="69">
        <f t="shared" si="266"/>
        <v>0.64500000000000002</v>
      </c>
      <c r="J869" s="70">
        <v>1</v>
      </c>
      <c r="K869" s="69">
        <f t="shared" si="267"/>
        <v>24.442925000000002</v>
      </c>
      <c r="L869" s="79" t="s">
        <v>468</v>
      </c>
      <c r="M869" s="61">
        <f t="shared" si="268"/>
        <v>-4.4504999999999989E-2</v>
      </c>
      <c r="N869" s="61">
        <f t="shared" si="269"/>
        <v>0.13157999999999997</v>
      </c>
      <c r="O869" s="61"/>
      <c r="P869" s="2"/>
      <c r="Q869" s="2"/>
      <c r="R869" s="32"/>
      <c r="S869" s="32"/>
      <c r="T869" s="32"/>
      <c r="U869" s="32"/>
      <c r="V869" s="2"/>
      <c r="W869" s="2"/>
      <c r="X869" s="2"/>
      <c r="Y869" s="2"/>
      <c r="Z869" s="2"/>
    </row>
    <row r="870" spans="1:26" ht="13.8" x14ac:dyDescent="0.3">
      <c r="A870" s="32" t="s">
        <v>381</v>
      </c>
      <c r="B870" s="2" t="s">
        <v>186</v>
      </c>
      <c r="C870" s="10">
        <v>2304025</v>
      </c>
      <c r="D870" s="10" t="s">
        <v>1162</v>
      </c>
      <c r="E870" s="10">
        <v>2632174</v>
      </c>
      <c r="F870" s="10" t="s">
        <v>1323</v>
      </c>
      <c r="G870" s="69">
        <v>32.380000000000003</v>
      </c>
      <c r="H870" s="69">
        <v>13.52</v>
      </c>
      <c r="I870" s="69">
        <f t="shared" si="266"/>
        <v>6.76</v>
      </c>
      <c r="J870" s="70">
        <v>1</v>
      </c>
      <c r="K870" s="69">
        <f t="shared" si="267"/>
        <v>33.370399999999997</v>
      </c>
      <c r="L870" s="79" t="s">
        <v>468</v>
      </c>
      <c r="M870" s="61">
        <f t="shared" si="268"/>
        <v>-0.46644000000000002</v>
      </c>
      <c r="N870" s="61">
        <f t="shared" si="269"/>
        <v>1.3790399999999998</v>
      </c>
      <c r="O870" s="61"/>
      <c r="P870" s="2"/>
      <c r="Q870" s="2"/>
      <c r="R870" s="32"/>
      <c r="S870" s="32"/>
      <c r="T870" s="32"/>
      <c r="U870" s="32"/>
      <c r="V870" s="2"/>
      <c r="W870" s="2"/>
      <c r="X870" s="2"/>
      <c r="Y870" s="2"/>
      <c r="Z870" s="2"/>
    </row>
    <row r="871" spans="1:26" ht="13.8" x14ac:dyDescent="0.3">
      <c r="A871" s="32" t="s">
        <v>381</v>
      </c>
      <c r="B871" s="2" t="s">
        <v>186</v>
      </c>
      <c r="C871" s="10">
        <v>2525136</v>
      </c>
      <c r="D871" s="10" t="s">
        <v>1205</v>
      </c>
      <c r="E871" s="10">
        <v>2523689</v>
      </c>
      <c r="F871" s="10" t="s">
        <v>1311</v>
      </c>
      <c r="G871" s="69">
        <v>-3520.77</v>
      </c>
      <c r="H871" s="69">
        <v>286.83</v>
      </c>
      <c r="I871" s="69">
        <f t="shared" si="266"/>
        <v>143.41499999999999</v>
      </c>
      <c r="J871" s="70">
        <v>1</v>
      </c>
      <c r="K871" s="69">
        <f t="shared" si="267"/>
        <v>-2868.6005250000003</v>
      </c>
      <c r="L871" s="79" t="s">
        <v>468</v>
      </c>
      <c r="M871" s="61">
        <f t="shared" si="268"/>
        <v>-9.8956349999999969</v>
      </c>
      <c r="N871" s="61">
        <f t="shared" si="269"/>
        <v>29.256659999999997</v>
      </c>
      <c r="O871" s="61"/>
      <c r="P871" s="2"/>
      <c r="Q871" s="2"/>
      <c r="R871" s="32"/>
      <c r="S871" s="32"/>
      <c r="T871" s="32"/>
      <c r="U871" s="32"/>
      <c r="V871" s="2"/>
      <c r="W871" s="2"/>
      <c r="X871" s="2"/>
      <c r="Y871" s="2"/>
      <c r="Z871" s="2"/>
    </row>
    <row r="872" spans="1:26" ht="13.8" x14ac:dyDescent="0.3">
      <c r="A872" s="32" t="s">
        <v>381</v>
      </c>
      <c r="B872" s="2" t="s">
        <v>186</v>
      </c>
      <c r="C872" s="10">
        <v>2525136</v>
      </c>
      <c r="D872" s="10" t="s">
        <v>1205</v>
      </c>
      <c r="E872" s="10">
        <v>2525136</v>
      </c>
      <c r="F872" s="10" t="s">
        <v>1205</v>
      </c>
      <c r="G872" s="69">
        <v>927.92</v>
      </c>
      <c r="H872" s="69">
        <v>107.55</v>
      </c>
      <c r="I872" s="69">
        <f t="shared" si="266"/>
        <v>53.774999999999999</v>
      </c>
      <c r="J872" s="70">
        <v>1</v>
      </c>
      <c r="K872" s="69">
        <f t="shared" si="267"/>
        <v>835.24737500000003</v>
      </c>
      <c r="L872" s="79" t="s">
        <v>468</v>
      </c>
      <c r="M872" s="61">
        <f t="shared" si="268"/>
        <v>-3.7104750000000002</v>
      </c>
      <c r="N872" s="61">
        <f t="shared" si="269"/>
        <v>10.970099999999999</v>
      </c>
      <c r="O872" s="61"/>
      <c r="P872" s="2"/>
      <c r="Q872" s="2"/>
      <c r="R872" s="32"/>
      <c r="S872" s="32"/>
      <c r="T872" s="32"/>
      <c r="U872" s="32"/>
      <c r="V872" s="2"/>
      <c r="W872" s="2"/>
      <c r="X872" s="2"/>
      <c r="Y872" s="2"/>
      <c r="Z872" s="2"/>
    </row>
    <row r="873" spans="1:26" ht="13.8" x14ac:dyDescent="0.3">
      <c r="A873" s="32" t="s">
        <v>381</v>
      </c>
      <c r="B873" s="2" t="s">
        <v>186</v>
      </c>
      <c r="C873" s="10">
        <v>2525136</v>
      </c>
      <c r="D873" s="10" t="s">
        <v>1205</v>
      </c>
      <c r="E873" s="10">
        <v>2600460</v>
      </c>
      <c r="F873" s="10" t="s">
        <v>1312</v>
      </c>
      <c r="G873" s="69">
        <v>-282.61</v>
      </c>
      <c r="H873" s="69">
        <v>115.26</v>
      </c>
      <c r="I873" s="69">
        <f t="shared" si="266"/>
        <v>57.63</v>
      </c>
      <c r="J873" s="70">
        <v>1</v>
      </c>
      <c r="K873" s="69">
        <f t="shared" si="267"/>
        <v>-190.36855</v>
      </c>
      <c r="L873" s="79" t="s">
        <v>468</v>
      </c>
      <c r="M873" s="61">
        <f t="shared" si="268"/>
        <v>-3.9764699999999995</v>
      </c>
      <c r="N873" s="61">
        <f t="shared" si="269"/>
        <v>11.75652</v>
      </c>
      <c r="O873" s="61"/>
      <c r="P873" s="2"/>
      <c r="Q873" s="2"/>
      <c r="R873" s="32"/>
      <c r="S873" s="32"/>
      <c r="T873" s="32"/>
      <c r="U873" s="32"/>
      <c r="V873" s="2"/>
      <c r="W873" s="2"/>
      <c r="X873" s="2"/>
      <c r="Y873" s="2"/>
      <c r="Z873" s="2"/>
    </row>
    <row r="874" spans="1:26" ht="13.8" x14ac:dyDescent="0.3">
      <c r="A874" s="32" t="s">
        <v>381</v>
      </c>
      <c r="B874" s="2" t="s">
        <v>244</v>
      </c>
      <c r="C874" s="10">
        <v>1792134</v>
      </c>
      <c r="D874" s="10" t="s">
        <v>1161</v>
      </c>
      <c r="E874" s="10">
        <v>1792134</v>
      </c>
      <c r="F874" s="10" t="s">
        <v>1161</v>
      </c>
      <c r="G874" s="69">
        <v>-152.69999999999999</v>
      </c>
      <c r="H874" s="69">
        <v>27.68</v>
      </c>
      <c r="I874" s="69">
        <f t="shared" ref="I874:I897" si="270">H874*0.7</f>
        <v>19.375999999999998</v>
      </c>
      <c r="J874" s="70">
        <v>1</v>
      </c>
      <c r="K874" s="69">
        <f t="shared" ref="K874:K896" si="271">(G874+I874)*0.85+(G874*0.15-(G874+H874)*0.15)*J874*0.3+I874*0.15*J874*0.3</f>
        <v>-113.69907999999998</v>
      </c>
      <c r="L874" s="79" t="s">
        <v>468</v>
      </c>
      <c r="M874" s="61">
        <f t="shared" ref="M874:M896" si="272">(G874*0.15-(G874+H874)*0.15)*J874*0.7</f>
        <v>-2.9064000000000005</v>
      </c>
      <c r="N874" s="61">
        <f t="shared" ref="N874:N896" si="273">I874*0.15*J874*0.7+H874*0.05*J874</f>
        <v>3.4184799999999997</v>
      </c>
      <c r="O874" s="61"/>
      <c r="P874" s="2"/>
      <c r="Q874" s="2"/>
      <c r="R874" s="32"/>
      <c r="S874" s="32"/>
      <c r="T874" s="32"/>
      <c r="U874" s="32"/>
      <c r="V874" s="2"/>
      <c r="W874" s="2"/>
      <c r="X874" s="2"/>
      <c r="Y874" s="2"/>
      <c r="Z874" s="2"/>
    </row>
    <row r="875" spans="1:26" ht="13.8" x14ac:dyDescent="0.3">
      <c r="A875" s="32" t="s">
        <v>381</v>
      </c>
      <c r="B875" s="2" t="s">
        <v>244</v>
      </c>
      <c r="C875" s="10">
        <v>2304025</v>
      </c>
      <c r="D875" s="10" t="s">
        <v>1162</v>
      </c>
      <c r="E875" s="10">
        <v>2435202</v>
      </c>
      <c r="F875" s="10" t="s">
        <v>1223</v>
      </c>
      <c r="G875" s="69">
        <v>76.94</v>
      </c>
      <c r="H875" s="69">
        <v>2.02</v>
      </c>
      <c r="I875" s="69">
        <f t="shared" si="270"/>
        <v>1.4139999999999999</v>
      </c>
      <c r="J875" s="70">
        <v>1</v>
      </c>
      <c r="K875" s="69">
        <f t="shared" si="271"/>
        <v>66.573629999999994</v>
      </c>
      <c r="L875" s="79" t="s">
        <v>468</v>
      </c>
      <c r="M875" s="61">
        <f t="shared" si="272"/>
        <v>-0.21210000000000057</v>
      </c>
      <c r="N875" s="61">
        <f t="shared" si="273"/>
        <v>0.24947</v>
      </c>
      <c r="O875" s="61"/>
      <c r="P875" s="2"/>
      <c r="Q875" s="2"/>
      <c r="R875" s="32"/>
      <c r="S875" s="32"/>
      <c r="T875" s="32"/>
      <c r="U875" s="32"/>
      <c r="V875" s="2"/>
      <c r="W875" s="2"/>
      <c r="X875" s="2"/>
      <c r="Y875" s="2"/>
      <c r="Z875" s="2"/>
    </row>
    <row r="876" spans="1:26" ht="13.8" x14ac:dyDescent="0.3">
      <c r="A876" s="32" t="s">
        <v>381</v>
      </c>
      <c r="B876" s="2" t="s">
        <v>244</v>
      </c>
      <c r="C876" s="10">
        <v>2304025</v>
      </c>
      <c r="D876" s="10" t="s">
        <v>1162</v>
      </c>
      <c r="E876" s="10">
        <v>2435203</v>
      </c>
      <c r="F876" s="10" t="s">
        <v>1224</v>
      </c>
      <c r="G876" s="69">
        <v>-135.83000000000001</v>
      </c>
      <c r="H876" s="69">
        <v>32.36</v>
      </c>
      <c r="I876" s="69">
        <f t="shared" si="270"/>
        <v>22.651999999999997</v>
      </c>
      <c r="J876" s="70">
        <v>1</v>
      </c>
      <c r="K876" s="69">
        <f t="shared" si="271"/>
        <v>-96.638159999999999</v>
      </c>
      <c r="L876" s="79" t="s">
        <v>468</v>
      </c>
      <c r="M876" s="61">
        <f t="shared" si="272"/>
        <v>-3.3977999999999993</v>
      </c>
      <c r="N876" s="61">
        <f t="shared" si="273"/>
        <v>3.9964599999999999</v>
      </c>
      <c r="O876" s="61"/>
      <c r="P876" s="2"/>
      <c r="Q876" s="2"/>
      <c r="R876" s="32"/>
      <c r="S876" s="32"/>
      <c r="T876" s="32"/>
      <c r="U876" s="32"/>
      <c r="V876" s="2"/>
      <c r="W876" s="2"/>
      <c r="X876" s="2"/>
      <c r="Y876" s="2"/>
      <c r="Z876" s="2"/>
    </row>
    <row r="877" spans="1:26" ht="13.8" x14ac:dyDescent="0.3">
      <c r="A877" s="32" t="s">
        <v>381</v>
      </c>
      <c r="B877" s="2" t="s">
        <v>244</v>
      </c>
      <c r="C877" s="10">
        <v>2304025</v>
      </c>
      <c r="D877" s="10" t="s">
        <v>1162</v>
      </c>
      <c r="E877" s="10">
        <v>2435206</v>
      </c>
      <c r="F877" s="10" t="s">
        <v>1225</v>
      </c>
      <c r="G877" s="69">
        <v>-124.67</v>
      </c>
      <c r="H877" s="69">
        <v>66.08</v>
      </c>
      <c r="I877" s="69">
        <f t="shared" si="270"/>
        <v>46.255999999999993</v>
      </c>
      <c r="J877" s="70">
        <v>1</v>
      </c>
      <c r="K877" s="69">
        <f t="shared" si="271"/>
        <v>-67.543980000000019</v>
      </c>
      <c r="L877" s="79" t="s">
        <v>468</v>
      </c>
      <c r="M877" s="61">
        <f t="shared" si="272"/>
        <v>-6.9383999999999979</v>
      </c>
      <c r="N877" s="61">
        <f t="shared" si="273"/>
        <v>8.1608799999999988</v>
      </c>
      <c r="O877" s="61"/>
      <c r="P877" s="2"/>
      <c r="Q877" s="2"/>
      <c r="R877" s="32"/>
      <c r="S877" s="32"/>
      <c r="T877" s="32"/>
      <c r="U877" s="32"/>
      <c r="V877" s="2"/>
      <c r="W877" s="2"/>
      <c r="X877" s="2"/>
      <c r="Y877" s="2"/>
      <c r="Z877" s="2"/>
    </row>
    <row r="878" spans="1:26" ht="13.8" x14ac:dyDescent="0.3">
      <c r="A878" s="32" t="s">
        <v>381</v>
      </c>
      <c r="B878" s="2" t="s">
        <v>244</v>
      </c>
      <c r="C878" s="10">
        <v>2304025</v>
      </c>
      <c r="D878" s="10" t="s">
        <v>1162</v>
      </c>
      <c r="E878" s="10">
        <v>2471540</v>
      </c>
      <c r="F878" s="10" t="s">
        <v>1172</v>
      </c>
      <c r="G878" s="69">
        <v>175.35</v>
      </c>
      <c r="H878" s="69">
        <v>26.06</v>
      </c>
      <c r="I878" s="69">
        <f t="shared" si="270"/>
        <v>18.241999999999997</v>
      </c>
      <c r="J878" s="70">
        <v>1</v>
      </c>
      <c r="K878" s="69">
        <f t="shared" si="271"/>
        <v>164.20138999999998</v>
      </c>
      <c r="L878" s="79" t="s">
        <v>468</v>
      </c>
      <c r="M878" s="61">
        <f t="shared" si="272"/>
        <v>-2.7362999999999991</v>
      </c>
      <c r="N878" s="61">
        <f t="shared" si="273"/>
        <v>3.2184099999999995</v>
      </c>
      <c r="O878" s="61"/>
      <c r="P878" s="2"/>
      <c r="Q878" s="2"/>
      <c r="R878" s="32"/>
      <c r="S878" s="32"/>
      <c r="T878" s="32"/>
      <c r="U878" s="32"/>
      <c r="V878" s="2"/>
      <c r="W878" s="2"/>
      <c r="X878" s="2"/>
      <c r="Y878" s="2"/>
      <c r="Z878" s="2"/>
    </row>
    <row r="879" spans="1:26" ht="13.8" x14ac:dyDescent="0.3">
      <c r="A879" s="32" t="s">
        <v>381</v>
      </c>
      <c r="B879" s="2" t="s">
        <v>244</v>
      </c>
      <c r="C879" s="10">
        <v>2304025</v>
      </c>
      <c r="D879" s="10" t="s">
        <v>1162</v>
      </c>
      <c r="E879" s="10">
        <v>2514199</v>
      </c>
      <c r="F879" s="10" t="s">
        <v>1175</v>
      </c>
      <c r="G879" s="69">
        <v>559.92999999999995</v>
      </c>
      <c r="H879" s="69">
        <v>65.45</v>
      </c>
      <c r="I879" s="69">
        <f t="shared" si="270"/>
        <v>45.814999999999998</v>
      </c>
      <c r="J879" s="70">
        <v>1</v>
      </c>
      <c r="K879" s="69">
        <f t="shared" si="271"/>
        <v>513.99967499999991</v>
      </c>
      <c r="L879" s="79" t="s">
        <v>468</v>
      </c>
      <c r="M879" s="61">
        <f t="shared" si="272"/>
        <v>-6.8722500000000064</v>
      </c>
      <c r="N879" s="61">
        <f t="shared" si="273"/>
        <v>8.0830749999999991</v>
      </c>
      <c r="O879" s="61"/>
      <c r="P879" s="2"/>
      <c r="Q879" s="2"/>
      <c r="R879" s="32"/>
      <c r="S879" s="32"/>
      <c r="T879" s="32"/>
      <c r="U879" s="32"/>
      <c r="V879" s="2"/>
      <c r="W879" s="2"/>
      <c r="X879" s="2"/>
      <c r="Y879" s="2"/>
      <c r="Z879" s="2"/>
    </row>
    <row r="880" spans="1:26" ht="13.8" x14ac:dyDescent="0.3">
      <c r="A880" s="32" t="s">
        <v>381</v>
      </c>
      <c r="B880" s="2" t="s">
        <v>244</v>
      </c>
      <c r="C880" s="10">
        <v>2304025</v>
      </c>
      <c r="D880" s="10" t="s">
        <v>1162</v>
      </c>
      <c r="E880" s="10">
        <v>2523424</v>
      </c>
      <c r="F880" s="10" t="s">
        <v>1177</v>
      </c>
      <c r="G880" s="69">
        <v>479.57</v>
      </c>
      <c r="H880" s="69">
        <v>9.44</v>
      </c>
      <c r="I880" s="69">
        <f t="shared" si="270"/>
        <v>6.6079999999999997</v>
      </c>
      <c r="J880" s="70">
        <v>1</v>
      </c>
      <c r="K880" s="69">
        <f t="shared" si="271"/>
        <v>413.12386000000004</v>
      </c>
      <c r="L880" s="79" t="s">
        <v>468</v>
      </c>
      <c r="M880" s="61">
        <f t="shared" si="272"/>
        <v>-0.99120000000000763</v>
      </c>
      <c r="N880" s="61">
        <f t="shared" si="273"/>
        <v>1.1658399999999998</v>
      </c>
      <c r="O880" s="61"/>
      <c r="P880" s="2"/>
      <c r="Q880" s="2"/>
      <c r="R880" s="32"/>
      <c r="S880" s="32"/>
      <c r="T880" s="32"/>
      <c r="U880" s="32"/>
      <c r="V880" s="2"/>
      <c r="W880" s="2"/>
      <c r="X880" s="2"/>
      <c r="Y880" s="2"/>
      <c r="Z880" s="2"/>
    </row>
    <row r="881" spans="1:26" ht="13.8" x14ac:dyDescent="0.3">
      <c r="A881" s="32" t="s">
        <v>381</v>
      </c>
      <c r="B881" s="2" t="s">
        <v>244</v>
      </c>
      <c r="C881" s="10">
        <v>2304025</v>
      </c>
      <c r="D881" s="10" t="s">
        <v>1162</v>
      </c>
      <c r="E881" s="10">
        <v>2523431</v>
      </c>
      <c r="F881" s="10" t="s">
        <v>1199</v>
      </c>
      <c r="G881" s="69">
        <v>51.61</v>
      </c>
      <c r="H881" s="69">
        <v>24.23</v>
      </c>
      <c r="I881" s="69">
        <f t="shared" si="270"/>
        <v>16.960999999999999</v>
      </c>
      <c r="J881" s="70">
        <v>1</v>
      </c>
      <c r="K881" s="69">
        <f t="shared" si="271"/>
        <v>57.958244999999991</v>
      </c>
      <c r="L881" s="79" t="s">
        <v>468</v>
      </c>
      <c r="M881" s="61">
        <f t="shared" si="272"/>
        <v>-2.5441499999999997</v>
      </c>
      <c r="N881" s="61">
        <f t="shared" si="273"/>
        <v>2.9924049999999998</v>
      </c>
      <c r="O881" s="61"/>
      <c r="P881" s="2"/>
      <c r="Q881" s="2"/>
      <c r="R881" s="32"/>
      <c r="S881" s="32"/>
      <c r="T881" s="32"/>
      <c r="U881" s="32"/>
      <c r="V881" s="2"/>
      <c r="W881" s="2"/>
      <c r="X881" s="2"/>
      <c r="Y881" s="2"/>
      <c r="Z881" s="2"/>
    </row>
    <row r="882" spans="1:26" ht="13.8" x14ac:dyDescent="0.3">
      <c r="A882" s="32" t="s">
        <v>381</v>
      </c>
      <c r="B882" s="2" t="s">
        <v>244</v>
      </c>
      <c r="C882" s="10">
        <v>2304025</v>
      </c>
      <c r="D882" s="10" t="s">
        <v>1162</v>
      </c>
      <c r="E882" s="10">
        <v>2531191</v>
      </c>
      <c r="F882" s="10" t="s">
        <v>1259</v>
      </c>
      <c r="G882" s="69">
        <v>-777.88</v>
      </c>
      <c r="H882" s="69">
        <v>202.14</v>
      </c>
      <c r="I882" s="69">
        <f t="shared" si="270"/>
        <v>141.49799999999999</v>
      </c>
      <c r="J882" s="70">
        <v>1</v>
      </c>
      <c r="K882" s="69">
        <f t="shared" si="271"/>
        <v>-543.65359000000012</v>
      </c>
      <c r="L882" s="79" t="s">
        <v>468</v>
      </c>
      <c r="M882" s="61">
        <f t="shared" si="272"/>
        <v>-21.224699999999988</v>
      </c>
      <c r="N882" s="61">
        <f t="shared" si="273"/>
        <v>24.964289999999998</v>
      </c>
      <c r="O882" s="61"/>
      <c r="P882" s="2"/>
      <c r="Q882" s="2"/>
      <c r="R882" s="32"/>
      <c r="S882" s="32"/>
      <c r="T882" s="32"/>
      <c r="U882" s="32"/>
      <c r="V882" s="2"/>
      <c r="W882" s="2"/>
      <c r="X882" s="2"/>
      <c r="Y882" s="2"/>
      <c r="Z882" s="2"/>
    </row>
    <row r="883" spans="1:26" ht="13.8" x14ac:dyDescent="0.3">
      <c r="A883" s="32" t="s">
        <v>381</v>
      </c>
      <c r="B883" s="2" t="s">
        <v>244</v>
      </c>
      <c r="C883" s="10">
        <v>2304025</v>
      </c>
      <c r="D883" s="10" t="s">
        <v>1162</v>
      </c>
      <c r="E883" s="10">
        <v>2531390</v>
      </c>
      <c r="F883" s="10" t="s">
        <v>1229</v>
      </c>
      <c r="G883" s="69">
        <v>-6</v>
      </c>
      <c r="H883" s="69">
        <v>6.55</v>
      </c>
      <c r="I883" s="69">
        <f t="shared" si="270"/>
        <v>4.585</v>
      </c>
      <c r="J883" s="70">
        <v>1</v>
      </c>
      <c r="K883" s="69">
        <f t="shared" si="271"/>
        <v>-1.291175</v>
      </c>
      <c r="L883" s="79" t="s">
        <v>468</v>
      </c>
      <c r="M883" s="61">
        <f t="shared" si="272"/>
        <v>-0.68774999999999986</v>
      </c>
      <c r="N883" s="61">
        <f t="shared" si="273"/>
        <v>0.80892499999999989</v>
      </c>
      <c r="O883" s="61"/>
      <c r="P883" s="2"/>
      <c r="Q883" s="2"/>
      <c r="R883" s="32"/>
      <c r="S883" s="32"/>
      <c r="T883" s="32"/>
      <c r="U883" s="32"/>
      <c r="V883" s="2"/>
      <c r="W883" s="2"/>
      <c r="X883" s="2"/>
      <c r="Y883" s="2"/>
      <c r="Z883" s="2"/>
    </row>
    <row r="884" spans="1:26" ht="13.8" x14ac:dyDescent="0.3">
      <c r="A884" s="32" t="s">
        <v>381</v>
      </c>
      <c r="B884" s="2" t="s">
        <v>244</v>
      </c>
      <c r="C884" s="10">
        <v>2304025</v>
      </c>
      <c r="D884" s="10" t="s">
        <v>1162</v>
      </c>
      <c r="E884" s="10">
        <v>2532223</v>
      </c>
      <c r="F884" s="10" t="s">
        <v>1278</v>
      </c>
      <c r="G884" s="69">
        <v>198</v>
      </c>
      <c r="H884" s="69">
        <v>0</v>
      </c>
      <c r="I884" s="69">
        <f t="shared" si="270"/>
        <v>0</v>
      </c>
      <c r="J884" s="70">
        <v>1</v>
      </c>
      <c r="K884" s="69">
        <f t="shared" si="271"/>
        <v>168.29999999999998</v>
      </c>
      <c r="L884" s="79" t="s">
        <v>468</v>
      </c>
      <c r="M884" s="61">
        <f t="shared" si="272"/>
        <v>0</v>
      </c>
      <c r="N884" s="61">
        <f t="shared" si="273"/>
        <v>0</v>
      </c>
      <c r="O884" s="61"/>
      <c r="P884" s="2"/>
      <c r="Q884" s="2"/>
      <c r="R884" s="32"/>
      <c r="S884" s="32"/>
      <c r="T884" s="32"/>
      <c r="U884" s="32"/>
      <c r="V884" s="2"/>
      <c r="W884" s="2"/>
      <c r="X884" s="2"/>
      <c r="Y884" s="2"/>
      <c r="Z884" s="2"/>
    </row>
    <row r="885" spans="1:26" ht="13.8" x14ac:dyDescent="0.3">
      <c r="A885" s="32" t="s">
        <v>381</v>
      </c>
      <c r="B885" s="2" t="s">
        <v>244</v>
      </c>
      <c r="C885" s="10">
        <v>2304025</v>
      </c>
      <c r="D885" s="10" t="s">
        <v>1162</v>
      </c>
      <c r="E885" s="10">
        <v>2540293</v>
      </c>
      <c r="F885" s="10" t="s">
        <v>1261</v>
      </c>
      <c r="G885" s="69">
        <v>-90.93</v>
      </c>
      <c r="H885" s="69">
        <v>27.84</v>
      </c>
      <c r="I885" s="69">
        <f t="shared" si="270"/>
        <v>19.488</v>
      </c>
      <c r="J885" s="70">
        <v>1</v>
      </c>
      <c r="K885" s="69">
        <f t="shared" si="271"/>
        <v>-61.101540000000007</v>
      </c>
      <c r="L885" s="79" t="s">
        <v>468</v>
      </c>
      <c r="M885" s="61">
        <f t="shared" si="272"/>
        <v>-2.9232</v>
      </c>
      <c r="N885" s="61">
        <f t="shared" si="273"/>
        <v>3.4382400000000004</v>
      </c>
      <c r="O885" s="61"/>
      <c r="P885" s="2"/>
      <c r="Q885" s="2"/>
      <c r="R885" s="32"/>
      <c r="S885" s="32"/>
      <c r="T885" s="32"/>
      <c r="U885" s="32"/>
      <c r="V885" s="2"/>
      <c r="W885" s="2"/>
      <c r="X885" s="2"/>
      <c r="Y885" s="2"/>
      <c r="Z885" s="2"/>
    </row>
    <row r="886" spans="1:26" ht="13.8" x14ac:dyDescent="0.3">
      <c r="A886" s="32" t="s">
        <v>381</v>
      </c>
      <c r="B886" s="2" t="s">
        <v>244</v>
      </c>
      <c r="C886" s="10">
        <v>2304025</v>
      </c>
      <c r="D886" s="10" t="s">
        <v>1162</v>
      </c>
      <c r="E886" s="10">
        <v>2540315</v>
      </c>
      <c r="F886" s="10" t="s">
        <v>1262</v>
      </c>
      <c r="G886" s="69">
        <v>11.95</v>
      </c>
      <c r="H886" s="69">
        <v>4.0999999999999996</v>
      </c>
      <c r="I886" s="69">
        <f t="shared" si="270"/>
        <v>2.8699999999999997</v>
      </c>
      <c r="J886" s="70">
        <v>1</v>
      </c>
      <c r="K886" s="69">
        <f t="shared" si="271"/>
        <v>12.541649999999997</v>
      </c>
      <c r="L886" s="79" t="s">
        <v>468</v>
      </c>
      <c r="M886" s="61">
        <f t="shared" si="272"/>
        <v>-0.43049999999999966</v>
      </c>
      <c r="N886" s="61">
        <f t="shared" si="273"/>
        <v>0.50634999999999997</v>
      </c>
      <c r="O886" s="61"/>
      <c r="P886" s="2"/>
      <c r="Q886" s="2"/>
      <c r="R886" s="32"/>
      <c r="S886" s="32"/>
      <c r="T886" s="32"/>
      <c r="U886" s="32"/>
      <c r="V886" s="2"/>
      <c r="W886" s="2"/>
      <c r="X886" s="2"/>
      <c r="Y886" s="2"/>
      <c r="Z886" s="2"/>
    </row>
    <row r="887" spans="1:26" ht="13.8" x14ac:dyDescent="0.3">
      <c r="A887" s="32" t="s">
        <v>381</v>
      </c>
      <c r="B887" s="2" t="s">
        <v>244</v>
      </c>
      <c r="C887" s="10">
        <v>2304025</v>
      </c>
      <c r="D887" s="10" t="s">
        <v>1162</v>
      </c>
      <c r="E887" s="10">
        <v>2541423</v>
      </c>
      <c r="F887" s="10" t="s">
        <v>1263</v>
      </c>
      <c r="G887" s="69">
        <v>356.45</v>
      </c>
      <c r="H887" s="69">
        <v>96.51</v>
      </c>
      <c r="I887" s="69">
        <f t="shared" si="270"/>
        <v>67.557000000000002</v>
      </c>
      <c r="J887" s="70">
        <v>1</v>
      </c>
      <c r="K887" s="69">
        <f t="shared" si="271"/>
        <v>359.10306500000007</v>
      </c>
      <c r="L887" s="79" t="s">
        <v>468</v>
      </c>
      <c r="M887" s="61">
        <f t="shared" si="272"/>
        <v>-10.133549999999996</v>
      </c>
      <c r="N887" s="61">
        <f t="shared" si="273"/>
        <v>11.918984999999999</v>
      </c>
      <c r="O887" s="61"/>
      <c r="P887" s="2"/>
      <c r="Q887" s="2"/>
      <c r="R887" s="32"/>
      <c r="S887" s="32"/>
      <c r="T887" s="32"/>
      <c r="U887" s="32"/>
      <c r="V887" s="2"/>
      <c r="W887" s="2"/>
      <c r="X887" s="2"/>
      <c r="Y887" s="2"/>
      <c r="Z887" s="2"/>
    </row>
    <row r="888" spans="1:26" ht="13.8" x14ac:dyDescent="0.3">
      <c r="A888" s="32" t="s">
        <v>381</v>
      </c>
      <c r="B888" s="2" t="s">
        <v>244</v>
      </c>
      <c r="C888" s="10">
        <v>2304025</v>
      </c>
      <c r="D888" s="10" t="s">
        <v>1162</v>
      </c>
      <c r="E888" s="10">
        <v>2559299</v>
      </c>
      <c r="F888" s="10" t="s">
        <v>1302</v>
      </c>
      <c r="G888" s="69">
        <v>155.88999999999999</v>
      </c>
      <c r="H888" s="69">
        <v>37.880000000000003</v>
      </c>
      <c r="I888" s="69">
        <f t="shared" si="270"/>
        <v>26.516000000000002</v>
      </c>
      <c r="J888" s="70">
        <v>1</v>
      </c>
      <c r="K888" s="69">
        <f t="shared" si="271"/>
        <v>154.53371999999999</v>
      </c>
      <c r="L888" s="79" t="s">
        <v>468</v>
      </c>
      <c r="M888" s="61">
        <f t="shared" si="272"/>
        <v>-3.9773999999999989</v>
      </c>
      <c r="N888" s="61">
        <f t="shared" si="273"/>
        <v>4.6781800000000002</v>
      </c>
      <c r="O888" s="61"/>
      <c r="P888" s="2"/>
      <c r="Q888" s="2"/>
      <c r="R888" s="32"/>
      <c r="S888" s="32"/>
      <c r="T888" s="32"/>
      <c r="U888" s="32"/>
      <c r="V888" s="2"/>
      <c r="W888" s="2"/>
      <c r="X888" s="2"/>
      <c r="Y888" s="2"/>
      <c r="Z888" s="2"/>
    </row>
    <row r="889" spans="1:26" ht="13.8" x14ac:dyDescent="0.3">
      <c r="A889" s="32" t="s">
        <v>381</v>
      </c>
      <c r="B889" s="2" t="s">
        <v>244</v>
      </c>
      <c r="C889" s="10">
        <v>2304025</v>
      </c>
      <c r="D889" s="10" t="s">
        <v>1162</v>
      </c>
      <c r="E889" s="10">
        <v>2575716</v>
      </c>
      <c r="F889" s="10" t="s">
        <v>1283</v>
      </c>
      <c r="G889" s="69">
        <v>47.42</v>
      </c>
      <c r="H889" s="69">
        <v>7.8</v>
      </c>
      <c r="I889" s="69">
        <f t="shared" si="270"/>
        <v>5.46</v>
      </c>
      <c r="J889" s="70">
        <v>1</v>
      </c>
      <c r="K889" s="69">
        <f t="shared" si="271"/>
        <v>44.842700000000001</v>
      </c>
      <c r="L889" s="79" t="s">
        <v>468</v>
      </c>
      <c r="M889" s="61">
        <f t="shared" si="272"/>
        <v>-0.81899999999999928</v>
      </c>
      <c r="N889" s="61">
        <f t="shared" si="273"/>
        <v>0.96329999999999993</v>
      </c>
      <c r="O889" s="61"/>
      <c r="P889" s="2"/>
      <c r="Q889" s="2"/>
      <c r="R889" s="32"/>
      <c r="S889" s="32"/>
      <c r="T889" s="32"/>
      <c r="U889" s="32"/>
      <c r="V889" s="2"/>
      <c r="W889" s="2"/>
      <c r="X889" s="2"/>
      <c r="Y889" s="2"/>
      <c r="Z889" s="2"/>
    </row>
    <row r="890" spans="1:26" ht="13.8" x14ac:dyDescent="0.3">
      <c r="A890" s="32" t="s">
        <v>381</v>
      </c>
      <c r="B890" s="2" t="s">
        <v>244</v>
      </c>
      <c r="C890" s="10">
        <v>2304025</v>
      </c>
      <c r="D890" s="10" t="s">
        <v>1162</v>
      </c>
      <c r="E890" s="10">
        <v>2575824</v>
      </c>
      <c r="F890" s="10" t="s">
        <v>1284</v>
      </c>
      <c r="G890" s="69">
        <v>-141.4</v>
      </c>
      <c r="H890" s="69">
        <v>35.65</v>
      </c>
      <c r="I890" s="69">
        <f t="shared" si="270"/>
        <v>24.954999999999998</v>
      </c>
      <c r="J890" s="70">
        <v>1</v>
      </c>
      <c r="K890" s="69">
        <f t="shared" si="271"/>
        <v>-99.459525000000014</v>
      </c>
      <c r="L890" s="79" t="s">
        <v>468</v>
      </c>
      <c r="M890" s="61">
        <f t="shared" si="272"/>
        <v>-3.7432500000000011</v>
      </c>
      <c r="N890" s="61">
        <f t="shared" si="273"/>
        <v>4.4027749999999992</v>
      </c>
      <c r="O890" s="61"/>
      <c r="P890" s="2"/>
      <c r="Q890" s="2"/>
      <c r="R890" s="32"/>
      <c r="S890" s="32"/>
      <c r="T890" s="32"/>
      <c r="U890" s="32"/>
      <c r="V890" s="2"/>
      <c r="W890" s="2"/>
      <c r="X890" s="2"/>
      <c r="Y890" s="2"/>
      <c r="Z890" s="2"/>
    </row>
    <row r="891" spans="1:26" ht="13.8" x14ac:dyDescent="0.3">
      <c r="A891" s="32" t="s">
        <v>381</v>
      </c>
      <c r="B891" s="2" t="s">
        <v>244</v>
      </c>
      <c r="C891" s="10">
        <v>2304025</v>
      </c>
      <c r="D891" s="10" t="s">
        <v>1162</v>
      </c>
      <c r="E891" s="10">
        <v>2575978</v>
      </c>
      <c r="F891" s="10" t="s">
        <v>1285</v>
      </c>
      <c r="G891" s="69">
        <v>-66.67</v>
      </c>
      <c r="H891" s="69">
        <v>34.46</v>
      </c>
      <c r="I891" s="69">
        <f t="shared" si="270"/>
        <v>24.122</v>
      </c>
      <c r="J891" s="70">
        <v>1</v>
      </c>
      <c r="K891" s="69">
        <f t="shared" si="271"/>
        <v>-36.631009999999996</v>
      </c>
      <c r="L891" s="79" t="s">
        <v>468</v>
      </c>
      <c r="M891" s="61">
        <f t="shared" si="272"/>
        <v>-3.6183000000000001</v>
      </c>
      <c r="N891" s="61">
        <f t="shared" si="273"/>
        <v>4.2558099999999994</v>
      </c>
      <c r="O891" s="61"/>
      <c r="P891" s="2"/>
      <c r="Q891" s="2"/>
      <c r="R891" s="32"/>
      <c r="S891" s="32"/>
      <c r="T891" s="32"/>
      <c r="U891" s="32"/>
      <c r="V891" s="2"/>
      <c r="W891" s="2"/>
      <c r="X891" s="2"/>
      <c r="Y891" s="2"/>
      <c r="Z891" s="2"/>
    </row>
    <row r="892" spans="1:26" ht="13.8" x14ac:dyDescent="0.3">
      <c r="A892" s="32" t="s">
        <v>381</v>
      </c>
      <c r="B892" s="2" t="s">
        <v>244</v>
      </c>
      <c r="C892" s="10">
        <v>2304025</v>
      </c>
      <c r="D892" s="10" t="s">
        <v>1162</v>
      </c>
      <c r="E892" s="10">
        <v>2632174</v>
      </c>
      <c r="F892" s="10" t="s">
        <v>1323</v>
      </c>
      <c r="G892" s="69">
        <v>75.13</v>
      </c>
      <c r="H892" s="69">
        <v>170.72</v>
      </c>
      <c r="I892" s="69">
        <f t="shared" si="270"/>
        <v>119.50399999999999</v>
      </c>
      <c r="J892" s="70">
        <v>1</v>
      </c>
      <c r="K892" s="69">
        <f t="shared" si="271"/>
        <v>163.13417999999999</v>
      </c>
      <c r="L892" s="79" t="s">
        <v>468</v>
      </c>
      <c r="M892" s="61">
        <f t="shared" si="272"/>
        <v>-17.925599999999996</v>
      </c>
      <c r="N892" s="61">
        <f t="shared" si="273"/>
        <v>21.083919999999999</v>
      </c>
      <c r="O892" s="61"/>
      <c r="P892" s="2"/>
      <c r="Q892" s="2"/>
      <c r="R892" s="32"/>
      <c r="S892" s="32"/>
      <c r="T892" s="32"/>
      <c r="U892" s="32"/>
      <c r="V892" s="2"/>
      <c r="W892" s="2"/>
      <c r="X892" s="2"/>
      <c r="Y892" s="2"/>
      <c r="Z892" s="2"/>
    </row>
    <row r="893" spans="1:26" ht="13.8" x14ac:dyDescent="0.3">
      <c r="A893" s="32" t="s">
        <v>381</v>
      </c>
      <c r="B893" s="2" t="s">
        <v>244</v>
      </c>
      <c r="C893" s="10">
        <v>2373023</v>
      </c>
      <c r="D893" s="10" t="s">
        <v>1127</v>
      </c>
      <c r="E893" s="10">
        <v>2630335</v>
      </c>
      <c r="F893" s="10" t="s">
        <v>1320</v>
      </c>
      <c r="G893" s="69">
        <v>-1155.74</v>
      </c>
      <c r="H893" s="69">
        <v>245.51</v>
      </c>
      <c r="I893" s="69">
        <f t="shared" si="270"/>
        <v>171.85699999999997</v>
      </c>
      <c r="J893" s="70">
        <v>1</v>
      </c>
      <c r="K893" s="69">
        <f t="shared" si="271"/>
        <v>-839.61493500000006</v>
      </c>
      <c r="L893" s="79" t="s">
        <v>468</v>
      </c>
      <c r="M893" s="61">
        <f t="shared" si="272"/>
        <v>-25.778549999999985</v>
      </c>
      <c r="N893" s="61">
        <f t="shared" si="273"/>
        <v>30.320484999999998</v>
      </c>
      <c r="O893" s="61"/>
      <c r="P893" s="2"/>
      <c r="Q893" s="2"/>
      <c r="R893" s="32"/>
      <c r="S893" s="32"/>
      <c r="T893" s="32"/>
      <c r="U893" s="32"/>
      <c r="V893" s="2"/>
      <c r="W893" s="2"/>
      <c r="X893" s="2"/>
      <c r="Y893" s="2"/>
      <c r="Z893" s="2"/>
    </row>
    <row r="894" spans="1:26" ht="13.8" x14ac:dyDescent="0.3">
      <c r="A894" s="32" t="s">
        <v>381</v>
      </c>
      <c r="B894" s="2" t="s">
        <v>244</v>
      </c>
      <c r="C894" s="10">
        <v>2525136</v>
      </c>
      <c r="D894" s="10" t="s">
        <v>1205</v>
      </c>
      <c r="E894" s="10">
        <v>2523689</v>
      </c>
      <c r="F894" s="10" t="s">
        <v>1311</v>
      </c>
      <c r="G894" s="69">
        <v>-203.27</v>
      </c>
      <c r="H894" s="69">
        <v>55.57</v>
      </c>
      <c r="I894" s="69">
        <f t="shared" si="270"/>
        <v>38.899000000000001</v>
      </c>
      <c r="J894" s="70">
        <v>1</v>
      </c>
      <c r="K894" s="69">
        <f t="shared" si="271"/>
        <v>-140.46554500000002</v>
      </c>
      <c r="L894" s="79" t="s">
        <v>468</v>
      </c>
      <c r="M894" s="61">
        <f t="shared" si="272"/>
        <v>-5.8348499999999994</v>
      </c>
      <c r="N894" s="61">
        <f t="shared" si="273"/>
        <v>6.862895</v>
      </c>
      <c r="O894" s="61"/>
      <c r="P894" s="2"/>
      <c r="Q894" s="2"/>
      <c r="R894" s="32"/>
      <c r="S894" s="32"/>
      <c r="T894" s="32"/>
      <c r="U894" s="32"/>
      <c r="V894" s="2"/>
      <c r="W894" s="2"/>
      <c r="X894" s="2"/>
      <c r="Y894" s="2"/>
      <c r="Z894" s="2"/>
    </row>
    <row r="895" spans="1:26" ht="13.8" x14ac:dyDescent="0.3">
      <c r="A895" s="32" t="s">
        <v>381</v>
      </c>
      <c r="B895" s="2" t="s">
        <v>244</v>
      </c>
      <c r="C895" s="10">
        <v>2525136</v>
      </c>
      <c r="D895" s="10" t="s">
        <v>1205</v>
      </c>
      <c r="E895" s="10">
        <v>2525136</v>
      </c>
      <c r="F895" s="10" t="s">
        <v>1205</v>
      </c>
      <c r="G895" s="69">
        <v>944.91</v>
      </c>
      <c r="H895" s="69">
        <v>65.349999999999994</v>
      </c>
      <c r="I895" s="69">
        <f t="shared" si="270"/>
        <v>45.74499999999999</v>
      </c>
      <c r="J895" s="70">
        <v>1</v>
      </c>
      <c r="K895" s="69">
        <f t="shared" si="271"/>
        <v>841.17452500000002</v>
      </c>
      <c r="L895" s="79" t="s">
        <v>468</v>
      </c>
      <c r="M895" s="61">
        <f t="shared" si="272"/>
        <v>-6.861750000000006</v>
      </c>
      <c r="N895" s="61">
        <f t="shared" si="273"/>
        <v>8.0707249999999995</v>
      </c>
      <c r="O895" s="61"/>
      <c r="P895" s="2"/>
      <c r="Q895" s="2"/>
      <c r="R895" s="32"/>
      <c r="S895" s="32"/>
      <c r="T895" s="32"/>
      <c r="U895" s="32"/>
      <c r="V895" s="2"/>
      <c r="W895" s="2"/>
      <c r="X895" s="2"/>
      <c r="Y895" s="2"/>
      <c r="Z895" s="2"/>
    </row>
    <row r="896" spans="1:26" ht="13.8" x14ac:dyDescent="0.3">
      <c r="A896" s="32" t="s">
        <v>381</v>
      </c>
      <c r="B896" s="2" t="s">
        <v>244</v>
      </c>
      <c r="C896" s="10">
        <v>2525136</v>
      </c>
      <c r="D896" s="10" t="s">
        <v>1205</v>
      </c>
      <c r="E896" s="10">
        <v>2600460</v>
      </c>
      <c r="F896" s="10" t="s">
        <v>1312</v>
      </c>
      <c r="G896" s="69">
        <v>683.44</v>
      </c>
      <c r="H896" s="69">
        <v>94.98</v>
      </c>
      <c r="I896" s="69">
        <f t="shared" si="270"/>
        <v>66.486000000000004</v>
      </c>
      <c r="J896" s="70">
        <v>1</v>
      </c>
      <c r="K896" s="69">
        <f t="shared" si="271"/>
        <v>636.15486999999996</v>
      </c>
      <c r="L896" s="79" t="s">
        <v>468</v>
      </c>
      <c r="M896" s="61">
        <f t="shared" si="272"/>
        <v>-9.9728999999999992</v>
      </c>
      <c r="N896" s="61">
        <f t="shared" si="273"/>
        <v>11.730030000000001</v>
      </c>
      <c r="O896" s="61"/>
      <c r="P896" s="2"/>
      <c r="Q896" s="2"/>
      <c r="R896" s="32"/>
      <c r="S896" s="32"/>
      <c r="T896" s="32"/>
      <c r="U896" s="32"/>
      <c r="V896" s="2"/>
      <c r="W896" s="2"/>
      <c r="X896" s="2"/>
      <c r="Y896" s="2"/>
      <c r="Z896" s="2"/>
    </row>
    <row r="897" spans="1:26" ht="13.8" x14ac:dyDescent="0.3">
      <c r="A897" s="32" t="s">
        <v>381</v>
      </c>
      <c r="B897" s="2" t="s">
        <v>244</v>
      </c>
      <c r="C897" s="10">
        <v>2550550</v>
      </c>
      <c r="D897" s="10" t="s">
        <v>1272</v>
      </c>
      <c r="E897" s="10">
        <v>2573879</v>
      </c>
      <c r="F897" s="10" t="s">
        <v>1308</v>
      </c>
      <c r="G897" s="69">
        <v>-90</v>
      </c>
      <c r="H897" s="69">
        <v>9</v>
      </c>
      <c r="I897" s="69">
        <f t="shared" si="270"/>
        <v>6.3</v>
      </c>
      <c r="J897" s="70">
        <v>1</v>
      </c>
      <c r="K897" s="69">
        <f>(G897+I897)*J897*0.96+(G897*0.04-(G897+H897)*0.04)*J897*0.3+I897*0.04*J897*0.3</f>
        <v>-80.384400000000014</v>
      </c>
      <c r="L897" s="19" t="s">
        <v>468</v>
      </c>
      <c r="M897" s="61">
        <f>(G897*0.04-(G897+H897)*0.04)*J897*0.7</f>
        <v>-0.25199999999999989</v>
      </c>
      <c r="N897" s="61">
        <f>I897*0.04*J897*0.7+H897*0.05*J897</f>
        <v>0.62640000000000007</v>
      </c>
      <c r="O897" s="58"/>
      <c r="P897" s="2"/>
      <c r="Q897" s="2"/>
      <c r="R897" s="32"/>
      <c r="S897" s="32"/>
      <c r="T897" s="32"/>
      <c r="U897" s="32"/>
      <c r="V897" s="2"/>
      <c r="W897" s="2"/>
      <c r="X897" s="2"/>
      <c r="Y897" s="2"/>
      <c r="Z897" s="2"/>
    </row>
    <row r="898" spans="1:26" ht="13.8" x14ac:dyDescent="0.3">
      <c r="A898" s="32" t="s">
        <v>382</v>
      </c>
      <c r="B898" s="32" t="s">
        <v>69</v>
      </c>
      <c r="C898" s="10" t="s">
        <v>1230</v>
      </c>
      <c r="D898" s="10" t="s">
        <v>1231</v>
      </c>
      <c r="E898" s="10" t="s">
        <v>1232</v>
      </c>
      <c r="F898" s="10" t="s">
        <v>1233</v>
      </c>
      <c r="G898" s="69">
        <v>80.680000000000007</v>
      </c>
      <c r="H898" s="69">
        <v>42.48</v>
      </c>
      <c r="I898" s="69">
        <f>H898*0.72</f>
        <v>30.585599999999996</v>
      </c>
      <c r="J898" s="70">
        <v>1</v>
      </c>
      <c r="K898" s="69">
        <f t="shared" ref="K898:K918" si="274">(G898+I898)*J898</f>
        <v>111.26560000000001</v>
      </c>
      <c r="L898" s="78">
        <f t="shared" ref="L898:L906" si="275">H898*0.05*J898</f>
        <v>2.1240000000000001</v>
      </c>
      <c r="M898" s="61">
        <v>0</v>
      </c>
      <c r="N898" s="61">
        <f>H898*0.08*J898</f>
        <v>3.3983999999999996</v>
      </c>
      <c r="O898" s="58"/>
      <c r="P898" s="2"/>
      <c r="Q898" s="2"/>
      <c r="R898" s="32"/>
      <c r="S898" s="32"/>
      <c r="T898" s="32"/>
      <c r="U898" s="32"/>
      <c r="V898" s="2"/>
      <c r="W898" s="2"/>
      <c r="X898" s="2"/>
      <c r="Y898" s="2"/>
      <c r="Z898" s="2"/>
    </row>
    <row r="899" spans="1:26" ht="13.8" x14ac:dyDescent="0.3">
      <c r="A899" s="32" t="s">
        <v>382</v>
      </c>
      <c r="B899" s="29" t="s">
        <v>35</v>
      </c>
      <c r="C899" s="10" t="s">
        <v>1114</v>
      </c>
      <c r="D899" s="10" t="s">
        <v>1115</v>
      </c>
      <c r="E899" s="10" t="s">
        <v>1298</v>
      </c>
      <c r="F899" s="10" t="s">
        <v>1299</v>
      </c>
      <c r="G899" s="69">
        <v>-4976.32</v>
      </c>
      <c r="H899" s="69">
        <v>1157.3</v>
      </c>
      <c r="I899" s="69">
        <f t="shared" ref="I899:I906" si="276">H899*0.79</f>
        <v>914.26700000000005</v>
      </c>
      <c r="J899" s="75">
        <v>0.27182000000000001</v>
      </c>
      <c r="K899" s="69">
        <f t="shared" si="274"/>
        <v>-1104.1472464599999</v>
      </c>
      <c r="L899" s="78">
        <f t="shared" si="275"/>
        <v>15.728864300000001</v>
      </c>
      <c r="M899" s="61">
        <v>0</v>
      </c>
      <c r="N899" s="61">
        <f t="shared" ref="N899:N906" si="277">H899*0.04*J899</f>
        <v>12.58309144</v>
      </c>
      <c r="O899" s="61"/>
      <c r="P899" s="2"/>
      <c r="Q899" s="2"/>
      <c r="R899" s="32"/>
      <c r="S899" s="32"/>
      <c r="T899" s="32"/>
      <c r="U899" s="32"/>
      <c r="V899" s="2"/>
      <c r="W899" s="2"/>
      <c r="X899" s="2"/>
      <c r="Y899" s="2"/>
      <c r="Z899" s="2"/>
    </row>
    <row r="900" spans="1:26" ht="13.8" x14ac:dyDescent="0.3">
      <c r="A900" s="32" t="s">
        <v>382</v>
      </c>
      <c r="B900" s="29" t="s">
        <v>35</v>
      </c>
      <c r="C900" s="10" t="s">
        <v>1126</v>
      </c>
      <c r="D900" s="10" t="s">
        <v>1127</v>
      </c>
      <c r="E900" s="10" t="s">
        <v>1322</v>
      </c>
      <c r="F900" s="10" t="s">
        <v>1320</v>
      </c>
      <c r="G900" s="69">
        <v>172.32</v>
      </c>
      <c r="H900" s="69">
        <v>72.36</v>
      </c>
      <c r="I900" s="69">
        <f t="shared" si="276"/>
        <v>57.164400000000001</v>
      </c>
      <c r="J900" s="75">
        <v>0.27182000000000001</v>
      </c>
      <c r="K900" s="69">
        <f t="shared" si="274"/>
        <v>62.378449607999997</v>
      </c>
      <c r="L900" s="78">
        <f t="shared" si="275"/>
        <v>0.98344476000000014</v>
      </c>
      <c r="M900" s="61">
        <v>0</v>
      </c>
      <c r="N900" s="61">
        <f t="shared" si="277"/>
        <v>0.786755808</v>
      </c>
      <c r="O900" s="61"/>
      <c r="P900" s="2"/>
      <c r="Q900" s="2"/>
      <c r="R900" s="32"/>
      <c r="S900" s="32"/>
      <c r="T900" s="32"/>
      <c r="U900" s="32"/>
      <c r="V900" s="2"/>
      <c r="W900" s="2"/>
      <c r="X900" s="2"/>
      <c r="Y900" s="2"/>
      <c r="Z900" s="2"/>
    </row>
    <row r="901" spans="1:26" ht="13.8" x14ac:dyDescent="0.3">
      <c r="A901" s="32" t="s">
        <v>382</v>
      </c>
      <c r="B901" s="29" t="s">
        <v>35</v>
      </c>
      <c r="C901" s="10" t="s">
        <v>1138</v>
      </c>
      <c r="D901" s="10" t="s">
        <v>1139</v>
      </c>
      <c r="E901" s="10" t="s">
        <v>1238</v>
      </c>
      <c r="F901" s="10" t="s">
        <v>1239</v>
      </c>
      <c r="G901" s="69">
        <v>-128.88999999999999</v>
      </c>
      <c r="H901" s="69">
        <v>178.82</v>
      </c>
      <c r="I901" s="69">
        <f t="shared" si="276"/>
        <v>141.26779999999999</v>
      </c>
      <c r="J901" s="75">
        <v>0.27182000000000001</v>
      </c>
      <c r="K901" s="69">
        <f t="shared" si="274"/>
        <v>3.364533596000002</v>
      </c>
      <c r="L901" s="78">
        <f t="shared" si="275"/>
        <v>2.4303426200000002</v>
      </c>
      <c r="M901" s="61">
        <v>0</v>
      </c>
      <c r="N901" s="61">
        <f t="shared" si="277"/>
        <v>1.944274096</v>
      </c>
      <c r="O901" s="61"/>
      <c r="P901" s="2"/>
      <c r="Q901" s="2"/>
      <c r="R901" s="32"/>
      <c r="S901" s="32"/>
      <c r="T901" s="32"/>
      <c r="U901" s="32"/>
      <c r="V901" s="2"/>
      <c r="W901" s="2"/>
      <c r="X901" s="2"/>
      <c r="Y901" s="2"/>
      <c r="Z901" s="2"/>
    </row>
    <row r="902" spans="1:26" ht="13.8" x14ac:dyDescent="0.3">
      <c r="A902" s="32" t="s">
        <v>382</v>
      </c>
      <c r="B902" s="29" t="s">
        <v>35</v>
      </c>
      <c r="C902" s="10" t="s">
        <v>1138</v>
      </c>
      <c r="D902" s="10" t="s">
        <v>1139</v>
      </c>
      <c r="E902" s="10" t="s">
        <v>1324</v>
      </c>
      <c r="F902" s="10" t="s">
        <v>1325</v>
      </c>
      <c r="G902" s="69">
        <v>1331.18</v>
      </c>
      <c r="H902" s="69">
        <v>74.459999999999994</v>
      </c>
      <c r="I902" s="69">
        <f t="shared" si="276"/>
        <v>58.823399999999999</v>
      </c>
      <c r="J902" s="75">
        <v>0.27182000000000001</v>
      </c>
      <c r="K902" s="69">
        <f t="shared" si="274"/>
        <v>377.83072418800003</v>
      </c>
      <c r="L902" s="78">
        <f t="shared" si="275"/>
        <v>1.01198586</v>
      </c>
      <c r="M902" s="61">
        <v>0</v>
      </c>
      <c r="N902" s="61">
        <f t="shared" si="277"/>
        <v>0.80958868799999995</v>
      </c>
      <c r="O902" s="61"/>
      <c r="P902" s="2"/>
      <c r="Q902" s="2"/>
      <c r="R902" s="32"/>
      <c r="S902" s="32"/>
      <c r="T902" s="32"/>
      <c r="U902" s="32"/>
      <c r="V902" s="2"/>
      <c r="W902" s="2"/>
      <c r="X902" s="2"/>
      <c r="Y902" s="2"/>
      <c r="Z902" s="2"/>
    </row>
    <row r="903" spans="1:26" ht="13.8" x14ac:dyDescent="0.3">
      <c r="A903" s="32" t="s">
        <v>382</v>
      </c>
      <c r="B903" s="29" t="s">
        <v>35</v>
      </c>
      <c r="C903" s="10" t="s">
        <v>1138</v>
      </c>
      <c r="D903" s="10" t="s">
        <v>1139</v>
      </c>
      <c r="E903" s="10" t="s">
        <v>1240</v>
      </c>
      <c r="F903" s="10" t="s">
        <v>1241</v>
      </c>
      <c r="G903" s="69">
        <v>20.94</v>
      </c>
      <c r="H903" s="69">
        <v>2.2799999999999998</v>
      </c>
      <c r="I903" s="69">
        <f t="shared" si="276"/>
        <v>1.8011999999999999</v>
      </c>
      <c r="J903" s="75">
        <v>0.27182000000000001</v>
      </c>
      <c r="K903" s="69">
        <f t="shared" si="274"/>
        <v>6.1815129840000012</v>
      </c>
      <c r="L903" s="78">
        <f t="shared" si="275"/>
        <v>3.0987479999999998E-2</v>
      </c>
      <c r="M903" s="61">
        <v>0</v>
      </c>
      <c r="N903" s="61">
        <f t="shared" si="277"/>
        <v>2.4789983999999998E-2</v>
      </c>
      <c r="O903" s="61"/>
      <c r="P903" s="2"/>
      <c r="Q903" s="2"/>
      <c r="R903" s="32"/>
      <c r="S903" s="32"/>
      <c r="T903" s="32"/>
      <c r="U903" s="32"/>
      <c r="V903" s="2"/>
      <c r="W903" s="2"/>
      <c r="X903" s="2"/>
      <c r="Y903" s="2"/>
      <c r="Z903" s="2"/>
    </row>
    <row r="904" spans="1:26" ht="13.8" x14ac:dyDescent="0.3">
      <c r="A904" s="32" t="s">
        <v>382</v>
      </c>
      <c r="B904" s="29" t="s">
        <v>35</v>
      </c>
      <c r="C904" s="10" t="s">
        <v>1138</v>
      </c>
      <c r="D904" s="10" t="s">
        <v>1139</v>
      </c>
      <c r="E904" s="10" t="s">
        <v>1294</v>
      </c>
      <c r="F904" s="10" t="s">
        <v>1295</v>
      </c>
      <c r="G904" s="69">
        <v>11.25</v>
      </c>
      <c r="H904" s="69">
        <v>11.08</v>
      </c>
      <c r="I904" s="69">
        <f t="shared" si="276"/>
        <v>8.7531999999999996</v>
      </c>
      <c r="J904" s="75">
        <v>0.27182000000000001</v>
      </c>
      <c r="K904" s="69">
        <f t="shared" si="274"/>
        <v>5.4372698240000004</v>
      </c>
      <c r="L904" s="78">
        <f t="shared" si="275"/>
        <v>0.15058828000000002</v>
      </c>
      <c r="M904" s="61">
        <v>0</v>
      </c>
      <c r="N904" s="61">
        <f t="shared" si="277"/>
        <v>0.12047062400000001</v>
      </c>
      <c r="O904" s="61"/>
      <c r="P904" s="2"/>
      <c r="Q904" s="2"/>
      <c r="R904" s="32"/>
      <c r="S904" s="32"/>
      <c r="T904" s="32"/>
      <c r="U904" s="32"/>
      <c r="V904" s="2"/>
      <c r="W904" s="2"/>
      <c r="X904" s="2"/>
      <c r="Y904" s="2"/>
      <c r="Z904" s="2"/>
    </row>
    <row r="905" spans="1:26" ht="13.8" x14ac:dyDescent="0.3">
      <c r="A905" s="32" t="s">
        <v>382</v>
      </c>
      <c r="B905" s="29" t="s">
        <v>35</v>
      </c>
      <c r="C905" s="10" t="s">
        <v>1138</v>
      </c>
      <c r="D905" s="10" t="s">
        <v>1139</v>
      </c>
      <c r="E905" s="10" t="s">
        <v>1286</v>
      </c>
      <c r="F905" s="10" t="s">
        <v>1287</v>
      </c>
      <c r="G905" s="69">
        <v>-46.21</v>
      </c>
      <c r="H905" s="69">
        <v>94.23</v>
      </c>
      <c r="I905" s="69">
        <f t="shared" si="276"/>
        <v>74.441700000000012</v>
      </c>
      <c r="J905" s="75">
        <v>0.27182000000000001</v>
      </c>
      <c r="K905" s="69">
        <f t="shared" si="274"/>
        <v>7.6739406940000032</v>
      </c>
      <c r="L905" s="78">
        <f t="shared" si="275"/>
        <v>1.28067993</v>
      </c>
      <c r="M905" s="61">
        <v>0</v>
      </c>
      <c r="N905" s="61">
        <f t="shared" si="277"/>
        <v>1.0245439440000002</v>
      </c>
      <c r="O905" s="61"/>
      <c r="P905" s="2"/>
      <c r="Q905" s="2"/>
      <c r="R905" s="32"/>
      <c r="S905" s="32"/>
      <c r="T905" s="32"/>
      <c r="U905" s="32"/>
      <c r="V905" s="2"/>
      <c r="W905" s="2"/>
      <c r="X905" s="2"/>
      <c r="Y905" s="2"/>
      <c r="Z905" s="2"/>
    </row>
    <row r="906" spans="1:26" ht="13.8" x14ac:dyDescent="0.3">
      <c r="A906" s="32" t="s">
        <v>382</v>
      </c>
      <c r="B906" s="29" t="s">
        <v>35</v>
      </c>
      <c r="C906" s="10" t="s">
        <v>1138</v>
      </c>
      <c r="D906" s="10" t="s">
        <v>1139</v>
      </c>
      <c r="E906" s="10" t="s">
        <v>1206</v>
      </c>
      <c r="F906" s="10" t="s">
        <v>1207</v>
      </c>
      <c r="G906" s="69">
        <v>-22567.599999999999</v>
      </c>
      <c r="H906" s="69">
        <v>6671.7</v>
      </c>
      <c r="I906" s="69">
        <f t="shared" si="276"/>
        <v>5270.643</v>
      </c>
      <c r="J906" s="75">
        <v>0.27182000000000001</v>
      </c>
      <c r="K906" s="69">
        <f t="shared" si="274"/>
        <v>-4701.6588517399996</v>
      </c>
      <c r="L906" s="78">
        <f t="shared" si="275"/>
        <v>90.67507470000001</v>
      </c>
      <c r="M906" s="61">
        <v>0</v>
      </c>
      <c r="N906" s="61">
        <f t="shared" si="277"/>
        <v>72.540059760000005</v>
      </c>
      <c r="O906" s="61"/>
      <c r="P906" s="2"/>
      <c r="Q906" s="2"/>
      <c r="R906" s="32"/>
      <c r="S906" s="32"/>
      <c r="T906" s="32"/>
      <c r="U906" s="32"/>
      <c r="V906" s="2"/>
      <c r="W906" s="2"/>
      <c r="X906" s="2"/>
      <c r="Y906" s="2"/>
      <c r="Z906" s="2"/>
    </row>
    <row r="907" spans="1:26" ht="13.8" x14ac:dyDescent="0.3">
      <c r="A907" s="32" t="s">
        <v>382</v>
      </c>
      <c r="B907" s="10" t="s">
        <v>184</v>
      </c>
      <c r="C907" s="10" t="s">
        <v>1138</v>
      </c>
      <c r="D907" s="10" t="s">
        <v>1139</v>
      </c>
      <c r="E907" s="10" t="s">
        <v>1268</v>
      </c>
      <c r="F907" s="10" t="s">
        <v>1269</v>
      </c>
      <c r="G907" s="69">
        <v>8541.68</v>
      </c>
      <c r="H907" s="69">
        <v>2086.8200000000002</v>
      </c>
      <c r="I907" s="69">
        <f t="shared" ref="I907:I918" si="278">H907*0.725</f>
        <v>1512.9445000000001</v>
      </c>
      <c r="J907" s="75">
        <v>0.27182000000000001</v>
      </c>
      <c r="K907" s="69">
        <f t="shared" si="274"/>
        <v>2733.0480315899999</v>
      </c>
      <c r="L907" s="78">
        <f t="shared" ref="L907:L918" si="279">H907*0.025*J907</f>
        <v>14.180985310000002</v>
      </c>
      <c r="M907" s="61">
        <v>0</v>
      </c>
      <c r="N907" s="61">
        <f t="shared" ref="N907:N918" si="280">H907*0.05*J907</f>
        <v>28.361970620000005</v>
      </c>
      <c r="O907" s="58"/>
      <c r="P907" s="2"/>
      <c r="Q907" s="2"/>
      <c r="R907" s="32"/>
      <c r="S907" s="32"/>
      <c r="T907" s="32"/>
      <c r="U907" s="32"/>
      <c r="V907" s="2"/>
      <c r="W907" s="2"/>
      <c r="X907" s="2"/>
      <c r="Y907" s="2"/>
      <c r="Z907" s="2"/>
    </row>
    <row r="908" spans="1:26" ht="13.8" x14ac:dyDescent="0.3">
      <c r="A908" s="32" t="s">
        <v>382</v>
      </c>
      <c r="B908" s="10" t="s">
        <v>184</v>
      </c>
      <c r="C908" s="10" t="s">
        <v>1138</v>
      </c>
      <c r="D908" s="10" t="s">
        <v>1139</v>
      </c>
      <c r="E908" s="10" t="s">
        <v>1246</v>
      </c>
      <c r="F908" s="10" t="s">
        <v>1247</v>
      </c>
      <c r="G908" s="69">
        <v>15.77</v>
      </c>
      <c r="H908" s="69">
        <v>217.82</v>
      </c>
      <c r="I908" s="69">
        <f t="shared" si="278"/>
        <v>157.9195</v>
      </c>
      <c r="J908" s="75">
        <v>0.27182000000000001</v>
      </c>
      <c r="K908" s="69">
        <f t="shared" si="274"/>
        <v>47.212279890000005</v>
      </c>
      <c r="L908" s="78">
        <f t="shared" si="279"/>
        <v>1.4801958100000001</v>
      </c>
      <c r="M908" s="61">
        <v>0</v>
      </c>
      <c r="N908" s="61">
        <f t="shared" si="280"/>
        <v>2.9603916200000002</v>
      </c>
      <c r="O908" s="58"/>
      <c r="P908" s="2"/>
      <c r="Q908" s="2"/>
      <c r="R908" s="32"/>
      <c r="S908" s="32"/>
      <c r="T908" s="32"/>
      <c r="U908" s="32"/>
      <c r="V908" s="2"/>
      <c r="W908" s="2"/>
      <c r="X908" s="2"/>
      <c r="Y908" s="2"/>
      <c r="Z908" s="2"/>
    </row>
    <row r="909" spans="1:26" ht="13.8" x14ac:dyDescent="0.3">
      <c r="A909" s="32" t="s">
        <v>382</v>
      </c>
      <c r="B909" s="10" t="s">
        <v>184</v>
      </c>
      <c r="C909" s="10" t="s">
        <v>1138</v>
      </c>
      <c r="D909" s="10" t="s">
        <v>1139</v>
      </c>
      <c r="E909" s="10" t="s">
        <v>1140</v>
      </c>
      <c r="F909" s="10" t="s">
        <v>1141</v>
      </c>
      <c r="G909" s="69">
        <v>-723.33</v>
      </c>
      <c r="H909" s="69">
        <v>61.47</v>
      </c>
      <c r="I909" s="69">
        <f t="shared" si="278"/>
        <v>44.565750000000001</v>
      </c>
      <c r="J909" s="75">
        <v>0.27182000000000001</v>
      </c>
      <c r="K909" s="69">
        <f t="shared" si="274"/>
        <v>-184.50169843500001</v>
      </c>
      <c r="L909" s="78">
        <f t="shared" si="279"/>
        <v>0.417719385</v>
      </c>
      <c r="M909" s="61">
        <v>0</v>
      </c>
      <c r="N909" s="61">
        <f t="shared" si="280"/>
        <v>0.83543877</v>
      </c>
      <c r="O909" s="58"/>
      <c r="P909" s="2"/>
      <c r="Q909" s="2"/>
      <c r="R909" s="32"/>
      <c r="S909" s="32"/>
      <c r="T909" s="32"/>
      <c r="U909" s="32"/>
      <c r="V909" s="2"/>
      <c r="W909" s="2"/>
      <c r="X909" s="2"/>
      <c r="Y909" s="2"/>
      <c r="Z909" s="2"/>
    </row>
    <row r="910" spans="1:26" ht="13.8" x14ac:dyDescent="0.3">
      <c r="A910" s="32" t="s">
        <v>382</v>
      </c>
      <c r="B910" s="10" t="s">
        <v>184</v>
      </c>
      <c r="C910" s="10" t="s">
        <v>1138</v>
      </c>
      <c r="D910" s="10" t="s">
        <v>1139</v>
      </c>
      <c r="E910" s="10" t="s">
        <v>1304</v>
      </c>
      <c r="F910" s="10" t="s">
        <v>1305</v>
      </c>
      <c r="G910" s="69">
        <v>-1626.24</v>
      </c>
      <c r="H910" s="69">
        <v>236.44</v>
      </c>
      <c r="I910" s="69">
        <f t="shared" si="278"/>
        <v>171.41899999999998</v>
      </c>
      <c r="J910" s="75">
        <v>0.27182000000000001</v>
      </c>
      <c r="K910" s="69">
        <f t="shared" si="274"/>
        <v>-395.44944421999998</v>
      </c>
      <c r="L910" s="78">
        <f t="shared" si="279"/>
        <v>1.6067280200000003</v>
      </c>
      <c r="M910" s="61">
        <v>0</v>
      </c>
      <c r="N910" s="61">
        <f t="shared" si="280"/>
        <v>3.2134560400000005</v>
      </c>
      <c r="O910" s="58"/>
      <c r="P910" s="2"/>
      <c r="Q910" s="2"/>
      <c r="R910" s="32"/>
      <c r="S910" s="32"/>
      <c r="T910" s="32"/>
      <c r="U910" s="32"/>
      <c r="V910" s="2"/>
      <c r="W910" s="2"/>
      <c r="X910" s="2"/>
      <c r="Y910" s="2"/>
      <c r="Z910" s="2"/>
    </row>
    <row r="911" spans="1:26" ht="13.8" x14ac:dyDescent="0.3">
      <c r="A911" s="32" t="s">
        <v>382</v>
      </c>
      <c r="B911" s="10" t="s">
        <v>184</v>
      </c>
      <c r="C911" s="10" t="s">
        <v>1138</v>
      </c>
      <c r="D911" s="10" t="s">
        <v>1139</v>
      </c>
      <c r="E911" s="10" t="s">
        <v>1286</v>
      </c>
      <c r="F911" s="10" t="s">
        <v>1287</v>
      </c>
      <c r="G911" s="69">
        <v>-183.57</v>
      </c>
      <c r="H911" s="69">
        <v>8.7799999999999994</v>
      </c>
      <c r="I911" s="69">
        <f t="shared" si="278"/>
        <v>6.365499999999999</v>
      </c>
      <c r="J911" s="75">
        <v>0.27182000000000001</v>
      </c>
      <c r="K911" s="69">
        <f t="shared" si="274"/>
        <v>-48.167727190000001</v>
      </c>
      <c r="L911" s="78">
        <f t="shared" si="279"/>
        <v>5.9664490000000001E-2</v>
      </c>
      <c r="M911" s="61">
        <v>0</v>
      </c>
      <c r="N911" s="61">
        <f t="shared" si="280"/>
        <v>0.11932898</v>
      </c>
      <c r="O911" s="58"/>
      <c r="P911" s="2"/>
      <c r="Q911" s="2"/>
      <c r="R911" s="32"/>
      <c r="S911" s="32"/>
      <c r="T911" s="32"/>
      <c r="U911" s="32"/>
      <c r="V911" s="2"/>
      <c r="W911" s="2"/>
      <c r="X911" s="2"/>
      <c r="Y911" s="2"/>
      <c r="Z911" s="2"/>
    </row>
    <row r="912" spans="1:26" ht="13.8" x14ac:dyDescent="0.3">
      <c r="A912" s="32" t="s">
        <v>382</v>
      </c>
      <c r="B912" s="10" t="s">
        <v>184</v>
      </c>
      <c r="C912" s="10" t="s">
        <v>1138</v>
      </c>
      <c r="D912" s="10" t="s">
        <v>1139</v>
      </c>
      <c r="E912" s="10" t="s">
        <v>1240</v>
      </c>
      <c r="F912" s="10" t="s">
        <v>1241</v>
      </c>
      <c r="G912" s="69">
        <v>-285.5</v>
      </c>
      <c r="H912" s="69">
        <v>12.09</v>
      </c>
      <c r="I912" s="69">
        <f t="shared" si="278"/>
        <v>8.76525</v>
      </c>
      <c r="J912" s="75">
        <v>0.27182000000000001</v>
      </c>
      <c r="K912" s="69">
        <f t="shared" si="274"/>
        <v>-75.222039745000004</v>
      </c>
      <c r="L912" s="78">
        <f t="shared" si="279"/>
        <v>8.2157595000000014E-2</v>
      </c>
      <c r="M912" s="61">
        <v>0</v>
      </c>
      <c r="N912" s="61">
        <f t="shared" si="280"/>
        <v>0.16431519000000003</v>
      </c>
      <c r="O912" s="58"/>
      <c r="P912" s="2"/>
      <c r="Q912" s="2"/>
      <c r="R912" s="32"/>
      <c r="S912" s="32"/>
      <c r="T912" s="32"/>
      <c r="U912" s="32"/>
      <c r="V912" s="2"/>
      <c r="W912" s="2"/>
      <c r="X912" s="2"/>
      <c r="Y912" s="2"/>
      <c r="Z912" s="2"/>
    </row>
    <row r="913" spans="1:26" ht="13.8" x14ac:dyDescent="0.3">
      <c r="A913" s="32" t="s">
        <v>382</v>
      </c>
      <c r="B913" s="10" t="s">
        <v>184</v>
      </c>
      <c r="C913" s="10" t="s">
        <v>1138</v>
      </c>
      <c r="D913" s="10" t="s">
        <v>1139</v>
      </c>
      <c r="E913" s="10" t="s">
        <v>1324</v>
      </c>
      <c r="F913" s="10" t="s">
        <v>1325</v>
      </c>
      <c r="G913" s="69">
        <v>160.65</v>
      </c>
      <c r="H913" s="69">
        <v>8.5500000000000007</v>
      </c>
      <c r="I913" s="69">
        <f t="shared" si="278"/>
        <v>6.1987500000000004</v>
      </c>
      <c r="J913" s="75">
        <v>0.27182000000000001</v>
      </c>
      <c r="K913" s="69">
        <f t="shared" si="274"/>
        <v>45.352827224999999</v>
      </c>
      <c r="L913" s="78">
        <f t="shared" si="279"/>
        <v>5.8101525000000008E-2</v>
      </c>
      <c r="M913" s="61">
        <v>0</v>
      </c>
      <c r="N913" s="61">
        <f t="shared" si="280"/>
        <v>0.11620305000000002</v>
      </c>
      <c r="O913" s="58"/>
      <c r="P913" s="2"/>
      <c r="Q913" s="2"/>
      <c r="R913" s="32"/>
      <c r="S913" s="32"/>
      <c r="T913" s="32"/>
      <c r="U913" s="32"/>
      <c r="V913" s="2"/>
      <c r="W913" s="2"/>
      <c r="X913" s="2"/>
      <c r="Y913" s="2"/>
      <c r="Z913" s="2"/>
    </row>
    <row r="914" spans="1:26" ht="13.8" x14ac:dyDescent="0.3">
      <c r="A914" s="32" t="s">
        <v>382</v>
      </c>
      <c r="B914" s="10" t="s">
        <v>184</v>
      </c>
      <c r="C914" s="10" t="s">
        <v>1138</v>
      </c>
      <c r="D914" s="10" t="s">
        <v>1139</v>
      </c>
      <c r="E914" s="10" t="s">
        <v>1326</v>
      </c>
      <c r="F914" s="10" t="s">
        <v>1327</v>
      </c>
      <c r="G914" s="69">
        <v>-2.0499999999999998</v>
      </c>
      <c r="H914" s="69">
        <v>741.85</v>
      </c>
      <c r="I914" s="69">
        <f t="shared" si="278"/>
        <v>537.84124999999995</v>
      </c>
      <c r="J914" s="75">
        <v>0.27182000000000001</v>
      </c>
      <c r="K914" s="69">
        <f t="shared" si="274"/>
        <v>145.63877757500001</v>
      </c>
      <c r="L914" s="78">
        <f t="shared" si="279"/>
        <v>5.0412416750000002</v>
      </c>
      <c r="M914" s="61">
        <v>0</v>
      </c>
      <c r="N914" s="61">
        <f t="shared" si="280"/>
        <v>10.08248335</v>
      </c>
      <c r="O914" s="58"/>
      <c r="P914" s="2"/>
      <c r="Q914" s="2"/>
      <c r="R914" s="32"/>
      <c r="S914" s="32"/>
      <c r="T914" s="32"/>
      <c r="U914" s="32"/>
      <c r="V914" s="2"/>
      <c r="W914" s="2"/>
      <c r="X914" s="2"/>
      <c r="Y914" s="2"/>
      <c r="Z914" s="2"/>
    </row>
    <row r="915" spans="1:26" ht="13.8" x14ac:dyDescent="0.3">
      <c r="A915" s="32" t="s">
        <v>382</v>
      </c>
      <c r="B915" s="10" t="s">
        <v>184</v>
      </c>
      <c r="C915" s="10" t="s">
        <v>1138</v>
      </c>
      <c r="D915" s="10" t="s">
        <v>1139</v>
      </c>
      <c r="E915" s="10" t="s">
        <v>1138</v>
      </c>
      <c r="F915" s="10" t="s">
        <v>1139</v>
      </c>
      <c r="G915" s="69">
        <v>0</v>
      </c>
      <c r="H915" s="69">
        <v>0</v>
      </c>
      <c r="I915" s="69">
        <f t="shared" si="278"/>
        <v>0</v>
      </c>
      <c r="J915" s="75">
        <v>0.27182000000000001</v>
      </c>
      <c r="K915" s="69">
        <f t="shared" si="274"/>
        <v>0</v>
      </c>
      <c r="L915" s="78">
        <f t="shared" si="279"/>
        <v>0</v>
      </c>
      <c r="M915" s="61">
        <v>0</v>
      </c>
      <c r="N915" s="61">
        <f t="shared" si="280"/>
        <v>0</v>
      </c>
      <c r="O915" s="58"/>
      <c r="P915" s="2"/>
      <c r="Q915" s="2"/>
      <c r="R915" s="32"/>
      <c r="S915" s="32"/>
      <c r="T915" s="32"/>
      <c r="U915" s="32"/>
      <c r="V915" s="2"/>
      <c r="W915" s="2"/>
      <c r="X915" s="2"/>
      <c r="Y915" s="2"/>
      <c r="Z915" s="2"/>
    </row>
    <row r="916" spans="1:26" ht="13.8" x14ac:dyDescent="0.3">
      <c r="A916" s="32" t="s">
        <v>382</v>
      </c>
      <c r="B916" s="10" t="s">
        <v>184</v>
      </c>
      <c r="C916" s="10" t="s">
        <v>1126</v>
      </c>
      <c r="D916" s="10" t="s">
        <v>1127</v>
      </c>
      <c r="E916" s="10" t="s">
        <v>1322</v>
      </c>
      <c r="F916" s="10" t="s">
        <v>1320</v>
      </c>
      <c r="G916" s="69">
        <v>160.05000000000001</v>
      </c>
      <c r="H916" s="69">
        <v>25.11</v>
      </c>
      <c r="I916" s="69">
        <f t="shared" si="278"/>
        <v>18.204750000000001</v>
      </c>
      <c r="J916" s="75">
        <v>0.27182000000000001</v>
      </c>
      <c r="K916" s="69">
        <f t="shared" si="274"/>
        <v>48.453206145000003</v>
      </c>
      <c r="L916" s="78">
        <f t="shared" si="279"/>
        <v>0.17063500500000001</v>
      </c>
      <c r="M916" s="61">
        <v>0</v>
      </c>
      <c r="N916" s="61">
        <f t="shared" si="280"/>
        <v>0.34127001000000001</v>
      </c>
      <c r="O916" s="58"/>
      <c r="P916" s="2"/>
      <c r="Q916" s="2"/>
      <c r="R916" s="32"/>
      <c r="S916" s="32"/>
      <c r="T916" s="32"/>
      <c r="U916" s="32"/>
      <c r="V916" s="2"/>
      <c r="W916" s="2"/>
      <c r="X916" s="2"/>
      <c r="Y916" s="2"/>
      <c r="Z916" s="2"/>
    </row>
    <row r="917" spans="1:26" ht="13.8" x14ac:dyDescent="0.3">
      <c r="A917" s="32" t="s">
        <v>382</v>
      </c>
      <c r="B917" s="10" t="s">
        <v>184</v>
      </c>
      <c r="C917" s="10" t="s">
        <v>1158</v>
      </c>
      <c r="D917" s="10" t="s">
        <v>1159</v>
      </c>
      <c r="E917" s="10" t="s">
        <v>1158</v>
      </c>
      <c r="F917" s="10" t="s">
        <v>1159</v>
      </c>
      <c r="G917" s="69">
        <v>7654.58</v>
      </c>
      <c r="H917" s="69">
        <v>3585.82</v>
      </c>
      <c r="I917" s="69">
        <f t="shared" si="278"/>
        <v>2599.7195000000002</v>
      </c>
      <c r="J917" s="75">
        <v>0.27182000000000001</v>
      </c>
      <c r="K917" s="69">
        <f t="shared" si="274"/>
        <v>2787.3236900900001</v>
      </c>
      <c r="L917" s="78">
        <f t="shared" si="279"/>
        <v>24.367439810000004</v>
      </c>
      <c r="M917" s="61">
        <v>0</v>
      </c>
      <c r="N917" s="61">
        <f t="shared" si="280"/>
        <v>48.734879620000008</v>
      </c>
      <c r="O917" s="58"/>
      <c r="P917" s="2"/>
      <c r="Q917" s="2"/>
      <c r="R917" s="32"/>
      <c r="S917" s="32"/>
      <c r="T917" s="32"/>
      <c r="U917" s="32"/>
      <c r="V917" s="2"/>
      <c r="W917" s="2"/>
      <c r="X917" s="2"/>
      <c r="Y917" s="2"/>
      <c r="Z917" s="2"/>
    </row>
    <row r="918" spans="1:26" ht="13.8" x14ac:dyDescent="0.3">
      <c r="A918" s="32" t="s">
        <v>382</v>
      </c>
      <c r="B918" s="10" t="s">
        <v>184</v>
      </c>
      <c r="C918" s="10" t="s">
        <v>1230</v>
      </c>
      <c r="D918" s="10" t="s">
        <v>1231</v>
      </c>
      <c r="E918" s="10" t="s">
        <v>1230</v>
      </c>
      <c r="F918" s="10" t="s">
        <v>1231</v>
      </c>
      <c r="G918" s="69">
        <v>-153.82</v>
      </c>
      <c r="H918" s="69">
        <v>1619.12</v>
      </c>
      <c r="I918" s="69">
        <f t="shared" si="278"/>
        <v>1173.8619999999999</v>
      </c>
      <c r="J918" s="75">
        <v>0.27182000000000001</v>
      </c>
      <c r="K918" s="69">
        <f t="shared" si="274"/>
        <v>277.26781643999999</v>
      </c>
      <c r="L918" s="78">
        <f t="shared" si="279"/>
        <v>11.00272996</v>
      </c>
      <c r="M918" s="61">
        <v>0</v>
      </c>
      <c r="N918" s="61">
        <f t="shared" si="280"/>
        <v>22.00545992</v>
      </c>
      <c r="O918" s="58"/>
      <c r="P918" s="2"/>
      <c r="Q918" s="2"/>
      <c r="R918" s="32"/>
      <c r="S918" s="32"/>
      <c r="T918" s="32"/>
      <c r="U918" s="32"/>
      <c r="V918" s="2"/>
      <c r="W918" s="2"/>
      <c r="X918" s="2"/>
      <c r="Y918" s="2"/>
      <c r="Z918" s="2"/>
    </row>
    <row r="919" spans="1:26" ht="13.8" x14ac:dyDescent="0.3">
      <c r="A919" s="32" t="s">
        <v>382</v>
      </c>
      <c r="B919" s="2" t="s">
        <v>186</v>
      </c>
      <c r="C919" s="10" t="s">
        <v>15</v>
      </c>
      <c r="D919" s="10" t="s">
        <v>15</v>
      </c>
      <c r="E919" s="10">
        <v>1714680</v>
      </c>
      <c r="F919" s="76" t="s">
        <v>535</v>
      </c>
      <c r="G919" s="69">
        <v>-1583.42</v>
      </c>
      <c r="H919" s="69">
        <v>610.89</v>
      </c>
      <c r="I919" s="69">
        <v>0</v>
      </c>
      <c r="J919" s="70">
        <v>1</v>
      </c>
      <c r="K919" s="69">
        <f>(-H919*0.4*0.15+G919*0.25)*J919*0.3+(H919*0.1*0.85+H919*0.5*0.25)*J919*0.3</f>
        <v>-91.266450000000006</v>
      </c>
      <c r="L919" s="79" t="s">
        <v>468</v>
      </c>
      <c r="M919" s="61">
        <v>0</v>
      </c>
      <c r="N919" s="61">
        <v>0</v>
      </c>
      <c r="O919" s="61"/>
      <c r="P919" s="2"/>
      <c r="Q919" s="2"/>
      <c r="R919" s="32"/>
      <c r="S919" s="32"/>
      <c r="T919" s="32"/>
      <c r="U919" s="32"/>
      <c r="V919" s="2"/>
      <c r="W919" s="2"/>
      <c r="X919" s="2"/>
      <c r="Y919" s="2"/>
      <c r="Z919" s="2"/>
    </row>
    <row r="920" spans="1:26" ht="13.8" x14ac:dyDescent="0.3">
      <c r="A920" s="32" t="s">
        <v>382</v>
      </c>
      <c r="B920" s="2" t="s">
        <v>186</v>
      </c>
      <c r="C920" s="10">
        <v>2304025</v>
      </c>
      <c r="D920" s="10" t="s">
        <v>1162</v>
      </c>
      <c r="E920" s="10">
        <v>2531140</v>
      </c>
      <c r="F920" s="10" t="s">
        <v>1257</v>
      </c>
      <c r="G920" s="69">
        <v>-146.15</v>
      </c>
      <c r="H920" s="69">
        <v>239.5</v>
      </c>
      <c r="I920" s="69">
        <f t="shared" ref="I920:I931" si="281">H920*0.5</f>
        <v>119.75</v>
      </c>
      <c r="J920" s="70">
        <v>1</v>
      </c>
      <c r="K920" s="69">
        <f t="shared" ref="K920:K931" si="282">(G920+I920)*J920*0.85+(-H920*0.4*0.15)*J920*0.3+H920*0.1*0.85*J920*0.3</f>
        <v>-20.643750000000004</v>
      </c>
      <c r="L920" s="79" t="s">
        <v>468</v>
      </c>
      <c r="M920" s="61">
        <f t="shared" ref="M920:M931" si="283">(-H920*0.4*0.15)*J920*0.7-(-H920*0.05*0.15)*J920</f>
        <v>-8.2627499999999987</v>
      </c>
      <c r="N920" s="61">
        <f t="shared" ref="N920:N931" si="284">H920*0.1*0.85*J920*0.7+H920*0.05*0.85*J920</f>
        <v>24.429000000000002</v>
      </c>
      <c r="O920" s="61"/>
      <c r="P920" s="2"/>
      <c r="Q920" s="2"/>
      <c r="R920" s="32"/>
      <c r="S920" s="32"/>
      <c r="T920" s="32"/>
      <c r="U920" s="32"/>
      <c r="V920" s="2"/>
      <c r="W920" s="2"/>
      <c r="X920" s="2"/>
      <c r="Y920" s="2"/>
      <c r="Z920" s="2"/>
    </row>
    <row r="921" spans="1:26" ht="13.8" x14ac:dyDescent="0.3">
      <c r="A921" s="32" t="s">
        <v>382</v>
      </c>
      <c r="B921" s="2" t="s">
        <v>186</v>
      </c>
      <c r="C921" s="10">
        <v>2304025</v>
      </c>
      <c r="D921" s="10" t="s">
        <v>1162</v>
      </c>
      <c r="E921" s="10">
        <v>2531141</v>
      </c>
      <c r="F921" s="10" t="s">
        <v>1258</v>
      </c>
      <c r="G921" s="69">
        <v>-261.60000000000002</v>
      </c>
      <c r="H921" s="69">
        <v>26.26</v>
      </c>
      <c r="I921" s="69">
        <f t="shared" si="281"/>
        <v>13.13</v>
      </c>
      <c r="J921" s="70">
        <v>1</v>
      </c>
      <c r="K921" s="69">
        <f t="shared" si="282"/>
        <v>-211.00255000000001</v>
      </c>
      <c r="L921" s="79" t="s">
        <v>468</v>
      </c>
      <c r="M921" s="61">
        <f t="shared" si="283"/>
        <v>-0.90596999999999994</v>
      </c>
      <c r="N921" s="61">
        <f t="shared" si="284"/>
        <v>2.6785200000000007</v>
      </c>
      <c r="O921" s="61"/>
      <c r="P921" s="2"/>
      <c r="Q921" s="2"/>
      <c r="R921" s="32"/>
      <c r="S921" s="32"/>
      <c r="T921" s="32"/>
      <c r="U921" s="32"/>
      <c r="V921" s="2"/>
      <c r="W921" s="2"/>
      <c r="X921" s="2"/>
      <c r="Y921" s="2"/>
      <c r="Z921" s="2"/>
    </row>
    <row r="922" spans="1:26" ht="13.8" x14ac:dyDescent="0.3">
      <c r="A922" s="32" t="s">
        <v>382</v>
      </c>
      <c r="B922" s="2" t="s">
        <v>186</v>
      </c>
      <c r="C922" s="10">
        <v>2304025</v>
      </c>
      <c r="D922" s="10" t="s">
        <v>1162</v>
      </c>
      <c r="E922" s="10">
        <v>2531145</v>
      </c>
      <c r="F922" s="10" t="s">
        <v>1226</v>
      </c>
      <c r="G922" s="69">
        <v>-274.79000000000002</v>
      </c>
      <c r="H922" s="69">
        <v>103.41</v>
      </c>
      <c r="I922" s="69">
        <f t="shared" si="281"/>
        <v>51.704999999999998</v>
      </c>
      <c r="J922" s="70">
        <v>1</v>
      </c>
      <c r="K922" s="69">
        <f t="shared" si="282"/>
        <v>-188.84667500000003</v>
      </c>
      <c r="L922" s="79" t="s">
        <v>468</v>
      </c>
      <c r="M922" s="61">
        <f t="shared" si="283"/>
        <v>-3.5676449999999997</v>
      </c>
      <c r="N922" s="61">
        <f t="shared" si="284"/>
        <v>10.547820000000002</v>
      </c>
      <c r="O922" s="61"/>
      <c r="P922" s="2"/>
      <c r="Q922" s="2"/>
      <c r="R922" s="32"/>
      <c r="S922" s="32"/>
      <c r="T922" s="32"/>
      <c r="U922" s="32"/>
      <c r="V922" s="2"/>
      <c r="W922" s="2"/>
      <c r="X922" s="2"/>
      <c r="Y922" s="2"/>
      <c r="Z922" s="2"/>
    </row>
    <row r="923" spans="1:26" ht="13.8" x14ac:dyDescent="0.3">
      <c r="A923" s="32" t="s">
        <v>382</v>
      </c>
      <c r="B923" s="2" t="s">
        <v>186</v>
      </c>
      <c r="C923" s="10">
        <v>2304025</v>
      </c>
      <c r="D923" s="10" t="s">
        <v>1162</v>
      </c>
      <c r="E923" s="10">
        <v>2531146</v>
      </c>
      <c r="F923" s="10" t="s">
        <v>1227</v>
      </c>
      <c r="G923" s="69">
        <v>257.54000000000002</v>
      </c>
      <c r="H923" s="69">
        <v>69.430000000000007</v>
      </c>
      <c r="I923" s="69">
        <f t="shared" si="281"/>
        <v>34.715000000000003</v>
      </c>
      <c r="J923" s="70">
        <v>1</v>
      </c>
      <c r="K923" s="69">
        <f t="shared" si="282"/>
        <v>248.93747499999998</v>
      </c>
      <c r="L923" s="79" t="s">
        <v>468</v>
      </c>
      <c r="M923" s="61">
        <f t="shared" si="283"/>
        <v>-2.3953350000000002</v>
      </c>
      <c r="N923" s="61">
        <f t="shared" si="284"/>
        <v>7.0818600000000007</v>
      </c>
      <c r="O923" s="61"/>
      <c r="P923" s="2"/>
      <c r="Q923" s="2"/>
      <c r="R923" s="32"/>
      <c r="S923" s="32"/>
      <c r="T923" s="32"/>
      <c r="U923" s="32"/>
      <c r="V923" s="2"/>
      <c r="W923" s="2"/>
      <c r="X923" s="2"/>
      <c r="Y923" s="2"/>
      <c r="Z923" s="2"/>
    </row>
    <row r="924" spans="1:26" ht="13.8" x14ac:dyDescent="0.3">
      <c r="A924" s="32" t="s">
        <v>382</v>
      </c>
      <c r="B924" s="2" t="s">
        <v>186</v>
      </c>
      <c r="C924" s="10">
        <v>2304025</v>
      </c>
      <c r="D924" s="10" t="s">
        <v>1162</v>
      </c>
      <c r="E924" s="10">
        <v>2531191</v>
      </c>
      <c r="F924" s="10" t="s">
        <v>1259</v>
      </c>
      <c r="G924" s="69">
        <v>-246.02</v>
      </c>
      <c r="H924" s="69">
        <v>65.22</v>
      </c>
      <c r="I924" s="69">
        <f t="shared" si="281"/>
        <v>32.61</v>
      </c>
      <c r="J924" s="70">
        <v>1</v>
      </c>
      <c r="K924" s="69">
        <f t="shared" si="282"/>
        <v>-180.90935000000002</v>
      </c>
      <c r="L924" s="79" t="s">
        <v>468</v>
      </c>
      <c r="M924" s="61">
        <f t="shared" si="283"/>
        <v>-2.2500899999999997</v>
      </c>
      <c r="N924" s="61">
        <f t="shared" si="284"/>
        <v>6.6524400000000004</v>
      </c>
      <c r="O924" s="61"/>
      <c r="P924" s="2"/>
      <c r="Q924" s="2"/>
      <c r="R924" s="32"/>
      <c r="S924" s="32"/>
      <c r="T924" s="32"/>
      <c r="U924" s="32"/>
      <c r="V924" s="2"/>
      <c r="W924" s="2"/>
      <c r="X924" s="2"/>
      <c r="Y924" s="2"/>
      <c r="Z924" s="2"/>
    </row>
    <row r="925" spans="1:26" ht="13.8" x14ac:dyDescent="0.3">
      <c r="A925" s="32" t="s">
        <v>382</v>
      </c>
      <c r="B925" s="2" t="s">
        <v>186</v>
      </c>
      <c r="C925" s="10">
        <v>2304025</v>
      </c>
      <c r="D925" s="10" t="s">
        <v>1162</v>
      </c>
      <c r="E925" s="10">
        <v>2540293</v>
      </c>
      <c r="F925" s="10" t="s">
        <v>1261</v>
      </c>
      <c r="G925" s="69">
        <v>264.66000000000003</v>
      </c>
      <c r="H925" s="69">
        <v>52.91</v>
      </c>
      <c r="I925" s="69">
        <f t="shared" si="281"/>
        <v>26.454999999999998</v>
      </c>
      <c r="J925" s="70">
        <v>1</v>
      </c>
      <c r="K925" s="69">
        <f t="shared" si="282"/>
        <v>247.84457500000002</v>
      </c>
      <c r="L925" s="79" t="s">
        <v>468</v>
      </c>
      <c r="M925" s="61">
        <f t="shared" si="283"/>
        <v>-1.8253950000000001</v>
      </c>
      <c r="N925" s="61">
        <f t="shared" si="284"/>
        <v>5.39682</v>
      </c>
      <c r="O925" s="61"/>
      <c r="P925" s="2"/>
      <c r="Q925" s="2"/>
      <c r="R925" s="32"/>
      <c r="S925" s="32"/>
      <c r="T925" s="32"/>
      <c r="U925" s="32"/>
      <c r="V925" s="2"/>
      <c r="W925" s="2"/>
      <c r="X925" s="2"/>
      <c r="Y925" s="2"/>
      <c r="Z925" s="2"/>
    </row>
    <row r="926" spans="1:26" ht="13.8" x14ac:dyDescent="0.3">
      <c r="A926" s="32" t="s">
        <v>382</v>
      </c>
      <c r="B926" s="2" t="s">
        <v>186</v>
      </c>
      <c r="C926" s="10">
        <v>2304025</v>
      </c>
      <c r="D926" s="10" t="s">
        <v>1162</v>
      </c>
      <c r="E926" s="10">
        <v>2540315</v>
      </c>
      <c r="F926" s="10" t="s">
        <v>1262</v>
      </c>
      <c r="G926" s="69">
        <v>279.44</v>
      </c>
      <c r="H926" s="69">
        <v>6.37</v>
      </c>
      <c r="I926" s="69">
        <f t="shared" si="281"/>
        <v>3.1850000000000001</v>
      </c>
      <c r="J926" s="70">
        <v>1</v>
      </c>
      <c r="K926" s="69">
        <f t="shared" si="282"/>
        <v>240.27902499999999</v>
      </c>
      <c r="L926" s="79" t="s">
        <v>468</v>
      </c>
      <c r="M926" s="61">
        <f t="shared" si="283"/>
        <v>-0.21976499999999993</v>
      </c>
      <c r="N926" s="61">
        <f t="shared" si="284"/>
        <v>0.64973999999999998</v>
      </c>
      <c r="O926" s="61"/>
      <c r="P926" s="2"/>
      <c r="Q926" s="2"/>
      <c r="R926" s="32"/>
      <c r="S926" s="32"/>
      <c r="T926" s="32"/>
      <c r="U926" s="32"/>
      <c r="V926" s="2"/>
      <c r="W926" s="2"/>
      <c r="X926" s="2"/>
      <c r="Y926" s="2"/>
      <c r="Z926" s="2"/>
    </row>
    <row r="927" spans="1:26" ht="13.8" x14ac:dyDescent="0.3">
      <c r="A927" s="32" t="s">
        <v>382</v>
      </c>
      <c r="B927" s="2" t="s">
        <v>186</v>
      </c>
      <c r="C927" s="10">
        <v>2304025</v>
      </c>
      <c r="D927" s="10" t="s">
        <v>1162</v>
      </c>
      <c r="E927" s="10">
        <v>2559299</v>
      </c>
      <c r="F927" s="10" t="s">
        <v>1302</v>
      </c>
      <c r="G927" s="69">
        <v>-54.11</v>
      </c>
      <c r="H927" s="69">
        <v>5.13</v>
      </c>
      <c r="I927" s="69">
        <f t="shared" si="281"/>
        <v>2.5649999999999999</v>
      </c>
      <c r="J927" s="70">
        <v>1</v>
      </c>
      <c r="K927" s="69">
        <f t="shared" si="282"/>
        <v>-43.774775000000005</v>
      </c>
      <c r="L927" s="79" t="s">
        <v>468</v>
      </c>
      <c r="M927" s="61">
        <f t="shared" si="283"/>
        <v>-0.176985</v>
      </c>
      <c r="N927" s="61">
        <f t="shared" si="284"/>
        <v>0.52325999999999995</v>
      </c>
      <c r="O927" s="61"/>
      <c r="P927" s="2"/>
      <c r="Q927" s="2"/>
      <c r="R927" s="32"/>
      <c r="S927" s="32"/>
      <c r="T927" s="32"/>
      <c r="U927" s="32"/>
      <c r="V927" s="2"/>
      <c r="W927" s="2"/>
      <c r="X927" s="2"/>
      <c r="Y927" s="2"/>
      <c r="Z927" s="2"/>
    </row>
    <row r="928" spans="1:26" ht="13.8" x14ac:dyDescent="0.3">
      <c r="A928" s="32" t="s">
        <v>382</v>
      </c>
      <c r="B928" s="2" t="s">
        <v>186</v>
      </c>
      <c r="C928" s="10">
        <v>2304025</v>
      </c>
      <c r="D928" s="10" t="s">
        <v>1162</v>
      </c>
      <c r="E928" s="10">
        <v>2575824</v>
      </c>
      <c r="F928" s="10" t="s">
        <v>1284</v>
      </c>
      <c r="G928" s="69">
        <v>-7.81</v>
      </c>
      <c r="H928" s="69">
        <v>5.35</v>
      </c>
      <c r="I928" s="69">
        <f t="shared" si="281"/>
        <v>2.6749999999999998</v>
      </c>
      <c r="J928" s="70">
        <v>1</v>
      </c>
      <c r="K928" s="69">
        <f t="shared" si="282"/>
        <v>-4.3246250000000002</v>
      </c>
      <c r="L928" s="79" t="s">
        <v>468</v>
      </c>
      <c r="M928" s="61">
        <f t="shared" si="283"/>
        <v>-0.18457499999999999</v>
      </c>
      <c r="N928" s="61">
        <f t="shared" si="284"/>
        <v>0.54569999999999996</v>
      </c>
      <c r="O928" s="61"/>
      <c r="P928" s="2"/>
      <c r="Q928" s="2"/>
      <c r="R928" s="32"/>
      <c r="S928" s="32"/>
      <c r="T928" s="32"/>
      <c r="U928" s="32"/>
      <c r="V928" s="2"/>
      <c r="W928" s="2"/>
      <c r="X928" s="2"/>
      <c r="Y928" s="2"/>
      <c r="Z928" s="2"/>
    </row>
    <row r="929" spans="1:26" ht="13.8" x14ac:dyDescent="0.3">
      <c r="A929" s="32" t="s">
        <v>382</v>
      </c>
      <c r="B929" s="2" t="s">
        <v>186</v>
      </c>
      <c r="C929" s="10">
        <v>2304025</v>
      </c>
      <c r="D929" s="10" t="s">
        <v>1162</v>
      </c>
      <c r="E929" s="10">
        <v>2575978</v>
      </c>
      <c r="F929" s="10" t="s">
        <v>1285</v>
      </c>
      <c r="G929" s="69">
        <v>-184.06</v>
      </c>
      <c r="H929" s="69">
        <v>16.62</v>
      </c>
      <c r="I929" s="69">
        <f t="shared" si="281"/>
        <v>8.31</v>
      </c>
      <c r="J929" s="70">
        <v>1</v>
      </c>
      <c r="K929" s="69">
        <f t="shared" si="282"/>
        <v>-149.26284999999999</v>
      </c>
      <c r="L929" s="79" t="s">
        <v>468</v>
      </c>
      <c r="M929" s="61">
        <f t="shared" si="283"/>
        <v>-0.57338999999999996</v>
      </c>
      <c r="N929" s="61">
        <f t="shared" si="284"/>
        <v>1.6952400000000001</v>
      </c>
      <c r="O929" s="61"/>
      <c r="P929" s="2"/>
      <c r="Q929" s="2"/>
      <c r="R929" s="32"/>
      <c r="S929" s="32"/>
      <c r="T929" s="32"/>
      <c r="U929" s="32"/>
      <c r="V929" s="2"/>
      <c r="W929" s="2"/>
      <c r="X929" s="2"/>
      <c r="Y929" s="2"/>
      <c r="Z929" s="2"/>
    </row>
    <row r="930" spans="1:26" ht="13.8" x14ac:dyDescent="0.3">
      <c r="A930" s="32" t="s">
        <v>382</v>
      </c>
      <c r="B930" s="2" t="s">
        <v>186</v>
      </c>
      <c r="C930" s="10">
        <v>2304025</v>
      </c>
      <c r="D930" s="10" t="s">
        <v>1162</v>
      </c>
      <c r="E930" s="10">
        <v>2632174</v>
      </c>
      <c r="F930" s="10" t="s">
        <v>1323</v>
      </c>
      <c r="G930" s="69">
        <v>118.4</v>
      </c>
      <c r="H930" s="69">
        <v>4.03</v>
      </c>
      <c r="I930" s="69">
        <f t="shared" si="281"/>
        <v>2.0150000000000001</v>
      </c>
      <c r="J930" s="70">
        <v>1</v>
      </c>
      <c r="K930" s="69">
        <f t="shared" si="282"/>
        <v>102.382975</v>
      </c>
      <c r="L930" s="79" t="s">
        <v>468</v>
      </c>
      <c r="M930" s="61">
        <f t="shared" si="283"/>
        <v>-0.13903499999999999</v>
      </c>
      <c r="N930" s="61">
        <f t="shared" si="284"/>
        <v>0.41105999999999998</v>
      </c>
      <c r="O930" s="61"/>
      <c r="P930" s="2"/>
      <c r="Q930" s="2"/>
      <c r="R930" s="32"/>
      <c r="S930" s="32"/>
      <c r="T930" s="32"/>
      <c r="U930" s="32"/>
      <c r="V930" s="2"/>
      <c r="W930" s="2"/>
      <c r="X930" s="2"/>
      <c r="Y930" s="2"/>
      <c r="Z930" s="2"/>
    </row>
    <row r="931" spans="1:26" ht="13.8" x14ac:dyDescent="0.3">
      <c r="A931" s="32" t="s">
        <v>382</v>
      </c>
      <c r="B931" s="2" t="s">
        <v>186</v>
      </c>
      <c r="C931" s="10">
        <v>2525136</v>
      </c>
      <c r="D931" s="10" t="s">
        <v>1205</v>
      </c>
      <c r="E931" s="10">
        <v>2600460</v>
      </c>
      <c r="F931" s="10" t="s">
        <v>1312</v>
      </c>
      <c r="G931" s="69">
        <v>566.14</v>
      </c>
      <c r="H931" s="69">
        <v>34.200000000000003</v>
      </c>
      <c r="I931" s="69">
        <f t="shared" si="281"/>
        <v>17.100000000000001</v>
      </c>
      <c r="J931" s="70">
        <v>1</v>
      </c>
      <c r="K931" s="69">
        <f t="shared" si="282"/>
        <v>496.01050000000004</v>
      </c>
      <c r="L931" s="79" t="s">
        <v>468</v>
      </c>
      <c r="M931" s="61">
        <f t="shared" si="283"/>
        <v>-1.1798999999999999</v>
      </c>
      <c r="N931" s="61">
        <f t="shared" si="284"/>
        <v>3.4883999999999999</v>
      </c>
      <c r="O931" s="61"/>
      <c r="P931" s="2"/>
      <c r="Q931" s="2"/>
      <c r="R931" s="32"/>
      <c r="S931" s="32"/>
      <c r="T931" s="32"/>
      <c r="U931" s="32"/>
      <c r="V931" s="2"/>
      <c r="W931" s="2"/>
      <c r="X931" s="2"/>
      <c r="Y931" s="2"/>
      <c r="Z931" s="2"/>
    </row>
    <row r="932" spans="1:26" ht="13.8" x14ac:dyDescent="0.3">
      <c r="A932" s="32" t="s">
        <v>382</v>
      </c>
      <c r="B932" s="2" t="s">
        <v>107</v>
      </c>
      <c r="C932" s="10">
        <v>2304025</v>
      </c>
      <c r="D932" s="10" t="s">
        <v>1162</v>
      </c>
      <c r="E932" s="10">
        <v>2435202</v>
      </c>
      <c r="F932" s="10" t="s">
        <v>1223</v>
      </c>
      <c r="G932" s="69">
        <v>-1050.6600000000001</v>
      </c>
      <c r="H932" s="69">
        <v>161.74</v>
      </c>
      <c r="I932" s="69">
        <f t="shared" ref="I932:I946" si="285">H932*0.65</f>
        <v>105.13100000000001</v>
      </c>
      <c r="J932" s="70">
        <v>1</v>
      </c>
      <c r="K932" s="69">
        <f t="shared" ref="K932:K946" si="286">(G932+I932)*J932*0.8+(G932*0.05-H932*0.25*0.15)*J932*0.3+(H932*0.1*0.85+I932*0.05)*J932*0.3</f>
        <v>-768.30134000000021</v>
      </c>
      <c r="L932" s="79" t="s">
        <v>468</v>
      </c>
      <c r="M932" s="61">
        <f t="shared" ref="M932:M943" si="287">(G932*0.05-H932*0.25*0.15)*J932*0.7-(-H932*0.03*0.15)*J932</f>
        <v>-40.290945000000008</v>
      </c>
      <c r="N932" s="61">
        <f t="shared" ref="N932:N943" si="288">(H932*0.1*0.85+I932*0.05)*J932*0.7+H932*0.03*0.85*J932</f>
        <v>17.427485000000001</v>
      </c>
      <c r="O932" s="58"/>
      <c r="P932" s="2"/>
      <c r="Q932" s="2"/>
      <c r="R932" s="32"/>
      <c r="S932" s="32"/>
      <c r="T932" s="32"/>
      <c r="U932" s="32"/>
      <c r="V932" s="2"/>
      <c r="W932" s="2"/>
      <c r="X932" s="2"/>
      <c r="Y932" s="2"/>
      <c r="Z932" s="2"/>
    </row>
    <row r="933" spans="1:26" ht="13.8" x14ac:dyDescent="0.3">
      <c r="A933" s="32" t="s">
        <v>382</v>
      </c>
      <c r="B933" s="2" t="s">
        <v>107</v>
      </c>
      <c r="C933" s="10">
        <v>2304025</v>
      </c>
      <c r="D933" s="10" t="s">
        <v>1162</v>
      </c>
      <c r="E933" s="10">
        <v>2435203</v>
      </c>
      <c r="F933" s="10" t="s">
        <v>1224</v>
      </c>
      <c r="G933" s="69">
        <v>401.38</v>
      </c>
      <c r="H933" s="69">
        <v>163.6</v>
      </c>
      <c r="I933" s="69">
        <f t="shared" si="285"/>
        <v>106.34</v>
      </c>
      <c r="J933" s="70">
        <v>1</v>
      </c>
      <c r="K933" s="69">
        <f t="shared" si="286"/>
        <v>416.12310000000008</v>
      </c>
      <c r="L933" s="79" t="s">
        <v>468</v>
      </c>
      <c r="M933" s="61">
        <f t="shared" si="287"/>
        <v>10.490000000000002</v>
      </c>
      <c r="N933" s="61">
        <f t="shared" si="288"/>
        <v>17.627899999999997</v>
      </c>
      <c r="O933" s="58"/>
      <c r="P933" s="2"/>
      <c r="Q933" s="2"/>
      <c r="R933" s="32"/>
      <c r="S933" s="32"/>
      <c r="T933" s="32"/>
      <c r="U933" s="32"/>
      <c r="V933" s="2"/>
      <c r="W933" s="2"/>
      <c r="X933" s="2"/>
      <c r="Y933" s="2"/>
      <c r="Z933" s="2"/>
    </row>
    <row r="934" spans="1:26" ht="13.8" x14ac:dyDescent="0.3">
      <c r="A934" s="32" t="s">
        <v>382</v>
      </c>
      <c r="B934" s="2" t="s">
        <v>107</v>
      </c>
      <c r="C934" s="10">
        <v>2304025</v>
      </c>
      <c r="D934" s="10" t="s">
        <v>1162</v>
      </c>
      <c r="E934" s="10">
        <v>2435206</v>
      </c>
      <c r="F934" s="10" t="s">
        <v>1225</v>
      </c>
      <c r="G934" s="69">
        <v>285.89</v>
      </c>
      <c r="H934" s="69">
        <v>124.76</v>
      </c>
      <c r="I934" s="69">
        <f t="shared" si="285"/>
        <v>81.094000000000008</v>
      </c>
      <c r="J934" s="70">
        <v>1</v>
      </c>
      <c r="K934" s="69">
        <f t="shared" si="286"/>
        <v>300.86978999999997</v>
      </c>
      <c r="L934" s="79" t="s">
        <v>468</v>
      </c>
      <c r="M934" s="61">
        <f t="shared" si="287"/>
        <v>7.2926199999999994</v>
      </c>
      <c r="N934" s="61">
        <f t="shared" si="288"/>
        <v>13.442889999999998</v>
      </c>
      <c r="O934" s="58"/>
      <c r="P934" s="2"/>
      <c r="Q934" s="2"/>
      <c r="R934" s="32"/>
      <c r="S934" s="32"/>
      <c r="T934" s="32"/>
      <c r="U934" s="32"/>
      <c r="V934" s="2"/>
      <c r="W934" s="2"/>
      <c r="X934" s="2"/>
      <c r="Y934" s="2"/>
      <c r="Z934" s="2"/>
    </row>
    <row r="935" spans="1:26" ht="13.8" x14ac:dyDescent="0.3">
      <c r="A935" s="32" t="s">
        <v>382</v>
      </c>
      <c r="B935" s="2" t="s">
        <v>107</v>
      </c>
      <c r="C935" s="10">
        <v>2304025</v>
      </c>
      <c r="D935" s="10" t="s">
        <v>1162</v>
      </c>
      <c r="E935" s="10">
        <v>2531140</v>
      </c>
      <c r="F935" s="10" t="s">
        <v>1257</v>
      </c>
      <c r="G935" s="69">
        <v>-369.94</v>
      </c>
      <c r="H935" s="69">
        <v>52.46</v>
      </c>
      <c r="I935" s="69">
        <f t="shared" si="285"/>
        <v>34.099000000000004</v>
      </c>
      <c r="J935" s="70">
        <v>1</v>
      </c>
      <c r="K935" s="69">
        <f t="shared" si="286"/>
        <v>-272.96285999999998</v>
      </c>
      <c r="L935" s="79" t="s">
        <v>468</v>
      </c>
      <c r="M935" s="61">
        <f t="shared" si="287"/>
        <v>-14.088904999999999</v>
      </c>
      <c r="N935" s="61">
        <f t="shared" si="288"/>
        <v>5.6525650000000001</v>
      </c>
      <c r="O935" s="58"/>
      <c r="P935" s="2"/>
      <c r="Q935" s="2"/>
      <c r="R935" s="32"/>
      <c r="S935" s="32"/>
      <c r="T935" s="32"/>
      <c r="U935" s="32"/>
      <c r="V935" s="2"/>
      <c r="W935" s="2"/>
      <c r="X935" s="2"/>
      <c r="Y935" s="2"/>
      <c r="Z935" s="2"/>
    </row>
    <row r="936" spans="1:26" ht="13.8" x14ac:dyDescent="0.3">
      <c r="A936" s="32" t="s">
        <v>382</v>
      </c>
      <c r="B936" s="2" t="s">
        <v>107</v>
      </c>
      <c r="C936" s="10">
        <v>2304025</v>
      </c>
      <c r="D936" s="10" t="s">
        <v>1162</v>
      </c>
      <c r="E936" s="10">
        <v>2531141</v>
      </c>
      <c r="F936" s="10" t="s">
        <v>1258</v>
      </c>
      <c r="G936" s="69">
        <v>130.9</v>
      </c>
      <c r="H936" s="69">
        <v>259.55</v>
      </c>
      <c r="I936" s="69">
        <f t="shared" si="285"/>
        <v>168.70750000000001</v>
      </c>
      <c r="J936" s="70">
        <v>1</v>
      </c>
      <c r="K936" s="69">
        <f t="shared" si="286"/>
        <v>247.87870000000004</v>
      </c>
      <c r="L936" s="79" t="s">
        <v>468</v>
      </c>
      <c r="M936" s="61">
        <f t="shared" si="287"/>
        <v>-1.0637124999999987</v>
      </c>
      <c r="N936" s="61">
        <f t="shared" si="288"/>
        <v>27.9665125</v>
      </c>
      <c r="O936" s="58"/>
      <c r="P936" s="2"/>
      <c r="Q936" s="2"/>
      <c r="R936" s="32"/>
      <c r="S936" s="32"/>
      <c r="T936" s="32"/>
      <c r="U936" s="32"/>
      <c r="V936" s="2"/>
      <c r="W936" s="2"/>
      <c r="X936" s="2"/>
      <c r="Y936" s="2"/>
      <c r="Z936" s="2"/>
    </row>
    <row r="937" spans="1:26" ht="13.8" x14ac:dyDescent="0.3">
      <c r="A937" s="32" t="s">
        <v>382</v>
      </c>
      <c r="B937" s="2" t="s">
        <v>107</v>
      </c>
      <c r="C937" s="10">
        <v>2304025</v>
      </c>
      <c r="D937" s="10" t="s">
        <v>1162</v>
      </c>
      <c r="E937" s="10">
        <v>2531145</v>
      </c>
      <c r="F937" s="10" t="s">
        <v>1226</v>
      </c>
      <c r="G937" s="69">
        <v>-4623.76</v>
      </c>
      <c r="H937" s="69">
        <v>346.85</v>
      </c>
      <c r="I937" s="69">
        <f t="shared" si="285"/>
        <v>225.45250000000001</v>
      </c>
      <c r="J937" s="70">
        <v>1</v>
      </c>
      <c r="K937" s="69">
        <f t="shared" si="286"/>
        <v>-3579.6780000000003</v>
      </c>
      <c r="L937" s="79" t="s">
        <v>468</v>
      </c>
      <c r="M937" s="61">
        <f t="shared" si="287"/>
        <v>-169.37558750000002</v>
      </c>
      <c r="N937" s="61">
        <f t="shared" si="288"/>
        <v>37.373087499999997</v>
      </c>
      <c r="O937" s="58"/>
      <c r="P937" s="2"/>
      <c r="Q937" s="2"/>
      <c r="R937" s="32"/>
      <c r="S937" s="32"/>
      <c r="T937" s="32"/>
      <c r="U937" s="32"/>
      <c r="V937" s="2"/>
      <c r="W937" s="2"/>
      <c r="X937" s="2"/>
      <c r="Y937" s="2"/>
      <c r="Z937" s="2"/>
    </row>
    <row r="938" spans="1:26" ht="13.8" x14ac:dyDescent="0.3">
      <c r="A938" s="32" t="s">
        <v>382</v>
      </c>
      <c r="B938" s="2" t="s">
        <v>107</v>
      </c>
      <c r="C938" s="10">
        <v>2304025</v>
      </c>
      <c r="D938" s="10" t="s">
        <v>1162</v>
      </c>
      <c r="E938" s="10">
        <v>2531146</v>
      </c>
      <c r="F938" s="10" t="s">
        <v>1227</v>
      </c>
      <c r="G938" s="69">
        <v>-13.16</v>
      </c>
      <c r="H938" s="69">
        <v>169.66</v>
      </c>
      <c r="I938" s="69">
        <f t="shared" si="285"/>
        <v>110.279</v>
      </c>
      <c r="J938" s="70">
        <v>1</v>
      </c>
      <c r="K938" s="69">
        <f t="shared" si="286"/>
        <v>81.569639999999993</v>
      </c>
      <c r="L938" s="79" t="s">
        <v>468</v>
      </c>
      <c r="M938" s="61">
        <f t="shared" si="287"/>
        <v>-4.1507049999999994</v>
      </c>
      <c r="N938" s="61">
        <f t="shared" si="288"/>
        <v>18.280864999999999</v>
      </c>
      <c r="O938" s="58"/>
      <c r="P938" s="2"/>
      <c r="Q938" s="2"/>
      <c r="R938" s="32"/>
      <c r="S938" s="32"/>
      <c r="T938" s="32"/>
      <c r="U938" s="32"/>
      <c r="V938" s="2"/>
      <c r="W938" s="2"/>
      <c r="X938" s="2"/>
      <c r="Y938" s="2"/>
      <c r="Z938" s="2"/>
    </row>
    <row r="939" spans="1:26" ht="13.8" x14ac:dyDescent="0.3">
      <c r="A939" s="32" t="s">
        <v>382</v>
      </c>
      <c r="B939" s="2" t="s">
        <v>107</v>
      </c>
      <c r="C939" s="10">
        <v>2304025</v>
      </c>
      <c r="D939" s="10" t="s">
        <v>1162</v>
      </c>
      <c r="E939" s="10">
        <v>2531365</v>
      </c>
      <c r="F939" s="10" t="s">
        <v>1228</v>
      </c>
      <c r="G939" s="69">
        <v>61.15</v>
      </c>
      <c r="H939" s="69">
        <v>10.97</v>
      </c>
      <c r="I939" s="69">
        <f t="shared" si="285"/>
        <v>7.1305000000000005</v>
      </c>
      <c r="J939" s="70">
        <v>1</v>
      </c>
      <c r="K939" s="69">
        <f t="shared" si="286"/>
        <v>55.804930000000013</v>
      </c>
      <c r="L939" s="79" t="s">
        <v>468</v>
      </c>
      <c r="M939" s="61">
        <f t="shared" si="287"/>
        <v>1.9016525</v>
      </c>
      <c r="N939" s="61">
        <f t="shared" si="288"/>
        <v>1.1820175000000002</v>
      </c>
      <c r="O939" s="58"/>
      <c r="P939" s="2"/>
      <c r="Q939" s="2"/>
      <c r="R939" s="32"/>
      <c r="S939" s="32"/>
      <c r="T939" s="32"/>
      <c r="U939" s="32"/>
      <c r="V939" s="2"/>
      <c r="W939" s="2"/>
      <c r="X939" s="2"/>
      <c r="Y939" s="2"/>
      <c r="Z939" s="2"/>
    </row>
    <row r="940" spans="1:26" ht="13.8" x14ac:dyDescent="0.3">
      <c r="A940" s="32" t="s">
        <v>382</v>
      </c>
      <c r="B940" s="2" t="s">
        <v>107</v>
      </c>
      <c r="C940" s="10">
        <v>2304025</v>
      </c>
      <c r="D940" s="10" t="s">
        <v>1162</v>
      </c>
      <c r="E940" s="10">
        <v>2531390</v>
      </c>
      <c r="F940" s="10" t="s">
        <v>1229</v>
      </c>
      <c r="G940" s="69">
        <v>-937.32</v>
      </c>
      <c r="H940" s="69">
        <v>68.06</v>
      </c>
      <c r="I940" s="69">
        <f t="shared" si="285"/>
        <v>44.239000000000004</v>
      </c>
      <c r="J940" s="70">
        <v>1</v>
      </c>
      <c r="K940" s="69">
        <f t="shared" si="286"/>
        <v>-726.89116000000001</v>
      </c>
      <c r="L940" s="79" t="s">
        <v>468</v>
      </c>
      <c r="M940" s="61">
        <f t="shared" si="287"/>
        <v>-34.286505000000005</v>
      </c>
      <c r="N940" s="61">
        <f t="shared" si="288"/>
        <v>7.3334650000000003</v>
      </c>
      <c r="O940" s="58"/>
      <c r="P940" s="2"/>
      <c r="Q940" s="2"/>
      <c r="R940" s="32"/>
      <c r="S940" s="32"/>
      <c r="T940" s="32"/>
      <c r="U940" s="32"/>
      <c r="V940" s="2"/>
      <c r="W940" s="2"/>
      <c r="X940" s="2"/>
      <c r="Y940" s="2"/>
      <c r="Z940" s="2"/>
    </row>
    <row r="941" spans="1:26" ht="13.8" x14ac:dyDescent="0.3">
      <c r="A941" s="32" t="s">
        <v>382</v>
      </c>
      <c r="B941" s="2" t="s">
        <v>107</v>
      </c>
      <c r="C941" s="10">
        <v>2304025</v>
      </c>
      <c r="D941" s="10" t="s">
        <v>1162</v>
      </c>
      <c r="E941" s="10">
        <v>2575716</v>
      </c>
      <c r="F941" s="10" t="s">
        <v>1283</v>
      </c>
      <c r="G941" s="69">
        <v>-57.68</v>
      </c>
      <c r="H941" s="69">
        <v>7.59</v>
      </c>
      <c r="I941" s="69">
        <f t="shared" si="285"/>
        <v>4.9335000000000004</v>
      </c>
      <c r="J941" s="70">
        <v>1</v>
      </c>
      <c r="K941" s="69">
        <f t="shared" si="286"/>
        <v>-42.880240000000001</v>
      </c>
      <c r="L941" s="79" t="s">
        <v>468</v>
      </c>
      <c r="M941" s="61">
        <f t="shared" si="287"/>
        <v>-2.1838825000000002</v>
      </c>
      <c r="N941" s="61">
        <f t="shared" si="288"/>
        <v>0.81782250000000001</v>
      </c>
      <c r="O941" s="58"/>
      <c r="P941" s="2"/>
      <c r="Q941" s="2"/>
      <c r="R941" s="32"/>
      <c r="S941" s="32"/>
      <c r="T941" s="32"/>
      <c r="U941" s="32"/>
      <c r="V941" s="2"/>
      <c r="W941" s="2"/>
      <c r="X941" s="2"/>
      <c r="Y941" s="2"/>
      <c r="Z941" s="2"/>
    </row>
    <row r="942" spans="1:26" ht="13.8" x14ac:dyDescent="0.3">
      <c r="A942" s="32" t="s">
        <v>382</v>
      </c>
      <c r="B942" s="2" t="s">
        <v>107</v>
      </c>
      <c r="C942" s="10">
        <v>2304025</v>
      </c>
      <c r="D942" s="10" t="s">
        <v>1162</v>
      </c>
      <c r="E942" s="10">
        <v>2575824</v>
      </c>
      <c r="F942" s="10" t="s">
        <v>1284</v>
      </c>
      <c r="G942" s="69">
        <v>-239.23</v>
      </c>
      <c r="H942" s="69">
        <v>26.21</v>
      </c>
      <c r="I942" s="69">
        <f t="shared" si="285"/>
        <v>17.0365</v>
      </c>
      <c r="J942" s="70">
        <v>1</v>
      </c>
      <c r="K942" s="69">
        <f t="shared" si="286"/>
        <v>-180.71421000000001</v>
      </c>
      <c r="L942" s="79" t="s">
        <v>468</v>
      </c>
      <c r="M942" s="61">
        <f t="shared" si="287"/>
        <v>-8.9431174999999996</v>
      </c>
      <c r="N942" s="61">
        <f t="shared" si="288"/>
        <v>2.8241274999999999</v>
      </c>
      <c r="O942" s="58"/>
      <c r="P942" s="2"/>
      <c r="Q942" s="2"/>
      <c r="R942" s="32"/>
      <c r="S942" s="32"/>
      <c r="T942" s="32"/>
      <c r="U942" s="32"/>
      <c r="V942" s="2"/>
      <c r="W942" s="2"/>
      <c r="X942" s="2"/>
      <c r="Y942" s="2"/>
      <c r="Z942" s="2"/>
    </row>
    <row r="943" spans="1:26" ht="13.8" x14ac:dyDescent="0.3">
      <c r="A943" s="32" t="s">
        <v>382</v>
      </c>
      <c r="B943" s="2" t="s">
        <v>107</v>
      </c>
      <c r="C943" s="10">
        <v>2304025</v>
      </c>
      <c r="D943" s="10" t="s">
        <v>1162</v>
      </c>
      <c r="E943" s="10">
        <v>2575978</v>
      </c>
      <c r="F943" s="10" t="s">
        <v>1285</v>
      </c>
      <c r="G943" s="69">
        <v>-139.5</v>
      </c>
      <c r="H943" s="69">
        <v>22.81</v>
      </c>
      <c r="I943" s="69">
        <f t="shared" si="285"/>
        <v>14.826499999999999</v>
      </c>
      <c r="J943" s="70">
        <v>1</v>
      </c>
      <c r="K943" s="69">
        <f t="shared" si="286"/>
        <v>-101.28386000000002</v>
      </c>
      <c r="L943" s="79" t="s">
        <v>468</v>
      </c>
      <c r="M943" s="61">
        <f t="shared" si="287"/>
        <v>-5.3786174999999998</v>
      </c>
      <c r="N943" s="61">
        <f t="shared" si="288"/>
        <v>2.4577774999999997</v>
      </c>
      <c r="O943" s="58"/>
      <c r="P943" s="2"/>
      <c r="Q943" s="2"/>
      <c r="R943" s="32"/>
      <c r="S943" s="32"/>
      <c r="T943" s="32"/>
      <c r="U943" s="32"/>
      <c r="V943" s="2"/>
      <c r="W943" s="2"/>
      <c r="X943" s="2"/>
      <c r="Y943" s="2"/>
      <c r="Z943" s="2"/>
    </row>
    <row r="944" spans="1:26" ht="13.8" x14ac:dyDescent="0.3">
      <c r="A944" s="32" t="s">
        <v>382</v>
      </c>
      <c r="B944" s="2" t="s">
        <v>107</v>
      </c>
      <c r="C944" s="10">
        <v>2373023</v>
      </c>
      <c r="D944" s="10" t="s">
        <v>1127</v>
      </c>
      <c r="E944" s="10">
        <v>2630335</v>
      </c>
      <c r="F944" s="10" t="s">
        <v>1320</v>
      </c>
      <c r="G944" s="69">
        <v>937.96</v>
      </c>
      <c r="H944" s="69">
        <v>103.22</v>
      </c>
      <c r="I944" s="69">
        <f t="shared" si="285"/>
        <v>67.093000000000004</v>
      </c>
      <c r="J944" s="70">
        <v>1</v>
      </c>
      <c r="K944" s="69">
        <f t="shared" si="286"/>
        <v>820.58908000000008</v>
      </c>
      <c r="L944" s="79" t="s">
        <v>468</v>
      </c>
      <c r="M944" s="61">
        <f t="shared" ref="M944:M946" si="289">(G944*0.05-H944*0.25*0.15)*J944*0.7-(-H944*0.02*0.15)*J944</f>
        <v>30.428735</v>
      </c>
      <c r="N944" s="61">
        <f t="shared" ref="N944:N946" si="290">(H944*0.1*0.85+I944*0.05)*J944*0.7+H944*0.02*0.85*J944</f>
        <v>10.244585000000001</v>
      </c>
      <c r="O944" s="58"/>
      <c r="P944" s="2"/>
      <c r="Q944" s="2"/>
      <c r="R944" s="32"/>
      <c r="S944" s="32"/>
      <c r="T944" s="32"/>
      <c r="U944" s="32"/>
      <c r="V944" s="2"/>
      <c r="W944" s="2"/>
      <c r="X944" s="2"/>
      <c r="Y944" s="2"/>
      <c r="Z944" s="2"/>
    </row>
    <row r="945" spans="1:26" ht="13.8" x14ac:dyDescent="0.3">
      <c r="A945" s="32" t="s">
        <v>382</v>
      </c>
      <c r="B945" s="2" t="s">
        <v>107</v>
      </c>
      <c r="C945" s="10">
        <v>2525136</v>
      </c>
      <c r="D945" s="10" t="s">
        <v>1205</v>
      </c>
      <c r="E945" s="10">
        <v>2525136</v>
      </c>
      <c r="F945" s="10" t="s">
        <v>1205</v>
      </c>
      <c r="G945" s="69">
        <v>51.73</v>
      </c>
      <c r="H945" s="69">
        <v>46.6</v>
      </c>
      <c r="I945" s="69">
        <f t="shared" si="285"/>
        <v>30.290000000000003</v>
      </c>
      <c r="J945" s="70">
        <v>1</v>
      </c>
      <c r="K945" s="69">
        <f t="shared" si="286"/>
        <v>67.510350000000003</v>
      </c>
      <c r="L945" s="79" t="s">
        <v>468</v>
      </c>
      <c r="M945" s="61">
        <f t="shared" si="289"/>
        <v>0.72709999999999997</v>
      </c>
      <c r="N945" s="61">
        <f t="shared" si="290"/>
        <v>4.6250499999999999</v>
      </c>
      <c r="O945" s="58"/>
      <c r="P945" s="2"/>
      <c r="Q945" s="2"/>
      <c r="R945" s="32"/>
      <c r="S945" s="32"/>
      <c r="T945" s="32"/>
      <c r="U945" s="32"/>
      <c r="V945" s="2"/>
      <c r="W945" s="2"/>
      <c r="X945" s="2"/>
      <c r="Y945" s="2"/>
      <c r="Z945" s="2"/>
    </row>
    <row r="946" spans="1:26" ht="13.8" x14ac:dyDescent="0.3">
      <c r="A946" s="32" t="s">
        <v>382</v>
      </c>
      <c r="B946" s="2" t="s">
        <v>107</v>
      </c>
      <c r="C946" s="10">
        <v>2525136</v>
      </c>
      <c r="D946" s="10" t="s">
        <v>1205</v>
      </c>
      <c r="E946" s="10">
        <v>2600460</v>
      </c>
      <c r="F946" s="10" t="s">
        <v>1312</v>
      </c>
      <c r="G946" s="69">
        <v>1</v>
      </c>
      <c r="H946" s="69">
        <v>0</v>
      </c>
      <c r="I946" s="69">
        <f t="shared" si="285"/>
        <v>0</v>
      </c>
      <c r="J946" s="70">
        <v>1</v>
      </c>
      <c r="K946" s="69">
        <f t="shared" si="286"/>
        <v>0.81500000000000006</v>
      </c>
      <c r="L946" s="79" t="s">
        <v>468</v>
      </c>
      <c r="M946" s="61">
        <f t="shared" si="289"/>
        <v>3.4999999999999996E-2</v>
      </c>
      <c r="N946" s="61">
        <f t="shared" si="290"/>
        <v>0</v>
      </c>
      <c r="O946" s="58"/>
      <c r="P946" s="2"/>
      <c r="Q946" s="2"/>
      <c r="R946" s="32"/>
      <c r="S946" s="32"/>
      <c r="T946" s="32"/>
      <c r="U946" s="32"/>
      <c r="V946" s="2"/>
      <c r="W946" s="2"/>
      <c r="X946" s="2"/>
      <c r="Y946" s="2"/>
      <c r="Z946" s="2"/>
    </row>
    <row r="947" spans="1:26" ht="13.8" x14ac:dyDescent="0.3">
      <c r="A947" s="32" t="s">
        <v>382</v>
      </c>
      <c r="B947" s="2" t="s">
        <v>244</v>
      </c>
      <c r="C947" s="10">
        <v>2304025</v>
      </c>
      <c r="D947" s="10" t="s">
        <v>1162</v>
      </c>
      <c r="E947" s="10">
        <v>2435203</v>
      </c>
      <c r="F947" s="10" t="s">
        <v>1224</v>
      </c>
      <c r="G947" s="69">
        <v>-255.16</v>
      </c>
      <c r="H947" s="69">
        <v>31.93</v>
      </c>
      <c r="I947" s="69">
        <f t="shared" ref="I947:I969" si="291">H947*0.7</f>
        <v>22.350999999999999</v>
      </c>
      <c r="J947" s="70">
        <v>1</v>
      </c>
      <c r="K947" s="69">
        <f t="shared" ref="K947:K968" si="292">(G947+I947)*0.85+(G947*0.15-(G947+H947)*0.15)*J947*0.3+I947*0.15*J947*0.3</f>
        <v>-198.31870499999997</v>
      </c>
      <c r="L947" s="79" t="s">
        <v>468</v>
      </c>
      <c r="M947" s="61">
        <f t="shared" ref="M947:M968" si="293">(G947*0.15-(G947+H947)*0.15)*J947*0.7</f>
        <v>-3.3526500000000024</v>
      </c>
      <c r="N947" s="61">
        <f t="shared" ref="N947:N968" si="294">I947*0.15*J947*0.7+H947*0.05*J947</f>
        <v>3.9433549999999995</v>
      </c>
      <c r="O947" s="61"/>
      <c r="P947" s="2"/>
      <c r="Q947" s="2"/>
      <c r="R947" s="32"/>
      <c r="S947" s="32"/>
      <c r="T947" s="32"/>
      <c r="U947" s="32"/>
      <c r="V947" s="2"/>
      <c r="W947" s="2"/>
      <c r="X947" s="2"/>
      <c r="Y947" s="2"/>
      <c r="Z947" s="2"/>
    </row>
    <row r="948" spans="1:26" ht="13.8" x14ac:dyDescent="0.3">
      <c r="A948" s="32" t="s">
        <v>382</v>
      </c>
      <c r="B948" s="2" t="s">
        <v>244</v>
      </c>
      <c r="C948" s="10">
        <v>2304025</v>
      </c>
      <c r="D948" s="10" t="s">
        <v>1162</v>
      </c>
      <c r="E948" s="10">
        <v>2435206</v>
      </c>
      <c r="F948" s="10" t="s">
        <v>1225</v>
      </c>
      <c r="G948" s="69">
        <v>-434.29</v>
      </c>
      <c r="H948" s="69">
        <v>81.2</v>
      </c>
      <c r="I948" s="69">
        <f t="shared" si="291"/>
        <v>56.839999999999996</v>
      </c>
      <c r="J948" s="70">
        <v>1</v>
      </c>
      <c r="K948" s="69">
        <f t="shared" si="292"/>
        <v>-321.92870000000005</v>
      </c>
      <c r="L948" s="79" t="s">
        <v>468</v>
      </c>
      <c r="M948" s="61">
        <f t="shared" si="293"/>
        <v>-8.5259999999999998</v>
      </c>
      <c r="N948" s="61">
        <f t="shared" si="294"/>
        <v>10.0282</v>
      </c>
      <c r="O948" s="61"/>
      <c r="P948" s="2"/>
      <c r="Q948" s="2"/>
      <c r="R948" s="32"/>
      <c r="S948" s="32"/>
      <c r="T948" s="32"/>
      <c r="U948" s="32"/>
      <c r="V948" s="2"/>
      <c r="W948" s="2"/>
      <c r="X948" s="2"/>
      <c r="Y948" s="2"/>
      <c r="Z948" s="2"/>
    </row>
    <row r="949" spans="1:26" ht="13.8" x14ac:dyDescent="0.3">
      <c r="A949" s="32" t="s">
        <v>382</v>
      </c>
      <c r="B949" s="2" t="s">
        <v>244</v>
      </c>
      <c r="C949" s="10">
        <v>2304025</v>
      </c>
      <c r="D949" s="10" t="s">
        <v>1162</v>
      </c>
      <c r="E949" s="10">
        <v>2531140</v>
      </c>
      <c r="F949" s="10" t="s">
        <v>1257</v>
      </c>
      <c r="G949" s="69">
        <v>380.31</v>
      </c>
      <c r="H949" s="69">
        <v>14</v>
      </c>
      <c r="I949" s="69">
        <f t="shared" si="291"/>
        <v>9.7999999999999989</v>
      </c>
      <c r="J949" s="70">
        <v>1</v>
      </c>
      <c r="K949" s="69">
        <f t="shared" si="292"/>
        <v>331.40449999999998</v>
      </c>
      <c r="L949" s="79" t="s">
        <v>468</v>
      </c>
      <c r="M949" s="61">
        <f t="shared" si="293"/>
        <v>-1.469999999999996</v>
      </c>
      <c r="N949" s="61">
        <f t="shared" si="294"/>
        <v>1.7289999999999996</v>
      </c>
      <c r="O949" s="61"/>
      <c r="P949" s="2"/>
      <c r="Q949" s="2"/>
      <c r="R949" s="32"/>
      <c r="S949" s="32"/>
      <c r="T949" s="32"/>
      <c r="U949" s="32"/>
      <c r="V949" s="2"/>
      <c r="W949" s="2"/>
      <c r="X949" s="2"/>
      <c r="Y949" s="2"/>
      <c r="Z949" s="2"/>
    </row>
    <row r="950" spans="1:26" ht="13.8" x14ac:dyDescent="0.3">
      <c r="A950" s="32" t="s">
        <v>382</v>
      </c>
      <c r="B950" s="2" t="s">
        <v>244</v>
      </c>
      <c r="C950" s="10">
        <v>2304025</v>
      </c>
      <c r="D950" s="10" t="s">
        <v>1162</v>
      </c>
      <c r="E950" s="10">
        <v>2531141</v>
      </c>
      <c r="F950" s="10" t="s">
        <v>1258</v>
      </c>
      <c r="G950" s="69">
        <v>-2312.23</v>
      </c>
      <c r="H950" s="69">
        <v>154.47999999999999</v>
      </c>
      <c r="I950" s="69">
        <f t="shared" si="291"/>
        <v>108.13599999999998</v>
      </c>
      <c r="J950" s="70">
        <v>1</v>
      </c>
      <c r="K950" s="69">
        <f t="shared" si="292"/>
        <v>-1875.5653800000002</v>
      </c>
      <c r="L950" s="79" t="s">
        <v>468</v>
      </c>
      <c r="M950" s="61">
        <f t="shared" si="293"/>
        <v>-16.220400000000016</v>
      </c>
      <c r="N950" s="61">
        <f t="shared" si="294"/>
        <v>19.078279999999999</v>
      </c>
      <c r="O950" s="61"/>
      <c r="P950" s="2"/>
      <c r="Q950" s="2"/>
      <c r="R950" s="32"/>
      <c r="S950" s="32"/>
      <c r="T950" s="32"/>
      <c r="U950" s="32"/>
      <c r="V950" s="2"/>
      <c r="W950" s="2"/>
      <c r="X950" s="2"/>
      <c r="Y950" s="2"/>
      <c r="Z950" s="2"/>
    </row>
    <row r="951" spans="1:26" ht="13.8" x14ac:dyDescent="0.3">
      <c r="A951" s="32" t="s">
        <v>382</v>
      </c>
      <c r="B951" s="2" t="s">
        <v>244</v>
      </c>
      <c r="C951" s="10">
        <v>2304025</v>
      </c>
      <c r="D951" s="10" t="s">
        <v>1162</v>
      </c>
      <c r="E951" s="10">
        <v>2531145</v>
      </c>
      <c r="F951" s="10" t="s">
        <v>1226</v>
      </c>
      <c r="G951" s="69">
        <v>-510.26</v>
      </c>
      <c r="H951" s="69">
        <v>159.51</v>
      </c>
      <c r="I951" s="69">
        <f t="shared" si="291"/>
        <v>111.65699999999998</v>
      </c>
      <c r="J951" s="70">
        <v>1</v>
      </c>
      <c r="K951" s="69">
        <f t="shared" si="292"/>
        <v>-340.965935</v>
      </c>
      <c r="L951" s="79" t="s">
        <v>468</v>
      </c>
      <c r="M951" s="61">
        <f t="shared" si="293"/>
        <v>-16.748550000000002</v>
      </c>
      <c r="N951" s="61">
        <f t="shared" si="294"/>
        <v>19.699484999999996</v>
      </c>
      <c r="O951" s="61"/>
      <c r="P951" s="2"/>
      <c r="Q951" s="2"/>
      <c r="R951" s="32"/>
      <c r="S951" s="32"/>
      <c r="T951" s="32"/>
      <c r="U951" s="32"/>
      <c r="V951" s="2"/>
      <c r="W951" s="2"/>
      <c r="X951" s="2"/>
      <c r="Y951" s="2"/>
      <c r="Z951" s="2"/>
    </row>
    <row r="952" spans="1:26" ht="13.8" x14ac:dyDescent="0.3">
      <c r="A952" s="32" t="s">
        <v>382</v>
      </c>
      <c r="B952" s="2" t="s">
        <v>244</v>
      </c>
      <c r="C952" s="10">
        <v>2304025</v>
      </c>
      <c r="D952" s="10" t="s">
        <v>1162</v>
      </c>
      <c r="E952" s="10">
        <v>2531146</v>
      </c>
      <c r="F952" s="10" t="s">
        <v>1227</v>
      </c>
      <c r="G952" s="69">
        <v>8718.33</v>
      </c>
      <c r="H952" s="69">
        <v>436.93</v>
      </c>
      <c r="I952" s="69">
        <f t="shared" si="291"/>
        <v>305.851</v>
      </c>
      <c r="J952" s="70">
        <v>1</v>
      </c>
      <c r="K952" s="69">
        <f t="shared" si="292"/>
        <v>7664.6552949999996</v>
      </c>
      <c r="L952" s="79" t="s">
        <v>468</v>
      </c>
      <c r="M952" s="61">
        <f t="shared" si="293"/>
        <v>-45.87765000000006</v>
      </c>
      <c r="N952" s="61">
        <f t="shared" si="294"/>
        <v>53.960854999999995</v>
      </c>
      <c r="O952" s="61"/>
      <c r="P952" s="2"/>
      <c r="Q952" s="2"/>
      <c r="R952" s="32"/>
      <c r="S952" s="32"/>
      <c r="T952" s="32"/>
      <c r="U952" s="32"/>
      <c r="V952" s="2"/>
      <c r="W952" s="2"/>
      <c r="X952" s="2"/>
      <c r="Y952" s="2"/>
      <c r="Z952" s="2"/>
    </row>
    <row r="953" spans="1:26" ht="13.8" x14ac:dyDescent="0.3">
      <c r="A953" s="32" t="s">
        <v>382</v>
      </c>
      <c r="B953" s="2" t="s">
        <v>244</v>
      </c>
      <c r="C953" s="10">
        <v>2304025</v>
      </c>
      <c r="D953" s="10" t="s">
        <v>1162</v>
      </c>
      <c r="E953" s="10">
        <v>2531191</v>
      </c>
      <c r="F953" s="10" t="s">
        <v>1259</v>
      </c>
      <c r="G953" s="69">
        <v>44.31</v>
      </c>
      <c r="H953" s="69">
        <v>8.99</v>
      </c>
      <c r="I953" s="69">
        <f t="shared" si="291"/>
        <v>6.2930000000000001</v>
      </c>
      <c r="J953" s="70">
        <v>1</v>
      </c>
      <c r="K953" s="69">
        <f t="shared" si="292"/>
        <v>42.891185</v>
      </c>
      <c r="L953" s="79" t="s">
        <v>468</v>
      </c>
      <c r="M953" s="61">
        <f t="shared" si="293"/>
        <v>-0.94394999999999962</v>
      </c>
      <c r="N953" s="61">
        <f t="shared" si="294"/>
        <v>1.1102650000000001</v>
      </c>
      <c r="O953" s="61"/>
      <c r="P953" s="2"/>
      <c r="Q953" s="2"/>
      <c r="R953" s="32"/>
      <c r="S953" s="32"/>
      <c r="T953" s="32"/>
      <c r="U953" s="32"/>
      <c r="V953" s="2"/>
      <c r="W953" s="2"/>
      <c r="X953" s="2"/>
      <c r="Y953" s="2"/>
      <c r="Z953" s="2"/>
    </row>
    <row r="954" spans="1:26" ht="13.8" x14ac:dyDescent="0.3">
      <c r="A954" s="32" t="s">
        <v>382</v>
      </c>
      <c r="B954" s="2" t="s">
        <v>244</v>
      </c>
      <c r="C954" s="10">
        <v>2304025</v>
      </c>
      <c r="D954" s="10" t="s">
        <v>1162</v>
      </c>
      <c r="E954" s="10">
        <v>2531365</v>
      </c>
      <c r="F954" s="10" t="s">
        <v>1228</v>
      </c>
      <c r="G954" s="69">
        <v>-904.18</v>
      </c>
      <c r="H954" s="69">
        <v>26.88</v>
      </c>
      <c r="I954" s="69">
        <f t="shared" si="291"/>
        <v>18.815999999999999</v>
      </c>
      <c r="J954" s="70">
        <v>1</v>
      </c>
      <c r="K954" s="69">
        <f t="shared" si="292"/>
        <v>-752.92227999999989</v>
      </c>
      <c r="L954" s="79" t="s">
        <v>468</v>
      </c>
      <c r="M954" s="61">
        <f t="shared" si="293"/>
        <v>-2.8223999999999876</v>
      </c>
      <c r="N954" s="61">
        <f t="shared" si="294"/>
        <v>3.31968</v>
      </c>
      <c r="O954" s="61"/>
      <c r="P954" s="2"/>
      <c r="Q954" s="2"/>
      <c r="R954" s="32"/>
      <c r="S954" s="32"/>
      <c r="T954" s="32"/>
      <c r="U954" s="32"/>
      <c r="V954" s="2"/>
      <c r="W954" s="2"/>
      <c r="X954" s="2"/>
      <c r="Y954" s="2"/>
      <c r="Z954" s="2"/>
    </row>
    <row r="955" spans="1:26" ht="13.8" x14ac:dyDescent="0.3">
      <c r="A955" s="32" t="s">
        <v>382</v>
      </c>
      <c r="B955" s="2" t="s">
        <v>244</v>
      </c>
      <c r="C955" s="10">
        <v>2304025</v>
      </c>
      <c r="D955" s="10" t="s">
        <v>1162</v>
      </c>
      <c r="E955" s="10">
        <v>2531390</v>
      </c>
      <c r="F955" s="10" t="s">
        <v>1229</v>
      </c>
      <c r="G955" s="69">
        <v>-82.45</v>
      </c>
      <c r="H955" s="69">
        <v>61.82</v>
      </c>
      <c r="I955" s="69">
        <f t="shared" si="291"/>
        <v>43.274000000000001</v>
      </c>
      <c r="J955" s="70">
        <v>1</v>
      </c>
      <c r="K955" s="69">
        <f t="shared" si="292"/>
        <v>-34.134169999999997</v>
      </c>
      <c r="L955" s="79" t="s">
        <v>468</v>
      </c>
      <c r="M955" s="61">
        <f t="shared" si="293"/>
        <v>-6.4910999999999994</v>
      </c>
      <c r="N955" s="61">
        <f t="shared" si="294"/>
        <v>7.6347700000000005</v>
      </c>
      <c r="O955" s="61"/>
      <c r="P955" s="2"/>
      <c r="Q955" s="2"/>
      <c r="R955" s="32"/>
      <c r="S955" s="32"/>
      <c r="T955" s="32"/>
      <c r="U955" s="32"/>
      <c r="V955" s="2"/>
      <c r="W955" s="2"/>
      <c r="X955" s="2"/>
      <c r="Y955" s="2"/>
      <c r="Z955" s="2"/>
    </row>
    <row r="956" spans="1:26" ht="13.8" x14ac:dyDescent="0.3">
      <c r="A956" s="32" t="s">
        <v>382</v>
      </c>
      <c r="B956" s="2" t="s">
        <v>244</v>
      </c>
      <c r="C956" s="10">
        <v>2304025</v>
      </c>
      <c r="D956" s="10" t="s">
        <v>1162</v>
      </c>
      <c r="E956" s="10">
        <v>2540293</v>
      </c>
      <c r="F956" s="10" t="s">
        <v>1261</v>
      </c>
      <c r="G956" s="69">
        <v>609.30999999999995</v>
      </c>
      <c r="H956" s="69">
        <v>113.87</v>
      </c>
      <c r="I956" s="69">
        <f t="shared" si="291"/>
        <v>79.709000000000003</v>
      </c>
      <c r="J956" s="70">
        <v>1</v>
      </c>
      <c r="K956" s="69">
        <f t="shared" si="292"/>
        <v>584.12890500000003</v>
      </c>
      <c r="L956" s="79" t="s">
        <v>468</v>
      </c>
      <c r="M956" s="61">
        <f t="shared" si="293"/>
        <v>-11.95635</v>
      </c>
      <c r="N956" s="61">
        <f t="shared" si="294"/>
        <v>14.062945000000001</v>
      </c>
      <c r="O956" s="61"/>
      <c r="P956" s="2"/>
      <c r="Q956" s="2"/>
      <c r="R956" s="32"/>
      <c r="S956" s="32"/>
      <c r="T956" s="32"/>
      <c r="U956" s="32"/>
      <c r="V956" s="2"/>
      <c r="W956" s="2"/>
      <c r="X956" s="2"/>
      <c r="Y956" s="2"/>
      <c r="Z956" s="2"/>
    </row>
    <row r="957" spans="1:26" ht="13.8" x14ac:dyDescent="0.3">
      <c r="A957" s="32" t="s">
        <v>382</v>
      </c>
      <c r="B957" s="2" t="s">
        <v>244</v>
      </c>
      <c r="C957" s="10">
        <v>2304025</v>
      </c>
      <c r="D957" s="10" t="s">
        <v>1162</v>
      </c>
      <c r="E957" s="10">
        <v>2540315</v>
      </c>
      <c r="F957" s="10" t="s">
        <v>1262</v>
      </c>
      <c r="G957" s="69">
        <v>-54.01</v>
      </c>
      <c r="H957" s="69">
        <v>61.23</v>
      </c>
      <c r="I957" s="69">
        <f t="shared" si="291"/>
        <v>42.860999999999997</v>
      </c>
      <c r="J957" s="70">
        <v>1</v>
      </c>
      <c r="K957" s="69">
        <f t="shared" si="292"/>
        <v>-10.303255000000002</v>
      </c>
      <c r="L957" s="79" t="s">
        <v>468</v>
      </c>
      <c r="M957" s="61">
        <f t="shared" si="293"/>
        <v>-6.4291499999999999</v>
      </c>
      <c r="N957" s="61">
        <f t="shared" si="294"/>
        <v>7.5619049999999994</v>
      </c>
      <c r="O957" s="61"/>
      <c r="P957" s="2"/>
      <c r="Q957" s="2"/>
      <c r="R957" s="32"/>
      <c r="S957" s="32"/>
      <c r="T957" s="32"/>
      <c r="U957" s="32"/>
      <c r="V957" s="2"/>
      <c r="W957" s="2"/>
      <c r="X957" s="2"/>
      <c r="Y957" s="2"/>
      <c r="Z957" s="2"/>
    </row>
    <row r="958" spans="1:26" ht="13.8" x14ac:dyDescent="0.3">
      <c r="A958" s="32" t="s">
        <v>382</v>
      </c>
      <c r="B958" s="2" t="s">
        <v>244</v>
      </c>
      <c r="C958" s="10">
        <v>2304025</v>
      </c>
      <c r="D958" s="10" t="s">
        <v>1162</v>
      </c>
      <c r="E958" s="10">
        <v>2541423</v>
      </c>
      <c r="F958" s="10" t="s">
        <v>1263</v>
      </c>
      <c r="G958" s="69">
        <v>-770.82</v>
      </c>
      <c r="H958" s="69">
        <v>60.79</v>
      </c>
      <c r="I958" s="69">
        <f t="shared" si="291"/>
        <v>42.552999999999997</v>
      </c>
      <c r="J958" s="70">
        <v>1</v>
      </c>
      <c r="K958" s="69">
        <f t="shared" si="292"/>
        <v>-619.84761500000002</v>
      </c>
      <c r="L958" s="79" t="s">
        <v>468</v>
      </c>
      <c r="M958" s="61">
        <f t="shared" si="293"/>
        <v>-6.3829499999999975</v>
      </c>
      <c r="N958" s="61">
        <f t="shared" si="294"/>
        <v>7.5075649999999996</v>
      </c>
      <c r="O958" s="61"/>
      <c r="P958" s="2"/>
      <c r="Q958" s="2"/>
      <c r="R958" s="32"/>
      <c r="S958" s="32"/>
      <c r="T958" s="32"/>
      <c r="U958" s="32"/>
      <c r="V958" s="2"/>
      <c r="W958" s="2"/>
      <c r="X958" s="2"/>
      <c r="Y958" s="2"/>
      <c r="Z958" s="2"/>
    </row>
    <row r="959" spans="1:26" ht="13.8" x14ac:dyDescent="0.3">
      <c r="A959" s="32" t="s">
        <v>382</v>
      </c>
      <c r="B959" s="2" t="s">
        <v>244</v>
      </c>
      <c r="C959" s="10">
        <v>2304025</v>
      </c>
      <c r="D959" s="10" t="s">
        <v>1162</v>
      </c>
      <c r="E959" s="10">
        <v>2559299</v>
      </c>
      <c r="F959" s="10" t="s">
        <v>1302</v>
      </c>
      <c r="G959" s="69">
        <v>-369.45</v>
      </c>
      <c r="H959" s="69">
        <v>128</v>
      </c>
      <c r="I959" s="69">
        <f t="shared" si="291"/>
        <v>89.6</v>
      </c>
      <c r="J959" s="70">
        <v>1</v>
      </c>
      <c r="K959" s="69">
        <f t="shared" si="292"/>
        <v>-239.60049999999998</v>
      </c>
      <c r="L959" s="79" t="s">
        <v>468</v>
      </c>
      <c r="M959" s="61">
        <f t="shared" si="293"/>
        <v>-13.440000000000001</v>
      </c>
      <c r="N959" s="61">
        <f t="shared" si="294"/>
        <v>15.808</v>
      </c>
      <c r="O959" s="61"/>
      <c r="P959" s="2"/>
      <c r="Q959" s="2"/>
      <c r="R959" s="32"/>
      <c r="S959" s="32"/>
      <c r="T959" s="32"/>
      <c r="U959" s="32"/>
      <c r="V959" s="2"/>
      <c r="W959" s="2"/>
      <c r="X959" s="2"/>
      <c r="Y959" s="2"/>
      <c r="Z959" s="2"/>
    </row>
    <row r="960" spans="1:26" ht="13.8" x14ac:dyDescent="0.3">
      <c r="A960" s="32" t="s">
        <v>382</v>
      </c>
      <c r="B960" s="2" t="s">
        <v>244</v>
      </c>
      <c r="C960" s="10">
        <v>2304025</v>
      </c>
      <c r="D960" s="10" t="s">
        <v>1162</v>
      </c>
      <c r="E960" s="10">
        <v>2564684</v>
      </c>
      <c r="F960" s="10" t="s">
        <v>1282</v>
      </c>
      <c r="G960" s="69">
        <v>-221.21</v>
      </c>
      <c r="H960" s="69">
        <v>38.909999999999997</v>
      </c>
      <c r="I960" s="69">
        <f t="shared" si="291"/>
        <v>27.236999999999995</v>
      </c>
      <c r="J960" s="70">
        <v>1</v>
      </c>
      <c r="K960" s="69">
        <f t="shared" si="292"/>
        <v>-165.40233499999999</v>
      </c>
      <c r="L960" s="79" t="s">
        <v>468</v>
      </c>
      <c r="M960" s="61">
        <f t="shared" si="293"/>
        <v>-4.0855499999999978</v>
      </c>
      <c r="N960" s="61">
        <f t="shared" si="294"/>
        <v>4.8053849999999994</v>
      </c>
      <c r="O960" s="61"/>
      <c r="P960" s="2"/>
      <c r="Q960" s="2"/>
      <c r="R960" s="32"/>
      <c r="S960" s="32"/>
      <c r="T960" s="32"/>
      <c r="U960" s="32"/>
      <c r="V960" s="2"/>
      <c r="W960" s="2"/>
      <c r="X960" s="2"/>
      <c r="Y960" s="2"/>
      <c r="Z960" s="2"/>
    </row>
    <row r="961" spans="1:26" ht="13.8" x14ac:dyDescent="0.3">
      <c r="A961" s="32" t="s">
        <v>382</v>
      </c>
      <c r="B961" s="2" t="s">
        <v>244</v>
      </c>
      <c r="C961" s="10">
        <v>2304025</v>
      </c>
      <c r="D961" s="10" t="s">
        <v>1162</v>
      </c>
      <c r="E961" s="10">
        <v>2575716</v>
      </c>
      <c r="F961" s="10" t="s">
        <v>1283</v>
      </c>
      <c r="G961" s="69">
        <v>-247.78</v>
      </c>
      <c r="H961" s="69">
        <v>26.45</v>
      </c>
      <c r="I961" s="69">
        <f t="shared" si="291"/>
        <v>18.514999999999997</v>
      </c>
      <c r="J961" s="70">
        <v>1</v>
      </c>
      <c r="K961" s="69">
        <f t="shared" si="292"/>
        <v>-195.23232499999997</v>
      </c>
      <c r="L961" s="79" t="s">
        <v>468</v>
      </c>
      <c r="M961" s="61">
        <f t="shared" si="293"/>
        <v>-2.7772500000000004</v>
      </c>
      <c r="N961" s="61">
        <f t="shared" si="294"/>
        <v>3.2665749999999996</v>
      </c>
      <c r="O961" s="61"/>
      <c r="P961" s="2"/>
      <c r="Q961" s="2"/>
      <c r="R961" s="32"/>
      <c r="S961" s="32"/>
      <c r="T961" s="32"/>
      <c r="U961" s="32"/>
      <c r="V961" s="2"/>
      <c r="W961" s="2"/>
      <c r="X961" s="2"/>
      <c r="Y961" s="2"/>
      <c r="Z961" s="2"/>
    </row>
    <row r="962" spans="1:26" ht="13.8" x14ac:dyDescent="0.3">
      <c r="A962" s="32" t="s">
        <v>382</v>
      </c>
      <c r="B962" s="2" t="s">
        <v>244</v>
      </c>
      <c r="C962" s="10">
        <v>2304025</v>
      </c>
      <c r="D962" s="10" t="s">
        <v>1162</v>
      </c>
      <c r="E962" s="10">
        <v>2575824</v>
      </c>
      <c r="F962" s="10" t="s">
        <v>1284</v>
      </c>
      <c r="G962" s="69">
        <v>-11.83</v>
      </c>
      <c r="H962" s="69">
        <v>29.58</v>
      </c>
      <c r="I962" s="69">
        <f t="shared" si="291"/>
        <v>20.705999999999996</v>
      </c>
      <c r="J962" s="70">
        <v>1</v>
      </c>
      <c r="K962" s="69">
        <f t="shared" si="292"/>
        <v>7.1452699999999965</v>
      </c>
      <c r="L962" s="79" t="s">
        <v>468</v>
      </c>
      <c r="M962" s="61">
        <f t="shared" si="293"/>
        <v>-3.1059000000000001</v>
      </c>
      <c r="N962" s="61">
        <f t="shared" si="294"/>
        <v>3.6531299999999995</v>
      </c>
      <c r="O962" s="61"/>
      <c r="P962" s="2"/>
      <c r="Q962" s="2"/>
      <c r="R962" s="32"/>
      <c r="S962" s="32"/>
      <c r="T962" s="32"/>
      <c r="U962" s="32"/>
      <c r="V962" s="2"/>
      <c r="W962" s="2"/>
      <c r="X962" s="2"/>
      <c r="Y962" s="2"/>
      <c r="Z962" s="2"/>
    </row>
    <row r="963" spans="1:26" ht="13.8" x14ac:dyDescent="0.3">
      <c r="A963" s="32" t="s">
        <v>382</v>
      </c>
      <c r="B963" s="2" t="s">
        <v>244</v>
      </c>
      <c r="C963" s="10">
        <v>2304025</v>
      </c>
      <c r="D963" s="10" t="s">
        <v>1162</v>
      </c>
      <c r="E963" s="10">
        <v>2575978</v>
      </c>
      <c r="F963" s="10" t="s">
        <v>1285</v>
      </c>
      <c r="G963" s="69">
        <v>117.52</v>
      </c>
      <c r="H963" s="69">
        <v>22.29</v>
      </c>
      <c r="I963" s="69">
        <f t="shared" si="291"/>
        <v>15.602999999999998</v>
      </c>
      <c r="J963" s="70">
        <v>1</v>
      </c>
      <c r="K963" s="69">
        <f t="shared" si="292"/>
        <v>112.85363499999998</v>
      </c>
      <c r="L963" s="79" t="s">
        <v>468</v>
      </c>
      <c r="M963" s="61">
        <f t="shared" si="293"/>
        <v>-2.3404499999999988</v>
      </c>
      <c r="N963" s="61">
        <f t="shared" si="294"/>
        <v>2.752815</v>
      </c>
      <c r="O963" s="61"/>
      <c r="P963" s="2"/>
      <c r="Q963" s="2"/>
      <c r="R963" s="32"/>
      <c r="S963" s="32"/>
      <c r="T963" s="32"/>
      <c r="U963" s="32"/>
      <c r="V963" s="2"/>
      <c r="W963" s="2"/>
      <c r="X963" s="2"/>
      <c r="Y963" s="2"/>
      <c r="Z963" s="2"/>
    </row>
    <row r="964" spans="1:26" ht="13.8" x14ac:dyDescent="0.3">
      <c r="A964" s="32" t="s">
        <v>382</v>
      </c>
      <c r="B964" s="2" t="s">
        <v>244</v>
      </c>
      <c r="C964" s="10">
        <v>2304025</v>
      </c>
      <c r="D964" s="10" t="s">
        <v>1162</v>
      </c>
      <c r="E964" s="10">
        <v>2632174</v>
      </c>
      <c r="F964" s="10" t="s">
        <v>1323</v>
      </c>
      <c r="G964" s="69">
        <v>-334.1</v>
      </c>
      <c r="H964" s="69">
        <v>47.54</v>
      </c>
      <c r="I964" s="69">
        <f t="shared" si="291"/>
        <v>33.277999999999999</v>
      </c>
      <c r="J964" s="70">
        <v>1</v>
      </c>
      <c r="K964" s="69">
        <f t="shared" si="292"/>
        <v>-256.34049000000005</v>
      </c>
      <c r="L964" s="79" t="s">
        <v>468</v>
      </c>
      <c r="M964" s="61">
        <f t="shared" si="293"/>
        <v>-4.9916999999999998</v>
      </c>
      <c r="N964" s="61">
        <f t="shared" si="294"/>
        <v>5.8711900000000004</v>
      </c>
      <c r="O964" s="61"/>
      <c r="P964" s="2"/>
      <c r="Q964" s="2"/>
      <c r="R964" s="32"/>
      <c r="S964" s="32"/>
      <c r="T964" s="32"/>
      <c r="U964" s="32"/>
      <c r="V964" s="2"/>
      <c r="W964" s="2"/>
      <c r="X964" s="2"/>
      <c r="Y964" s="2"/>
      <c r="Z964" s="2"/>
    </row>
    <row r="965" spans="1:26" ht="13.8" x14ac:dyDescent="0.3">
      <c r="A965" s="32" t="s">
        <v>382</v>
      </c>
      <c r="B965" s="2" t="s">
        <v>244</v>
      </c>
      <c r="C965" s="10">
        <v>2373023</v>
      </c>
      <c r="D965" s="10" t="s">
        <v>1127</v>
      </c>
      <c r="E965" s="10">
        <v>2630335</v>
      </c>
      <c r="F965" s="10" t="s">
        <v>1320</v>
      </c>
      <c r="G965" s="69">
        <v>-610.30999999999995</v>
      </c>
      <c r="H965" s="69">
        <v>300.55</v>
      </c>
      <c r="I965" s="69">
        <f t="shared" si="291"/>
        <v>210.38499999999999</v>
      </c>
      <c r="J965" s="70">
        <v>1</v>
      </c>
      <c r="K965" s="69">
        <f t="shared" si="292"/>
        <v>-343.99367499999994</v>
      </c>
      <c r="L965" s="79" t="s">
        <v>468</v>
      </c>
      <c r="M965" s="61">
        <f t="shared" si="293"/>
        <v>-31.557749999999999</v>
      </c>
      <c r="N965" s="61">
        <f t="shared" si="294"/>
        <v>37.117925</v>
      </c>
      <c r="O965" s="61"/>
      <c r="P965" s="2"/>
      <c r="Q965" s="2"/>
      <c r="R965" s="32"/>
      <c r="S965" s="32"/>
      <c r="T965" s="32"/>
      <c r="U965" s="32"/>
      <c r="V965" s="2"/>
      <c r="W965" s="2"/>
      <c r="X965" s="2"/>
      <c r="Y965" s="2"/>
      <c r="Z965" s="2"/>
    </row>
    <row r="966" spans="1:26" ht="13.8" x14ac:dyDescent="0.3">
      <c r="A966" s="32" t="s">
        <v>382</v>
      </c>
      <c r="B966" s="2" t="s">
        <v>244</v>
      </c>
      <c r="C966" s="10">
        <v>2525136</v>
      </c>
      <c r="D966" s="10" t="s">
        <v>1205</v>
      </c>
      <c r="E966" s="10">
        <v>2523689</v>
      </c>
      <c r="F966" s="10" t="s">
        <v>1311</v>
      </c>
      <c r="G966" s="69">
        <v>-158.66</v>
      </c>
      <c r="H966" s="69">
        <v>32.549999999999997</v>
      </c>
      <c r="I966" s="69">
        <f t="shared" si="291"/>
        <v>22.784999999999997</v>
      </c>
      <c r="J966" s="70">
        <v>1</v>
      </c>
      <c r="K966" s="69">
        <f t="shared" si="292"/>
        <v>-115.93317499999999</v>
      </c>
      <c r="L966" s="79" t="s">
        <v>468</v>
      </c>
      <c r="M966" s="61">
        <f t="shared" si="293"/>
        <v>-3.4177499999999998</v>
      </c>
      <c r="N966" s="61">
        <f t="shared" si="294"/>
        <v>4.0199249999999989</v>
      </c>
      <c r="O966" s="61"/>
      <c r="P966" s="2"/>
      <c r="Q966" s="2"/>
      <c r="R966" s="32"/>
      <c r="S966" s="32"/>
      <c r="T966" s="32"/>
      <c r="U966" s="32"/>
      <c r="V966" s="2"/>
      <c r="W966" s="2"/>
      <c r="X966" s="2"/>
      <c r="Y966" s="2"/>
      <c r="Z966" s="2"/>
    </row>
    <row r="967" spans="1:26" ht="13.8" x14ac:dyDescent="0.3">
      <c r="A967" s="32" t="s">
        <v>382</v>
      </c>
      <c r="B967" s="2" t="s">
        <v>244</v>
      </c>
      <c r="C967" s="10">
        <v>2525136</v>
      </c>
      <c r="D967" s="10" t="s">
        <v>1205</v>
      </c>
      <c r="E967" s="10">
        <v>2525136</v>
      </c>
      <c r="F967" s="10" t="s">
        <v>1205</v>
      </c>
      <c r="G967" s="69">
        <v>-319.81</v>
      </c>
      <c r="H967" s="69">
        <v>117.68</v>
      </c>
      <c r="I967" s="69">
        <f t="shared" si="291"/>
        <v>82.376000000000005</v>
      </c>
      <c r="J967" s="70">
        <v>1</v>
      </c>
      <c r="K967" s="69">
        <f t="shared" si="292"/>
        <v>-203.40758</v>
      </c>
      <c r="L967" s="79" t="s">
        <v>468</v>
      </c>
      <c r="M967" s="61">
        <f t="shared" si="293"/>
        <v>-12.356400000000001</v>
      </c>
      <c r="N967" s="61">
        <f t="shared" si="294"/>
        <v>14.533480000000001</v>
      </c>
      <c r="O967" s="61"/>
      <c r="P967" s="2"/>
      <c r="Q967" s="2"/>
      <c r="R967" s="32"/>
      <c r="S967" s="32"/>
      <c r="T967" s="32"/>
      <c r="U967" s="32"/>
      <c r="V967" s="2"/>
      <c r="W967" s="2"/>
      <c r="X967" s="2"/>
      <c r="Y967" s="2"/>
      <c r="Z967" s="2"/>
    </row>
    <row r="968" spans="1:26" ht="13.8" x14ac:dyDescent="0.3">
      <c r="A968" s="32" t="s">
        <v>382</v>
      </c>
      <c r="B968" s="2" t="s">
        <v>244</v>
      </c>
      <c r="C968" s="10">
        <v>2525136</v>
      </c>
      <c r="D968" s="10" t="s">
        <v>1205</v>
      </c>
      <c r="E968" s="10">
        <v>2600460</v>
      </c>
      <c r="F968" s="10" t="s">
        <v>1312</v>
      </c>
      <c r="G968" s="69">
        <v>404.32</v>
      </c>
      <c r="H968" s="69">
        <v>9.32</v>
      </c>
      <c r="I968" s="69">
        <f t="shared" si="291"/>
        <v>6.524</v>
      </c>
      <c r="J968" s="70">
        <v>1</v>
      </c>
      <c r="K968" s="69">
        <f t="shared" si="292"/>
        <v>349.09158000000002</v>
      </c>
      <c r="L968" s="79" t="s">
        <v>468</v>
      </c>
      <c r="M968" s="61">
        <f t="shared" si="293"/>
        <v>-0.97859999999999725</v>
      </c>
      <c r="N968" s="61">
        <f t="shared" si="294"/>
        <v>1.1510199999999999</v>
      </c>
      <c r="O968" s="61"/>
      <c r="P968" s="2"/>
      <c r="Q968" s="2"/>
      <c r="R968" s="32"/>
      <c r="S968" s="32"/>
      <c r="T968" s="32"/>
      <c r="U968" s="32"/>
      <c r="V968" s="2"/>
      <c r="W968" s="2"/>
      <c r="X968" s="2"/>
      <c r="Y968" s="2"/>
      <c r="Z968" s="2"/>
    </row>
    <row r="969" spans="1:26" ht="13.8" x14ac:dyDescent="0.3">
      <c r="A969" s="32" t="s">
        <v>382</v>
      </c>
      <c r="B969" s="2" t="s">
        <v>244</v>
      </c>
      <c r="C969" s="10">
        <v>2550550</v>
      </c>
      <c r="D969" s="10" t="s">
        <v>1272</v>
      </c>
      <c r="E969" s="10">
        <v>2550550</v>
      </c>
      <c r="F969" s="10" t="s">
        <v>1272</v>
      </c>
      <c r="G969" s="69">
        <v>-40</v>
      </c>
      <c r="H969" s="69">
        <v>4</v>
      </c>
      <c r="I969" s="69">
        <f t="shared" si="291"/>
        <v>2.8</v>
      </c>
      <c r="J969" s="70">
        <v>1</v>
      </c>
      <c r="K969" s="69">
        <f>(G969+I969)*J969*0.96+(G969*0.04-(G969+H969)*0.04)*J969*0.3+I969*0.04*J969*0.3</f>
        <v>-35.726400000000005</v>
      </c>
      <c r="L969" s="19" t="s">
        <v>468</v>
      </c>
      <c r="M969" s="61">
        <f>(G969*0.04-(G969+H969)*0.04)*J969*0.7</f>
        <v>-0.11200000000000009</v>
      </c>
      <c r="N969" s="61">
        <f>I969*0.04*J969*0.7+H969*0.05*J969</f>
        <v>0.27839999999999998</v>
      </c>
      <c r="O969" s="58"/>
      <c r="P969" s="2"/>
      <c r="Q969" s="2"/>
      <c r="R969" s="32"/>
      <c r="S969" s="32"/>
      <c r="T969" s="32"/>
      <c r="U969" s="32"/>
      <c r="V969" s="2"/>
      <c r="W969" s="2"/>
      <c r="X969" s="2"/>
      <c r="Y969" s="2"/>
      <c r="Z969" s="2"/>
    </row>
    <row r="970" spans="1:26" ht="13.8" x14ac:dyDescent="0.3">
      <c r="A970" s="32" t="s">
        <v>383</v>
      </c>
      <c r="B970" s="29" t="s">
        <v>35</v>
      </c>
      <c r="C970" s="10" t="s">
        <v>1114</v>
      </c>
      <c r="D970" s="10" t="s">
        <v>1115</v>
      </c>
      <c r="E970" s="10" t="s">
        <v>1298</v>
      </c>
      <c r="F970" s="10" t="s">
        <v>1299</v>
      </c>
      <c r="G970" s="69">
        <v>-2372.84</v>
      </c>
      <c r="H970" s="69">
        <v>7968.69</v>
      </c>
      <c r="I970" s="69">
        <f t="shared" ref="I970:I971" si="295">H970*0.79</f>
        <v>6295.2650999999996</v>
      </c>
      <c r="J970" s="75">
        <v>0.26668999999999998</v>
      </c>
      <c r="K970" s="69">
        <f t="shared" ref="K970:K971" si="296">(G970+I970)*J970*0.87</f>
        <v>910.08224842952984</v>
      </c>
      <c r="L970" s="78">
        <f t="shared" ref="L970:L971" si="297">H970*0.05*J970*0.87</f>
        <v>92.444892220349999</v>
      </c>
      <c r="M970" s="61">
        <v>0</v>
      </c>
      <c r="N970" s="61">
        <f t="shared" ref="N970:N971" si="298">H970*0.04*J970*0.87</f>
        <v>73.955913776279985</v>
      </c>
      <c r="O970" s="61"/>
      <c r="P970" s="2"/>
      <c r="Q970" s="2"/>
      <c r="R970" s="32"/>
      <c r="S970" s="32"/>
      <c r="T970" s="32"/>
      <c r="U970" s="32"/>
      <c r="V970" s="2"/>
      <c r="W970" s="2"/>
      <c r="X970" s="2"/>
      <c r="Y970" s="2"/>
      <c r="Z970" s="2"/>
    </row>
    <row r="971" spans="1:26" ht="13.8" x14ac:dyDescent="0.3">
      <c r="A971" s="32" t="s">
        <v>383</v>
      </c>
      <c r="B971" s="29" t="s">
        <v>35</v>
      </c>
      <c r="C971" s="10" t="s">
        <v>1126</v>
      </c>
      <c r="D971" s="10" t="s">
        <v>1127</v>
      </c>
      <c r="E971" s="10" t="s">
        <v>1322</v>
      </c>
      <c r="F971" s="10" t="s">
        <v>1320</v>
      </c>
      <c r="G971" s="69">
        <v>-2466.1799999999998</v>
      </c>
      <c r="H971" s="69">
        <v>180.25</v>
      </c>
      <c r="I971" s="69">
        <f t="shared" si="295"/>
        <v>142.39750000000001</v>
      </c>
      <c r="J971" s="75">
        <v>0.26668999999999998</v>
      </c>
      <c r="K971" s="69">
        <f t="shared" si="296"/>
        <v>-539.1647127847499</v>
      </c>
      <c r="L971" s="78">
        <f t="shared" si="297"/>
        <v>2.09108295375</v>
      </c>
      <c r="M971" s="61">
        <v>0</v>
      </c>
      <c r="N971" s="61">
        <f t="shared" si="298"/>
        <v>1.6728663629999998</v>
      </c>
      <c r="O971" s="61"/>
      <c r="P971" s="2"/>
      <c r="Q971" s="2"/>
      <c r="R971" s="32"/>
      <c r="S971" s="32"/>
      <c r="T971" s="32"/>
      <c r="U971" s="32"/>
      <c r="V971" s="2"/>
      <c r="W971" s="2"/>
      <c r="X971" s="2"/>
      <c r="Y971" s="2"/>
      <c r="Z971" s="2"/>
    </row>
    <row r="972" spans="1:26" ht="13.8" x14ac:dyDescent="0.3">
      <c r="A972" s="2" t="s">
        <v>383</v>
      </c>
      <c r="B972" s="10" t="s">
        <v>184</v>
      </c>
      <c r="C972" s="10" t="s">
        <v>1138</v>
      </c>
      <c r="D972" s="10" t="s">
        <v>1139</v>
      </c>
      <c r="E972" s="10" t="s">
        <v>1268</v>
      </c>
      <c r="F972" s="10" t="s">
        <v>1269</v>
      </c>
      <c r="G972" s="69">
        <v>1385.16</v>
      </c>
      <c r="H972" s="69">
        <v>1008.51</v>
      </c>
      <c r="I972" s="69">
        <f t="shared" ref="I972:I975" si="299">H972*0.725</f>
        <v>731.16975000000002</v>
      </c>
      <c r="J972" s="75">
        <v>0.26668999999999998</v>
      </c>
      <c r="K972" s="69">
        <f t="shared" ref="K972:K975" si="300">(G972+I972)*J972</f>
        <v>564.40398102749998</v>
      </c>
      <c r="L972" s="78">
        <f t="shared" ref="L972:L975" si="301">H972*0.025*J972</f>
        <v>6.7239882974999992</v>
      </c>
      <c r="M972" s="61">
        <v>0</v>
      </c>
      <c r="N972" s="61">
        <f t="shared" ref="N972:N975" si="302">H972*0.05*J972</f>
        <v>13.447976594999998</v>
      </c>
      <c r="O972" s="58"/>
      <c r="P972" s="2"/>
      <c r="Q972" s="2"/>
      <c r="R972" s="32"/>
      <c r="S972" s="32"/>
      <c r="T972" s="32"/>
      <c r="U972" s="32"/>
      <c r="V972" s="2"/>
      <c r="W972" s="2"/>
      <c r="X972" s="2"/>
      <c r="Y972" s="2"/>
      <c r="Z972" s="2"/>
    </row>
    <row r="973" spans="1:26" ht="13.8" x14ac:dyDescent="0.3">
      <c r="A973" s="2" t="s">
        <v>383</v>
      </c>
      <c r="B973" s="10" t="s">
        <v>184</v>
      </c>
      <c r="C973" s="10" t="s">
        <v>1138</v>
      </c>
      <c r="D973" s="10" t="s">
        <v>1139</v>
      </c>
      <c r="E973" s="10" t="s">
        <v>1246</v>
      </c>
      <c r="F973" s="10" t="s">
        <v>1247</v>
      </c>
      <c r="G973" s="69">
        <v>-59.14</v>
      </c>
      <c r="H973" s="69">
        <v>69.37</v>
      </c>
      <c r="I973" s="69">
        <f t="shared" si="299"/>
        <v>50.29325</v>
      </c>
      <c r="J973" s="75">
        <v>0.26668999999999998</v>
      </c>
      <c r="K973" s="69">
        <f t="shared" si="300"/>
        <v>-2.3593397574999999</v>
      </c>
      <c r="L973" s="78">
        <f t="shared" si="301"/>
        <v>0.46250713250000003</v>
      </c>
      <c r="M973" s="61">
        <v>0</v>
      </c>
      <c r="N973" s="61">
        <f t="shared" si="302"/>
        <v>0.92501426500000006</v>
      </c>
      <c r="O973" s="58"/>
      <c r="P973" s="2"/>
      <c r="Q973" s="2"/>
      <c r="R973" s="32"/>
      <c r="S973" s="32"/>
      <c r="T973" s="32"/>
      <c r="U973" s="32"/>
      <c r="V973" s="2"/>
      <c r="W973" s="2"/>
      <c r="X973" s="2"/>
      <c r="Y973" s="2"/>
      <c r="Z973" s="2"/>
    </row>
    <row r="974" spans="1:26" ht="13.8" x14ac:dyDescent="0.3">
      <c r="A974" s="2" t="s">
        <v>383</v>
      </c>
      <c r="B974" s="10" t="s">
        <v>184</v>
      </c>
      <c r="C974" s="10" t="s">
        <v>1138</v>
      </c>
      <c r="D974" s="10" t="s">
        <v>1139</v>
      </c>
      <c r="E974" s="10" t="s">
        <v>1140</v>
      </c>
      <c r="F974" s="10" t="s">
        <v>1141</v>
      </c>
      <c r="G974" s="69">
        <v>209.13</v>
      </c>
      <c r="H974" s="69">
        <v>110.08</v>
      </c>
      <c r="I974" s="69">
        <f t="shared" si="299"/>
        <v>79.807999999999993</v>
      </c>
      <c r="J974" s="75">
        <v>0.26668999999999998</v>
      </c>
      <c r="K974" s="69">
        <f t="shared" si="300"/>
        <v>77.056875219999995</v>
      </c>
      <c r="L974" s="78">
        <f t="shared" si="301"/>
        <v>0.73393088000000006</v>
      </c>
      <c r="M974" s="61">
        <v>0</v>
      </c>
      <c r="N974" s="61">
        <f t="shared" si="302"/>
        <v>1.4678617600000001</v>
      </c>
      <c r="O974" s="58"/>
      <c r="P974" s="2"/>
      <c r="Q974" s="2"/>
      <c r="R974" s="32"/>
      <c r="S974" s="32"/>
      <c r="T974" s="32"/>
      <c r="U974" s="32"/>
      <c r="V974" s="2"/>
      <c r="W974" s="2"/>
      <c r="X974" s="2"/>
      <c r="Y974" s="2"/>
      <c r="Z974" s="2"/>
    </row>
    <row r="975" spans="1:26" ht="13.8" x14ac:dyDescent="0.3">
      <c r="A975" s="2" t="s">
        <v>383</v>
      </c>
      <c r="B975" s="10" t="s">
        <v>184</v>
      </c>
      <c r="C975" s="10" t="s">
        <v>1138</v>
      </c>
      <c r="D975" s="10" t="s">
        <v>1139</v>
      </c>
      <c r="E975" s="10" t="s">
        <v>1324</v>
      </c>
      <c r="F975" s="10" t="s">
        <v>1325</v>
      </c>
      <c r="G975" s="69">
        <v>-82.7</v>
      </c>
      <c r="H975" s="69">
        <v>14.49</v>
      </c>
      <c r="I975" s="69">
        <f t="shared" si="299"/>
        <v>10.50525</v>
      </c>
      <c r="J975" s="75">
        <v>0.26668999999999998</v>
      </c>
      <c r="K975" s="69">
        <f t="shared" si="300"/>
        <v>-19.253617877499998</v>
      </c>
      <c r="L975" s="78">
        <f t="shared" si="301"/>
        <v>9.6608452499999997E-2</v>
      </c>
      <c r="M975" s="61">
        <v>0</v>
      </c>
      <c r="N975" s="61">
        <f t="shared" si="302"/>
        <v>0.19321690499999999</v>
      </c>
      <c r="O975" s="58"/>
      <c r="P975" s="2"/>
      <c r="Q975" s="2"/>
      <c r="R975" s="32"/>
      <c r="S975" s="32"/>
      <c r="T975" s="32"/>
      <c r="U975" s="32"/>
      <c r="V975" s="2"/>
      <c r="W975" s="2"/>
      <c r="X975" s="2"/>
      <c r="Y975" s="2"/>
      <c r="Z975" s="2"/>
    </row>
    <row r="976" spans="1:26" ht="13.8" x14ac:dyDescent="0.3">
      <c r="A976" s="2" t="s">
        <v>383</v>
      </c>
      <c r="B976" s="2" t="s">
        <v>107</v>
      </c>
      <c r="C976" s="10">
        <v>2304025</v>
      </c>
      <c r="D976" s="10" t="s">
        <v>1162</v>
      </c>
      <c r="E976" s="10">
        <v>2435202</v>
      </c>
      <c r="F976" s="10" t="s">
        <v>1223</v>
      </c>
      <c r="G976" s="69">
        <v>85.5</v>
      </c>
      <c r="H976" s="69">
        <v>18.059999999999999</v>
      </c>
      <c r="I976" s="69">
        <f t="shared" ref="I976:I992" si="303">H976*0.65</f>
        <v>11.738999999999999</v>
      </c>
      <c r="J976" s="70">
        <v>1</v>
      </c>
      <c r="K976" s="69">
        <f t="shared" ref="K976:K992" si="304">(G976+I976)*J976*0.8+(G976*0.05-H976*0.25*0.15)*J976*0.3+(H976*0.1*0.85+I976*0.05)*J976*0.3</f>
        <v>79.507140000000007</v>
      </c>
      <c r="L976" s="79" t="s">
        <v>468</v>
      </c>
      <c r="M976" s="61">
        <f t="shared" ref="M976:M988" si="305">(G976*0.05-H976*0.25*0.15)*J976*0.7-(-H976*0.03*0.15)*J976</f>
        <v>2.5996950000000001</v>
      </c>
      <c r="N976" s="61">
        <f t="shared" ref="N976:N988" si="306">(H976*0.1*0.85+I976*0.05)*J976*0.7+H976*0.03*0.85*J976</f>
        <v>1.9459649999999997</v>
      </c>
      <c r="O976" s="58"/>
      <c r="P976" s="2"/>
      <c r="Q976" s="2"/>
      <c r="R976" s="32"/>
      <c r="S976" s="32"/>
      <c r="T976" s="32"/>
      <c r="U976" s="32"/>
      <c r="V976" s="2"/>
      <c r="W976" s="2"/>
      <c r="X976" s="2"/>
      <c r="Y976" s="2"/>
      <c r="Z976" s="2"/>
    </row>
    <row r="977" spans="1:26" ht="13.8" x14ac:dyDescent="0.3">
      <c r="A977" s="2" t="s">
        <v>383</v>
      </c>
      <c r="B977" s="2" t="s">
        <v>107</v>
      </c>
      <c r="C977" s="10">
        <v>2304025</v>
      </c>
      <c r="D977" s="10" t="s">
        <v>1162</v>
      </c>
      <c r="E977" s="10">
        <v>2435203</v>
      </c>
      <c r="F977" s="10" t="s">
        <v>1224</v>
      </c>
      <c r="G977" s="69">
        <v>-20.55</v>
      </c>
      <c r="H977" s="69">
        <v>31.94</v>
      </c>
      <c r="I977" s="69">
        <f t="shared" si="303"/>
        <v>20.761000000000003</v>
      </c>
      <c r="J977" s="70">
        <v>1</v>
      </c>
      <c r="K977" s="69">
        <f t="shared" si="304"/>
        <v>0.62711000000000183</v>
      </c>
      <c r="L977" s="79" t="s">
        <v>468</v>
      </c>
      <c r="M977" s="61">
        <f t="shared" si="305"/>
        <v>-1.413945</v>
      </c>
      <c r="N977" s="61">
        <f t="shared" si="306"/>
        <v>3.441535</v>
      </c>
      <c r="O977" s="58"/>
      <c r="P977" s="2"/>
      <c r="Q977" s="2"/>
      <c r="R977" s="32"/>
      <c r="S977" s="32"/>
      <c r="T977" s="32"/>
      <c r="U977" s="32"/>
      <c r="V977" s="2"/>
      <c r="W977" s="2"/>
      <c r="X977" s="2"/>
      <c r="Y977" s="2"/>
      <c r="Z977" s="2"/>
    </row>
    <row r="978" spans="1:26" ht="13.8" x14ac:dyDescent="0.3">
      <c r="A978" s="2" t="s">
        <v>383</v>
      </c>
      <c r="B978" s="2" t="s">
        <v>107</v>
      </c>
      <c r="C978" s="10">
        <v>2304025</v>
      </c>
      <c r="D978" s="10" t="s">
        <v>1162</v>
      </c>
      <c r="E978" s="10">
        <v>2435206</v>
      </c>
      <c r="F978" s="10" t="s">
        <v>1225</v>
      </c>
      <c r="G978" s="69">
        <v>8.86</v>
      </c>
      <c r="H978" s="69">
        <v>9.69</v>
      </c>
      <c r="I978" s="69">
        <f t="shared" si="303"/>
        <v>6.2984999999999998</v>
      </c>
      <c r="J978" s="70">
        <v>1</v>
      </c>
      <c r="K978" s="69">
        <f t="shared" si="304"/>
        <v>12.492260000000002</v>
      </c>
      <c r="L978" s="79" t="s">
        <v>468</v>
      </c>
      <c r="M978" s="61">
        <f t="shared" si="305"/>
        <v>9.9342500000000028E-2</v>
      </c>
      <c r="N978" s="61">
        <f t="shared" si="306"/>
        <v>1.0440974999999999</v>
      </c>
      <c r="O978" s="58"/>
      <c r="P978" s="2"/>
      <c r="Q978" s="2"/>
      <c r="R978" s="32"/>
      <c r="S978" s="32"/>
      <c r="T978" s="32"/>
      <c r="U978" s="32"/>
      <c r="V978" s="2"/>
      <c r="W978" s="2"/>
      <c r="X978" s="2"/>
      <c r="Y978" s="2"/>
      <c r="Z978" s="2"/>
    </row>
    <row r="979" spans="1:26" ht="13.8" x14ac:dyDescent="0.3">
      <c r="A979" s="2" t="s">
        <v>383</v>
      </c>
      <c r="B979" s="2" t="s">
        <v>107</v>
      </c>
      <c r="C979" s="10">
        <v>2304025</v>
      </c>
      <c r="D979" s="10" t="s">
        <v>1162</v>
      </c>
      <c r="E979" s="10">
        <v>2455061</v>
      </c>
      <c r="F979" s="10" t="s">
        <v>1328</v>
      </c>
      <c r="G979" s="69">
        <v>662.93</v>
      </c>
      <c r="H979" s="69">
        <v>80.900000000000006</v>
      </c>
      <c r="I979" s="69">
        <f t="shared" si="303"/>
        <v>52.585000000000008</v>
      </c>
      <c r="J979" s="70">
        <v>1</v>
      </c>
      <c r="K979" s="69">
        <f t="shared" si="304"/>
        <v>584.29755</v>
      </c>
      <c r="L979" s="79" t="s">
        <v>468</v>
      </c>
      <c r="M979" s="61">
        <f t="shared" si="305"/>
        <v>21.442974999999993</v>
      </c>
      <c r="N979" s="61">
        <f t="shared" si="306"/>
        <v>8.7169750000000015</v>
      </c>
      <c r="O979" s="58"/>
      <c r="P979" s="2"/>
      <c r="Q979" s="2"/>
      <c r="R979" s="32"/>
      <c r="S979" s="32"/>
      <c r="T979" s="32"/>
      <c r="U979" s="32"/>
      <c r="V979" s="2"/>
      <c r="W979" s="2"/>
      <c r="X979" s="2"/>
      <c r="Y979" s="2"/>
      <c r="Z979" s="2"/>
    </row>
    <row r="980" spans="1:26" ht="13.8" x14ac:dyDescent="0.3">
      <c r="A980" s="2" t="s">
        <v>383</v>
      </c>
      <c r="B980" s="2" t="s">
        <v>107</v>
      </c>
      <c r="C980" s="10">
        <v>2304025</v>
      </c>
      <c r="D980" s="10" t="s">
        <v>1162</v>
      </c>
      <c r="E980" s="10">
        <v>2531140</v>
      </c>
      <c r="F980" s="10" t="s">
        <v>1257</v>
      </c>
      <c r="G980" s="69">
        <v>-1005.96</v>
      </c>
      <c r="H980" s="69">
        <v>55.71</v>
      </c>
      <c r="I980" s="69">
        <f t="shared" si="303"/>
        <v>36.211500000000001</v>
      </c>
      <c r="J980" s="70">
        <v>1</v>
      </c>
      <c r="K980" s="69">
        <f t="shared" si="304"/>
        <v>-789.55115999999998</v>
      </c>
      <c r="L980" s="79" t="s">
        <v>468</v>
      </c>
      <c r="M980" s="61">
        <f t="shared" si="305"/>
        <v>-36.420292500000002</v>
      </c>
      <c r="N980" s="61">
        <f t="shared" si="306"/>
        <v>6.0027524999999997</v>
      </c>
      <c r="O980" s="58"/>
      <c r="P980" s="2"/>
      <c r="Q980" s="2"/>
      <c r="R980" s="32"/>
      <c r="S980" s="32"/>
      <c r="T980" s="32"/>
      <c r="U980" s="32"/>
      <c r="V980" s="2"/>
      <c r="W980" s="2"/>
      <c r="X980" s="2"/>
      <c r="Y980" s="2"/>
      <c r="Z980" s="2"/>
    </row>
    <row r="981" spans="1:26" ht="13.8" x14ac:dyDescent="0.3">
      <c r="A981" s="2" t="s">
        <v>383</v>
      </c>
      <c r="B981" s="2" t="s">
        <v>107</v>
      </c>
      <c r="C981" s="10">
        <v>2304025</v>
      </c>
      <c r="D981" s="10" t="s">
        <v>1162</v>
      </c>
      <c r="E981" s="10">
        <v>2531141</v>
      </c>
      <c r="F981" s="10" t="s">
        <v>1258</v>
      </c>
      <c r="G981" s="69">
        <v>-1543.47</v>
      </c>
      <c r="H981" s="69">
        <v>102.95</v>
      </c>
      <c r="I981" s="69">
        <f t="shared" si="303"/>
        <v>66.917500000000004</v>
      </c>
      <c r="J981" s="70">
        <v>1</v>
      </c>
      <c r="K981" s="69">
        <f t="shared" si="304"/>
        <v>-1201.9232500000001</v>
      </c>
      <c r="L981" s="79" t="s">
        <v>468</v>
      </c>
      <c r="M981" s="61">
        <f t="shared" si="305"/>
        <v>-56.260612499999993</v>
      </c>
      <c r="N981" s="61">
        <f t="shared" si="306"/>
        <v>11.092862500000003</v>
      </c>
      <c r="O981" s="58"/>
      <c r="P981" s="2"/>
      <c r="Q981" s="2"/>
      <c r="R981" s="32"/>
      <c r="S981" s="32"/>
      <c r="T981" s="32"/>
      <c r="U981" s="32"/>
      <c r="V981" s="2"/>
      <c r="W981" s="2"/>
      <c r="X981" s="2"/>
      <c r="Y981" s="2"/>
      <c r="Z981" s="2"/>
    </row>
    <row r="982" spans="1:26" ht="13.8" x14ac:dyDescent="0.3">
      <c r="A982" s="2" t="s">
        <v>383</v>
      </c>
      <c r="B982" s="2" t="s">
        <v>107</v>
      </c>
      <c r="C982" s="10">
        <v>2304025</v>
      </c>
      <c r="D982" s="10" t="s">
        <v>1162</v>
      </c>
      <c r="E982" s="10">
        <v>2531145</v>
      </c>
      <c r="F982" s="10" t="s">
        <v>1226</v>
      </c>
      <c r="G982" s="69">
        <v>-1740.86</v>
      </c>
      <c r="H982" s="69">
        <v>357.72</v>
      </c>
      <c r="I982" s="69">
        <f t="shared" si="303"/>
        <v>232.51800000000003</v>
      </c>
      <c r="J982" s="70">
        <v>1</v>
      </c>
      <c r="K982" s="69">
        <f t="shared" si="304"/>
        <v>-1224.2012199999999</v>
      </c>
      <c r="L982" s="79" t="s">
        <v>468</v>
      </c>
      <c r="M982" s="61">
        <f t="shared" si="305"/>
        <v>-68.710509999999999</v>
      </c>
      <c r="N982" s="61">
        <f t="shared" si="306"/>
        <v>38.544330000000002</v>
      </c>
      <c r="O982" s="58"/>
      <c r="P982" s="2"/>
      <c r="Q982" s="2"/>
      <c r="R982" s="32"/>
      <c r="S982" s="32"/>
      <c r="T982" s="32"/>
      <c r="U982" s="32"/>
      <c r="V982" s="2"/>
      <c r="W982" s="2"/>
      <c r="X982" s="2"/>
      <c r="Y982" s="2"/>
      <c r="Z982" s="2"/>
    </row>
    <row r="983" spans="1:26" ht="13.8" x14ac:dyDescent="0.3">
      <c r="A983" s="2" t="s">
        <v>383</v>
      </c>
      <c r="B983" s="2" t="s">
        <v>107</v>
      </c>
      <c r="C983" s="10">
        <v>2304025</v>
      </c>
      <c r="D983" s="10" t="s">
        <v>1162</v>
      </c>
      <c r="E983" s="10">
        <v>2531146</v>
      </c>
      <c r="F983" s="10" t="s">
        <v>1227</v>
      </c>
      <c r="G983" s="69">
        <v>-2636.82</v>
      </c>
      <c r="H983" s="69">
        <v>101.31</v>
      </c>
      <c r="I983" s="69">
        <f t="shared" si="303"/>
        <v>65.851500000000001</v>
      </c>
      <c r="J983" s="70">
        <v>1</v>
      </c>
      <c r="K983" s="69">
        <f t="shared" si="304"/>
        <v>-2093.8956600000001</v>
      </c>
      <c r="L983" s="79" t="s">
        <v>468</v>
      </c>
      <c r="M983" s="61">
        <f t="shared" si="305"/>
        <v>-94.492192500000002</v>
      </c>
      <c r="N983" s="61">
        <f t="shared" si="306"/>
        <v>10.916152499999999</v>
      </c>
      <c r="O983" s="58"/>
      <c r="P983" s="2"/>
      <c r="Q983" s="2"/>
      <c r="R983" s="32"/>
      <c r="S983" s="32"/>
      <c r="T983" s="32"/>
      <c r="U983" s="32"/>
      <c r="V983" s="2"/>
      <c r="W983" s="2"/>
      <c r="X983" s="2"/>
      <c r="Y983" s="2"/>
      <c r="Z983" s="2"/>
    </row>
    <row r="984" spans="1:26" ht="13.8" x14ac:dyDescent="0.3">
      <c r="A984" s="2" t="s">
        <v>383</v>
      </c>
      <c r="B984" s="2" t="s">
        <v>107</v>
      </c>
      <c r="C984" s="10">
        <v>2304025</v>
      </c>
      <c r="D984" s="10" t="s">
        <v>1162</v>
      </c>
      <c r="E984" s="10">
        <v>2531390</v>
      </c>
      <c r="F984" s="10" t="s">
        <v>1229</v>
      </c>
      <c r="G984" s="69">
        <v>-321.19</v>
      </c>
      <c r="H984" s="69">
        <v>43.13</v>
      </c>
      <c r="I984" s="69">
        <f t="shared" si="303"/>
        <v>28.034500000000001</v>
      </c>
      <c r="J984" s="70">
        <v>1</v>
      </c>
      <c r="K984" s="69">
        <f t="shared" si="304"/>
        <v>-238.30713000000003</v>
      </c>
      <c r="L984" s="79" t="s">
        <v>468</v>
      </c>
      <c r="M984" s="61">
        <f t="shared" si="305"/>
        <v>-12.179727499999998</v>
      </c>
      <c r="N984" s="61">
        <f t="shared" si="306"/>
        <v>4.6472575000000003</v>
      </c>
      <c r="O984" s="58"/>
      <c r="P984" s="2"/>
      <c r="Q984" s="2"/>
      <c r="R984" s="32"/>
      <c r="S984" s="32"/>
      <c r="T984" s="32"/>
      <c r="U984" s="32"/>
      <c r="V984" s="2"/>
      <c r="W984" s="2"/>
      <c r="X984" s="2"/>
      <c r="Y984" s="2"/>
      <c r="Z984" s="2"/>
    </row>
    <row r="985" spans="1:26" ht="13.8" x14ac:dyDescent="0.3">
      <c r="A985" s="2" t="s">
        <v>383</v>
      </c>
      <c r="B985" s="2" t="s">
        <v>107</v>
      </c>
      <c r="C985" s="10">
        <v>2304025</v>
      </c>
      <c r="D985" s="10" t="s">
        <v>1162</v>
      </c>
      <c r="E985" s="10">
        <v>2564684</v>
      </c>
      <c r="F985" s="10" t="s">
        <v>1282</v>
      </c>
      <c r="G985" s="69">
        <v>-2.7</v>
      </c>
      <c r="H985" s="69">
        <v>0.22</v>
      </c>
      <c r="I985" s="69">
        <f t="shared" si="303"/>
        <v>0.14300000000000002</v>
      </c>
      <c r="J985" s="70">
        <v>1</v>
      </c>
      <c r="K985" s="69">
        <f t="shared" si="304"/>
        <v>-2.0808200000000006</v>
      </c>
      <c r="L985" s="79" t="s">
        <v>468</v>
      </c>
      <c r="M985" s="61">
        <f t="shared" si="305"/>
        <v>-9.9284999999999998E-2</v>
      </c>
      <c r="N985" s="61">
        <f t="shared" si="306"/>
        <v>2.3705E-2</v>
      </c>
      <c r="O985" s="58"/>
      <c r="P985" s="2"/>
      <c r="Q985" s="2"/>
      <c r="R985" s="32"/>
      <c r="S985" s="32"/>
      <c r="T985" s="32"/>
      <c r="U985" s="32"/>
      <c r="V985" s="2"/>
      <c r="W985" s="2"/>
      <c r="X985" s="2"/>
      <c r="Y985" s="2"/>
      <c r="Z985" s="2"/>
    </row>
    <row r="986" spans="1:26" ht="13.8" x14ac:dyDescent="0.3">
      <c r="A986" s="2" t="s">
        <v>383</v>
      </c>
      <c r="B986" s="2" t="s">
        <v>107</v>
      </c>
      <c r="C986" s="10">
        <v>2304025</v>
      </c>
      <c r="D986" s="10" t="s">
        <v>1162</v>
      </c>
      <c r="E986" s="10">
        <v>2575716</v>
      </c>
      <c r="F986" s="10" t="s">
        <v>1283</v>
      </c>
      <c r="G986" s="69">
        <v>-115.36</v>
      </c>
      <c r="H986" s="69">
        <v>35.36</v>
      </c>
      <c r="I986" s="69">
        <f t="shared" si="303"/>
        <v>22.984000000000002</v>
      </c>
      <c r="J986" s="70">
        <v>1</v>
      </c>
      <c r="K986" s="69">
        <f t="shared" si="304"/>
        <v>-74.782560000000004</v>
      </c>
      <c r="L986" s="79" t="s">
        <v>468</v>
      </c>
      <c r="M986" s="61">
        <f t="shared" si="305"/>
        <v>-4.8066800000000001</v>
      </c>
      <c r="N986" s="61">
        <f t="shared" si="306"/>
        <v>3.8100399999999994</v>
      </c>
      <c r="O986" s="58"/>
      <c r="P986" s="2"/>
      <c r="Q986" s="2"/>
      <c r="R986" s="32"/>
      <c r="S986" s="32"/>
      <c r="T986" s="32"/>
      <c r="U986" s="32"/>
      <c r="V986" s="2"/>
      <c r="W986" s="2"/>
      <c r="X986" s="2"/>
      <c r="Y986" s="2"/>
      <c r="Z986" s="2"/>
    </row>
    <row r="987" spans="1:26" ht="13.8" x14ac:dyDescent="0.3">
      <c r="A987" s="2" t="s">
        <v>383</v>
      </c>
      <c r="B987" s="2" t="s">
        <v>107</v>
      </c>
      <c r="C987" s="10">
        <v>2304025</v>
      </c>
      <c r="D987" s="10" t="s">
        <v>1162</v>
      </c>
      <c r="E987" s="10">
        <v>2575824</v>
      </c>
      <c r="F987" s="10" t="s">
        <v>1284</v>
      </c>
      <c r="G987" s="69">
        <v>243.45</v>
      </c>
      <c r="H987" s="69">
        <v>14.86</v>
      </c>
      <c r="I987" s="69">
        <f t="shared" si="303"/>
        <v>9.6590000000000007</v>
      </c>
      <c r="J987" s="70">
        <v>1</v>
      </c>
      <c r="K987" s="69">
        <f t="shared" si="304"/>
        <v>206.49559000000002</v>
      </c>
      <c r="L987" s="79" t="s">
        <v>468</v>
      </c>
      <c r="M987" s="61">
        <f t="shared" si="305"/>
        <v>8.1975449999999999</v>
      </c>
      <c r="N987" s="61">
        <f t="shared" si="306"/>
        <v>1.6011649999999997</v>
      </c>
      <c r="O987" s="58"/>
      <c r="P987" s="2"/>
      <c r="Q987" s="2"/>
      <c r="R987" s="32"/>
      <c r="S987" s="32"/>
      <c r="T987" s="32"/>
      <c r="U987" s="32"/>
      <c r="V987" s="2"/>
      <c r="W987" s="2"/>
      <c r="X987" s="2"/>
      <c r="Y987" s="2"/>
      <c r="Z987" s="2"/>
    </row>
    <row r="988" spans="1:26" ht="13.8" x14ac:dyDescent="0.3">
      <c r="A988" s="2" t="s">
        <v>383</v>
      </c>
      <c r="B988" s="2" t="s">
        <v>107</v>
      </c>
      <c r="C988" s="10">
        <v>2304025</v>
      </c>
      <c r="D988" s="10" t="s">
        <v>1162</v>
      </c>
      <c r="E988" s="10">
        <v>2575978</v>
      </c>
      <c r="F988" s="10" t="s">
        <v>1285</v>
      </c>
      <c r="G988" s="69">
        <v>219.73</v>
      </c>
      <c r="H988" s="69">
        <v>12.85</v>
      </c>
      <c r="I988" s="69">
        <f t="shared" si="303"/>
        <v>8.3525000000000009</v>
      </c>
      <c r="J988" s="70">
        <v>1</v>
      </c>
      <c r="K988" s="69">
        <f t="shared" si="304"/>
        <v>186.07035000000002</v>
      </c>
      <c r="L988" s="79" t="s">
        <v>468</v>
      </c>
      <c r="M988" s="61">
        <f t="shared" si="305"/>
        <v>7.411062499999999</v>
      </c>
      <c r="N988" s="61">
        <f t="shared" si="306"/>
        <v>1.3845875000000001</v>
      </c>
      <c r="O988" s="58"/>
      <c r="P988" s="2"/>
      <c r="Q988" s="2"/>
      <c r="R988" s="32"/>
      <c r="S988" s="32"/>
      <c r="T988" s="32"/>
      <c r="U988" s="32"/>
      <c r="V988" s="2"/>
      <c r="W988" s="2"/>
      <c r="X988" s="2"/>
      <c r="Y988" s="2"/>
      <c r="Z988" s="2"/>
    </row>
    <row r="989" spans="1:26" ht="13.8" x14ac:dyDescent="0.3">
      <c r="A989" s="2" t="s">
        <v>383</v>
      </c>
      <c r="B989" s="2" t="s">
        <v>107</v>
      </c>
      <c r="C989" s="10">
        <v>2373023</v>
      </c>
      <c r="D989" s="10" t="s">
        <v>1127</v>
      </c>
      <c r="E989" s="10">
        <v>2630335</v>
      </c>
      <c r="F989" s="10" t="s">
        <v>1320</v>
      </c>
      <c r="G989" s="69">
        <v>14</v>
      </c>
      <c r="H989" s="69">
        <v>57.67</v>
      </c>
      <c r="I989" s="69">
        <f t="shared" si="303"/>
        <v>37.485500000000002</v>
      </c>
      <c r="J989" s="70">
        <v>1</v>
      </c>
      <c r="K989" s="69">
        <f t="shared" si="304"/>
        <v>42.782480000000007</v>
      </c>
      <c r="L989" s="79" t="s">
        <v>468</v>
      </c>
      <c r="M989" s="61">
        <f t="shared" ref="M989:M992" si="307">(G989*0.05-H989*0.25*0.15)*J989*0.7-(-H989*0.02*0.15)*J989</f>
        <v>-0.85082749999999974</v>
      </c>
      <c r="N989" s="61">
        <f t="shared" ref="N989:N992" si="308">(H989*0.1*0.85+I989*0.05)*J989*0.7+H989*0.02*0.85*J989</f>
        <v>5.7237475</v>
      </c>
      <c r="O989" s="58"/>
      <c r="P989" s="2"/>
      <c r="Q989" s="2"/>
      <c r="R989" s="32"/>
      <c r="S989" s="32"/>
      <c r="T989" s="32"/>
      <c r="U989" s="32"/>
      <c r="V989" s="2"/>
      <c r="W989" s="2"/>
      <c r="X989" s="2"/>
      <c r="Y989" s="2"/>
      <c r="Z989" s="2"/>
    </row>
    <row r="990" spans="1:26" ht="13.8" x14ac:dyDescent="0.3">
      <c r="A990" s="2" t="s">
        <v>383</v>
      </c>
      <c r="B990" s="2" t="s">
        <v>107</v>
      </c>
      <c r="C990" s="10">
        <v>2373023</v>
      </c>
      <c r="D990" s="10" t="s">
        <v>1127</v>
      </c>
      <c r="E990" s="10">
        <v>2630345</v>
      </c>
      <c r="F990" s="10" t="s">
        <v>1321</v>
      </c>
      <c r="G990" s="69">
        <v>-244</v>
      </c>
      <c r="H990" s="69">
        <v>13.06</v>
      </c>
      <c r="I990" s="69">
        <f t="shared" si="303"/>
        <v>8.4890000000000008</v>
      </c>
      <c r="J990" s="70">
        <v>1</v>
      </c>
      <c r="K990" s="69">
        <f t="shared" si="304"/>
        <v>-191.75536000000002</v>
      </c>
      <c r="L990" s="79" t="s">
        <v>468</v>
      </c>
      <c r="M990" s="61">
        <f t="shared" si="307"/>
        <v>-8.8436450000000004</v>
      </c>
      <c r="N990" s="61">
        <f t="shared" si="308"/>
        <v>1.2962050000000001</v>
      </c>
      <c r="O990" s="58"/>
      <c r="P990" s="2"/>
      <c r="Q990" s="2"/>
      <c r="R990" s="32"/>
      <c r="S990" s="32"/>
      <c r="T990" s="32"/>
      <c r="U990" s="32"/>
      <c r="V990" s="2"/>
      <c r="W990" s="2"/>
      <c r="X990" s="2"/>
      <c r="Y990" s="2"/>
      <c r="Z990" s="2"/>
    </row>
    <row r="991" spans="1:26" ht="13.8" x14ac:dyDescent="0.3">
      <c r="A991" s="2" t="s">
        <v>383</v>
      </c>
      <c r="B991" s="2" t="s">
        <v>107</v>
      </c>
      <c r="C991" s="10">
        <v>2525136</v>
      </c>
      <c r="D991" s="10" t="s">
        <v>1205</v>
      </c>
      <c r="E991" s="10">
        <v>2523689</v>
      </c>
      <c r="F991" s="10" t="s">
        <v>1311</v>
      </c>
      <c r="G991" s="69">
        <v>354.2</v>
      </c>
      <c r="H991" s="69">
        <v>40.36</v>
      </c>
      <c r="I991" s="69">
        <f t="shared" si="303"/>
        <v>26.234000000000002</v>
      </c>
      <c r="J991" s="70">
        <v>1</v>
      </c>
      <c r="K991" s="69">
        <f t="shared" si="304"/>
        <v>310.62883999999997</v>
      </c>
      <c r="L991" s="79" t="s">
        <v>468</v>
      </c>
      <c r="M991" s="61">
        <f t="shared" si="307"/>
        <v>11.458629999999999</v>
      </c>
      <c r="N991" s="61">
        <f t="shared" si="308"/>
        <v>4.0057299999999998</v>
      </c>
      <c r="O991" s="58"/>
      <c r="P991" s="2"/>
      <c r="Q991" s="2"/>
      <c r="R991" s="32"/>
      <c r="S991" s="32"/>
      <c r="T991" s="32"/>
      <c r="U991" s="32"/>
      <c r="V991" s="2"/>
      <c r="W991" s="2"/>
      <c r="X991" s="2"/>
      <c r="Y991" s="2"/>
      <c r="Z991" s="2"/>
    </row>
    <row r="992" spans="1:26" ht="13.8" x14ac:dyDescent="0.3">
      <c r="A992" s="2" t="s">
        <v>383</v>
      </c>
      <c r="B992" s="2" t="s">
        <v>107</v>
      </c>
      <c r="C992" s="10">
        <v>2525136</v>
      </c>
      <c r="D992" s="10" t="s">
        <v>1205</v>
      </c>
      <c r="E992" s="10">
        <v>2525136</v>
      </c>
      <c r="F992" s="10" t="s">
        <v>1205</v>
      </c>
      <c r="G992" s="69">
        <v>270.73</v>
      </c>
      <c r="H992" s="69">
        <v>23.15</v>
      </c>
      <c r="I992" s="69">
        <f t="shared" si="303"/>
        <v>15.047499999999999</v>
      </c>
      <c r="J992" s="70">
        <v>1</v>
      </c>
      <c r="K992" s="69">
        <f t="shared" si="304"/>
        <v>233.23855000000003</v>
      </c>
      <c r="L992" s="79" t="s">
        <v>468</v>
      </c>
      <c r="M992" s="61">
        <f t="shared" si="307"/>
        <v>8.9373125000000009</v>
      </c>
      <c r="N992" s="61">
        <f t="shared" si="308"/>
        <v>2.2976374999999996</v>
      </c>
      <c r="O992" s="58"/>
      <c r="P992" s="2"/>
      <c r="Q992" s="2"/>
      <c r="R992" s="32"/>
      <c r="S992" s="32"/>
      <c r="T992" s="32"/>
      <c r="U992" s="32"/>
      <c r="V992" s="2"/>
      <c r="W992" s="2"/>
      <c r="X992" s="2"/>
      <c r="Y992" s="2"/>
      <c r="Z992" s="2"/>
    </row>
    <row r="993" spans="1:26" ht="13.8" x14ac:dyDescent="0.3">
      <c r="A993" s="2" t="s">
        <v>383</v>
      </c>
      <c r="B993" s="2" t="s">
        <v>244</v>
      </c>
      <c r="C993" s="10">
        <v>2304025</v>
      </c>
      <c r="D993" s="10" t="s">
        <v>1162</v>
      </c>
      <c r="E993" s="10">
        <v>2435203</v>
      </c>
      <c r="F993" s="10" t="s">
        <v>1224</v>
      </c>
      <c r="G993" s="69">
        <v>-556.30999999999995</v>
      </c>
      <c r="H993" s="69">
        <v>52.33</v>
      </c>
      <c r="I993" s="69">
        <f t="shared" ref="I993:I1013" si="309">H993*0.7</f>
        <v>36.630999999999993</v>
      </c>
      <c r="J993" s="70">
        <v>1</v>
      </c>
      <c r="K993" s="69">
        <f t="shared" ref="K993:K1012" si="310">(G993+I993)*0.85+(G993*0.15-(G993+H993)*0.15)*J993*0.3+I993*0.15*J993*0.3</f>
        <v>-442.43360499999994</v>
      </c>
      <c r="L993" s="79" t="s">
        <v>468</v>
      </c>
      <c r="M993" s="61">
        <f t="shared" ref="M993:M1012" si="311">(G993*0.15-(G993+H993)*0.15)*J993*0.7</f>
        <v>-5.4946499999999938</v>
      </c>
      <c r="N993" s="61">
        <f t="shared" ref="N993:N1012" si="312">I993*0.15*J993*0.7+H993*0.05*J993</f>
        <v>6.4627549999999996</v>
      </c>
      <c r="O993" s="61"/>
      <c r="P993" s="2"/>
      <c r="Q993" s="2"/>
      <c r="R993" s="32"/>
      <c r="S993" s="32"/>
      <c r="T993" s="32"/>
      <c r="U993" s="32"/>
      <c r="V993" s="2"/>
      <c r="W993" s="2"/>
      <c r="X993" s="2"/>
      <c r="Y993" s="2"/>
      <c r="Z993" s="2"/>
    </row>
    <row r="994" spans="1:26" ht="13.8" x14ac:dyDescent="0.3">
      <c r="A994" s="2" t="s">
        <v>383</v>
      </c>
      <c r="B994" s="2" t="s">
        <v>244</v>
      </c>
      <c r="C994" s="10">
        <v>2304025</v>
      </c>
      <c r="D994" s="10" t="s">
        <v>1162</v>
      </c>
      <c r="E994" s="10">
        <v>2435206</v>
      </c>
      <c r="F994" s="10" t="s">
        <v>1225</v>
      </c>
      <c r="G994" s="69">
        <v>443.69</v>
      </c>
      <c r="H994" s="69">
        <v>27.33</v>
      </c>
      <c r="I994" s="69">
        <f t="shared" si="309"/>
        <v>19.130999999999997</v>
      </c>
      <c r="J994" s="70">
        <v>1</v>
      </c>
      <c r="K994" s="69">
        <f t="shared" si="310"/>
        <v>393.02889499999998</v>
      </c>
      <c r="L994" s="79" t="s">
        <v>468</v>
      </c>
      <c r="M994" s="61">
        <f t="shared" si="311"/>
        <v>-2.8696499999999943</v>
      </c>
      <c r="N994" s="61">
        <f t="shared" si="312"/>
        <v>3.3752549999999992</v>
      </c>
      <c r="O994" s="61"/>
      <c r="P994" s="2"/>
      <c r="Q994" s="2"/>
      <c r="R994" s="32"/>
      <c r="S994" s="32"/>
      <c r="T994" s="32"/>
      <c r="U994" s="32"/>
      <c r="V994" s="2"/>
      <c r="W994" s="2"/>
      <c r="X994" s="2"/>
      <c r="Y994" s="2"/>
      <c r="Z994" s="2"/>
    </row>
    <row r="995" spans="1:26" ht="13.8" x14ac:dyDescent="0.3">
      <c r="A995" s="2" t="s">
        <v>383</v>
      </c>
      <c r="B995" s="2" t="s">
        <v>244</v>
      </c>
      <c r="C995" s="10">
        <v>2304025</v>
      </c>
      <c r="D995" s="10" t="s">
        <v>1162</v>
      </c>
      <c r="E995" s="10">
        <v>2452300</v>
      </c>
      <c r="F995" s="10" t="s">
        <v>1288</v>
      </c>
      <c r="G995" s="69">
        <v>-15.48</v>
      </c>
      <c r="H995" s="69">
        <v>39.74</v>
      </c>
      <c r="I995" s="69">
        <f t="shared" si="309"/>
        <v>27.818000000000001</v>
      </c>
      <c r="J995" s="70">
        <v>1</v>
      </c>
      <c r="K995" s="69">
        <f t="shared" si="310"/>
        <v>9.9508100000000006</v>
      </c>
      <c r="L995" s="79" t="s">
        <v>468</v>
      </c>
      <c r="M995" s="61">
        <f t="shared" si="311"/>
        <v>-4.1726999999999999</v>
      </c>
      <c r="N995" s="61">
        <f t="shared" si="312"/>
        <v>4.9078900000000001</v>
      </c>
      <c r="O995" s="61"/>
      <c r="P995" s="2"/>
      <c r="Q995" s="2"/>
      <c r="R995" s="32"/>
      <c r="S995" s="32"/>
      <c r="T995" s="32"/>
      <c r="U995" s="32"/>
      <c r="V995" s="2"/>
      <c r="W995" s="2"/>
      <c r="X995" s="2"/>
      <c r="Y995" s="2"/>
      <c r="Z995" s="2"/>
    </row>
    <row r="996" spans="1:26" ht="13.8" x14ac:dyDescent="0.3">
      <c r="A996" s="2" t="s">
        <v>383</v>
      </c>
      <c r="B996" s="2" t="s">
        <v>244</v>
      </c>
      <c r="C996" s="10">
        <v>2304025</v>
      </c>
      <c r="D996" s="10" t="s">
        <v>1162</v>
      </c>
      <c r="E996" s="10">
        <v>2531141</v>
      </c>
      <c r="F996" s="10" t="s">
        <v>1258</v>
      </c>
      <c r="G996" s="69">
        <v>-916.98</v>
      </c>
      <c r="H996" s="69">
        <v>84.29</v>
      </c>
      <c r="I996" s="69">
        <f t="shared" si="309"/>
        <v>59.003</v>
      </c>
      <c r="J996" s="70">
        <v>1</v>
      </c>
      <c r="K996" s="69">
        <f t="shared" si="310"/>
        <v>-730.41836499999999</v>
      </c>
      <c r="L996" s="79" t="s">
        <v>468</v>
      </c>
      <c r="M996" s="61">
        <f t="shared" si="311"/>
        <v>-8.8504499999999915</v>
      </c>
      <c r="N996" s="61">
        <f t="shared" si="312"/>
        <v>10.409815</v>
      </c>
      <c r="O996" s="61"/>
      <c r="P996" s="2"/>
      <c r="Q996" s="2"/>
      <c r="R996" s="32"/>
      <c r="S996" s="32"/>
      <c r="T996" s="32"/>
      <c r="U996" s="32"/>
      <c r="V996" s="2"/>
      <c r="W996" s="2"/>
      <c r="X996" s="2"/>
      <c r="Y996" s="2"/>
      <c r="Z996" s="2"/>
    </row>
    <row r="997" spans="1:26" ht="13.8" x14ac:dyDescent="0.3">
      <c r="A997" s="2" t="s">
        <v>383</v>
      </c>
      <c r="B997" s="2" t="s">
        <v>244</v>
      </c>
      <c r="C997" s="10">
        <v>2304025</v>
      </c>
      <c r="D997" s="10" t="s">
        <v>1162</v>
      </c>
      <c r="E997" s="10">
        <v>2531146</v>
      </c>
      <c r="F997" s="10" t="s">
        <v>1227</v>
      </c>
      <c r="G997" s="69">
        <v>247.06</v>
      </c>
      <c r="H997" s="69">
        <v>18.97</v>
      </c>
      <c r="I997" s="69">
        <f t="shared" si="309"/>
        <v>13.278999999999998</v>
      </c>
      <c r="J997" s="70">
        <v>1</v>
      </c>
      <c r="K997" s="69">
        <f t="shared" si="310"/>
        <v>221.03205500000001</v>
      </c>
      <c r="L997" s="79" t="s">
        <v>468</v>
      </c>
      <c r="M997" s="61">
        <f t="shared" si="311"/>
        <v>-1.9918499999999957</v>
      </c>
      <c r="N997" s="61">
        <f t="shared" si="312"/>
        <v>2.3427949999999997</v>
      </c>
      <c r="O997" s="61"/>
      <c r="P997" s="2"/>
      <c r="Q997" s="2"/>
      <c r="R997" s="32"/>
      <c r="S997" s="32"/>
      <c r="T997" s="32"/>
      <c r="U997" s="32"/>
      <c r="V997" s="2"/>
      <c r="W997" s="2"/>
      <c r="X997" s="2"/>
      <c r="Y997" s="2"/>
      <c r="Z997" s="2"/>
    </row>
    <row r="998" spans="1:26" ht="13.8" x14ac:dyDescent="0.3">
      <c r="A998" s="2" t="s">
        <v>383</v>
      </c>
      <c r="B998" s="2" t="s">
        <v>244</v>
      </c>
      <c r="C998" s="10">
        <v>2304025</v>
      </c>
      <c r="D998" s="10" t="s">
        <v>1162</v>
      </c>
      <c r="E998" s="10">
        <v>2531191</v>
      </c>
      <c r="F998" s="10" t="s">
        <v>1259</v>
      </c>
      <c r="G998" s="69">
        <v>-245.23</v>
      </c>
      <c r="H998" s="69">
        <v>57.09</v>
      </c>
      <c r="I998" s="69">
        <f t="shared" si="309"/>
        <v>39.963000000000001</v>
      </c>
      <c r="J998" s="70">
        <v>1</v>
      </c>
      <c r="K998" s="69">
        <f t="shared" si="310"/>
        <v>-175.24766499999998</v>
      </c>
      <c r="L998" s="79" t="s">
        <v>468</v>
      </c>
      <c r="M998" s="61">
        <f t="shared" si="311"/>
        <v>-5.9944499999999978</v>
      </c>
      <c r="N998" s="61">
        <f t="shared" si="312"/>
        <v>7.0506150000000005</v>
      </c>
      <c r="O998" s="61"/>
      <c r="P998" s="2"/>
      <c r="Q998" s="2"/>
      <c r="R998" s="32"/>
      <c r="S998" s="32"/>
      <c r="T998" s="32"/>
      <c r="U998" s="32"/>
      <c r="V998" s="2"/>
      <c r="W998" s="2"/>
      <c r="X998" s="2"/>
      <c r="Y998" s="2"/>
      <c r="Z998" s="2"/>
    </row>
    <row r="999" spans="1:26" ht="13.8" x14ac:dyDescent="0.3">
      <c r="A999" s="2" t="s">
        <v>383</v>
      </c>
      <c r="B999" s="2" t="s">
        <v>244</v>
      </c>
      <c r="C999" s="10">
        <v>2304025</v>
      </c>
      <c r="D999" s="10" t="s">
        <v>1162</v>
      </c>
      <c r="E999" s="10">
        <v>2531390</v>
      </c>
      <c r="F999" s="10" t="s">
        <v>1229</v>
      </c>
      <c r="G999" s="69">
        <v>-14.07</v>
      </c>
      <c r="H999" s="69">
        <v>2.48</v>
      </c>
      <c r="I999" s="69">
        <f t="shared" si="309"/>
        <v>1.736</v>
      </c>
      <c r="J999" s="70">
        <v>1</v>
      </c>
      <c r="K999" s="69">
        <f t="shared" si="310"/>
        <v>-10.517379999999999</v>
      </c>
      <c r="L999" s="79" t="s">
        <v>468</v>
      </c>
      <c r="M999" s="61">
        <f t="shared" si="311"/>
        <v>-0.26040000000000008</v>
      </c>
      <c r="N999" s="61">
        <f t="shared" si="312"/>
        <v>0.30628</v>
      </c>
      <c r="O999" s="61"/>
      <c r="P999" s="2"/>
      <c r="Q999" s="2"/>
      <c r="R999" s="32"/>
      <c r="S999" s="32"/>
      <c r="T999" s="32"/>
      <c r="U999" s="32"/>
      <c r="V999" s="2"/>
      <c r="W999" s="2"/>
      <c r="X999" s="2"/>
      <c r="Y999" s="2"/>
      <c r="Z999" s="2"/>
    </row>
    <row r="1000" spans="1:26" ht="13.8" x14ac:dyDescent="0.3">
      <c r="A1000" s="2" t="s">
        <v>383</v>
      </c>
      <c r="B1000" s="2" t="s">
        <v>244</v>
      </c>
      <c r="C1000" s="10">
        <v>2304025</v>
      </c>
      <c r="D1000" s="10" t="s">
        <v>1162</v>
      </c>
      <c r="E1000" s="10">
        <v>2540293</v>
      </c>
      <c r="F1000" s="10" t="s">
        <v>1261</v>
      </c>
      <c r="G1000" s="69">
        <v>119.58</v>
      </c>
      <c r="H1000" s="69">
        <v>6.77</v>
      </c>
      <c r="I1000" s="69">
        <f t="shared" si="309"/>
        <v>4.738999999999999</v>
      </c>
      <c r="J1000" s="70">
        <v>1</v>
      </c>
      <c r="K1000" s="69">
        <f t="shared" si="310"/>
        <v>105.57975500000001</v>
      </c>
      <c r="L1000" s="79" t="s">
        <v>468</v>
      </c>
      <c r="M1000" s="61">
        <f t="shared" si="311"/>
        <v>-0.71084999999999954</v>
      </c>
      <c r="N1000" s="61">
        <f t="shared" si="312"/>
        <v>0.83609499999999992</v>
      </c>
      <c r="O1000" s="61"/>
      <c r="P1000" s="2"/>
      <c r="Q1000" s="2"/>
      <c r="R1000" s="32"/>
      <c r="S1000" s="32"/>
      <c r="T1000" s="32"/>
      <c r="U1000" s="32"/>
      <c r="V1000" s="2"/>
      <c r="W1000" s="2"/>
      <c r="X1000" s="2"/>
      <c r="Y1000" s="2"/>
      <c r="Z1000" s="2"/>
    </row>
    <row r="1001" spans="1:26" ht="13.8" x14ac:dyDescent="0.3">
      <c r="A1001" s="2" t="s">
        <v>383</v>
      </c>
      <c r="B1001" s="2" t="s">
        <v>244</v>
      </c>
      <c r="C1001" s="10">
        <v>2304025</v>
      </c>
      <c r="D1001" s="10" t="s">
        <v>1162</v>
      </c>
      <c r="E1001" s="10">
        <v>2540315</v>
      </c>
      <c r="F1001" s="10" t="s">
        <v>1262</v>
      </c>
      <c r="G1001" s="69">
        <v>387.38</v>
      </c>
      <c r="H1001" s="69">
        <v>21.64</v>
      </c>
      <c r="I1001" s="69">
        <f t="shared" si="309"/>
        <v>15.148</v>
      </c>
      <c r="J1001" s="70">
        <v>1</v>
      </c>
      <c r="K1001" s="69">
        <f t="shared" si="310"/>
        <v>341.85666000000003</v>
      </c>
      <c r="L1001" s="79" t="s">
        <v>468</v>
      </c>
      <c r="M1001" s="61">
        <f t="shared" si="311"/>
        <v>-2.2721999999999962</v>
      </c>
      <c r="N1001" s="61">
        <f t="shared" si="312"/>
        <v>2.6725399999999997</v>
      </c>
      <c r="O1001" s="61"/>
      <c r="P1001" s="2"/>
      <c r="Q1001" s="2"/>
      <c r="R1001" s="32"/>
      <c r="S1001" s="32"/>
      <c r="T1001" s="32"/>
      <c r="U1001" s="32"/>
      <c r="V1001" s="2"/>
      <c r="W1001" s="2"/>
      <c r="X1001" s="2"/>
      <c r="Y1001" s="2"/>
      <c r="Z1001" s="2"/>
    </row>
    <row r="1002" spans="1:26" ht="13.8" x14ac:dyDescent="0.3">
      <c r="A1002" s="2" t="s">
        <v>383</v>
      </c>
      <c r="B1002" s="2" t="s">
        <v>244</v>
      </c>
      <c r="C1002" s="10">
        <v>2304025</v>
      </c>
      <c r="D1002" s="10" t="s">
        <v>1162</v>
      </c>
      <c r="E1002" s="10">
        <v>2554720</v>
      </c>
      <c r="F1002" s="10" t="s">
        <v>1270</v>
      </c>
      <c r="G1002" s="69">
        <v>80</v>
      </c>
      <c r="H1002" s="69">
        <v>18.97</v>
      </c>
      <c r="I1002" s="69">
        <f t="shared" si="309"/>
        <v>13.278999999999998</v>
      </c>
      <c r="J1002" s="70">
        <v>1</v>
      </c>
      <c r="K1002" s="69">
        <f t="shared" si="310"/>
        <v>79.031054999999995</v>
      </c>
      <c r="L1002" s="79" t="s">
        <v>468</v>
      </c>
      <c r="M1002" s="61">
        <f t="shared" si="311"/>
        <v>-1.9918499999999995</v>
      </c>
      <c r="N1002" s="61">
        <f t="shared" si="312"/>
        <v>2.3427949999999997</v>
      </c>
      <c r="O1002" s="61"/>
      <c r="P1002" s="2"/>
      <c r="Q1002" s="2"/>
      <c r="R1002" s="32"/>
      <c r="S1002" s="32"/>
      <c r="T1002" s="32"/>
      <c r="U1002" s="32"/>
      <c r="V1002" s="2"/>
      <c r="W1002" s="2"/>
      <c r="X1002" s="2"/>
      <c r="Y1002" s="2"/>
      <c r="Z1002" s="2"/>
    </row>
    <row r="1003" spans="1:26" ht="13.8" x14ac:dyDescent="0.3">
      <c r="A1003" s="2" t="s">
        <v>383</v>
      </c>
      <c r="B1003" s="2" t="s">
        <v>244</v>
      </c>
      <c r="C1003" s="10">
        <v>2304025</v>
      </c>
      <c r="D1003" s="10" t="s">
        <v>1162</v>
      </c>
      <c r="E1003" s="10">
        <v>2559299</v>
      </c>
      <c r="F1003" s="10" t="s">
        <v>1302</v>
      </c>
      <c r="G1003" s="69">
        <v>90.87</v>
      </c>
      <c r="H1003" s="69">
        <v>1.92</v>
      </c>
      <c r="I1003" s="69">
        <f t="shared" si="309"/>
        <v>1.3439999999999999</v>
      </c>
      <c r="J1003" s="70">
        <v>1</v>
      </c>
      <c r="K1003" s="69">
        <f t="shared" si="310"/>
        <v>78.355980000000002</v>
      </c>
      <c r="L1003" s="79" t="s">
        <v>468</v>
      </c>
      <c r="M1003" s="61">
        <f t="shared" si="311"/>
        <v>-0.20160000000000017</v>
      </c>
      <c r="N1003" s="61">
        <f t="shared" si="312"/>
        <v>0.23711999999999997</v>
      </c>
      <c r="O1003" s="61"/>
      <c r="P1003" s="2"/>
      <c r="Q1003" s="2"/>
      <c r="R1003" s="32"/>
      <c r="S1003" s="32"/>
      <c r="T1003" s="32"/>
      <c r="U1003" s="32"/>
      <c r="V1003" s="2"/>
      <c r="W1003" s="2"/>
      <c r="X1003" s="2"/>
      <c r="Y1003" s="2"/>
      <c r="Z1003" s="2"/>
    </row>
    <row r="1004" spans="1:26" ht="13.8" x14ac:dyDescent="0.3">
      <c r="A1004" s="2" t="s">
        <v>383</v>
      </c>
      <c r="B1004" s="2" t="s">
        <v>244</v>
      </c>
      <c r="C1004" s="10">
        <v>2304025</v>
      </c>
      <c r="D1004" s="10" t="s">
        <v>1162</v>
      </c>
      <c r="E1004" s="10">
        <v>2564684</v>
      </c>
      <c r="F1004" s="10" t="s">
        <v>1282</v>
      </c>
      <c r="G1004" s="69">
        <v>-412.33</v>
      </c>
      <c r="H1004" s="69">
        <v>19.23</v>
      </c>
      <c r="I1004" s="69">
        <f t="shared" si="309"/>
        <v>13.461</v>
      </c>
      <c r="J1004" s="70">
        <v>1</v>
      </c>
      <c r="K1004" s="69">
        <f t="shared" si="310"/>
        <v>-339.29825499999993</v>
      </c>
      <c r="L1004" s="79" t="s">
        <v>468</v>
      </c>
      <c r="M1004" s="61">
        <f t="shared" si="311"/>
        <v>-2.019150000000002</v>
      </c>
      <c r="N1004" s="61">
        <f t="shared" si="312"/>
        <v>2.374905</v>
      </c>
      <c r="O1004" s="61"/>
      <c r="P1004" s="2"/>
      <c r="Q1004" s="2"/>
      <c r="R1004" s="32"/>
      <c r="S1004" s="32"/>
      <c r="T1004" s="32"/>
      <c r="U1004" s="32"/>
      <c r="V1004" s="2"/>
      <c r="W1004" s="2"/>
      <c r="X1004" s="2"/>
      <c r="Y1004" s="2"/>
      <c r="Z1004" s="2"/>
    </row>
    <row r="1005" spans="1:26" ht="13.8" x14ac:dyDescent="0.3">
      <c r="A1005" s="2" t="s">
        <v>383</v>
      </c>
      <c r="B1005" s="2" t="s">
        <v>244</v>
      </c>
      <c r="C1005" s="10">
        <v>2304025</v>
      </c>
      <c r="D1005" s="10" t="s">
        <v>1162</v>
      </c>
      <c r="E1005" s="10">
        <v>2575716</v>
      </c>
      <c r="F1005" s="10" t="s">
        <v>1283</v>
      </c>
      <c r="G1005" s="69">
        <v>541.82000000000005</v>
      </c>
      <c r="H1005" s="69">
        <v>50.59</v>
      </c>
      <c r="I1005" s="69">
        <f t="shared" si="309"/>
        <v>35.412999999999997</v>
      </c>
      <c r="J1005" s="70">
        <v>1</v>
      </c>
      <c r="K1005" s="69">
        <f t="shared" si="310"/>
        <v>489.96508500000004</v>
      </c>
      <c r="L1005" s="79" t="s">
        <v>468</v>
      </c>
      <c r="M1005" s="61">
        <f t="shared" si="311"/>
        <v>-5.3119499999999968</v>
      </c>
      <c r="N1005" s="61">
        <f t="shared" si="312"/>
        <v>6.247865</v>
      </c>
      <c r="O1005" s="61"/>
      <c r="P1005" s="2"/>
      <c r="Q1005" s="2"/>
      <c r="R1005" s="32"/>
      <c r="S1005" s="32"/>
      <c r="T1005" s="32"/>
      <c r="U1005" s="32"/>
      <c r="V1005" s="2"/>
      <c r="W1005" s="2"/>
      <c r="X1005" s="2"/>
      <c r="Y1005" s="2"/>
      <c r="Z1005" s="2"/>
    </row>
    <row r="1006" spans="1:26" ht="13.8" x14ac:dyDescent="0.3">
      <c r="A1006" s="2" t="s">
        <v>383</v>
      </c>
      <c r="B1006" s="2" t="s">
        <v>244</v>
      </c>
      <c r="C1006" s="10">
        <v>2304025</v>
      </c>
      <c r="D1006" s="10" t="s">
        <v>1162</v>
      </c>
      <c r="E1006" s="10">
        <v>2575824</v>
      </c>
      <c r="F1006" s="10" t="s">
        <v>1284</v>
      </c>
      <c r="G1006" s="69">
        <v>647.41999999999996</v>
      </c>
      <c r="H1006" s="69">
        <v>43.92</v>
      </c>
      <c r="I1006" s="69">
        <f t="shared" si="309"/>
        <v>30.744</v>
      </c>
      <c r="J1006" s="70">
        <v>1</v>
      </c>
      <c r="K1006" s="69">
        <f t="shared" si="310"/>
        <v>575.84647999999993</v>
      </c>
      <c r="L1006" s="79" t="s">
        <v>468</v>
      </c>
      <c r="M1006" s="61">
        <f t="shared" si="311"/>
        <v>-4.6115999999999957</v>
      </c>
      <c r="N1006" s="61">
        <f t="shared" si="312"/>
        <v>5.4241200000000003</v>
      </c>
      <c r="O1006" s="61"/>
      <c r="P1006" s="2"/>
      <c r="Q1006" s="2"/>
      <c r="R1006" s="32"/>
      <c r="S1006" s="32"/>
      <c r="T1006" s="32"/>
      <c r="U1006" s="32"/>
      <c r="V1006" s="2"/>
      <c r="W1006" s="2"/>
      <c r="X1006" s="2"/>
      <c r="Y1006" s="2"/>
      <c r="Z1006" s="2"/>
    </row>
    <row r="1007" spans="1:26" ht="13.8" x14ac:dyDescent="0.3">
      <c r="A1007" s="2" t="s">
        <v>383</v>
      </c>
      <c r="B1007" s="2" t="s">
        <v>244</v>
      </c>
      <c r="C1007" s="10">
        <v>2304025</v>
      </c>
      <c r="D1007" s="10" t="s">
        <v>1162</v>
      </c>
      <c r="E1007" s="10">
        <v>2575978</v>
      </c>
      <c r="F1007" s="10" t="s">
        <v>1285</v>
      </c>
      <c r="G1007" s="69">
        <v>185.85</v>
      </c>
      <c r="H1007" s="69">
        <v>75.75</v>
      </c>
      <c r="I1007" s="69">
        <f t="shared" si="309"/>
        <v>53.024999999999999</v>
      </c>
      <c r="J1007" s="70">
        <v>1</v>
      </c>
      <c r="K1007" s="69">
        <f t="shared" si="310"/>
        <v>202.02112499999998</v>
      </c>
      <c r="L1007" s="79" t="s">
        <v>468</v>
      </c>
      <c r="M1007" s="61">
        <f t="shared" si="311"/>
        <v>-7.9537500000000021</v>
      </c>
      <c r="N1007" s="61">
        <f t="shared" si="312"/>
        <v>9.3551249999999992</v>
      </c>
      <c r="O1007" s="61"/>
      <c r="P1007" s="2"/>
      <c r="Q1007" s="2"/>
      <c r="R1007" s="32"/>
      <c r="S1007" s="32"/>
      <c r="T1007" s="32"/>
      <c r="U1007" s="32"/>
      <c r="V1007" s="2"/>
      <c r="W1007" s="2"/>
      <c r="X1007" s="2"/>
      <c r="Y1007" s="2"/>
      <c r="Z1007" s="2"/>
    </row>
    <row r="1008" spans="1:26" ht="13.8" x14ac:dyDescent="0.3">
      <c r="A1008" s="2" t="s">
        <v>383</v>
      </c>
      <c r="B1008" s="2" t="s">
        <v>244</v>
      </c>
      <c r="C1008" s="10">
        <v>2304025</v>
      </c>
      <c r="D1008" s="10" t="s">
        <v>1162</v>
      </c>
      <c r="E1008" s="10">
        <v>2632174</v>
      </c>
      <c r="F1008" s="10" t="s">
        <v>1323</v>
      </c>
      <c r="G1008" s="69">
        <v>-40.14</v>
      </c>
      <c r="H1008" s="69">
        <v>69.28</v>
      </c>
      <c r="I1008" s="69">
        <f t="shared" si="309"/>
        <v>48.495999999999995</v>
      </c>
      <c r="J1008" s="70">
        <v>1</v>
      </c>
      <c r="K1008" s="69">
        <f t="shared" si="310"/>
        <v>6.1673199999999948</v>
      </c>
      <c r="L1008" s="79" t="s">
        <v>468</v>
      </c>
      <c r="M1008" s="61">
        <f t="shared" si="311"/>
        <v>-7.2743999999999991</v>
      </c>
      <c r="N1008" s="61">
        <f t="shared" si="312"/>
        <v>8.5560799999999997</v>
      </c>
      <c r="O1008" s="61"/>
      <c r="P1008" s="2"/>
      <c r="Q1008" s="2"/>
      <c r="R1008" s="32"/>
      <c r="S1008" s="32"/>
      <c r="T1008" s="32"/>
      <c r="U1008" s="32"/>
      <c r="V1008" s="2"/>
      <c r="W1008" s="2"/>
      <c r="X1008" s="2"/>
      <c r="Y1008" s="2"/>
      <c r="Z1008" s="2"/>
    </row>
    <row r="1009" spans="1:26" ht="13.8" x14ac:dyDescent="0.3">
      <c r="A1009" s="2" t="s">
        <v>383</v>
      </c>
      <c r="B1009" s="2" t="s">
        <v>244</v>
      </c>
      <c r="C1009" s="10">
        <v>2373023</v>
      </c>
      <c r="D1009" s="10" t="s">
        <v>1127</v>
      </c>
      <c r="E1009" s="10">
        <v>2630335</v>
      </c>
      <c r="F1009" s="10" t="s">
        <v>1320</v>
      </c>
      <c r="G1009" s="69">
        <v>1793.57</v>
      </c>
      <c r="H1009" s="69">
        <v>348.46</v>
      </c>
      <c r="I1009" s="69">
        <f t="shared" si="309"/>
        <v>243.92199999999997</v>
      </c>
      <c r="J1009" s="70">
        <v>1</v>
      </c>
      <c r="K1009" s="69">
        <f t="shared" si="310"/>
        <v>1727.16399</v>
      </c>
      <c r="L1009" s="79" t="s">
        <v>468</v>
      </c>
      <c r="M1009" s="61">
        <f t="shared" si="311"/>
        <v>-36.588300000000004</v>
      </c>
      <c r="N1009" s="61">
        <f t="shared" si="312"/>
        <v>43.034809999999993</v>
      </c>
      <c r="O1009" s="61"/>
      <c r="P1009" s="2"/>
      <c r="Q1009" s="2"/>
      <c r="R1009" s="32"/>
      <c r="S1009" s="32"/>
      <c r="T1009" s="32"/>
      <c r="U1009" s="32"/>
      <c r="V1009" s="2"/>
      <c r="W1009" s="2"/>
      <c r="X1009" s="2"/>
      <c r="Y1009" s="2"/>
      <c r="Z1009" s="2"/>
    </row>
    <row r="1010" spans="1:26" ht="13.8" x14ac:dyDescent="0.3">
      <c r="A1010" s="2" t="s">
        <v>383</v>
      </c>
      <c r="B1010" s="2" t="s">
        <v>244</v>
      </c>
      <c r="C1010" s="10">
        <v>2525136</v>
      </c>
      <c r="D1010" s="10" t="s">
        <v>1205</v>
      </c>
      <c r="E1010" s="10">
        <v>2523689</v>
      </c>
      <c r="F1010" s="10" t="s">
        <v>1311</v>
      </c>
      <c r="G1010" s="69">
        <v>-63.21</v>
      </c>
      <c r="H1010" s="69">
        <v>12.8</v>
      </c>
      <c r="I1010" s="69">
        <f t="shared" si="309"/>
        <v>8.9599999999999991</v>
      </c>
      <c r="J1010" s="70">
        <v>1</v>
      </c>
      <c r="K1010" s="69">
        <f t="shared" si="310"/>
        <v>-46.285299999999999</v>
      </c>
      <c r="L1010" s="79" t="s">
        <v>468</v>
      </c>
      <c r="M1010" s="61">
        <f t="shared" si="311"/>
        <v>-1.3440000000000012</v>
      </c>
      <c r="N1010" s="61">
        <f t="shared" si="312"/>
        <v>1.5808</v>
      </c>
      <c r="O1010" s="61"/>
      <c r="P1010" s="2"/>
      <c r="Q1010" s="2"/>
      <c r="R1010" s="32"/>
      <c r="S1010" s="32"/>
      <c r="T1010" s="32"/>
      <c r="U1010" s="32"/>
      <c r="V1010" s="2"/>
      <c r="W1010" s="2"/>
      <c r="X1010" s="2"/>
      <c r="Y1010" s="2"/>
      <c r="Z1010" s="2"/>
    </row>
    <row r="1011" spans="1:26" ht="13.8" x14ac:dyDescent="0.3">
      <c r="A1011" s="2" t="s">
        <v>383</v>
      </c>
      <c r="B1011" s="2" t="s">
        <v>244</v>
      </c>
      <c r="C1011" s="10">
        <v>2525136</v>
      </c>
      <c r="D1011" s="10" t="s">
        <v>1205</v>
      </c>
      <c r="E1011" s="10">
        <v>2525136</v>
      </c>
      <c r="F1011" s="10" t="s">
        <v>1205</v>
      </c>
      <c r="G1011" s="69">
        <v>333.76</v>
      </c>
      <c r="H1011" s="69">
        <v>15.94</v>
      </c>
      <c r="I1011" s="69">
        <f t="shared" si="309"/>
        <v>11.157999999999999</v>
      </c>
      <c r="J1011" s="70">
        <v>1</v>
      </c>
      <c r="K1011" s="69">
        <f t="shared" si="310"/>
        <v>292.96510999999998</v>
      </c>
      <c r="L1011" s="79" t="s">
        <v>468</v>
      </c>
      <c r="M1011" s="61">
        <f t="shared" si="311"/>
        <v>-1.6736999999999986</v>
      </c>
      <c r="N1011" s="61">
        <f t="shared" si="312"/>
        <v>1.9685899999999998</v>
      </c>
      <c r="O1011" s="61"/>
      <c r="P1011" s="2"/>
      <c r="Q1011" s="2"/>
      <c r="R1011" s="32"/>
      <c r="S1011" s="32"/>
      <c r="T1011" s="32"/>
      <c r="U1011" s="32"/>
      <c r="V1011" s="2"/>
      <c r="W1011" s="2"/>
      <c r="X1011" s="2"/>
      <c r="Y1011" s="2"/>
      <c r="Z1011" s="2"/>
    </row>
    <row r="1012" spans="1:26" ht="13.8" x14ac:dyDescent="0.3">
      <c r="A1012" s="2" t="s">
        <v>383</v>
      </c>
      <c r="B1012" s="2" t="s">
        <v>244</v>
      </c>
      <c r="C1012" s="10">
        <v>2525136</v>
      </c>
      <c r="D1012" s="10" t="s">
        <v>1205</v>
      </c>
      <c r="E1012" s="10">
        <v>2600460</v>
      </c>
      <c r="F1012" s="10" t="s">
        <v>1312</v>
      </c>
      <c r="G1012" s="69">
        <v>388.94</v>
      </c>
      <c r="H1012" s="69">
        <v>56.96</v>
      </c>
      <c r="I1012" s="69">
        <f t="shared" si="309"/>
        <v>39.872</v>
      </c>
      <c r="J1012" s="70">
        <v>1</v>
      </c>
      <c r="K1012" s="69">
        <f t="shared" si="310"/>
        <v>363.72124000000002</v>
      </c>
      <c r="L1012" s="79" t="s">
        <v>468</v>
      </c>
      <c r="M1012" s="61">
        <f t="shared" si="311"/>
        <v>-5.9807999999999977</v>
      </c>
      <c r="N1012" s="61">
        <f t="shared" si="312"/>
        <v>7.034559999999999</v>
      </c>
      <c r="O1012" s="61"/>
      <c r="P1012" s="2"/>
      <c r="Q1012" s="2"/>
      <c r="R1012" s="32"/>
      <c r="S1012" s="32"/>
      <c r="T1012" s="32"/>
      <c r="U1012" s="32"/>
      <c r="V1012" s="2"/>
      <c r="W1012" s="2"/>
      <c r="X1012" s="2"/>
      <c r="Y1012" s="2"/>
      <c r="Z1012" s="2"/>
    </row>
    <row r="1013" spans="1:26" ht="13.8" x14ac:dyDescent="0.3">
      <c r="A1013" s="2" t="s">
        <v>383</v>
      </c>
      <c r="B1013" s="2" t="s">
        <v>244</v>
      </c>
      <c r="C1013" s="10">
        <v>2550550</v>
      </c>
      <c r="D1013" s="10" t="s">
        <v>1272</v>
      </c>
      <c r="E1013" s="10">
        <v>2550550</v>
      </c>
      <c r="F1013" s="10" t="s">
        <v>1272</v>
      </c>
      <c r="G1013" s="69">
        <v>-50</v>
      </c>
      <c r="H1013" s="69">
        <v>5</v>
      </c>
      <c r="I1013" s="69">
        <f t="shared" si="309"/>
        <v>3.5</v>
      </c>
      <c r="J1013" s="70">
        <v>1</v>
      </c>
      <c r="K1013" s="69">
        <f>(G1013+I1013)*J1013*0.96+(G1013*0.04-(G1013+H1013)*0.04)*J1013*0.3+I1013*0.04*J1013*0.3</f>
        <v>-44.658000000000001</v>
      </c>
      <c r="L1013" s="19" t="s">
        <v>468</v>
      </c>
      <c r="M1013" s="61">
        <f>(G1013*0.04-(G1013+H1013)*0.04)*J1013*0.7</f>
        <v>-0.13999999999999996</v>
      </c>
      <c r="N1013" s="61">
        <f>I1013*0.04*J1013*0.7+H1013*0.05*J1013</f>
        <v>0.34799999999999998</v>
      </c>
      <c r="O1013" s="58"/>
      <c r="P1013" s="2"/>
      <c r="Q1013" s="2"/>
      <c r="R1013" s="32"/>
      <c r="S1013" s="32"/>
      <c r="T1013" s="32"/>
      <c r="U1013" s="32"/>
      <c r="V1013" s="2"/>
      <c r="W1013" s="2"/>
      <c r="X1013" s="2"/>
      <c r="Y1013" s="2"/>
      <c r="Z1013" s="2"/>
    </row>
    <row r="1014" spans="1:26" ht="13.8" x14ac:dyDescent="0.3">
      <c r="A1014" s="2" t="s">
        <v>383</v>
      </c>
      <c r="B1014" s="2" t="s">
        <v>186</v>
      </c>
      <c r="C1014" s="10" t="s">
        <v>15</v>
      </c>
      <c r="D1014" s="10" t="s">
        <v>15</v>
      </c>
      <c r="E1014" s="10">
        <v>1714680</v>
      </c>
      <c r="F1014" s="76" t="s">
        <v>535</v>
      </c>
      <c r="G1014" s="69">
        <v>570.67999999999995</v>
      </c>
      <c r="H1014" s="69">
        <v>153.6</v>
      </c>
      <c r="I1014" s="69">
        <v>0</v>
      </c>
      <c r="J1014" s="70">
        <v>1</v>
      </c>
      <c r="K1014" s="69">
        <f>(-H1014*0.4*0.15+G1014*0.25)*J1014*0.3+G1014*0.02*0.6*J1014*0.3+(H1014*0.1*0.85+H1014*0.5*0.25)*J1014*0.3</f>
        <v>51.767447999999995</v>
      </c>
      <c r="L1014" s="79" t="s">
        <v>468</v>
      </c>
      <c r="M1014" s="61">
        <v>0</v>
      </c>
      <c r="N1014" s="61">
        <v>0</v>
      </c>
      <c r="O1014" s="61"/>
      <c r="P1014" s="2"/>
      <c r="Q1014" s="2"/>
      <c r="R1014" s="32"/>
      <c r="S1014" s="32"/>
      <c r="T1014" s="32"/>
      <c r="U1014" s="32"/>
      <c r="V1014" s="2"/>
      <c r="W1014" s="2"/>
      <c r="X1014" s="2"/>
      <c r="Y1014" s="2"/>
      <c r="Z1014" s="2"/>
    </row>
    <row r="1015" spans="1:26" ht="13.8" x14ac:dyDescent="0.3">
      <c r="A1015" s="2" t="s">
        <v>383</v>
      </c>
      <c r="B1015" s="2" t="s">
        <v>186</v>
      </c>
      <c r="C1015" s="10">
        <v>2304025</v>
      </c>
      <c r="D1015" s="10" t="s">
        <v>1162</v>
      </c>
      <c r="E1015" s="10">
        <v>2531141</v>
      </c>
      <c r="F1015" s="10" t="s">
        <v>1258</v>
      </c>
      <c r="G1015" s="69">
        <v>-257.92</v>
      </c>
      <c r="H1015" s="69">
        <v>35.08</v>
      </c>
      <c r="I1015" s="69">
        <f t="shared" ref="I1015:I1024" si="313">H1015*0.5</f>
        <v>17.54</v>
      </c>
      <c r="J1015" s="70">
        <v>1</v>
      </c>
      <c r="K1015" s="69">
        <f t="shared" ref="K1015:K1024" si="314">(G1015+I1015)*J1015*0.85+(-H1015*0.4*0.15)*J1015*0.3+H1015*0.1*0.85*J1015*0.3</f>
        <v>-204.0599</v>
      </c>
      <c r="L1015" s="79" t="s">
        <v>468</v>
      </c>
      <c r="M1015" s="61">
        <f t="shared" ref="M1015:M1024" si="315">(-H1015*0.4*0.15)*J1015*0.7-(-H1015*0.05*0.15)*J1015</f>
        <v>-1.2102599999999999</v>
      </c>
      <c r="N1015" s="61">
        <f t="shared" ref="N1015:N1024" si="316">H1015*0.1*0.85*J1015*0.7+H1015*0.05*0.85*J1015</f>
        <v>3.5781599999999996</v>
      </c>
      <c r="O1015" s="61"/>
      <c r="P1015" s="2"/>
      <c r="Q1015" s="2"/>
      <c r="R1015" s="32"/>
      <c r="S1015" s="32"/>
      <c r="T1015" s="32"/>
      <c r="U1015" s="32"/>
      <c r="V1015" s="2"/>
      <c r="W1015" s="2"/>
      <c r="X1015" s="2"/>
      <c r="Y1015" s="2"/>
      <c r="Z1015" s="2"/>
    </row>
    <row r="1016" spans="1:26" ht="13.8" x14ac:dyDescent="0.3">
      <c r="A1016" s="2" t="s">
        <v>383</v>
      </c>
      <c r="B1016" s="2" t="s">
        <v>186</v>
      </c>
      <c r="C1016" s="10">
        <v>2304025</v>
      </c>
      <c r="D1016" s="10" t="s">
        <v>1162</v>
      </c>
      <c r="E1016" s="10">
        <v>2531145</v>
      </c>
      <c r="F1016" s="10" t="s">
        <v>1226</v>
      </c>
      <c r="G1016" s="69">
        <v>301.25</v>
      </c>
      <c r="H1016" s="69">
        <v>93.37</v>
      </c>
      <c r="I1016" s="69">
        <f t="shared" si="313"/>
        <v>46.685000000000002</v>
      </c>
      <c r="J1016" s="70">
        <v>1</v>
      </c>
      <c r="K1016" s="69">
        <f t="shared" si="314"/>
        <v>296.44502500000004</v>
      </c>
      <c r="L1016" s="79" t="s">
        <v>468</v>
      </c>
      <c r="M1016" s="61">
        <f t="shared" si="315"/>
        <v>-3.2212650000000003</v>
      </c>
      <c r="N1016" s="61">
        <f t="shared" si="316"/>
        <v>9.5237400000000001</v>
      </c>
      <c r="O1016" s="61"/>
      <c r="P1016" s="2"/>
      <c r="Q1016" s="2"/>
      <c r="R1016" s="32"/>
      <c r="S1016" s="32"/>
      <c r="T1016" s="32"/>
      <c r="U1016" s="32"/>
      <c r="V1016" s="2"/>
      <c r="W1016" s="2"/>
      <c r="X1016" s="2"/>
      <c r="Y1016" s="2"/>
      <c r="Z1016" s="2"/>
    </row>
    <row r="1017" spans="1:26" ht="13.8" x14ac:dyDescent="0.3">
      <c r="A1017" s="2" t="s">
        <v>383</v>
      </c>
      <c r="B1017" s="2" t="s">
        <v>186</v>
      </c>
      <c r="C1017" s="10">
        <v>2304025</v>
      </c>
      <c r="D1017" s="10" t="s">
        <v>1162</v>
      </c>
      <c r="E1017" s="10">
        <v>2531191</v>
      </c>
      <c r="F1017" s="10" t="s">
        <v>1259</v>
      </c>
      <c r="G1017" s="69">
        <v>-641.53</v>
      </c>
      <c r="H1017" s="69">
        <v>135.52000000000001</v>
      </c>
      <c r="I1017" s="69">
        <f t="shared" si="313"/>
        <v>67.760000000000005</v>
      </c>
      <c r="J1017" s="70">
        <v>1</v>
      </c>
      <c r="K1017" s="69">
        <f t="shared" si="314"/>
        <v>-486.68810000000002</v>
      </c>
      <c r="L1017" s="79" t="s">
        <v>468</v>
      </c>
      <c r="M1017" s="61">
        <f t="shared" si="315"/>
        <v>-4.6754399999999992</v>
      </c>
      <c r="N1017" s="61">
        <f t="shared" si="316"/>
        <v>13.823040000000001</v>
      </c>
      <c r="O1017" s="61"/>
      <c r="P1017" s="2"/>
      <c r="Q1017" s="2"/>
      <c r="R1017" s="32"/>
      <c r="S1017" s="32"/>
      <c r="T1017" s="32"/>
      <c r="U1017" s="32"/>
      <c r="V1017" s="2"/>
      <c r="W1017" s="2"/>
      <c r="X1017" s="2"/>
      <c r="Y1017" s="2"/>
      <c r="Z1017" s="2"/>
    </row>
    <row r="1018" spans="1:26" ht="13.8" x14ac:dyDescent="0.3">
      <c r="A1018" s="2" t="s">
        <v>383</v>
      </c>
      <c r="B1018" s="2" t="s">
        <v>186</v>
      </c>
      <c r="C1018" s="10">
        <v>2304025</v>
      </c>
      <c r="D1018" s="10" t="s">
        <v>1162</v>
      </c>
      <c r="E1018" s="10">
        <v>2540293</v>
      </c>
      <c r="F1018" s="10" t="s">
        <v>1261</v>
      </c>
      <c r="G1018" s="69">
        <v>303.72000000000003</v>
      </c>
      <c r="H1018" s="69">
        <v>24.64</v>
      </c>
      <c r="I1018" s="69">
        <f t="shared" si="313"/>
        <v>12.32</v>
      </c>
      <c r="J1018" s="70">
        <v>1</v>
      </c>
      <c r="K1018" s="69">
        <f t="shared" si="314"/>
        <v>268.81880000000001</v>
      </c>
      <c r="L1018" s="79" t="s">
        <v>468</v>
      </c>
      <c r="M1018" s="61">
        <f t="shared" si="315"/>
        <v>-0.85007999999999995</v>
      </c>
      <c r="N1018" s="61">
        <f t="shared" si="316"/>
        <v>2.51328</v>
      </c>
      <c r="O1018" s="61"/>
      <c r="P1018" s="2"/>
      <c r="Q1018" s="2"/>
      <c r="R1018" s="32"/>
      <c r="S1018" s="32"/>
      <c r="T1018" s="32"/>
      <c r="U1018" s="32"/>
      <c r="V1018" s="2"/>
      <c r="W1018" s="2"/>
      <c r="X1018" s="2"/>
      <c r="Y1018" s="2"/>
      <c r="Z1018" s="2"/>
    </row>
    <row r="1019" spans="1:26" ht="13.8" x14ac:dyDescent="0.3">
      <c r="A1019" s="2" t="s">
        <v>383</v>
      </c>
      <c r="B1019" s="2" t="s">
        <v>186</v>
      </c>
      <c r="C1019" s="10">
        <v>2304025</v>
      </c>
      <c r="D1019" s="10" t="s">
        <v>1162</v>
      </c>
      <c r="E1019" s="10">
        <v>2554720</v>
      </c>
      <c r="F1019" s="10" t="s">
        <v>1270</v>
      </c>
      <c r="G1019" s="69">
        <v>23.1</v>
      </c>
      <c r="H1019" s="69">
        <v>5.29</v>
      </c>
      <c r="I1019" s="69">
        <f t="shared" si="313"/>
        <v>2.645</v>
      </c>
      <c r="J1019" s="70">
        <v>1</v>
      </c>
      <c r="K1019" s="69">
        <f t="shared" si="314"/>
        <v>21.922924999999999</v>
      </c>
      <c r="L1019" s="79" t="s">
        <v>468</v>
      </c>
      <c r="M1019" s="61">
        <f t="shared" si="315"/>
        <v>-0.18250499999999997</v>
      </c>
      <c r="N1019" s="61">
        <f t="shared" si="316"/>
        <v>0.53957999999999995</v>
      </c>
      <c r="O1019" s="61"/>
      <c r="P1019" s="2"/>
      <c r="Q1019" s="2"/>
      <c r="R1019" s="32"/>
      <c r="S1019" s="32"/>
      <c r="T1019" s="32"/>
      <c r="U1019" s="32"/>
      <c r="V1019" s="2"/>
      <c r="W1019" s="2"/>
      <c r="X1019" s="2"/>
      <c r="Y1019" s="2"/>
      <c r="Z1019" s="2"/>
    </row>
    <row r="1020" spans="1:26" ht="13.8" x14ac:dyDescent="0.3">
      <c r="A1020" s="2" t="s">
        <v>383</v>
      </c>
      <c r="B1020" s="2" t="s">
        <v>186</v>
      </c>
      <c r="C1020" s="10">
        <v>2304025</v>
      </c>
      <c r="D1020" s="10" t="s">
        <v>1162</v>
      </c>
      <c r="E1020" s="10">
        <v>2575716</v>
      </c>
      <c r="F1020" s="10" t="s">
        <v>1283</v>
      </c>
      <c r="G1020" s="69">
        <v>-13.91</v>
      </c>
      <c r="H1020" s="69">
        <v>5.58</v>
      </c>
      <c r="I1020" s="69">
        <f t="shared" si="313"/>
        <v>2.79</v>
      </c>
      <c r="J1020" s="70">
        <v>1</v>
      </c>
      <c r="K1020" s="69">
        <f t="shared" si="314"/>
        <v>-9.4101500000000016</v>
      </c>
      <c r="L1020" s="79" t="s">
        <v>468</v>
      </c>
      <c r="M1020" s="61">
        <f t="shared" si="315"/>
        <v>-0.19251000000000001</v>
      </c>
      <c r="N1020" s="61">
        <f t="shared" si="316"/>
        <v>0.56916000000000011</v>
      </c>
      <c r="O1020" s="61"/>
      <c r="P1020" s="2"/>
      <c r="Q1020" s="2"/>
      <c r="R1020" s="32"/>
      <c r="S1020" s="32"/>
      <c r="T1020" s="32"/>
      <c r="U1020" s="32"/>
      <c r="V1020" s="2"/>
      <c r="W1020" s="2"/>
      <c r="X1020" s="2"/>
      <c r="Y1020" s="2"/>
      <c r="Z1020" s="2"/>
    </row>
    <row r="1021" spans="1:26" ht="13.8" x14ac:dyDescent="0.3">
      <c r="A1021" s="2" t="s">
        <v>383</v>
      </c>
      <c r="B1021" s="2" t="s">
        <v>186</v>
      </c>
      <c r="C1021" s="10">
        <v>2304025</v>
      </c>
      <c r="D1021" s="10" t="s">
        <v>1162</v>
      </c>
      <c r="E1021" s="10">
        <v>2575824</v>
      </c>
      <c r="F1021" s="10" t="s">
        <v>1284</v>
      </c>
      <c r="G1021" s="69">
        <v>-13</v>
      </c>
      <c r="H1021" s="69">
        <v>1.31</v>
      </c>
      <c r="I1021" s="69">
        <f t="shared" si="313"/>
        <v>0.65500000000000003</v>
      </c>
      <c r="J1021" s="70">
        <v>1</v>
      </c>
      <c r="K1021" s="69">
        <f t="shared" si="314"/>
        <v>-10.483425</v>
      </c>
      <c r="L1021" s="79" t="s">
        <v>468</v>
      </c>
      <c r="M1021" s="61">
        <f t="shared" si="315"/>
        <v>-4.5194999999999999E-2</v>
      </c>
      <c r="N1021" s="61">
        <f t="shared" si="316"/>
        <v>0.13362000000000002</v>
      </c>
      <c r="O1021" s="61"/>
      <c r="P1021" s="2"/>
      <c r="Q1021" s="2"/>
      <c r="R1021" s="32"/>
      <c r="S1021" s="32"/>
      <c r="T1021" s="32"/>
      <c r="U1021" s="32"/>
      <c r="V1021" s="2"/>
      <c r="W1021" s="2"/>
      <c r="X1021" s="2"/>
      <c r="Y1021" s="2"/>
      <c r="Z1021" s="2"/>
    </row>
    <row r="1022" spans="1:26" ht="13.8" x14ac:dyDescent="0.3">
      <c r="A1022" s="2" t="s">
        <v>383</v>
      </c>
      <c r="B1022" s="2" t="s">
        <v>186</v>
      </c>
      <c r="C1022" s="10">
        <v>2304025</v>
      </c>
      <c r="D1022" s="10" t="s">
        <v>1162</v>
      </c>
      <c r="E1022" s="10">
        <v>2575978</v>
      </c>
      <c r="F1022" s="10" t="s">
        <v>1285</v>
      </c>
      <c r="G1022" s="69">
        <v>-7.19</v>
      </c>
      <c r="H1022" s="69">
        <v>1.5</v>
      </c>
      <c r="I1022" s="69">
        <f t="shared" si="313"/>
        <v>0.75</v>
      </c>
      <c r="J1022" s="70">
        <v>1</v>
      </c>
      <c r="K1022" s="69">
        <f t="shared" si="314"/>
        <v>-5.4627500000000007</v>
      </c>
      <c r="L1022" s="79" t="s">
        <v>468</v>
      </c>
      <c r="M1022" s="61">
        <f t="shared" si="315"/>
        <v>-5.1749999999999997E-2</v>
      </c>
      <c r="N1022" s="61">
        <f t="shared" si="316"/>
        <v>0.153</v>
      </c>
      <c r="O1022" s="61"/>
      <c r="P1022" s="2"/>
      <c r="Q1022" s="2"/>
      <c r="R1022" s="32"/>
      <c r="S1022" s="32"/>
      <c r="T1022" s="32"/>
      <c r="U1022" s="32"/>
      <c r="V1022" s="2"/>
      <c r="W1022" s="2"/>
      <c r="X1022" s="2"/>
      <c r="Y1022" s="2"/>
      <c r="Z1022" s="2"/>
    </row>
    <row r="1023" spans="1:26" ht="13.8" x14ac:dyDescent="0.3">
      <c r="A1023" s="2" t="s">
        <v>383</v>
      </c>
      <c r="B1023" s="2" t="s">
        <v>186</v>
      </c>
      <c r="C1023" s="10">
        <v>2304025</v>
      </c>
      <c r="D1023" s="10" t="s">
        <v>1162</v>
      </c>
      <c r="E1023" s="10">
        <v>2632174</v>
      </c>
      <c r="F1023" s="10" t="s">
        <v>1323</v>
      </c>
      <c r="G1023" s="69">
        <v>172.48</v>
      </c>
      <c r="H1023" s="69">
        <v>94.94</v>
      </c>
      <c r="I1023" s="69">
        <f t="shared" si="313"/>
        <v>47.47</v>
      </c>
      <c r="J1023" s="70">
        <v>1</v>
      </c>
      <c r="K1023" s="69">
        <f t="shared" si="314"/>
        <v>187.66954999999999</v>
      </c>
      <c r="L1023" s="79" t="s">
        <v>468</v>
      </c>
      <c r="M1023" s="61">
        <f t="shared" si="315"/>
        <v>-3.2754299999999996</v>
      </c>
      <c r="N1023" s="61">
        <f t="shared" si="316"/>
        <v>9.6838799999999985</v>
      </c>
      <c r="O1023" s="61"/>
      <c r="P1023" s="2"/>
      <c r="Q1023" s="2"/>
      <c r="R1023" s="32"/>
      <c r="S1023" s="32"/>
      <c r="T1023" s="32"/>
      <c r="U1023" s="32"/>
      <c r="V1023" s="2"/>
      <c r="W1023" s="2"/>
      <c r="X1023" s="2"/>
      <c r="Y1023" s="2"/>
      <c r="Z1023" s="2"/>
    </row>
    <row r="1024" spans="1:26" ht="13.8" x14ac:dyDescent="0.3">
      <c r="A1024" s="2" t="s">
        <v>383</v>
      </c>
      <c r="B1024" s="2" t="s">
        <v>186</v>
      </c>
      <c r="C1024" s="10">
        <v>2525136</v>
      </c>
      <c r="D1024" s="10" t="s">
        <v>1205</v>
      </c>
      <c r="E1024" s="10">
        <v>2600460</v>
      </c>
      <c r="F1024" s="10" t="s">
        <v>1312</v>
      </c>
      <c r="G1024" s="69">
        <v>-10.24</v>
      </c>
      <c r="H1024" s="69">
        <v>106.86</v>
      </c>
      <c r="I1024" s="69">
        <f t="shared" si="313"/>
        <v>53.43</v>
      </c>
      <c r="J1024" s="70">
        <v>1</v>
      </c>
      <c r="K1024" s="69">
        <f t="shared" si="314"/>
        <v>37.512949999999996</v>
      </c>
      <c r="L1024" s="79" t="s">
        <v>468</v>
      </c>
      <c r="M1024" s="61">
        <f t="shared" si="315"/>
        <v>-3.6866699999999994</v>
      </c>
      <c r="N1024" s="61">
        <f t="shared" si="316"/>
        <v>10.899719999999999</v>
      </c>
      <c r="O1024" s="61"/>
      <c r="P1024" s="2"/>
      <c r="Q1024" s="2"/>
      <c r="R1024" s="32"/>
      <c r="S1024" s="32"/>
      <c r="T1024" s="32"/>
      <c r="U1024" s="32"/>
      <c r="V1024" s="2"/>
      <c r="W1024" s="2"/>
      <c r="X1024" s="2"/>
      <c r="Y1024" s="2"/>
      <c r="Z1024" s="2"/>
    </row>
    <row r="1025" spans="1:26" ht="13.8" x14ac:dyDescent="0.3">
      <c r="A1025" s="2" t="s">
        <v>384</v>
      </c>
      <c r="B1025" s="2" t="s">
        <v>107</v>
      </c>
      <c r="C1025" s="10">
        <v>2304025</v>
      </c>
      <c r="D1025" s="10" t="s">
        <v>1162</v>
      </c>
      <c r="E1025" s="10">
        <v>2435202</v>
      </c>
      <c r="F1025" s="10" t="s">
        <v>1223</v>
      </c>
      <c r="G1025" s="69">
        <v>-133.93</v>
      </c>
      <c r="H1025" s="69">
        <v>83.57</v>
      </c>
      <c r="I1025" s="69">
        <f t="shared" ref="I1025:I1043" si="317">H1025*0.65</f>
        <v>54.320499999999996</v>
      </c>
      <c r="J1025" s="70">
        <v>1</v>
      </c>
      <c r="K1025" s="69">
        <f t="shared" ref="K1025:K1043" si="318">(G1025+I1025)*J1025*0.8+(G1025*0.05-H1025*0.25*0.15)*J1025*0.3+(H1025*0.1*0.85+I1025*0.05)*J1025*0.3</f>
        <v>-63.690870000000018</v>
      </c>
      <c r="L1025" s="79" t="s">
        <v>468</v>
      </c>
      <c r="M1025" s="61">
        <f t="shared" ref="M1025:M1038" si="319">(G1025*0.05-H1025*0.25*0.15)*J1025*0.7-(-H1025*0.03*0.15)*J1025</f>
        <v>-6.5051975000000004</v>
      </c>
      <c r="N1025" s="61">
        <f t="shared" ref="N1025:N1038" si="320">(H1025*0.1*0.85+I1025*0.05)*J1025*0.7+H1025*0.03*0.85*J1025</f>
        <v>9.0046675</v>
      </c>
      <c r="O1025" s="58"/>
      <c r="P1025" s="2"/>
      <c r="Q1025" s="2"/>
      <c r="R1025" s="32"/>
      <c r="S1025" s="32"/>
      <c r="T1025" s="32"/>
      <c r="U1025" s="32"/>
      <c r="V1025" s="2"/>
      <c r="W1025" s="2"/>
      <c r="X1025" s="2"/>
      <c r="Y1025" s="2"/>
      <c r="Z1025" s="2"/>
    </row>
    <row r="1026" spans="1:26" ht="13.8" x14ac:dyDescent="0.3">
      <c r="A1026" s="2" t="s">
        <v>384</v>
      </c>
      <c r="B1026" s="2" t="s">
        <v>107</v>
      </c>
      <c r="C1026" s="10">
        <v>2304025</v>
      </c>
      <c r="D1026" s="10" t="s">
        <v>1162</v>
      </c>
      <c r="E1026" s="10">
        <v>2435203</v>
      </c>
      <c r="F1026" s="10" t="s">
        <v>1224</v>
      </c>
      <c r="G1026" s="69">
        <v>-219.91</v>
      </c>
      <c r="H1026" s="69">
        <v>69.81</v>
      </c>
      <c r="I1026" s="69">
        <f t="shared" si="317"/>
        <v>45.3765</v>
      </c>
      <c r="J1026" s="70">
        <v>1</v>
      </c>
      <c r="K1026" s="69">
        <f t="shared" si="318"/>
        <v>-141.25001</v>
      </c>
      <c r="L1026" s="79" t="s">
        <v>468</v>
      </c>
      <c r="M1026" s="61">
        <f t="shared" si="319"/>
        <v>-9.2152174999999996</v>
      </c>
      <c r="N1026" s="61">
        <f t="shared" si="320"/>
        <v>7.5220275000000001</v>
      </c>
      <c r="O1026" s="58"/>
      <c r="P1026" s="2"/>
      <c r="Q1026" s="2"/>
      <c r="R1026" s="32"/>
      <c r="S1026" s="32"/>
      <c r="T1026" s="32"/>
      <c r="U1026" s="32"/>
      <c r="V1026" s="2"/>
      <c r="W1026" s="2"/>
      <c r="X1026" s="2"/>
      <c r="Y1026" s="2"/>
      <c r="Z1026" s="2"/>
    </row>
    <row r="1027" spans="1:26" ht="13.8" x14ac:dyDescent="0.3">
      <c r="A1027" s="2" t="s">
        <v>384</v>
      </c>
      <c r="B1027" s="2" t="s">
        <v>107</v>
      </c>
      <c r="C1027" s="10">
        <v>2304025</v>
      </c>
      <c r="D1027" s="10" t="s">
        <v>1162</v>
      </c>
      <c r="E1027" s="10">
        <v>2435206</v>
      </c>
      <c r="F1027" s="10" t="s">
        <v>1225</v>
      </c>
      <c r="G1027" s="69">
        <v>-66.72</v>
      </c>
      <c r="H1027" s="69">
        <v>5.61</v>
      </c>
      <c r="I1027" s="69">
        <f t="shared" si="317"/>
        <v>3.6465000000000005</v>
      </c>
      <c r="J1027" s="70">
        <v>1</v>
      </c>
      <c r="K1027" s="69">
        <f t="shared" si="318"/>
        <v>-51.324959999999997</v>
      </c>
      <c r="L1027" s="79" t="s">
        <v>468</v>
      </c>
      <c r="M1027" s="61">
        <f t="shared" si="319"/>
        <v>-2.4572175000000001</v>
      </c>
      <c r="N1027" s="61">
        <f t="shared" si="320"/>
        <v>0.6044775</v>
      </c>
      <c r="O1027" s="58"/>
      <c r="P1027" s="2"/>
      <c r="Q1027" s="2"/>
      <c r="R1027" s="32"/>
      <c r="S1027" s="32"/>
      <c r="T1027" s="32"/>
      <c r="U1027" s="32"/>
      <c r="V1027" s="2"/>
      <c r="W1027" s="2"/>
      <c r="X1027" s="2"/>
      <c r="Y1027" s="2"/>
      <c r="Z1027" s="2"/>
    </row>
    <row r="1028" spans="1:26" ht="13.8" x14ac:dyDescent="0.3">
      <c r="A1028" s="2" t="s">
        <v>384</v>
      </c>
      <c r="B1028" s="2" t="s">
        <v>107</v>
      </c>
      <c r="C1028" s="10">
        <v>2304025</v>
      </c>
      <c r="D1028" s="10" t="s">
        <v>1162</v>
      </c>
      <c r="E1028" s="10">
        <v>2455061</v>
      </c>
      <c r="F1028" s="10" t="s">
        <v>1328</v>
      </c>
      <c r="G1028" s="69">
        <v>-838.67</v>
      </c>
      <c r="H1028" s="69">
        <v>106.19</v>
      </c>
      <c r="I1028" s="69">
        <f t="shared" si="317"/>
        <v>69.023499999999999</v>
      </c>
      <c r="J1028" s="70">
        <v>1</v>
      </c>
      <c r="K1028" s="69">
        <f t="shared" si="318"/>
        <v>-625.74869000000012</v>
      </c>
      <c r="L1028" s="79" t="s">
        <v>468</v>
      </c>
      <c r="M1028" s="61">
        <f t="shared" si="319"/>
        <v>-31.663082500000002</v>
      </c>
      <c r="N1028" s="61">
        <f t="shared" si="320"/>
        <v>11.441972499999999</v>
      </c>
      <c r="O1028" s="58"/>
      <c r="P1028" s="2"/>
      <c r="Q1028" s="2"/>
      <c r="R1028" s="32"/>
      <c r="S1028" s="32"/>
      <c r="T1028" s="32"/>
      <c r="U1028" s="32"/>
      <c r="V1028" s="2"/>
      <c r="W1028" s="2"/>
      <c r="X1028" s="2"/>
      <c r="Y1028" s="2"/>
      <c r="Z1028" s="2"/>
    </row>
    <row r="1029" spans="1:26" ht="13.8" x14ac:dyDescent="0.3">
      <c r="A1029" s="2" t="s">
        <v>384</v>
      </c>
      <c r="B1029" s="2" t="s">
        <v>107</v>
      </c>
      <c r="C1029" s="10">
        <v>2304025</v>
      </c>
      <c r="D1029" s="10" t="s">
        <v>1162</v>
      </c>
      <c r="E1029" s="10">
        <v>2471540</v>
      </c>
      <c r="F1029" s="10" t="s">
        <v>1172</v>
      </c>
      <c r="G1029" s="69">
        <v>-37.19</v>
      </c>
      <c r="H1029" s="69">
        <v>8.6999999999999993</v>
      </c>
      <c r="I1029" s="69">
        <f t="shared" si="317"/>
        <v>5.6549999999999994</v>
      </c>
      <c r="J1029" s="70">
        <v>1</v>
      </c>
      <c r="K1029" s="69">
        <f t="shared" si="318"/>
        <v>-25.57705</v>
      </c>
      <c r="L1029" s="79" t="s">
        <v>468</v>
      </c>
      <c r="M1029" s="61">
        <f t="shared" si="319"/>
        <v>-1.490875</v>
      </c>
      <c r="N1029" s="61">
        <f t="shared" si="320"/>
        <v>0.93742499999999984</v>
      </c>
      <c r="O1029" s="58"/>
      <c r="P1029" s="2"/>
      <c r="Q1029" s="2"/>
      <c r="R1029" s="32"/>
      <c r="S1029" s="32"/>
      <c r="T1029" s="32"/>
      <c r="U1029" s="32"/>
      <c r="V1029" s="2"/>
      <c r="W1029" s="2"/>
      <c r="X1029" s="2"/>
      <c r="Y1029" s="2"/>
      <c r="Z1029" s="2"/>
    </row>
    <row r="1030" spans="1:26" ht="13.8" x14ac:dyDescent="0.3">
      <c r="A1030" s="2" t="s">
        <v>384</v>
      </c>
      <c r="B1030" s="2" t="s">
        <v>107</v>
      </c>
      <c r="C1030" s="10">
        <v>2304025</v>
      </c>
      <c r="D1030" s="10" t="s">
        <v>1162</v>
      </c>
      <c r="E1030" s="10">
        <v>2531140</v>
      </c>
      <c r="F1030" s="10" t="s">
        <v>1257</v>
      </c>
      <c r="G1030" s="69">
        <v>547.45000000000005</v>
      </c>
      <c r="H1030" s="69">
        <v>33.770000000000003</v>
      </c>
      <c r="I1030" s="69">
        <f t="shared" si="317"/>
        <v>21.950500000000002</v>
      </c>
      <c r="J1030" s="70">
        <v>1</v>
      </c>
      <c r="K1030" s="69">
        <f t="shared" si="318"/>
        <v>464.54263000000009</v>
      </c>
      <c r="L1030" s="79" t="s">
        <v>468</v>
      </c>
      <c r="M1030" s="61">
        <f t="shared" si="319"/>
        <v>18.4262525</v>
      </c>
      <c r="N1030" s="61">
        <f t="shared" si="320"/>
        <v>3.6387175000000003</v>
      </c>
      <c r="O1030" s="58"/>
      <c r="P1030" s="2"/>
      <c r="Q1030" s="2"/>
      <c r="R1030" s="32"/>
      <c r="S1030" s="32"/>
      <c r="T1030" s="32"/>
      <c r="U1030" s="32"/>
      <c r="V1030" s="2"/>
      <c r="W1030" s="2"/>
      <c r="X1030" s="2"/>
      <c r="Y1030" s="2"/>
      <c r="Z1030" s="2"/>
    </row>
    <row r="1031" spans="1:26" ht="13.8" x14ac:dyDescent="0.3">
      <c r="A1031" s="2" t="s">
        <v>384</v>
      </c>
      <c r="B1031" s="2" t="s">
        <v>107</v>
      </c>
      <c r="C1031" s="10">
        <v>2304025</v>
      </c>
      <c r="D1031" s="10" t="s">
        <v>1162</v>
      </c>
      <c r="E1031" s="10">
        <v>2531141</v>
      </c>
      <c r="F1031" s="10" t="s">
        <v>1258</v>
      </c>
      <c r="G1031" s="69">
        <v>34.29</v>
      </c>
      <c r="H1031" s="69">
        <v>94.03</v>
      </c>
      <c r="I1031" s="69">
        <f t="shared" si="317"/>
        <v>61.119500000000002</v>
      </c>
      <c r="J1031" s="70">
        <v>1</v>
      </c>
      <c r="K1031" s="69">
        <f t="shared" si="318"/>
        <v>79.098670000000013</v>
      </c>
      <c r="L1031" s="79" t="s">
        <v>468</v>
      </c>
      <c r="M1031" s="61">
        <f t="shared" si="319"/>
        <v>-0.84500249999999966</v>
      </c>
      <c r="N1031" s="61">
        <f t="shared" si="320"/>
        <v>10.1317325</v>
      </c>
      <c r="O1031" s="58"/>
      <c r="P1031" s="2"/>
      <c r="Q1031" s="2"/>
      <c r="R1031" s="32"/>
      <c r="S1031" s="32"/>
      <c r="T1031" s="32"/>
      <c r="U1031" s="32"/>
      <c r="V1031" s="2"/>
      <c r="W1031" s="2"/>
      <c r="X1031" s="2"/>
      <c r="Y1031" s="2"/>
      <c r="Z1031" s="2"/>
    </row>
    <row r="1032" spans="1:26" ht="13.8" x14ac:dyDescent="0.3">
      <c r="A1032" s="2" t="s">
        <v>384</v>
      </c>
      <c r="B1032" s="2" t="s">
        <v>107</v>
      </c>
      <c r="C1032" s="10">
        <v>2304025</v>
      </c>
      <c r="D1032" s="10" t="s">
        <v>1162</v>
      </c>
      <c r="E1032" s="10">
        <v>2531145</v>
      </c>
      <c r="F1032" s="10" t="s">
        <v>1226</v>
      </c>
      <c r="G1032" s="69">
        <v>71.5</v>
      </c>
      <c r="H1032" s="69">
        <v>3.56</v>
      </c>
      <c r="I1032" s="69">
        <f t="shared" si="317"/>
        <v>2.3140000000000001</v>
      </c>
      <c r="J1032" s="70">
        <v>1</v>
      </c>
      <c r="K1032" s="69">
        <f t="shared" si="318"/>
        <v>60.209139999999991</v>
      </c>
      <c r="L1032" s="79" t="s">
        <v>468</v>
      </c>
      <c r="M1032" s="61">
        <f t="shared" si="319"/>
        <v>2.4250699999999998</v>
      </c>
      <c r="N1032" s="61">
        <f t="shared" si="320"/>
        <v>0.38358999999999999</v>
      </c>
      <c r="O1032" s="58"/>
      <c r="P1032" s="2"/>
      <c r="Q1032" s="2"/>
      <c r="R1032" s="32"/>
      <c r="S1032" s="32"/>
      <c r="T1032" s="32"/>
      <c r="U1032" s="32"/>
      <c r="V1032" s="2"/>
      <c r="W1032" s="2"/>
      <c r="X1032" s="2"/>
      <c r="Y1032" s="2"/>
      <c r="Z1032" s="2"/>
    </row>
    <row r="1033" spans="1:26" ht="13.8" x14ac:dyDescent="0.3">
      <c r="A1033" s="2" t="s">
        <v>384</v>
      </c>
      <c r="B1033" s="2" t="s">
        <v>107</v>
      </c>
      <c r="C1033" s="10">
        <v>2304025</v>
      </c>
      <c r="D1033" s="10" t="s">
        <v>1162</v>
      </c>
      <c r="E1033" s="10">
        <v>2531146</v>
      </c>
      <c r="F1033" s="10" t="s">
        <v>1227</v>
      </c>
      <c r="G1033" s="69">
        <v>-2285.21</v>
      </c>
      <c r="H1033" s="69">
        <v>115.79</v>
      </c>
      <c r="I1033" s="69">
        <f t="shared" si="317"/>
        <v>75.263500000000008</v>
      </c>
      <c r="J1033" s="70">
        <v>1</v>
      </c>
      <c r="K1033" s="69">
        <f t="shared" si="318"/>
        <v>-1799.4563900000001</v>
      </c>
      <c r="L1033" s="79" t="s">
        <v>468</v>
      </c>
      <c r="M1033" s="61">
        <f t="shared" si="319"/>
        <v>-82.5007825</v>
      </c>
      <c r="N1033" s="61">
        <f t="shared" si="320"/>
        <v>12.4763725</v>
      </c>
      <c r="O1033" s="58"/>
      <c r="P1033" s="2"/>
      <c r="Q1033" s="2"/>
      <c r="R1033" s="32"/>
      <c r="S1033" s="32"/>
      <c r="T1033" s="32"/>
      <c r="U1033" s="32"/>
      <c r="V1033" s="2"/>
      <c r="W1033" s="2"/>
      <c r="X1033" s="2"/>
      <c r="Y1033" s="2"/>
      <c r="Z1033" s="2"/>
    </row>
    <row r="1034" spans="1:26" ht="13.8" x14ac:dyDescent="0.3">
      <c r="A1034" s="2" t="s">
        <v>384</v>
      </c>
      <c r="B1034" s="2" t="s">
        <v>107</v>
      </c>
      <c r="C1034" s="10">
        <v>2304025</v>
      </c>
      <c r="D1034" s="10" t="s">
        <v>1162</v>
      </c>
      <c r="E1034" s="10">
        <v>2541423</v>
      </c>
      <c r="F1034" s="10" t="s">
        <v>1263</v>
      </c>
      <c r="G1034" s="69">
        <v>79.75</v>
      </c>
      <c r="H1034" s="69">
        <v>15.62</v>
      </c>
      <c r="I1034" s="69">
        <f t="shared" si="317"/>
        <v>10.153</v>
      </c>
      <c r="J1034" s="70">
        <v>1</v>
      </c>
      <c r="K1034" s="69">
        <f t="shared" si="318"/>
        <v>73.493530000000021</v>
      </c>
      <c r="L1034" s="79" t="s">
        <v>468</v>
      </c>
      <c r="M1034" s="61">
        <f t="shared" si="319"/>
        <v>2.4515150000000001</v>
      </c>
      <c r="N1034" s="61">
        <f t="shared" si="320"/>
        <v>1.683055</v>
      </c>
      <c r="O1034" s="58"/>
      <c r="P1034" s="2"/>
      <c r="Q1034" s="2"/>
      <c r="R1034" s="32"/>
      <c r="S1034" s="32"/>
      <c r="T1034" s="32"/>
      <c r="U1034" s="32"/>
      <c r="V1034" s="2"/>
      <c r="W1034" s="2"/>
      <c r="X1034" s="2"/>
      <c r="Y1034" s="2"/>
      <c r="Z1034" s="2"/>
    </row>
    <row r="1035" spans="1:26" ht="13.8" x14ac:dyDescent="0.3">
      <c r="A1035" s="2" t="s">
        <v>384</v>
      </c>
      <c r="B1035" s="2" t="s">
        <v>107</v>
      </c>
      <c r="C1035" s="10">
        <v>2304025</v>
      </c>
      <c r="D1035" s="10" t="s">
        <v>1162</v>
      </c>
      <c r="E1035" s="10">
        <v>2554720</v>
      </c>
      <c r="F1035" s="10" t="s">
        <v>1270</v>
      </c>
      <c r="G1035" s="69">
        <v>-94.19</v>
      </c>
      <c r="H1035" s="69">
        <v>7.71</v>
      </c>
      <c r="I1035" s="69">
        <f t="shared" si="317"/>
        <v>5.0114999999999998</v>
      </c>
      <c r="J1035" s="70">
        <v>1</v>
      </c>
      <c r="K1035" s="69">
        <f t="shared" si="318"/>
        <v>-72.570610000000002</v>
      </c>
      <c r="L1035" s="79" t="s">
        <v>468</v>
      </c>
      <c r="M1035" s="61">
        <f t="shared" si="319"/>
        <v>-3.4643424999999999</v>
      </c>
      <c r="N1035" s="61">
        <f t="shared" si="320"/>
        <v>0.8307525</v>
      </c>
      <c r="O1035" s="58"/>
      <c r="P1035" s="2"/>
      <c r="Q1035" s="2"/>
      <c r="R1035" s="32"/>
      <c r="S1035" s="32"/>
      <c r="T1035" s="32"/>
      <c r="U1035" s="32"/>
      <c r="V1035" s="2"/>
      <c r="W1035" s="2"/>
      <c r="X1035" s="2"/>
      <c r="Y1035" s="2"/>
      <c r="Z1035" s="2"/>
    </row>
    <row r="1036" spans="1:26" ht="13.8" x14ac:dyDescent="0.3">
      <c r="A1036" s="2" t="s">
        <v>384</v>
      </c>
      <c r="B1036" s="2" t="s">
        <v>107</v>
      </c>
      <c r="C1036" s="10">
        <v>2304025</v>
      </c>
      <c r="D1036" s="10" t="s">
        <v>1162</v>
      </c>
      <c r="E1036" s="10">
        <v>2575716</v>
      </c>
      <c r="F1036" s="10" t="s">
        <v>1283</v>
      </c>
      <c r="G1036" s="69">
        <v>-249.21</v>
      </c>
      <c r="H1036" s="69">
        <v>61.07</v>
      </c>
      <c r="I1036" s="69">
        <f t="shared" si="317"/>
        <v>39.695500000000003</v>
      </c>
      <c r="J1036" s="70">
        <v>1</v>
      </c>
      <c r="K1036" s="69">
        <f t="shared" si="318"/>
        <v>-169.88407000000001</v>
      </c>
      <c r="L1036" s="79" t="s">
        <v>468</v>
      </c>
      <c r="M1036" s="61">
        <f t="shared" si="319"/>
        <v>-10.050622499999999</v>
      </c>
      <c r="N1036" s="61">
        <f t="shared" si="320"/>
        <v>6.5802924999999988</v>
      </c>
      <c r="O1036" s="58"/>
      <c r="P1036" s="2"/>
      <c r="Q1036" s="2"/>
      <c r="R1036" s="32"/>
      <c r="S1036" s="32"/>
      <c r="T1036" s="32"/>
      <c r="U1036" s="32"/>
      <c r="V1036" s="2"/>
      <c r="W1036" s="2"/>
      <c r="X1036" s="2"/>
      <c r="Y1036" s="2"/>
      <c r="Z1036" s="2"/>
    </row>
    <row r="1037" spans="1:26" ht="13.8" x14ac:dyDescent="0.3">
      <c r="A1037" s="2" t="s">
        <v>384</v>
      </c>
      <c r="B1037" s="2" t="s">
        <v>107</v>
      </c>
      <c r="C1037" s="10">
        <v>2304025</v>
      </c>
      <c r="D1037" s="10" t="s">
        <v>1162</v>
      </c>
      <c r="E1037" s="10">
        <v>2575824</v>
      </c>
      <c r="F1037" s="10" t="s">
        <v>1284</v>
      </c>
      <c r="G1037" s="69">
        <v>-23.88</v>
      </c>
      <c r="H1037" s="69">
        <v>16.13</v>
      </c>
      <c r="I1037" s="69">
        <f t="shared" si="317"/>
        <v>10.484500000000001</v>
      </c>
      <c r="J1037" s="70">
        <v>1</v>
      </c>
      <c r="K1037" s="69">
        <f t="shared" si="318"/>
        <v>-10.687480000000001</v>
      </c>
      <c r="L1037" s="79" t="s">
        <v>468</v>
      </c>
      <c r="M1037" s="61">
        <f t="shared" si="319"/>
        <v>-1.1866274999999999</v>
      </c>
      <c r="N1037" s="61">
        <f t="shared" si="320"/>
        <v>1.7380074999999997</v>
      </c>
      <c r="O1037" s="58"/>
      <c r="P1037" s="2"/>
      <c r="Q1037" s="2"/>
      <c r="R1037" s="32"/>
      <c r="S1037" s="32"/>
      <c r="T1037" s="32"/>
      <c r="U1037" s="32"/>
      <c r="V1037" s="2"/>
      <c r="W1037" s="2"/>
      <c r="X1037" s="2"/>
      <c r="Y1037" s="2"/>
      <c r="Z1037" s="2"/>
    </row>
    <row r="1038" spans="1:26" ht="13.8" x14ac:dyDescent="0.3">
      <c r="A1038" s="2" t="s">
        <v>384</v>
      </c>
      <c r="B1038" s="2" t="s">
        <v>107</v>
      </c>
      <c r="C1038" s="10">
        <v>2304025</v>
      </c>
      <c r="D1038" s="10" t="s">
        <v>1162</v>
      </c>
      <c r="E1038" s="10">
        <v>2575978</v>
      </c>
      <c r="F1038" s="10" t="s">
        <v>1285</v>
      </c>
      <c r="G1038" s="69">
        <v>328.55</v>
      </c>
      <c r="H1038" s="69">
        <v>46.51</v>
      </c>
      <c r="I1038" s="69">
        <f t="shared" si="317"/>
        <v>30.2315</v>
      </c>
      <c r="J1038" s="70">
        <v>1</v>
      </c>
      <c r="K1038" s="69">
        <f t="shared" si="318"/>
        <v>293.06968999999998</v>
      </c>
      <c r="L1038" s="79" t="s">
        <v>468</v>
      </c>
      <c r="M1038" s="61">
        <f t="shared" si="319"/>
        <v>10.487657499999999</v>
      </c>
      <c r="N1038" s="61">
        <f t="shared" si="320"/>
        <v>5.0114524999999999</v>
      </c>
      <c r="O1038" s="58"/>
      <c r="P1038" s="2"/>
      <c r="Q1038" s="2"/>
      <c r="R1038" s="32"/>
      <c r="S1038" s="32"/>
      <c r="T1038" s="32"/>
      <c r="U1038" s="32"/>
      <c r="V1038" s="2"/>
      <c r="W1038" s="2"/>
      <c r="X1038" s="2"/>
      <c r="Y1038" s="2"/>
      <c r="Z1038" s="2"/>
    </row>
    <row r="1039" spans="1:26" ht="13.8" x14ac:dyDescent="0.3">
      <c r="A1039" s="2" t="s">
        <v>384</v>
      </c>
      <c r="B1039" s="2" t="s">
        <v>107</v>
      </c>
      <c r="C1039" s="10">
        <v>2373023</v>
      </c>
      <c r="D1039" s="10" t="s">
        <v>1127</v>
      </c>
      <c r="E1039" s="10">
        <v>2630335</v>
      </c>
      <c r="F1039" s="10" t="s">
        <v>1320</v>
      </c>
      <c r="G1039" s="69">
        <v>283.75</v>
      </c>
      <c r="H1039" s="69">
        <v>24.07</v>
      </c>
      <c r="I1039" s="69">
        <f t="shared" si="317"/>
        <v>15.6455</v>
      </c>
      <c r="J1039" s="70">
        <v>1</v>
      </c>
      <c r="K1039" s="69">
        <f t="shared" si="318"/>
        <v>244.35033000000004</v>
      </c>
      <c r="L1039" s="19" t="s">
        <v>468</v>
      </c>
      <c r="M1039" s="61">
        <f t="shared" ref="M1039:M1043" si="321">(G1039*0.05-H1039*0.25*0.15)*J1039*0.7-(-H1039*0.02*0.15)*J1039</f>
        <v>9.3716224999999991</v>
      </c>
      <c r="N1039" s="61">
        <f t="shared" ref="N1039:N1043" si="322">(H1039*0.1*0.85+I1039*0.05)*J1039*0.7+H1039*0.02*0.85*J1039</f>
        <v>2.3889474999999996</v>
      </c>
      <c r="O1039" s="71"/>
      <c r="P1039" s="2"/>
      <c r="Q1039" s="2"/>
      <c r="R1039" s="32"/>
      <c r="S1039" s="32"/>
      <c r="T1039" s="32"/>
      <c r="U1039" s="32"/>
      <c r="V1039" s="2"/>
      <c r="W1039" s="2"/>
      <c r="X1039" s="2"/>
      <c r="Y1039" s="2"/>
      <c r="Z1039" s="2"/>
    </row>
    <row r="1040" spans="1:26" ht="13.8" x14ac:dyDescent="0.3">
      <c r="A1040" s="2" t="s">
        <v>384</v>
      </c>
      <c r="B1040" s="2" t="s">
        <v>107</v>
      </c>
      <c r="C1040" s="10">
        <v>2373023</v>
      </c>
      <c r="D1040" s="10" t="s">
        <v>1127</v>
      </c>
      <c r="E1040" s="10">
        <v>2660099</v>
      </c>
      <c r="F1040" s="10" t="s">
        <v>1329</v>
      </c>
      <c r="G1040" s="69">
        <v>-15.48</v>
      </c>
      <c r="H1040" s="69">
        <v>3.19</v>
      </c>
      <c r="I1040" s="69">
        <f t="shared" si="317"/>
        <v>2.0735000000000001</v>
      </c>
      <c r="J1040" s="70">
        <v>1</v>
      </c>
      <c r="K1040" s="69">
        <f t="shared" si="318"/>
        <v>-10.880840000000001</v>
      </c>
      <c r="L1040" s="19" t="s">
        <v>468</v>
      </c>
      <c r="M1040" s="61">
        <f t="shared" si="321"/>
        <v>-0.6159675</v>
      </c>
      <c r="N1040" s="61">
        <f t="shared" si="322"/>
        <v>0.31660749999999999</v>
      </c>
      <c r="O1040" s="71"/>
      <c r="P1040" s="2"/>
      <c r="Q1040" s="2"/>
      <c r="R1040" s="32"/>
      <c r="S1040" s="32"/>
      <c r="T1040" s="32"/>
      <c r="U1040" s="32"/>
      <c r="V1040" s="2"/>
      <c r="W1040" s="2"/>
      <c r="X1040" s="2"/>
      <c r="Y1040" s="2"/>
      <c r="Z1040" s="2"/>
    </row>
    <row r="1041" spans="1:26" ht="13.8" x14ac:dyDescent="0.3">
      <c r="A1041" s="2" t="s">
        <v>384</v>
      </c>
      <c r="B1041" s="2" t="s">
        <v>107</v>
      </c>
      <c r="C1041" s="10">
        <v>2525136</v>
      </c>
      <c r="D1041" s="10" t="s">
        <v>1205</v>
      </c>
      <c r="E1041" s="10">
        <v>2523689</v>
      </c>
      <c r="F1041" s="10" t="s">
        <v>1311</v>
      </c>
      <c r="G1041" s="69">
        <v>655.88</v>
      </c>
      <c r="H1041" s="69">
        <v>32.299999999999997</v>
      </c>
      <c r="I1041" s="69">
        <f t="shared" si="317"/>
        <v>20.994999999999997</v>
      </c>
      <c r="J1041" s="70">
        <v>1</v>
      </c>
      <c r="K1041" s="69">
        <f t="shared" si="318"/>
        <v>552.11339999999996</v>
      </c>
      <c r="L1041" s="19" t="s">
        <v>468</v>
      </c>
      <c r="M1041" s="61">
        <f t="shared" si="321"/>
        <v>22.204825000000003</v>
      </c>
      <c r="N1041" s="61">
        <f t="shared" si="322"/>
        <v>3.205775</v>
      </c>
      <c r="O1041" s="71"/>
      <c r="P1041" s="2"/>
      <c r="Q1041" s="2"/>
      <c r="R1041" s="32"/>
      <c r="S1041" s="32"/>
      <c r="T1041" s="32"/>
      <c r="U1041" s="32"/>
      <c r="V1041" s="2"/>
      <c r="W1041" s="2"/>
      <c r="X1041" s="2"/>
      <c r="Y1041" s="2"/>
      <c r="Z1041" s="2"/>
    </row>
    <row r="1042" spans="1:26" ht="13.8" x14ac:dyDescent="0.3">
      <c r="A1042" s="2" t="s">
        <v>384</v>
      </c>
      <c r="B1042" s="2" t="s">
        <v>107</v>
      </c>
      <c r="C1042" s="10">
        <v>2525136</v>
      </c>
      <c r="D1042" s="10" t="s">
        <v>1205</v>
      </c>
      <c r="E1042" s="10">
        <v>2525136</v>
      </c>
      <c r="F1042" s="10" t="s">
        <v>1205</v>
      </c>
      <c r="G1042" s="69">
        <v>781.77</v>
      </c>
      <c r="H1042" s="69">
        <v>131.13</v>
      </c>
      <c r="I1042" s="69">
        <f t="shared" si="317"/>
        <v>85.234499999999997</v>
      </c>
      <c r="J1042" s="70">
        <v>1</v>
      </c>
      <c r="K1042" s="69">
        <f t="shared" si="318"/>
        <v>708.47726999999998</v>
      </c>
      <c r="L1042" s="19" t="s">
        <v>468</v>
      </c>
      <c r="M1042" s="61">
        <f t="shared" si="321"/>
        <v>24.313177500000002</v>
      </c>
      <c r="N1042" s="61">
        <f t="shared" si="322"/>
        <v>13.014652499999999</v>
      </c>
      <c r="O1042" s="71"/>
      <c r="P1042" s="2"/>
      <c r="Q1042" s="2"/>
      <c r="R1042" s="32"/>
      <c r="S1042" s="32"/>
      <c r="T1042" s="32"/>
      <c r="U1042" s="32"/>
      <c r="V1042" s="2"/>
      <c r="W1042" s="2"/>
      <c r="X1042" s="2"/>
      <c r="Y1042" s="2"/>
      <c r="Z1042" s="2"/>
    </row>
    <row r="1043" spans="1:26" ht="13.8" x14ac:dyDescent="0.3">
      <c r="A1043" s="2" t="s">
        <v>384</v>
      </c>
      <c r="B1043" s="2" t="s">
        <v>107</v>
      </c>
      <c r="C1043" s="10">
        <v>2525136</v>
      </c>
      <c r="D1043" s="10" t="s">
        <v>1205</v>
      </c>
      <c r="E1043" s="10">
        <v>2600460</v>
      </c>
      <c r="F1043" s="10" t="s">
        <v>1312</v>
      </c>
      <c r="G1043" s="69">
        <v>30.88</v>
      </c>
      <c r="H1043" s="69">
        <v>69.83</v>
      </c>
      <c r="I1043" s="69">
        <f t="shared" si="317"/>
        <v>45.389499999999998</v>
      </c>
      <c r="J1043" s="70">
        <v>1</v>
      </c>
      <c r="K1043" s="69">
        <f t="shared" si="318"/>
        <v>63.154719999999998</v>
      </c>
      <c r="L1043" s="19" t="s">
        <v>468</v>
      </c>
      <c r="M1043" s="61">
        <f t="shared" si="321"/>
        <v>-0.54274749999999972</v>
      </c>
      <c r="N1043" s="61">
        <f t="shared" si="322"/>
        <v>6.9306274999999999</v>
      </c>
      <c r="O1043" s="71"/>
      <c r="P1043" s="2"/>
      <c r="Q1043" s="2"/>
      <c r="R1043" s="32"/>
      <c r="S1043" s="32"/>
      <c r="T1043" s="32"/>
      <c r="U1043" s="32"/>
      <c r="V1043" s="2"/>
      <c r="W1043" s="2"/>
      <c r="X1043" s="2"/>
      <c r="Y1043" s="2"/>
      <c r="Z1043" s="2"/>
    </row>
    <row r="1044" spans="1:26" ht="13.8" x14ac:dyDescent="0.3">
      <c r="A1044" s="2" t="s">
        <v>384</v>
      </c>
      <c r="B1044" s="29" t="s">
        <v>35</v>
      </c>
      <c r="C1044" s="10" t="s">
        <v>1114</v>
      </c>
      <c r="D1044" s="10" t="s">
        <v>1115</v>
      </c>
      <c r="E1044" s="10" t="s">
        <v>1298</v>
      </c>
      <c r="F1044" s="10" t="s">
        <v>1299</v>
      </c>
      <c r="G1044" s="69">
        <v>23825.439999999999</v>
      </c>
      <c r="H1044" s="69">
        <v>6838.63</v>
      </c>
      <c r="I1044" s="69">
        <f t="shared" ref="I1044:I1048" si="323">H1044*0.79</f>
        <v>5402.5177000000003</v>
      </c>
      <c r="J1044" s="75">
        <v>0.26494000000000001</v>
      </c>
      <c r="K1044" s="69">
        <f t="shared" ref="K1044:K1048" si="324">(G1044+I1044)*J1044*0.87</f>
        <v>6736.9799483430606</v>
      </c>
      <c r="L1044" s="78">
        <f t="shared" ref="L1044:L1048" si="325">H1044*0.05*J1044*0.87</f>
        <v>78.814458500700013</v>
      </c>
      <c r="M1044" s="61">
        <v>0</v>
      </c>
      <c r="N1044" s="61">
        <f t="shared" ref="N1044:N1048" si="326">H1044*0.04*J1044*0.87</f>
        <v>63.051566800560011</v>
      </c>
      <c r="O1044" s="61"/>
      <c r="P1044" s="2"/>
      <c r="Q1044" s="2"/>
      <c r="R1044" s="32"/>
      <c r="S1044" s="32"/>
      <c r="T1044" s="32"/>
      <c r="U1044" s="32"/>
      <c r="V1044" s="2"/>
      <c r="W1044" s="2"/>
      <c r="X1044" s="2"/>
      <c r="Y1044" s="2"/>
      <c r="Z1044" s="2"/>
    </row>
    <row r="1045" spans="1:26" ht="13.8" x14ac:dyDescent="0.3">
      <c r="A1045" s="2" t="s">
        <v>384</v>
      </c>
      <c r="B1045" s="29" t="s">
        <v>35</v>
      </c>
      <c r="C1045" s="10" t="s">
        <v>1138</v>
      </c>
      <c r="D1045" s="10" t="s">
        <v>1139</v>
      </c>
      <c r="E1045" s="10" t="s">
        <v>1140</v>
      </c>
      <c r="F1045" s="10" t="s">
        <v>1141</v>
      </c>
      <c r="G1045" s="69">
        <v>-483.8</v>
      </c>
      <c r="H1045" s="69">
        <v>103.8</v>
      </c>
      <c r="I1045" s="69">
        <f t="shared" si="323"/>
        <v>82.001999999999995</v>
      </c>
      <c r="J1045" s="75">
        <v>0.26494000000000001</v>
      </c>
      <c r="K1045" s="69">
        <f t="shared" si="324"/>
        <v>-92.613555044400002</v>
      </c>
      <c r="L1045" s="78">
        <f t="shared" si="325"/>
        <v>1.1962835820000002</v>
      </c>
      <c r="M1045" s="61">
        <v>0</v>
      </c>
      <c r="N1045" s="61">
        <f t="shared" si="326"/>
        <v>0.95702686560000005</v>
      </c>
      <c r="O1045" s="61"/>
      <c r="P1045" s="2"/>
      <c r="Q1045" s="2"/>
      <c r="R1045" s="32"/>
      <c r="S1045" s="32"/>
      <c r="T1045" s="32"/>
      <c r="U1045" s="32"/>
      <c r="V1045" s="2"/>
      <c r="W1045" s="2"/>
      <c r="X1045" s="2"/>
      <c r="Y1045" s="2"/>
      <c r="Z1045" s="2"/>
    </row>
    <row r="1046" spans="1:26" ht="13.8" x14ac:dyDescent="0.3">
      <c r="A1046" s="2" t="s">
        <v>384</v>
      </c>
      <c r="B1046" s="29" t="s">
        <v>35</v>
      </c>
      <c r="C1046" s="10" t="s">
        <v>1138</v>
      </c>
      <c r="D1046" s="10" t="s">
        <v>1139</v>
      </c>
      <c r="E1046" s="10" t="s">
        <v>1324</v>
      </c>
      <c r="F1046" s="10" t="s">
        <v>1325</v>
      </c>
      <c r="G1046" s="69">
        <v>154.58000000000001</v>
      </c>
      <c r="H1046" s="69">
        <v>78.22</v>
      </c>
      <c r="I1046" s="69">
        <f t="shared" si="323"/>
        <v>61.793800000000005</v>
      </c>
      <c r="J1046" s="75">
        <v>0.26494000000000001</v>
      </c>
      <c r="K1046" s="69">
        <f t="shared" si="324"/>
        <v>49.873684877640002</v>
      </c>
      <c r="L1046" s="78">
        <f t="shared" si="325"/>
        <v>0.90147689580000001</v>
      </c>
      <c r="M1046" s="61">
        <v>0</v>
      </c>
      <c r="N1046" s="61">
        <f t="shared" si="326"/>
        <v>0.72118151663999996</v>
      </c>
      <c r="O1046" s="61"/>
      <c r="P1046" s="2"/>
      <c r="Q1046" s="2"/>
      <c r="R1046" s="32"/>
      <c r="S1046" s="32"/>
      <c r="T1046" s="32"/>
      <c r="U1046" s="32"/>
      <c r="V1046" s="2"/>
      <c r="W1046" s="2"/>
      <c r="X1046" s="2"/>
      <c r="Y1046" s="2"/>
      <c r="Z1046" s="2"/>
    </row>
    <row r="1047" spans="1:26" ht="13.8" x14ac:dyDescent="0.3">
      <c r="A1047" s="2" t="s">
        <v>384</v>
      </c>
      <c r="B1047" s="29" t="s">
        <v>35</v>
      </c>
      <c r="C1047" s="10" t="s">
        <v>1138</v>
      </c>
      <c r="D1047" s="10" t="s">
        <v>1139</v>
      </c>
      <c r="E1047" s="10" t="s">
        <v>1330</v>
      </c>
      <c r="F1047" s="10" t="s">
        <v>1331</v>
      </c>
      <c r="G1047" s="69">
        <v>-984.89</v>
      </c>
      <c r="H1047" s="69">
        <v>166.28</v>
      </c>
      <c r="I1047" s="69">
        <f t="shared" si="323"/>
        <v>131.3612</v>
      </c>
      <c r="J1047" s="75">
        <v>0.26494000000000001</v>
      </c>
      <c r="K1047" s="69">
        <f t="shared" si="324"/>
        <v>-196.73651063664002</v>
      </c>
      <c r="L1047" s="78">
        <f t="shared" si="325"/>
        <v>1.9163587092000003</v>
      </c>
      <c r="M1047" s="61">
        <v>0</v>
      </c>
      <c r="N1047" s="61">
        <f t="shared" si="326"/>
        <v>1.5330869673600001</v>
      </c>
      <c r="O1047" s="61"/>
      <c r="P1047" s="2"/>
      <c r="Q1047" s="2"/>
      <c r="R1047" s="32"/>
      <c r="S1047" s="32"/>
      <c r="T1047" s="32"/>
      <c r="U1047" s="32"/>
      <c r="V1047" s="2"/>
      <c r="W1047" s="2"/>
      <c r="X1047" s="2"/>
      <c r="Y1047" s="2"/>
      <c r="Z1047" s="2"/>
    </row>
    <row r="1048" spans="1:26" ht="13.8" x14ac:dyDescent="0.3">
      <c r="A1048" s="2" t="s">
        <v>384</v>
      </c>
      <c r="B1048" s="29" t="s">
        <v>35</v>
      </c>
      <c r="C1048" s="10" t="s">
        <v>1138</v>
      </c>
      <c r="D1048" s="10" t="s">
        <v>1139</v>
      </c>
      <c r="E1048" s="10" t="s">
        <v>1268</v>
      </c>
      <c r="F1048" s="10" t="s">
        <v>1269</v>
      </c>
      <c r="G1048" s="69">
        <v>-4094.89</v>
      </c>
      <c r="H1048" s="69">
        <v>1149.98</v>
      </c>
      <c r="I1048" s="69">
        <f t="shared" si="323"/>
        <v>908.4842000000001</v>
      </c>
      <c r="J1048" s="75">
        <v>0.26494000000000001</v>
      </c>
      <c r="K1048" s="69">
        <f t="shared" si="324"/>
        <v>-734.45952680723997</v>
      </c>
      <c r="L1048" s="78">
        <f t="shared" si="325"/>
        <v>13.253393002200001</v>
      </c>
      <c r="M1048" s="61">
        <v>0</v>
      </c>
      <c r="N1048" s="61">
        <f t="shared" si="326"/>
        <v>10.60271440176</v>
      </c>
      <c r="O1048" s="61"/>
      <c r="P1048" s="2"/>
      <c r="Q1048" s="2"/>
      <c r="R1048" s="32"/>
      <c r="S1048" s="32"/>
      <c r="T1048" s="32"/>
      <c r="U1048" s="32"/>
      <c r="V1048" s="2"/>
      <c r="W1048" s="2"/>
      <c r="X1048" s="2"/>
      <c r="Y1048" s="2"/>
      <c r="Z1048" s="2"/>
    </row>
    <row r="1049" spans="1:26" ht="13.8" x14ac:dyDescent="0.3">
      <c r="A1049" s="2" t="s">
        <v>384</v>
      </c>
      <c r="B1049" s="10" t="s">
        <v>196</v>
      </c>
      <c r="C1049" s="10" t="s">
        <v>1332</v>
      </c>
      <c r="D1049" s="10" t="s">
        <v>1333</v>
      </c>
      <c r="E1049" s="10" t="s">
        <v>1268</v>
      </c>
      <c r="F1049" s="10" t="s">
        <v>1269</v>
      </c>
      <c r="G1049" s="69">
        <v>1163.48</v>
      </c>
      <c r="H1049" s="69">
        <v>588.62</v>
      </c>
      <c r="I1049" s="69">
        <f>H1049*0.725</f>
        <v>426.74950000000001</v>
      </c>
      <c r="J1049" s="75">
        <v>0.26494000000000001</v>
      </c>
      <c r="K1049" s="69">
        <f>(G1049+I1049)*J1049</f>
        <v>421.31540373000001</v>
      </c>
      <c r="L1049" s="78">
        <f>H1049*0.025*J1049</f>
        <v>3.8987245700000002</v>
      </c>
      <c r="M1049" s="61">
        <v>0</v>
      </c>
      <c r="N1049" s="61">
        <f>H1049*0.12*J1049</f>
        <v>18.713877935999999</v>
      </c>
      <c r="O1049" s="58"/>
      <c r="P1049" s="2"/>
      <c r="Q1049" s="2"/>
      <c r="R1049" s="32"/>
      <c r="S1049" s="32"/>
      <c r="T1049" s="32"/>
      <c r="U1049" s="32"/>
      <c r="V1049" s="2"/>
      <c r="W1049" s="2"/>
      <c r="X1049" s="2"/>
      <c r="Y1049" s="2"/>
      <c r="Z1049" s="2"/>
    </row>
    <row r="1050" spans="1:26" ht="13.8" x14ac:dyDescent="0.3">
      <c r="A1050" s="2" t="s">
        <v>384</v>
      </c>
      <c r="B1050" s="2" t="s">
        <v>186</v>
      </c>
      <c r="C1050" s="10">
        <v>2304025</v>
      </c>
      <c r="D1050" s="10" t="s">
        <v>1162</v>
      </c>
      <c r="E1050" s="10">
        <v>2420208</v>
      </c>
      <c r="F1050" s="10" t="s">
        <v>1170</v>
      </c>
      <c r="G1050" s="69">
        <v>0</v>
      </c>
      <c r="H1050" s="69">
        <v>0</v>
      </c>
      <c r="I1050" s="69">
        <f t="shared" ref="I1050:I1064" si="327">H1050*0.5</f>
        <v>0</v>
      </c>
      <c r="J1050" s="70">
        <v>1</v>
      </c>
      <c r="K1050" s="69">
        <f t="shared" ref="K1050:K1064" si="328">(G1050+I1050)*J1050*0.85+(-H1050*0.4*0.15)*J1050*0.3+H1050*0.1*0.85*J1050*0.3</f>
        <v>0</v>
      </c>
      <c r="L1050" s="79" t="s">
        <v>468</v>
      </c>
      <c r="M1050" s="61">
        <f t="shared" ref="M1050:M1064" si="329">(-H1050*0.4*0.15)*J1050*0.7-(-H1050*0.05*0.15)*J1050</f>
        <v>0</v>
      </c>
      <c r="N1050" s="61">
        <f t="shared" ref="N1050:N1064" si="330">H1050*0.1*0.85*J1050*0.7+H1050*0.05*0.85*J1050</f>
        <v>0</v>
      </c>
      <c r="O1050" s="61"/>
      <c r="P1050" s="2"/>
      <c r="Q1050" s="2"/>
      <c r="R1050" s="32"/>
      <c r="S1050" s="32"/>
      <c r="T1050" s="32"/>
      <c r="U1050" s="32"/>
      <c r="V1050" s="2"/>
      <c r="W1050" s="2"/>
      <c r="X1050" s="2"/>
      <c r="Y1050" s="2"/>
      <c r="Z1050" s="2"/>
    </row>
    <row r="1051" spans="1:26" ht="13.8" x14ac:dyDescent="0.3">
      <c r="A1051" s="2" t="s">
        <v>384</v>
      </c>
      <c r="B1051" s="2" t="s">
        <v>186</v>
      </c>
      <c r="C1051" s="10">
        <v>2304025</v>
      </c>
      <c r="D1051" s="10" t="s">
        <v>1162</v>
      </c>
      <c r="E1051" s="10">
        <v>2471540</v>
      </c>
      <c r="F1051" s="10" t="s">
        <v>1172</v>
      </c>
      <c r="G1051" s="69">
        <v>-6.83</v>
      </c>
      <c r="H1051" s="69">
        <v>56.17</v>
      </c>
      <c r="I1051" s="69">
        <f t="shared" si="327"/>
        <v>28.085000000000001</v>
      </c>
      <c r="J1051" s="70">
        <v>1</v>
      </c>
      <c r="K1051" s="69">
        <f t="shared" si="328"/>
        <v>18.488025</v>
      </c>
      <c r="L1051" s="79" t="s">
        <v>468</v>
      </c>
      <c r="M1051" s="61">
        <f t="shared" si="329"/>
        <v>-1.9378649999999999</v>
      </c>
      <c r="N1051" s="61">
        <f t="shared" si="330"/>
        <v>5.7293400000000005</v>
      </c>
      <c r="O1051" s="61"/>
      <c r="P1051" s="2"/>
      <c r="Q1051" s="2"/>
      <c r="R1051" s="32"/>
      <c r="S1051" s="32"/>
      <c r="T1051" s="32"/>
      <c r="U1051" s="32"/>
      <c r="V1051" s="2"/>
      <c r="W1051" s="2"/>
      <c r="X1051" s="2"/>
      <c r="Y1051" s="2"/>
      <c r="Z1051" s="2"/>
    </row>
    <row r="1052" spans="1:26" ht="13.8" x14ac:dyDescent="0.3">
      <c r="A1052" s="2" t="s">
        <v>384</v>
      </c>
      <c r="B1052" s="2" t="s">
        <v>186</v>
      </c>
      <c r="C1052" s="10">
        <v>2304025</v>
      </c>
      <c r="D1052" s="10" t="s">
        <v>1162</v>
      </c>
      <c r="E1052" s="10">
        <v>2514199</v>
      </c>
      <c r="F1052" s="10" t="s">
        <v>1175</v>
      </c>
      <c r="G1052" s="69">
        <v>-3</v>
      </c>
      <c r="H1052" s="69">
        <v>0.28999999999999998</v>
      </c>
      <c r="I1052" s="69">
        <f t="shared" si="327"/>
        <v>0.14499999999999999</v>
      </c>
      <c r="J1052" s="70">
        <v>1</v>
      </c>
      <c r="K1052" s="69">
        <f t="shared" si="328"/>
        <v>-2.4245749999999999</v>
      </c>
      <c r="L1052" s="79" t="s">
        <v>468</v>
      </c>
      <c r="M1052" s="61">
        <f t="shared" si="329"/>
        <v>-1.0004999999999998E-2</v>
      </c>
      <c r="N1052" s="61">
        <f t="shared" si="330"/>
        <v>2.9579999999999995E-2</v>
      </c>
      <c r="O1052" s="61"/>
      <c r="P1052" s="2"/>
      <c r="Q1052" s="2"/>
      <c r="R1052" s="32"/>
      <c r="S1052" s="32"/>
      <c r="T1052" s="32"/>
      <c r="U1052" s="32"/>
      <c r="V1052" s="2"/>
      <c r="W1052" s="2"/>
      <c r="X1052" s="2"/>
      <c r="Y1052" s="2"/>
      <c r="Z1052" s="2"/>
    </row>
    <row r="1053" spans="1:26" ht="13.8" x14ac:dyDescent="0.3">
      <c r="A1053" s="2" t="s">
        <v>384</v>
      </c>
      <c r="B1053" s="2" t="s">
        <v>186</v>
      </c>
      <c r="C1053" s="10">
        <v>2304025</v>
      </c>
      <c r="D1053" s="10" t="s">
        <v>1162</v>
      </c>
      <c r="E1053" s="10">
        <v>2531141</v>
      </c>
      <c r="F1053" s="10" t="s">
        <v>1258</v>
      </c>
      <c r="G1053" s="69">
        <v>342.71</v>
      </c>
      <c r="H1053" s="69">
        <v>198.12</v>
      </c>
      <c r="I1053" s="69">
        <f t="shared" si="327"/>
        <v>99.06</v>
      </c>
      <c r="J1053" s="70">
        <v>1</v>
      </c>
      <c r="K1053" s="69">
        <f t="shared" si="328"/>
        <v>376.99039999999991</v>
      </c>
      <c r="L1053" s="79" t="s">
        <v>468</v>
      </c>
      <c r="M1053" s="61">
        <f t="shared" si="329"/>
        <v>-6.83514</v>
      </c>
      <c r="N1053" s="61">
        <f t="shared" si="330"/>
        <v>20.208239999999996</v>
      </c>
      <c r="O1053" s="61"/>
      <c r="P1053" s="2"/>
      <c r="Q1053" s="2"/>
      <c r="R1053" s="32"/>
      <c r="S1053" s="32"/>
      <c r="T1053" s="32"/>
      <c r="U1053" s="32"/>
      <c r="V1053" s="2"/>
      <c r="W1053" s="2"/>
      <c r="X1053" s="2"/>
      <c r="Y1053" s="2"/>
      <c r="Z1053" s="2"/>
    </row>
    <row r="1054" spans="1:26" ht="13.8" x14ac:dyDescent="0.3">
      <c r="A1054" s="2" t="s">
        <v>384</v>
      </c>
      <c r="B1054" s="2" t="s">
        <v>186</v>
      </c>
      <c r="C1054" s="10">
        <v>2304025</v>
      </c>
      <c r="D1054" s="10" t="s">
        <v>1162</v>
      </c>
      <c r="E1054" s="10">
        <v>2531146</v>
      </c>
      <c r="F1054" s="10" t="s">
        <v>1227</v>
      </c>
      <c r="G1054" s="69">
        <v>173.9</v>
      </c>
      <c r="H1054" s="69">
        <v>109.21</v>
      </c>
      <c r="I1054" s="69">
        <f t="shared" si="327"/>
        <v>54.604999999999997</v>
      </c>
      <c r="J1054" s="70">
        <v>1</v>
      </c>
      <c r="K1054" s="69">
        <f t="shared" si="328"/>
        <v>195.04832499999998</v>
      </c>
      <c r="L1054" s="79" t="s">
        <v>468</v>
      </c>
      <c r="M1054" s="61">
        <f t="shared" si="329"/>
        <v>-3.7677449999999997</v>
      </c>
      <c r="N1054" s="61">
        <f t="shared" si="330"/>
        <v>11.139419999999999</v>
      </c>
      <c r="O1054" s="61"/>
      <c r="P1054" s="2"/>
      <c r="Q1054" s="2"/>
      <c r="R1054" s="32"/>
      <c r="S1054" s="32"/>
      <c r="T1054" s="32"/>
      <c r="U1054" s="32"/>
      <c r="V1054" s="2"/>
      <c r="W1054" s="2"/>
      <c r="X1054" s="2"/>
      <c r="Y1054" s="2"/>
      <c r="Z1054" s="2"/>
    </row>
    <row r="1055" spans="1:26" ht="13.8" x14ac:dyDescent="0.3">
      <c r="A1055" s="2" t="s">
        <v>384</v>
      </c>
      <c r="B1055" s="2" t="s">
        <v>186</v>
      </c>
      <c r="C1055" s="10">
        <v>2304025</v>
      </c>
      <c r="D1055" s="10" t="s">
        <v>1162</v>
      </c>
      <c r="E1055" s="10">
        <v>2531191</v>
      </c>
      <c r="F1055" s="10" t="s">
        <v>1259</v>
      </c>
      <c r="G1055" s="69">
        <v>62.26</v>
      </c>
      <c r="H1055" s="69">
        <v>51.5</v>
      </c>
      <c r="I1055" s="69">
        <f t="shared" si="327"/>
        <v>25.75</v>
      </c>
      <c r="J1055" s="70">
        <v>1</v>
      </c>
      <c r="K1055" s="69">
        <f t="shared" si="328"/>
        <v>75.194749999999985</v>
      </c>
      <c r="L1055" s="79" t="s">
        <v>468</v>
      </c>
      <c r="M1055" s="61">
        <f t="shared" si="329"/>
        <v>-1.7767500000000003</v>
      </c>
      <c r="N1055" s="61">
        <f t="shared" si="330"/>
        <v>5.2530000000000001</v>
      </c>
      <c r="O1055" s="61"/>
      <c r="P1055" s="2"/>
      <c r="Q1055" s="2"/>
      <c r="R1055" s="32"/>
      <c r="S1055" s="32"/>
      <c r="T1055" s="32"/>
      <c r="U1055" s="32"/>
      <c r="V1055" s="2"/>
      <c r="W1055" s="2"/>
      <c r="X1055" s="2"/>
      <c r="Y1055" s="2"/>
      <c r="Z1055" s="2"/>
    </row>
    <row r="1056" spans="1:26" ht="13.8" x14ac:dyDescent="0.3">
      <c r="A1056" s="2" t="s">
        <v>384</v>
      </c>
      <c r="B1056" s="2" t="s">
        <v>186</v>
      </c>
      <c r="C1056" s="10">
        <v>2304025</v>
      </c>
      <c r="D1056" s="10" t="s">
        <v>1162</v>
      </c>
      <c r="E1056" s="10">
        <v>2538386</v>
      </c>
      <c r="F1056" s="10" t="s">
        <v>1260</v>
      </c>
      <c r="G1056" s="69">
        <v>-278.74</v>
      </c>
      <c r="H1056" s="69">
        <v>29.53</v>
      </c>
      <c r="I1056" s="69">
        <f t="shared" si="327"/>
        <v>14.765000000000001</v>
      </c>
      <c r="J1056" s="70">
        <v>1</v>
      </c>
      <c r="K1056" s="69">
        <f t="shared" si="328"/>
        <v>-224.15727500000003</v>
      </c>
      <c r="L1056" s="79" t="s">
        <v>468</v>
      </c>
      <c r="M1056" s="61">
        <f t="shared" si="329"/>
        <v>-1.0187849999999998</v>
      </c>
      <c r="N1056" s="61">
        <f t="shared" si="330"/>
        <v>3.01206</v>
      </c>
      <c r="O1056" s="61"/>
      <c r="P1056" s="2"/>
      <c r="Q1056" s="2"/>
      <c r="R1056" s="32"/>
      <c r="S1056" s="32"/>
      <c r="T1056" s="32"/>
      <c r="U1056" s="32"/>
      <c r="V1056" s="2"/>
      <c r="W1056" s="2"/>
      <c r="X1056" s="2"/>
      <c r="Y1056" s="2"/>
      <c r="Z1056" s="2"/>
    </row>
    <row r="1057" spans="1:26" ht="13.8" x14ac:dyDescent="0.3">
      <c r="A1057" s="2" t="s">
        <v>384</v>
      </c>
      <c r="B1057" s="2" t="s">
        <v>186</v>
      </c>
      <c r="C1057" s="10">
        <v>2304025</v>
      </c>
      <c r="D1057" s="10" t="s">
        <v>1162</v>
      </c>
      <c r="E1057" s="10">
        <v>2540293</v>
      </c>
      <c r="F1057" s="10" t="s">
        <v>1261</v>
      </c>
      <c r="G1057" s="69">
        <v>-79.45</v>
      </c>
      <c r="H1057" s="69">
        <v>69.709999999999994</v>
      </c>
      <c r="I1057" s="69">
        <f t="shared" si="327"/>
        <v>34.854999999999997</v>
      </c>
      <c r="J1057" s="70">
        <v>1</v>
      </c>
      <c r="K1057" s="69">
        <f t="shared" si="328"/>
        <v>-37.382925</v>
      </c>
      <c r="L1057" s="79" t="s">
        <v>468</v>
      </c>
      <c r="M1057" s="61">
        <f t="shared" si="329"/>
        <v>-2.4049949999999995</v>
      </c>
      <c r="N1057" s="61">
        <f t="shared" si="330"/>
        <v>7.1104199999999995</v>
      </c>
      <c r="O1057" s="61"/>
      <c r="P1057" s="2"/>
      <c r="Q1057" s="2"/>
      <c r="R1057" s="32"/>
      <c r="S1057" s="32"/>
      <c r="T1057" s="32"/>
      <c r="U1057" s="32"/>
      <c r="V1057" s="2"/>
      <c r="W1057" s="2"/>
      <c r="X1057" s="2"/>
      <c r="Y1057" s="2"/>
      <c r="Z1057" s="2"/>
    </row>
    <row r="1058" spans="1:26" ht="13.8" x14ac:dyDescent="0.3">
      <c r="A1058" s="2" t="s">
        <v>384</v>
      </c>
      <c r="B1058" s="2" t="s">
        <v>186</v>
      </c>
      <c r="C1058" s="10">
        <v>2304025</v>
      </c>
      <c r="D1058" s="10" t="s">
        <v>1162</v>
      </c>
      <c r="E1058" s="10">
        <v>2540315</v>
      </c>
      <c r="F1058" s="10" t="s">
        <v>1262</v>
      </c>
      <c r="G1058" s="69">
        <v>-36.85</v>
      </c>
      <c r="H1058" s="69">
        <v>31.65</v>
      </c>
      <c r="I1058" s="69">
        <f t="shared" si="327"/>
        <v>15.824999999999999</v>
      </c>
      <c r="J1058" s="70">
        <v>1</v>
      </c>
      <c r="K1058" s="69">
        <f t="shared" si="328"/>
        <v>-17.633875</v>
      </c>
      <c r="L1058" s="79" t="s">
        <v>468</v>
      </c>
      <c r="M1058" s="61">
        <f t="shared" si="329"/>
        <v>-1.0919249999999998</v>
      </c>
      <c r="N1058" s="61">
        <f t="shared" si="330"/>
        <v>3.2282999999999999</v>
      </c>
      <c r="O1058" s="61"/>
      <c r="P1058" s="2"/>
      <c r="Q1058" s="2"/>
      <c r="R1058" s="32"/>
      <c r="S1058" s="32"/>
      <c r="T1058" s="32"/>
      <c r="U1058" s="32"/>
      <c r="V1058" s="2"/>
      <c r="W1058" s="2"/>
      <c r="X1058" s="2"/>
      <c r="Y1058" s="2"/>
      <c r="Z1058" s="2"/>
    </row>
    <row r="1059" spans="1:26" ht="13.8" x14ac:dyDescent="0.3">
      <c r="A1059" s="2" t="s">
        <v>384</v>
      </c>
      <c r="B1059" s="2" t="s">
        <v>186</v>
      </c>
      <c r="C1059" s="10">
        <v>2304025</v>
      </c>
      <c r="D1059" s="10" t="s">
        <v>1162</v>
      </c>
      <c r="E1059" s="10">
        <v>2554720</v>
      </c>
      <c r="F1059" s="10" t="s">
        <v>1270</v>
      </c>
      <c r="G1059" s="69">
        <v>264.95</v>
      </c>
      <c r="H1059" s="69">
        <v>17.72</v>
      </c>
      <c r="I1059" s="69">
        <f t="shared" si="327"/>
        <v>8.86</v>
      </c>
      <c r="J1059" s="70">
        <v>1</v>
      </c>
      <c r="K1059" s="69">
        <f t="shared" si="328"/>
        <v>232.87139999999999</v>
      </c>
      <c r="L1059" s="79" t="s">
        <v>468</v>
      </c>
      <c r="M1059" s="61">
        <f t="shared" si="329"/>
        <v>-0.61133999999999988</v>
      </c>
      <c r="N1059" s="61">
        <f t="shared" si="330"/>
        <v>1.8074399999999997</v>
      </c>
      <c r="O1059" s="61"/>
      <c r="P1059" s="2"/>
      <c r="Q1059" s="2"/>
      <c r="R1059" s="32"/>
      <c r="S1059" s="32"/>
      <c r="T1059" s="32"/>
      <c r="U1059" s="32"/>
      <c r="V1059" s="2"/>
      <c r="W1059" s="2"/>
      <c r="X1059" s="2"/>
      <c r="Y1059" s="2"/>
      <c r="Z1059" s="2"/>
    </row>
    <row r="1060" spans="1:26" ht="13.8" x14ac:dyDescent="0.3">
      <c r="A1060" s="2" t="s">
        <v>384</v>
      </c>
      <c r="B1060" s="2" t="s">
        <v>186</v>
      </c>
      <c r="C1060" s="10">
        <v>2304025</v>
      </c>
      <c r="D1060" s="10" t="s">
        <v>1162</v>
      </c>
      <c r="E1060" s="10">
        <v>2559299</v>
      </c>
      <c r="F1060" s="10" t="s">
        <v>1302</v>
      </c>
      <c r="G1060" s="69">
        <v>197.69</v>
      </c>
      <c r="H1060" s="69">
        <v>42.05</v>
      </c>
      <c r="I1060" s="69">
        <f t="shared" si="327"/>
        <v>21.024999999999999</v>
      </c>
      <c r="J1060" s="70">
        <v>1</v>
      </c>
      <c r="K1060" s="69">
        <f t="shared" si="328"/>
        <v>186.22312499999998</v>
      </c>
      <c r="L1060" s="79" t="s">
        <v>468</v>
      </c>
      <c r="M1060" s="61">
        <f t="shared" si="329"/>
        <v>-1.450725</v>
      </c>
      <c r="N1060" s="61">
        <f t="shared" si="330"/>
        <v>4.2890999999999995</v>
      </c>
      <c r="O1060" s="61"/>
      <c r="P1060" s="2"/>
      <c r="Q1060" s="2"/>
      <c r="R1060" s="32"/>
      <c r="S1060" s="32"/>
      <c r="T1060" s="32"/>
      <c r="U1060" s="32"/>
      <c r="V1060" s="2"/>
      <c r="W1060" s="2"/>
      <c r="X1060" s="2"/>
      <c r="Y1060" s="2"/>
      <c r="Z1060" s="2"/>
    </row>
    <row r="1061" spans="1:26" ht="13.8" x14ac:dyDescent="0.3">
      <c r="A1061" s="2" t="s">
        <v>384</v>
      </c>
      <c r="B1061" s="2" t="s">
        <v>186</v>
      </c>
      <c r="C1061" s="10">
        <v>2304025</v>
      </c>
      <c r="D1061" s="10" t="s">
        <v>1162</v>
      </c>
      <c r="E1061" s="10">
        <v>2575716</v>
      </c>
      <c r="F1061" s="10" t="s">
        <v>1283</v>
      </c>
      <c r="G1061" s="69">
        <v>-9</v>
      </c>
      <c r="H1061" s="69">
        <v>2.88</v>
      </c>
      <c r="I1061" s="69">
        <f t="shared" si="327"/>
        <v>1.44</v>
      </c>
      <c r="J1061" s="70">
        <v>1</v>
      </c>
      <c r="K1061" s="69">
        <f t="shared" si="328"/>
        <v>-6.4044000000000008</v>
      </c>
      <c r="L1061" s="79" t="s">
        <v>468</v>
      </c>
      <c r="M1061" s="61">
        <f t="shared" si="329"/>
        <v>-9.935999999999999E-2</v>
      </c>
      <c r="N1061" s="61">
        <f t="shared" si="330"/>
        <v>0.29375999999999991</v>
      </c>
      <c r="O1061" s="61"/>
      <c r="P1061" s="2"/>
      <c r="Q1061" s="2"/>
      <c r="R1061" s="32"/>
      <c r="S1061" s="32"/>
      <c r="T1061" s="32"/>
      <c r="U1061" s="32"/>
      <c r="V1061" s="2"/>
      <c r="W1061" s="2"/>
      <c r="X1061" s="2"/>
      <c r="Y1061" s="2"/>
      <c r="Z1061" s="2"/>
    </row>
    <row r="1062" spans="1:26" ht="13.8" x14ac:dyDescent="0.3">
      <c r="A1062" s="2" t="s">
        <v>384</v>
      </c>
      <c r="B1062" s="2" t="s">
        <v>186</v>
      </c>
      <c r="C1062" s="10">
        <v>2304025</v>
      </c>
      <c r="D1062" s="10" t="s">
        <v>1162</v>
      </c>
      <c r="E1062" s="10">
        <v>2575824</v>
      </c>
      <c r="F1062" s="10" t="s">
        <v>1284</v>
      </c>
      <c r="G1062" s="69">
        <v>-45.04</v>
      </c>
      <c r="H1062" s="69">
        <v>4.33</v>
      </c>
      <c r="I1062" s="69">
        <f t="shared" si="327"/>
        <v>2.165</v>
      </c>
      <c r="J1062" s="70">
        <v>1</v>
      </c>
      <c r="K1062" s="69">
        <f t="shared" si="328"/>
        <v>-36.411274999999996</v>
      </c>
      <c r="L1062" s="79" t="s">
        <v>468</v>
      </c>
      <c r="M1062" s="61">
        <f t="shared" si="329"/>
        <v>-0.14938500000000002</v>
      </c>
      <c r="N1062" s="61">
        <f t="shared" si="330"/>
        <v>0.44166000000000005</v>
      </c>
      <c r="O1062" s="61"/>
      <c r="P1062" s="2"/>
      <c r="Q1062" s="2"/>
      <c r="R1062" s="32"/>
      <c r="S1062" s="32"/>
      <c r="T1062" s="32"/>
      <c r="U1062" s="32"/>
      <c r="V1062" s="2"/>
      <c r="W1062" s="2"/>
      <c r="X1062" s="2"/>
      <c r="Y1062" s="2"/>
      <c r="Z1062" s="2"/>
    </row>
    <row r="1063" spans="1:26" ht="13.8" x14ac:dyDescent="0.3">
      <c r="A1063" s="2" t="s">
        <v>384</v>
      </c>
      <c r="B1063" s="2" t="s">
        <v>186</v>
      </c>
      <c r="C1063" s="10">
        <v>2304025</v>
      </c>
      <c r="D1063" s="10" t="s">
        <v>1162</v>
      </c>
      <c r="E1063" s="10">
        <v>2632174</v>
      </c>
      <c r="F1063" s="10" t="s">
        <v>1323</v>
      </c>
      <c r="G1063" s="69">
        <v>-44.11</v>
      </c>
      <c r="H1063" s="69">
        <v>7.43</v>
      </c>
      <c r="I1063" s="69">
        <f t="shared" si="327"/>
        <v>3.7149999999999999</v>
      </c>
      <c r="J1063" s="70">
        <v>1</v>
      </c>
      <c r="K1063" s="69">
        <f t="shared" si="328"/>
        <v>-34.280025000000002</v>
      </c>
      <c r="L1063" s="79" t="s">
        <v>468</v>
      </c>
      <c r="M1063" s="61">
        <f t="shared" si="329"/>
        <v>-0.25633499999999998</v>
      </c>
      <c r="N1063" s="61">
        <f t="shared" si="330"/>
        <v>0.75785999999999998</v>
      </c>
      <c r="O1063" s="61"/>
      <c r="P1063" s="2"/>
      <c r="Q1063" s="2"/>
      <c r="R1063" s="32"/>
      <c r="S1063" s="32"/>
      <c r="T1063" s="32"/>
      <c r="U1063" s="32"/>
      <c r="V1063" s="2"/>
      <c r="W1063" s="2"/>
      <c r="X1063" s="2"/>
      <c r="Y1063" s="2"/>
      <c r="Z1063" s="2"/>
    </row>
    <row r="1064" spans="1:26" ht="13.8" x14ac:dyDescent="0.3">
      <c r="A1064" s="2" t="s">
        <v>384</v>
      </c>
      <c r="B1064" s="2" t="s">
        <v>186</v>
      </c>
      <c r="C1064" s="10">
        <v>2525136</v>
      </c>
      <c r="D1064" s="10" t="s">
        <v>1205</v>
      </c>
      <c r="E1064" s="10">
        <v>2600460</v>
      </c>
      <c r="F1064" s="10" t="s">
        <v>1312</v>
      </c>
      <c r="G1064" s="69">
        <v>-71.05</v>
      </c>
      <c r="H1064" s="69">
        <v>21.12</v>
      </c>
      <c r="I1064" s="69">
        <f t="shared" si="327"/>
        <v>10.56</v>
      </c>
      <c r="J1064" s="70">
        <v>1</v>
      </c>
      <c r="K1064" s="69">
        <f t="shared" si="328"/>
        <v>-51.258099999999992</v>
      </c>
      <c r="L1064" s="79" t="s">
        <v>468</v>
      </c>
      <c r="M1064" s="61">
        <f t="shared" si="329"/>
        <v>-0.72864000000000007</v>
      </c>
      <c r="N1064" s="61">
        <f t="shared" si="330"/>
        <v>2.1542400000000002</v>
      </c>
      <c r="O1064" s="61"/>
      <c r="P1064" s="2"/>
      <c r="Q1064" s="2"/>
      <c r="R1064" s="32"/>
      <c r="S1064" s="32"/>
      <c r="T1064" s="32"/>
      <c r="U1064" s="32"/>
      <c r="V1064" s="2"/>
      <c r="W1064" s="2"/>
      <c r="X1064" s="2"/>
      <c r="Y1064" s="2"/>
      <c r="Z1064" s="2"/>
    </row>
    <row r="1065" spans="1:26" ht="13.8" x14ac:dyDescent="0.3">
      <c r="A1065" s="2" t="s">
        <v>384</v>
      </c>
      <c r="B1065" s="2" t="s">
        <v>244</v>
      </c>
      <c r="C1065" s="10">
        <v>2304025</v>
      </c>
      <c r="D1065" s="10" t="s">
        <v>1162</v>
      </c>
      <c r="E1065" s="10">
        <v>2435203</v>
      </c>
      <c r="F1065" s="10" t="s">
        <v>1224</v>
      </c>
      <c r="G1065" s="69">
        <v>32.94</v>
      </c>
      <c r="H1065" s="69">
        <v>10.88</v>
      </c>
      <c r="I1065" s="69">
        <f t="shared" ref="I1065:I1086" si="331">H1065*0.7</f>
        <v>7.6159999999999997</v>
      </c>
      <c r="J1065" s="70">
        <v>1</v>
      </c>
      <c r="K1065" s="69">
        <f t="shared" ref="K1065:K1086" si="332">(G1065+I1065)*0.85+(G1065*0.15-(G1065+H1065)*0.15)*J1065*0.3+I1065*0.15*J1065*0.3</f>
        <v>34.325719999999997</v>
      </c>
      <c r="L1065" s="79" t="s">
        <v>468</v>
      </c>
      <c r="M1065" s="61">
        <f t="shared" ref="M1065:M1086" si="333">(G1065*0.15-(G1065+H1065)*0.15)*J1065*0.7</f>
        <v>-1.1423999999999996</v>
      </c>
      <c r="N1065" s="61">
        <f t="shared" ref="N1065:N1086" si="334">I1065*0.15*J1065*0.7+H1065*0.05*J1065</f>
        <v>1.34368</v>
      </c>
      <c r="O1065" s="61"/>
      <c r="P1065" s="2"/>
      <c r="Q1065" s="2"/>
      <c r="R1065" s="32"/>
      <c r="S1065" s="32"/>
      <c r="T1065" s="32"/>
      <c r="U1065" s="32"/>
      <c r="V1065" s="2"/>
      <c r="W1065" s="2"/>
      <c r="X1065" s="2"/>
      <c r="Y1065" s="2"/>
      <c r="Z1065" s="2"/>
    </row>
    <row r="1066" spans="1:26" ht="13.8" x14ac:dyDescent="0.3">
      <c r="A1066" s="2" t="s">
        <v>384</v>
      </c>
      <c r="B1066" s="2" t="s">
        <v>244</v>
      </c>
      <c r="C1066" s="10">
        <v>2304025</v>
      </c>
      <c r="D1066" s="10" t="s">
        <v>1162</v>
      </c>
      <c r="E1066" s="10">
        <v>2435206</v>
      </c>
      <c r="F1066" s="10" t="s">
        <v>1225</v>
      </c>
      <c r="G1066" s="69">
        <v>513.12</v>
      </c>
      <c r="H1066" s="69">
        <v>66.040000000000006</v>
      </c>
      <c r="I1066" s="69">
        <f t="shared" si="331"/>
        <v>46.228000000000002</v>
      </c>
      <c r="J1066" s="70">
        <v>1</v>
      </c>
      <c r="K1066" s="69">
        <f t="shared" si="332"/>
        <v>474.55426</v>
      </c>
      <c r="L1066" s="79" t="s">
        <v>468</v>
      </c>
      <c r="M1066" s="61">
        <f t="shared" si="333"/>
        <v>-6.9341999999999935</v>
      </c>
      <c r="N1066" s="61">
        <f t="shared" si="334"/>
        <v>8.1559400000000011</v>
      </c>
      <c r="O1066" s="61"/>
      <c r="P1066" s="2"/>
      <c r="Q1066" s="2"/>
      <c r="R1066" s="32"/>
      <c r="S1066" s="32"/>
      <c r="T1066" s="32"/>
      <c r="U1066" s="32"/>
      <c r="V1066" s="2"/>
      <c r="W1066" s="2"/>
      <c r="X1066" s="2"/>
      <c r="Y1066" s="2"/>
      <c r="Z1066" s="2"/>
    </row>
    <row r="1067" spans="1:26" ht="13.8" x14ac:dyDescent="0.3">
      <c r="A1067" s="2" t="s">
        <v>384</v>
      </c>
      <c r="B1067" s="2" t="s">
        <v>244</v>
      </c>
      <c r="C1067" s="10">
        <v>2304025</v>
      </c>
      <c r="D1067" s="10" t="s">
        <v>1162</v>
      </c>
      <c r="E1067" s="10">
        <v>2523424</v>
      </c>
      <c r="F1067" s="10" t="s">
        <v>1177</v>
      </c>
      <c r="G1067" s="69">
        <v>6.84</v>
      </c>
      <c r="H1067" s="69">
        <v>12.25</v>
      </c>
      <c r="I1067" s="69">
        <f t="shared" si="331"/>
        <v>8.5749999999999993</v>
      </c>
      <c r="J1067" s="70">
        <v>1</v>
      </c>
      <c r="K1067" s="69">
        <f t="shared" si="332"/>
        <v>12.937374999999999</v>
      </c>
      <c r="L1067" s="79" t="s">
        <v>468</v>
      </c>
      <c r="M1067" s="61">
        <f t="shared" si="333"/>
        <v>-1.2862499999999997</v>
      </c>
      <c r="N1067" s="61">
        <f t="shared" si="334"/>
        <v>1.5128749999999997</v>
      </c>
      <c r="O1067" s="61"/>
      <c r="P1067" s="2"/>
      <c r="Q1067" s="2"/>
      <c r="R1067" s="32"/>
      <c r="S1067" s="32"/>
      <c r="T1067" s="32"/>
      <c r="U1067" s="32"/>
      <c r="V1067" s="2"/>
      <c r="W1067" s="2"/>
      <c r="X1067" s="2"/>
      <c r="Y1067" s="2"/>
      <c r="Z1067" s="2"/>
    </row>
    <row r="1068" spans="1:26" ht="13.8" x14ac:dyDescent="0.3">
      <c r="A1068" s="2" t="s">
        <v>384</v>
      </c>
      <c r="B1068" s="2" t="s">
        <v>244</v>
      </c>
      <c r="C1068" s="10">
        <v>2304025</v>
      </c>
      <c r="D1068" s="10" t="s">
        <v>1162</v>
      </c>
      <c r="E1068" s="10">
        <v>2531140</v>
      </c>
      <c r="F1068" s="10" t="s">
        <v>1257</v>
      </c>
      <c r="G1068" s="69">
        <v>-1306.02</v>
      </c>
      <c r="H1068" s="69">
        <v>99.7</v>
      </c>
      <c r="I1068" s="69">
        <f t="shared" si="331"/>
        <v>69.789999999999992</v>
      </c>
      <c r="J1068" s="70">
        <v>1</v>
      </c>
      <c r="K1068" s="69">
        <f t="shared" si="332"/>
        <v>-1052.1414499999998</v>
      </c>
      <c r="L1068" s="79" t="s">
        <v>468</v>
      </c>
      <c r="M1068" s="61">
        <f t="shared" si="333"/>
        <v>-10.468500000000008</v>
      </c>
      <c r="N1068" s="61">
        <f t="shared" si="334"/>
        <v>12.312949999999999</v>
      </c>
      <c r="O1068" s="61"/>
      <c r="P1068" s="2"/>
      <c r="Q1068" s="2"/>
      <c r="R1068" s="32"/>
      <c r="S1068" s="32"/>
      <c r="T1068" s="32"/>
      <c r="U1068" s="32"/>
      <c r="V1068" s="2"/>
      <c r="W1068" s="2"/>
      <c r="X1068" s="2"/>
      <c r="Y1068" s="2"/>
      <c r="Z1068" s="2"/>
    </row>
    <row r="1069" spans="1:26" ht="13.8" x14ac:dyDescent="0.3">
      <c r="A1069" s="2" t="s">
        <v>384</v>
      </c>
      <c r="B1069" s="2" t="s">
        <v>244</v>
      </c>
      <c r="C1069" s="10">
        <v>2304025</v>
      </c>
      <c r="D1069" s="10" t="s">
        <v>1162</v>
      </c>
      <c r="E1069" s="10">
        <v>2531141</v>
      </c>
      <c r="F1069" s="10" t="s">
        <v>1258</v>
      </c>
      <c r="G1069" s="69">
        <v>-1314.1</v>
      </c>
      <c r="H1069" s="69">
        <v>133.22</v>
      </c>
      <c r="I1069" s="69">
        <f t="shared" si="331"/>
        <v>93.253999999999991</v>
      </c>
      <c r="J1069" s="70">
        <v>1</v>
      </c>
      <c r="K1069" s="69">
        <f t="shared" si="332"/>
        <v>-1039.51757</v>
      </c>
      <c r="L1069" s="79" t="s">
        <v>468</v>
      </c>
      <c r="M1069" s="61">
        <f t="shared" si="333"/>
        <v>-13.988100000000003</v>
      </c>
      <c r="N1069" s="61">
        <f t="shared" si="334"/>
        <v>16.452669999999998</v>
      </c>
      <c r="O1069" s="61"/>
      <c r="P1069" s="2"/>
      <c r="Q1069" s="2"/>
      <c r="R1069" s="32"/>
      <c r="S1069" s="32"/>
      <c r="T1069" s="32"/>
      <c r="U1069" s="32"/>
      <c r="V1069" s="2"/>
      <c r="W1069" s="2"/>
      <c r="X1069" s="2"/>
      <c r="Y1069" s="2"/>
      <c r="Z1069" s="2"/>
    </row>
    <row r="1070" spans="1:26" ht="13.8" x14ac:dyDescent="0.3">
      <c r="A1070" s="2" t="s">
        <v>384</v>
      </c>
      <c r="B1070" s="2" t="s">
        <v>244</v>
      </c>
      <c r="C1070" s="10">
        <v>2304025</v>
      </c>
      <c r="D1070" s="10" t="s">
        <v>1162</v>
      </c>
      <c r="E1070" s="10">
        <v>2531145</v>
      </c>
      <c r="F1070" s="10" t="s">
        <v>1226</v>
      </c>
      <c r="G1070" s="69">
        <v>-101.7</v>
      </c>
      <c r="H1070" s="69">
        <v>18.52</v>
      </c>
      <c r="I1070" s="69">
        <f t="shared" si="331"/>
        <v>12.963999999999999</v>
      </c>
      <c r="J1070" s="70">
        <v>1</v>
      </c>
      <c r="K1070" s="69">
        <f t="shared" si="332"/>
        <v>-75.675619999999995</v>
      </c>
      <c r="L1070" s="79" t="s">
        <v>468</v>
      </c>
      <c r="M1070" s="61">
        <f t="shared" si="333"/>
        <v>-1.944599999999999</v>
      </c>
      <c r="N1070" s="61">
        <f t="shared" si="334"/>
        <v>2.2872199999999996</v>
      </c>
      <c r="O1070" s="61"/>
      <c r="P1070" s="2"/>
      <c r="Q1070" s="2"/>
      <c r="R1070" s="32"/>
      <c r="S1070" s="32"/>
      <c r="T1070" s="32"/>
      <c r="U1070" s="32"/>
      <c r="V1070" s="2"/>
      <c r="W1070" s="2"/>
      <c r="X1070" s="2"/>
      <c r="Y1070" s="2"/>
      <c r="Z1070" s="2"/>
    </row>
    <row r="1071" spans="1:26" ht="13.8" x14ac:dyDescent="0.3">
      <c r="A1071" s="2" t="s">
        <v>384</v>
      </c>
      <c r="B1071" s="2" t="s">
        <v>244</v>
      </c>
      <c r="C1071" s="10">
        <v>2304025</v>
      </c>
      <c r="D1071" s="10" t="s">
        <v>1162</v>
      </c>
      <c r="E1071" s="10">
        <v>2531146</v>
      </c>
      <c r="F1071" s="10" t="s">
        <v>1227</v>
      </c>
      <c r="G1071" s="69">
        <v>1207.72</v>
      </c>
      <c r="H1071" s="69">
        <v>55.49</v>
      </c>
      <c r="I1071" s="69">
        <f t="shared" si="331"/>
        <v>38.842999999999996</v>
      </c>
      <c r="J1071" s="70">
        <v>1</v>
      </c>
      <c r="K1071" s="69">
        <f t="shared" si="332"/>
        <v>1058.8294350000001</v>
      </c>
      <c r="L1071" s="79" t="s">
        <v>468</v>
      </c>
      <c r="M1071" s="61">
        <f t="shared" si="333"/>
        <v>-5.8264500000000163</v>
      </c>
      <c r="N1071" s="61">
        <f t="shared" si="334"/>
        <v>6.8530149999999992</v>
      </c>
      <c r="O1071" s="61"/>
      <c r="P1071" s="2"/>
      <c r="Q1071" s="2"/>
      <c r="R1071" s="32"/>
      <c r="S1071" s="32"/>
      <c r="T1071" s="32"/>
      <c r="U1071" s="32"/>
      <c r="V1071" s="2"/>
      <c r="W1071" s="2"/>
      <c r="X1071" s="2"/>
      <c r="Y1071" s="2"/>
      <c r="Z1071" s="2"/>
    </row>
    <row r="1072" spans="1:26" ht="13.8" x14ac:dyDescent="0.3">
      <c r="A1072" s="2" t="s">
        <v>384</v>
      </c>
      <c r="B1072" s="2" t="s">
        <v>244</v>
      </c>
      <c r="C1072" s="10">
        <v>2304025</v>
      </c>
      <c r="D1072" s="10" t="s">
        <v>1162</v>
      </c>
      <c r="E1072" s="10">
        <v>2531191</v>
      </c>
      <c r="F1072" s="10" t="s">
        <v>1259</v>
      </c>
      <c r="G1072" s="69">
        <v>-255.41</v>
      </c>
      <c r="H1072" s="69">
        <v>108.61</v>
      </c>
      <c r="I1072" s="69">
        <f t="shared" si="331"/>
        <v>76.027000000000001</v>
      </c>
      <c r="J1072" s="70">
        <v>1</v>
      </c>
      <c r="K1072" s="69">
        <f t="shared" si="332"/>
        <v>-153.94178499999998</v>
      </c>
      <c r="L1072" s="79" t="s">
        <v>468</v>
      </c>
      <c r="M1072" s="61">
        <f t="shared" si="333"/>
        <v>-11.404049999999996</v>
      </c>
      <c r="N1072" s="61">
        <f t="shared" si="334"/>
        <v>13.413335</v>
      </c>
      <c r="O1072" s="61"/>
      <c r="P1072" s="2"/>
      <c r="Q1072" s="2"/>
      <c r="R1072" s="32"/>
      <c r="S1072" s="32"/>
      <c r="T1072" s="32"/>
      <c r="U1072" s="32"/>
      <c r="V1072" s="2"/>
      <c r="W1072" s="2"/>
      <c r="X1072" s="2"/>
      <c r="Y1072" s="2"/>
      <c r="Z1072" s="2"/>
    </row>
    <row r="1073" spans="1:26" ht="13.8" x14ac:dyDescent="0.3">
      <c r="A1073" s="2" t="s">
        <v>384</v>
      </c>
      <c r="B1073" s="2" t="s">
        <v>244</v>
      </c>
      <c r="C1073" s="10">
        <v>2304025</v>
      </c>
      <c r="D1073" s="10" t="s">
        <v>1162</v>
      </c>
      <c r="E1073" s="10">
        <v>2540293</v>
      </c>
      <c r="F1073" s="10" t="s">
        <v>1261</v>
      </c>
      <c r="G1073" s="69">
        <v>2.78</v>
      </c>
      <c r="H1073" s="69">
        <v>0.42</v>
      </c>
      <c r="I1073" s="69">
        <f t="shared" si="331"/>
        <v>0.29399999999999998</v>
      </c>
      <c r="J1073" s="70">
        <v>1</v>
      </c>
      <c r="K1073" s="69">
        <f t="shared" si="332"/>
        <v>2.6072299999999999</v>
      </c>
      <c r="L1073" s="79" t="s">
        <v>468</v>
      </c>
      <c r="M1073" s="61">
        <f t="shared" si="333"/>
        <v>-4.4099999999999959E-2</v>
      </c>
      <c r="N1073" s="61">
        <f t="shared" si="334"/>
        <v>5.1869999999999999E-2</v>
      </c>
      <c r="O1073" s="61"/>
      <c r="P1073" s="2"/>
      <c r="Q1073" s="2"/>
      <c r="R1073" s="32"/>
      <c r="S1073" s="32"/>
      <c r="T1073" s="32"/>
      <c r="U1073" s="32"/>
      <c r="V1073" s="2"/>
      <c r="W1073" s="2"/>
      <c r="X1073" s="2"/>
      <c r="Y1073" s="2"/>
      <c r="Z1073" s="2"/>
    </row>
    <row r="1074" spans="1:26" ht="13.8" x14ac:dyDescent="0.3">
      <c r="A1074" s="2" t="s">
        <v>384</v>
      </c>
      <c r="B1074" s="2" t="s">
        <v>244</v>
      </c>
      <c r="C1074" s="10">
        <v>2304025</v>
      </c>
      <c r="D1074" s="10" t="s">
        <v>1162</v>
      </c>
      <c r="E1074" s="10">
        <v>2540315</v>
      </c>
      <c r="F1074" s="10" t="s">
        <v>1262</v>
      </c>
      <c r="G1074" s="69">
        <v>-209.96</v>
      </c>
      <c r="H1074" s="69">
        <v>37.840000000000003</v>
      </c>
      <c r="I1074" s="69">
        <f t="shared" si="331"/>
        <v>26.488</v>
      </c>
      <c r="J1074" s="70">
        <v>1</v>
      </c>
      <c r="K1074" s="69">
        <f t="shared" si="332"/>
        <v>-156.46204</v>
      </c>
      <c r="L1074" s="79" t="s">
        <v>468</v>
      </c>
      <c r="M1074" s="61">
        <f t="shared" si="333"/>
        <v>-3.9731999999999985</v>
      </c>
      <c r="N1074" s="61">
        <f t="shared" si="334"/>
        <v>4.6732399999999998</v>
      </c>
      <c r="O1074" s="61"/>
      <c r="P1074" s="2"/>
      <c r="Q1074" s="2"/>
      <c r="R1074" s="32"/>
      <c r="S1074" s="32"/>
      <c r="T1074" s="32"/>
      <c r="U1074" s="32"/>
      <c r="V1074" s="2"/>
      <c r="W1074" s="2"/>
      <c r="X1074" s="2"/>
      <c r="Y1074" s="2"/>
      <c r="Z1074" s="2"/>
    </row>
    <row r="1075" spans="1:26" ht="13.8" x14ac:dyDescent="0.3">
      <c r="A1075" s="2" t="s">
        <v>384</v>
      </c>
      <c r="B1075" s="2" t="s">
        <v>244</v>
      </c>
      <c r="C1075" s="10">
        <v>2304025</v>
      </c>
      <c r="D1075" s="10" t="s">
        <v>1162</v>
      </c>
      <c r="E1075" s="10">
        <v>2541423</v>
      </c>
      <c r="F1075" s="10" t="s">
        <v>1263</v>
      </c>
      <c r="G1075" s="69">
        <v>672.78</v>
      </c>
      <c r="H1075" s="69">
        <v>39.06</v>
      </c>
      <c r="I1075" s="69">
        <f t="shared" si="331"/>
        <v>27.341999999999999</v>
      </c>
      <c r="J1075" s="70">
        <v>1</v>
      </c>
      <c r="K1075" s="69">
        <f t="shared" si="332"/>
        <v>594.57638999999995</v>
      </c>
      <c r="L1075" s="79" t="s">
        <v>468</v>
      </c>
      <c r="M1075" s="61">
        <f t="shared" si="333"/>
        <v>-4.1012999999999957</v>
      </c>
      <c r="N1075" s="61">
        <f t="shared" si="334"/>
        <v>4.8239099999999997</v>
      </c>
      <c r="O1075" s="61"/>
      <c r="P1075" s="2"/>
      <c r="Q1075" s="2"/>
      <c r="R1075" s="32"/>
      <c r="S1075" s="32"/>
      <c r="T1075" s="32"/>
      <c r="U1075" s="32"/>
      <c r="V1075" s="2"/>
      <c r="W1075" s="2"/>
      <c r="X1075" s="2"/>
      <c r="Y1075" s="2"/>
      <c r="Z1075" s="2"/>
    </row>
    <row r="1076" spans="1:26" ht="13.8" x14ac:dyDescent="0.3">
      <c r="A1076" s="2" t="s">
        <v>384</v>
      </c>
      <c r="B1076" s="2" t="s">
        <v>244</v>
      </c>
      <c r="C1076" s="10">
        <v>2304025</v>
      </c>
      <c r="D1076" s="10" t="s">
        <v>1162</v>
      </c>
      <c r="E1076" s="10">
        <v>2554720</v>
      </c>
      <c r="F1076" s="10" t="s">
        <v>1270</v>
      </c>
      <c r="G1076" s="69">
        <v>23.41</v>
      </c>
      <c r="H1076" s="69">
        <v>66.42</v>
      </c>
      <c r="I1076" s="69">
        <f t="shared" si="331"/>
        <v>46.494</v>
      </c>
      <c r="J1076" s="70">
        <v>1</v>
      </c>
      <c r="K1076" s="69">
        <f t="shared" si="332"/>
        <v>58.521729999999998</v>
      </c>
      <c r="L1076" s="79" t="s">
        <v>468</v>
      </c>
      <c r="M1076" s="61">
        <f t="shared" si="333"/>
        <v>-6.9740999999999991</v>
      </c>
      <c r="N1076" s="61">
        <f t="shared" si="334"/>
        <v>8.202869999999999</v>
      </c>
      <c r="O1076" s="61"/>
      <c r="P1076" s="2"/>
      <c r="Q1076" s="2"/>
      <c r="R1076" s="32"/>
      <c r="S1076" s="32"/>
      <c r="T1076" s="32"/>
      <c r="U1076" s="32"/>
      <c r="V1076" s="2"/>
      <c r="W1076" s="2"/>
      <c r="X1076" s="2"/>
      <c r="Y1076" s="2"/>
      <c r="Z1076" s="2"/>
    </row>
    <row r="1077" spans="1:26" ht="13.8" x14ac:dyDescent="0.3">
      <c r="A1077" s="2" t="s">
        <v>384</v>
      </c>
      <c r="B1077" s="2" t="s">
        <v>244</v>
      </c>
      <c r="C1077" s="10">
        <v>2304025</v>
      </c>
      <c r="D1077" s="10" t="s">
        <v>1162</v>
      </c>
      <c r="E1077" s="10">
        <v>2559299</v>
      </c>
      <c r="F1077" s="10" t="s">
        <v>1302</v>
      </c>
      <c r="G1077" s="69">
        <v>-209.28</v>
      </c>
      <c r="H1077" s="69">
        <v>58.98</v>
      </c>
      <c r="I1077" s="69">
        <f t="shared" si="331"/>
        <v>41.285999999999994</v>
      </c>
      <c r="J1077" s="70">
        <v>1</v>
      </c>
      <c r="K1077" s="69">
        <f t="shared" si="332"/>
        <v>-143.59112999999999</v>
      </c>
      <c r="L1077" s="79" t="s">
        <v>468</v>
      </c>
      <c r="M1077" s="61">
        <f t="shared" si="333"/>
        <v>-6.1928999999999981</v>
      </c>
      <c r="N1077" s="61">
        <f t="shared" si="334"/>
        <v>7.2840299999999987</v>
      </c>
      <c r="O1077" s="61"/>
      <c r="P1077" s="2"/>
      <c r="Q1077" s="2"/>
      <c r="R1077" s="32"/>
      <c r="S1077" s="32"/>
      <c r="T1077" s="32"/>
      <c r="U1077" s="32"/>
      <c r="V1077" s="2"/>
      <c r="W1077" s="2"/>
      <c r="X1077" s="2"/>
      <c r="Y1077" s="2"/>
      <c r="Z1077" s="2"/>
    </row>
    <row r="1078" spans="1:26" ht="13.8" x14ac:dyDescent="0.3">
      <c r="A1078" s="2" t="s">
        <v>384</v>
      </c>
      <c r="B1078" s="2" t="s">
        <v>244</v>
      </c>
      <c r="C1078" s="10">
        <v>2304025</v>
      </c>
      <c r="D1078" s="10" t="s">
        <v>1162</v>
      </c>
      <c r="E1078" s="10">
        <v>2575716</v>
      </c>
      <c r="F1078" s="10" t="s">
        <v>1283</v>
      </c>
      <c r="G1078" s="69">
        <v>182.22</v>
      </c>
      <c r="H1078" s="69">
        <v>6.78</v>
      </c>
      <c r="I1078" s="69">
        <f t="shared" si="331"/>
        <v>4.7459999999999996</v>
      </c>
      <c r="J1078" s="70">
        <v>1</v>
      </c>
      <c r="K1078" s="69">
        <f t="shared" si="332"/>
        <v>158.82956999999999</v>
      </c>
      <c r="L1078" s="79" t="s">
        <v>468</v>
      </c>
      <c r="M1078" s="61">
        <f t="shared" si="333"/>
        <v>-0.71189999999999953</v>
      </c>
      <c r="N1078" s="61">
        <f t="shared" si="334"/>
        <v>0.83732999999999991</v>
      </c>
      <c r="O1078" s="61"/>
      <c r="P1078" s="2"/>
      <c r="Q1078" s="2"/>
      <c r="R1078" s="32"/>
      <c r="S1078" s="32"/>
      <c r="T1078" s="32"/>
      <c r="U1078" s="32"/>
      <c r="V1078" s="2"/>
      <c r="W1078" s="2"/>
      <c r="X1078" s="2"/>
      <c r="Y1078" s="2"/>
      <c r="Z1078" s="2"/>
    </row>
    <row r="1079" spans="1:26" ht="13.8" x14ac:dyDescent="0.3">
      <c r="A1079" s="2" t="s">
        <v>384</v>
      </c>
      <c r="B1079" s="2" t="s">
        <v>244</v>
      </c>
      <c r="C1079" s="10">
        <v>2304025</v>
      </c>
      <c r="D1079" s="10" t="s">
        <v>1162</v>
      </c>
      <c r="E1079" s="10">
        <v>2575824</v>
      </c>
      <c r="F1079" s="10" t="s">
        <v>1284</v>
      </c>
      <c r="G1079" s="69">
        <v>-28.66</v>
      </c>
      <c r="H1079" s="69">
        <v>35.200000000000003</v>
      </c>
      <c r="I1079" s="69">
        <f t="shared" si="331"/>
        <v>24.64</v>
      </c>
      <c r="J1079" s="70">
        <v>1</v>
      </c>
      <c r="K1079" s="69">
        <f t="shared" si="332"/>
        <v>-3.8921999999999999</v>
      </c>
      <c r="L1079" s="79" t="s">
        <v>468</v>
      </c>
      <c r="M1079" s="61">
        <f t="shared" si="333"/>
        <v>-3.6959999999999993</v>
      </c>
      <c r="N1079" s="61">
        <f t="shared" si="334"/>
        <v>4.3472</v>
      </c>
      <c r="O1079" s="61"/>
      <c r="P1079" s="2"/>
      <c r="Q1079" s="2"/>
      <c r="R1079" s="32"/>
      <c r="S1079" s="32"/>
      <c r="T1079" s="32"/>
      <c r="U1079" s="32"/>
      <c r="V1079" s="2"/>
      <c r="W1079" s="2"/>
      <c r="X1079" s="2"/>
      <c r="Y1079" s="2"/>
      <c r="Z1079" s="2"/>
    </row>
    <row r="1080" spans="1:26" ht="13.8" x14ac:dyDescent="0.3">
      <c r="A1080" s="2" t="s">
        <v>384</v>
      </c>
      <c r="B1080" s="2" t="s">
        <v>244</v>
      </c>
      <c r="C1080" s="10">
        <v>2304025</v>
      </c>
      <c r="D1080" s="10" t="s">
        <v>1162</v>
      </c>
      <c r="E1080" s="10">
        <v>2575978</v>
      </c>
      <c r="F1080" s="10" t="s">
        <v>1285</v>
      </c>
      <c r="G1080" s="69">
        <v>62.04</v>
      </c>
      <c r="H1080" s="69">
        <v>21.29</v>
      </c>
      <c r="I1080" s="69">
        <f t="shared" si="331"/>
        <v>14.902999999999999</v>
      </c>
      <c r="J1080" s="70">
        <v>1</v>
      </c>
      <c r="K1080" s="69">
        <f t="shared" si="332"/>
        <v>65.114135000000005</v>
      </c>
      <c r="L1080" s="79" t="s">
        <v>468</v>
      </c>
      <c r="M1080" s="61">
        <f t="shared" si="333"/>
        <v>-2.2354500000000002</v>
      </c>
      <c r="N1080" s="61">
        <f t="shared" si="334"/>
        <v>2.6293149999999996</v>
      </c>
      <c r="O1080" s="61"/>
      <c r="P1080" s="2"/>
      <c r="Q1080" s="2"/>
      <c r="R1080" s="32"/>
      <c r="S1080" s="32"/>
      <c r="T1080" s="32"/>
      <c r="U1080" s="32"/>
      <c r="V1080" s="2"/>
      <c r="W1080" s="2"/>
      <c r="X1080" s="2"/>
      <c r="Y1080" s="2"/>
      <c r="Z1080" s="2"/>
    </row>
    <row r="1081" spans="1:26" ht="13.8" x14ac:dyDescent="0.3">
      <c r="A1081" s="2" t="s">
        <v>384</v>
      </c>
      <c r="B1081" s="2" t="s">
        <v>244</v>
      </c>
      <c r="C1081" s="10">
        <v>2304025</v>
      </c>
      <c r="D1081" s="10" t="s">
        <v>1162</v>
      </c>
      <c r="E1081" s="10">
        <v>2651070</v>
      </c>
      <c r="F1081" s="10" t="s">
        <v>1334</v>
      </c>
      <c r="G1081" s="69">
        <v>-2.6</v>
      </c>
      <c r="H1081" s="69">
        <v>0.3</v>
      </c>
      <c r="I1081" s="69">
        <f t="shared" si="331"/>
        <v>0.21</v>
      </c>
      <c r="J1081" s="70">
        <v>1</v>
      </c>
      <c r="K1081" s="69">
        <f t="shared" si="332"/>
        <v>-2.0355499999999997</v>
      </c>
      <c r="L1081" s="79" t="s">
        <v>468</v>
      </c>
      <c r="M1081" s="61">
        <f t="shared" si="333"/>
        <v>-3.1499999999999986E-2</v>
      </c>
      <c r="N1081" s="61">
        <f t="shared" si="334"/>
        <v>3.705E-2</v>
      </c>
      <c r="O1081" s="61"/>
      <c r="P1081" s="2"/>
      <c r="Q1081" s="2"/>
      <c r="R1081" s="32"/>
      <c r="S1081" s="32"/>
      <c r="T1081" s="32"/>
      <c r="U1081" s="32"/>
      <c r="V1081" s="2"/>
      <c r="W1081" s="2"/>
      <c r="X1081" s="2"/>
      <c r="Y1081" s="2"/>
      <c r="Z1081" s="2"/>
    </row>
    <row r="1082" spans="1:26" ht="13.8" x14ac:dyDescent="0.3">
      <c r="A1082" s="2" t="s">
        <v>384</v>
      </c>
      <c r="B1082" s="2" t="s">
        <v>244</v>
      </c>
      <c r="C1082" s="10">
        <v>2373023</v>
      </c>
      <c r="D1082" s="10" t="s">
        <v>1127</v>
      </c>
      <c r="E1082" s="10">
        <v>2630335</v>
      </c>
      <c r="F1082" s="10" t="s">
        <v>1320</v>
      </c>
      <c r="G1082" s="69">
        <v>-1751.04</v>
      </c>
      <c r="H1082" s="69">
        <v>456.12</v>
      </c>
      <c r="I1082" s="69">
        <f t="shared" si="331"/>
        <v>319.28399999999999</v>
      </c>
      <c r="J1082" s="70">
        <v>1</v>
      </c>
      <c r="K1082" s="69">
        <f t="shared" si="332"/>
        <v>-1223.1502199999998</v>
      </c>
      <c r="L1082" s="79" t="s">
        <v>468</v>
      </c>
      <c r="M1082" s="61">
        <f t="shared" si="333"/>
        <v>-47.892600000000002</v>
      </c>
      <c r="N1082" s="61">
        <f t="shared" si="334"/>
        <v>56.330819999999989</v>
      </c>
      <c r="O1082" s="61"/>
      <c r="P1082" s="2"/>
      <c r="Q1082" s="2"/>
      <c r="R1082" s="32"/>
      <c r="S1082" s="32"/>
      <c r="T1082" s="32"/>
      <c r="U1082" s="32"/>
      <c r="V1082" s="2"/>
      <c r="W1082" s="2"/>
      <c r="X1082" s="2"/>
      <c r="Y1082" s="2"/>
      <c r="Z1082" s="2"/>
    </row>
    <row r="1083" spans="1:26" ht="13.8" x14ac:dyDescent="0.3">
      <c r="A1083" s="2" t="s">
        <v>384</v>
      </c>
      <c r="B1083" s="2" t="s">
        <v>244</v>
      </c>
      <c r="C1083" s="10">
        <v>2373023</v>
      </c>
      <c r="D1083" s="10" t="s">
        <v>1127</v>
      </c>
      <c r="E1083" s="10">
        <v>2660099</v>
      </c>
      <c r="F1083" s="10" t="s">
        <v>1329</v>
      </c>
      <c r="G1083" s="69">
        <v>862.7</v>
      </c>
      <c r="H1083" s="69">
        <v>64.42</v>
      </c>
      <c r="I1083" s="69">
        <f t="shared" si="331"/>
        <v>45.094000000000001</v>
      </c>
      <c r="J1083" s="70">
        <v>1</v>
      </c>
      <c r="K1083" s="69">
        <f t="shared" si="332"/>
        <v>770.75522999999998</v>
      </c>
      <c r="L1083" s="79" t="s">
        <v>468</v>
      </c>
      <c r="M1083" s="61">
        <f t="shared" si="333"/>
        <v>-6.7640999999999876</v>
      </c>
      <c r="N1083" s="61">
        <f t="shared" si="334"/>
        <v>7.95587</v>
      </c>
      <c r="O1083" s="61"/>
      <c r="P1083" s="2"/>
      <c r="Q1083" s="2"/>
      <c r="R1083" s="32"/>
      <c r="S1083" s="32"/>
      <c r="T1083" s="32"/>
      <c r="U1083" s="32"/>
      <c r="V1083" s="2"/>
      <c r="W1083" s="2"/>
      <c r="X1083" s="2"/>
      <c r="Y1083" s="2"/>
      <c r="Z1083" s="2"/>
    </row>
    <row r="1084" spans="1:26" ht="13.8" x14ac:dyDescent="0.3">
      <c r="A1084" s="2" t="s">
        <v>384</v>
      </c>
      <c r="B1084" s="2" t="s">
        <v>244</v>
      </c>
      <c r="C1084" s="10">
        <v>2525136</v>
      </c>
      <c r="D1084" s="10" t="s">
        <v>1205</v>
      </c>
      <c r="E1084" s="10">
        <v>2523689</v>
      </c>
      <c r="F1084" s="10" t="s">
        <v>1311</v>
      </c>
      <c r="G1084" s="69">
        <v>162.57</v>
      </c>
      <c r="H1084" s="69">
        <v>113.06</v>
      </c>
      <c r="I1084" s="69">
        <f t="shared" si="331"/>
        <v>79.141999999999996</v>
      </c>
      <c r="J1084" s="70">
        <v>1</v>
      </c>
      <c r="K1084" s="69">
        <f t="shared" si="332"/>
        <v>203.92888999999997</v>
      </c>
      <c r="L1084" s="79" t="s">
        <v>468</v>
      </c>
      <c r="M1084" s="61">
        <f t="shared" si="333"/>
        <v>-11.8713</v>
      </c>
      <c r="N1084" s="61">
        <f t="shared" si="334"/>
        <v>13.962909999999999</v>
      </c>
      <c r="O1084" s="61"/>
      <c r="P1084" s="2"/>
      <c r="Q1084" s="2"/>
      <c r="R1084" s="32"/>
      <c r="S1084" s="32"/>
      <c r="T1084" s="32"/>
      <c r="U1084" s="32"/>
      <c r="V1084" s="2"/>
      <c r="W1084" s="2"/>
      <c r="X1084" s="2"/>
      <c r="Y1084" s="2"/>
      <c r="Z1084" s="2"/>
    </row>
    <row r="1085" spans="1:26" ht="13.8" x14ac:dyDescent="0.3">
      <c r="A1085" s="2" t="s">
        <v>384</v>
      </c>
      <c r="B1085" s="2" t="s">
        <v>244</v>
      </c>
      <c r="C1085" s="10">
        <v>2525136</v>
      </c>
      <c r="D1085" s="10" t="s">
        <v>1205</v>
      </c>
      <c r="E1085" s="10">
        <v>2525136</v>
      </c>
      <c r="F1085" s="10" t="s">
        <v>1205</v>
      </c>
      <c r="G1085" s="69">
        <v>444.71</v>
      </c>
      <c r="H1085" s="69">
        <v>63.94</v>
      </c>
      <c r="I1085" s="69">
        <f t="shared" si="331"/>
        <v>44.757999999999996</v>
      </c>
      <c r="J1085" s="70">
        <v>1</v>
      </c>
      <c r="K1085" s="69">
        <f t="shared" si="332"/>
        <v>415.18460999999996</v>
      </c>
      <c r="L1085" s="79" t="s">
        <v>468</v>
      </c>
      <c r="M1085" s="61">
        <f t="shared" si="333"/>
        <v>-6.7137000000000056</v>
      </c>
      <c r="N1085" s="61">
        <f t="shared" si="334"/>
        <v>7.8965899999999989</v>
      </c>
      <c r="O1085" s="61"/>
      <c r="P1085" s="2"/>
      <c r="Q1085" s="2"/>
      <c r="R1085" s="32"/>
      <c r="S1085" s="32"/>
      <c r="T1085" s="32"/>
      <c r="U1085" s="32"/>
      <c r="V1085" s="2"/>
      <c r="W1085" s="2"/>
      <c r="X1085" s="2"/>
      <c r="Y1085" s="2"/>
      <c r="Z1085" s="2"/>
    </row>
    <row r="1086" spans="1:26" ht="13.8" x14ac:dyDescent="0.3">
      <c r="A1086" s="2" t="s">
        <v>384</v>
      </c>
      <c r="B1086" s="2" t="s">
        <v>244</v>
      </c>
      <c r="C1086" s="10">
        <v>2525136</v>
      </c>
      <c r="D1086" s="10" t="s">
        <v>1205</v>
      </c>
      <c r="E1086" s="10">
        <v>2600460</v>
      </c>
      <c r="F1086" s="10" t="s">
        <v>1312</v>
      </c>
      <c r="G1086" s="69">
        <v>-314.83999999999997</v>
      </c>
      <c r="H1086" s="69">
        <v>65.17</v>
      </c>
      <c r="I1086" s="69">
        <f t="shared" si="331"/>
        <v>45.619</v>
      </c>
      <c r="J1086" s="70">
        <v>1</v>
      </c>
      <c r="K1086" s="69">
        <f t="shared" si="332"/>
        <v>-229.717645</v>
      </c>
      <c r="L1086" s="79" t="s">
        <v>468</v>
      </c>
      <c r="M1086" s="61">
        <f t="shared" si="333"/>
        <v>-6.8428500000000003</v>
      </c>
      <c r="N1086" s="61">
        <f t="shared" si="334"/>
        <v>8.0484949999999991</v>
      </c>
      <c r="O1086" s="61"/>
      <c r="P1086" s="2"/>
      <c r="Q1086" s="2"/>
      <c r="R1086" s="32"/>
      <c r="S1086" s="32"/>
      <c r="T1086" s="32"/>
      <c r="U1086" s="32"/>
      <c r="V1086" s="2"/>
      <c r="W1086" s="2"/>
      <c r="X1086" s="2"/>
      <c r="Y1086" s="2"/>
      <c r="Z1086" s="2"/>
    </row>
    <row r="1087" spans="1:26" ht="13.8" x14ac:dyDescent="0.3">
      <c r="A1087" s="2"/>
      <c r="B1087" s="2"/>
      <c r="C1087" s="10"/>
      <c r="D1087" s="10"/>
      <c r="E1087" s="10"/>
      <c r="F1087" s="10"/>
      <c r="G1087" s="69"/>
      <c r="H1087" s="69"/>
      <c r="I1087" s="69"/>
      <c r="J1087" s="70"/>
      <c r="K1087" s="69"/>
      <c r="L1087" s="69"/>
      <c r="M1087" s="69"/>
      <c r="N1087" s="69"/>
      <c r="O1087" s="69"/>
      <c r="P1087" s="2"/>
      <c r="Q1087" s="2"/>
      <c r="R1087" s="32"/>
      <c r="S1087" s="32"/>
      <c r="T1087" s="32"/>
      <c r="U1087" s="32"/>
      <c r="V1087" s="2"/>
      <c r="W1087" s="2"/>
      <c r="X1087" s="2"/>
      <c r="Y1087" s="2"/>
      <c r="Z1087" s="2"/>
    </row>
    <row r="1088" spans="1:26" ht="13.8" x14ac:dyDescent="0.3">
      <c r="A1088" s="2"/>
      <c r="B1088" s="2"/>
      <c r="C1088" s="10"/>
      <c r="D1088" s="10"/>
      <c r="E1088" s="10"/>
      <c r="F1088" s="10"/>
      <c r="G1088" s="69"/>
      <c r="H1088" s="69"/>
      <c r="I1088" s="69"/>
      <c r="J1088" s="70"/>
      <c r="K1088" s="69"/>
      <c r="L1088" s="69"/>
      <c r="M1088" s="69"/>
      <c r="N1088" s="69"/>
      <c r="O1088" s="69"/>
      <c r="P1088" s="2"/>
      <c r="Q1088" s="2"/>
      <c r="R1088" s="32"/>
      <c r="S1088" s="32"/>
      <c r="T1088" s="32"/>
      <c r="U1088" s="32"/>
      <c r="V1088" s="2"/>
      <c r="W1088" s="2"/>
      <c r="X1088" s="2"/>
      <c r="Y1088" s="2"/>
      <c r="Z1088" s="2"/>
    </row>
    <row r="1089" spans="1:26" ht="13.8" x14ac:dyDescent="0.3">
      <c r="A1089" s="2"/>
      <c r="B1089" s="2"/>
      <c r="C1089" s="10"/>
      <c r="D1089" s="10"/>
      <c r="E1089" s="10"/>
      <c r="F1089" s="10"/>
      <c r="G1089" s="69"/>
      <c r="H1089" s="69"/>
      <c r="I1089" s="69"/>
      <c r="J1089" s="70"/>
      <c r="K1089" s="69"/>
      <c r="L1089" s="69"/>
      <c r="M1089" s="69"/>
      <c r="N1089" s="69"/>
      <c r="O1089" s="69"/>
      <c r="P1089" s="2"/>
      <c r="Q1089" s="2"/>
      <c r="R1089" s="32"/>
      <c r="S1089" s="32"/>
      <c r="T1089" s="32"/>
      <c r="U1089" s="32"/>
      <c r="V1089" s="2"/>
      <c r="W1089" s="2"/>
      <c r="X1089" s="2"/>
      <c r="Y1089" s="2"/>
      <c r="Z1089" s="2"/>
    </row>
    <row r="1090" spans="1:26" ht="13.8" x14ac:dyDescent="0.3">
      <c r="A1090" s="2"/>
      <c r="B1090" s="2"/>
      <c r="C1090" s="10"/>
      <c r="D1090" s="10"/>
      <c r="E1090" s="10"/>
      <c r="F1090" s="10"/>
      <c r="G1090" s="69"/>
      <c r="H1090" s="69"/>
      <c r="I1090" s="69"/>
      <c r="J1090" s="70"/>
      <c r="K1090" s="69"/>
      <c r="L1090" s="69"/>
      <c r="M1090" s="84" t="s">
        <v>520</v>
      </c>
      <c r="N1090" s="69"/>
      <c r="O1090" s="69"/>
      <c r="P1090" s="2"/>
      <c r="Q1090" s="2"/>
      <c r="R1090" s="32"/>
      <c r="S1090" s="32"/>
      <c r="T1090" s="32"/>
      <c r="U1090" s="32"/>
      <c r="V1090" s="2"/>
      <c r="W1090" s="2"/>
      <c r="X1090" s="2"/>
      <c r="Y1090" s="2"/>
      <c r="Z1090" s="2"/>
    </row>
    <row r="1091" spans="1:26" ht="13.8" x14ac:dyDescent="0.3">
      <c r="A1091" s="2"/>
      <c r="B1091" s="2"/>
      <c r="C1091" s="10"/>
      <c r="D1091" s="10"/>
      <c r="E1091" s="10"/>
      <c r="F1091" s="10"/>
      <c r="G1091" s="69"/>
      <c r="H1091" s="69"/>
      <c r="I1091" s="69"/>
      <c r="J1091" s="70"/>
      <c r="K1091" s="69"/>
      <c r="L1091" s="69"/>
      <c r="M1091" s="69"/>
      <c r="N1091" s="69"/>
      <c r="O1091" s="69"/>
      <c r="P1091" s="2"/>
      <c r="Q1091" s="2"/>
      <c r="R1091" s="32"/>
      <c r="S1091" s="32"/>
      <c r="T1091" s="32"/>
      <c r="U1091" s="32"/>
      <c r="V1091" s="2"/>
      <c r="W1091" s="2"/>
      <c r="X1091" s="2"/>
      <c r="Y1091" s="2"/>
      <c r="Z1091" s="2"/>
    </row>
    <row r="1092" spans="1:26" ht="13.8" x14ac:dyDescent="0.3">
      <c r="A1092" s="2"/>
      <c r="B1092" s="2"/>
      <c r="C1092" s="10"/>
      <c r="D1092" s="10"/>
      <c r="E1092" s="10"/>
      <c r="F1092" s="10"/>
      <c r="G1092" s="69"/>
      <c r="H1092" s="69"/>
      <c r="I1092" s="69"/>
      <c r="J1092" s="70"/>
      <c r="K1092" s="69"/>
      <c r="L1092" s="69"/>
      <c r="M1092" s="69"/>
      <c r="N1092" s="69"/>
      <c r="O1092" s="69"/>
      <c r="P1092" s="2"/>
      <c r="Q1092" s="2"/>
      <c r="R1092" s="32"/>
      <c r="S1092" s="32"/>
      <c r="T1092" s="32"/>
      <c r="U1092" s="32"/>
      <c r="V1092" s="2"/>
      <c r="W1092" s="2"/>
      <c r="X1092" s="2"/>
      <c r="Y1092" s="2"/>
      <c r="Z1092" s="2"/>
    </row>
    <row r="1093" spans="1:26" ht="13.8" x14ac:dyDescent="0.3">
      <c r="A1093" s="2"/>
      <c r="B1093" s="2"/>
      <c r="C1093" s="10"/>
      <c r="D1093" s="10"/>
      <c r="E1093" s="10"/>
      <c r="F1093" s="10"/>
      <c r="G1093" s="69"/>
      <c r="H1093" s="69"/>
      <c r="I1093" s="69"/>
      <c r="J1093" s="70"/>
      <c r="K1093" s="69"/>
      <c r="L1093" s="69"/>
      <c r="M1093" s="69"/>
      <c r="N1093" s="69"/>
      <c r="O1093" s="69"/>
      <c r="P1093" s="2"/>
      <c r="Q1093" s="2"/>
      <c r="R1093" s="32"/>
      <c r="S1093" s="32"/>
      <c r="T1093" s="32"/>
      <c r="U1093" s="32"/>
      <c r="V1093" s="2"/>
      <c r="W1093" s="2"/>
      <c r="X1093" s="2"/>
      <c r="Y1093" s="2"/>
      <c r="Z1093" s="2"/>
    </row>
    <row r="1094" spans="1:26" ht="13.8" x14ac:dyDescent="0.3">
      <c r="A1094" s="2"/>
      <c r="B1094" s="2"/>
      <c r="C1094" s="10"/>
      <c r="D1094" s="10"/>
      <c r="E1094" s="10"/>
      <c r="F1094" s="10"/>
      <c r="G1094" s="69"/>
      <c r="H1094" s="69"/>
      <c r="I1094" s="69"/>
      <c r="J1094" s="70"/>
      <c r="K1094" s="69"/>
      <c r="L1094" s="69"/>
      <c r="M1094" s="69"/>
      <c r="N1094" s="69"/>
      <c r="O1094" s="69"/>
      <c r="P1094" s="2"/>
      <c r="Q1094" s="2"/>
      <c r="R1094" s="32"/>
      <c r="S1094" s="32"/>
      <c r="T1094" s="32"/>
      <c r="U1094" s="32"/>
      <c r="V1094" s="2"/>
      <c r="W1094" s="2"/>
      <c r="X1094" s="2"/>
      <c r="Y1094" s="2"/>
      <c r="Z1094" s="2"/>
    </row>
    <row r="1095" spans="1:26" ht="13.8" x14ac:dyDescent="0.3">
      <c r="A1095" s="2"/>
      <c r="B1095" s="2"/>
      <c r="C1095" s="10"/>
      <c r="D1095" s="10"/>
      <c r="E1095" s="10"/>
      <c r="F1095" s="10"/>
      <c r="G1095" s="69"/>
      <c r="H1095" s="69"/>
      <c r="I1095" s="69"/>
      <c r="J1095" s="70"/>
      <c r="K1095" s="69"/>
      <c r="L1095" s="69"/>
      <c r="M1095" s="69"/>
      <c r="N1095" s="69"/>
      <c r="O1095" s="69"/>
      <c r="P1095" s="2"/>
      <c r="Q1095" s="2"/>
      <c r="R1095" s="32"/>
      <c r="S1095" s="32"/>
      <c r="T1095" s="32"/>
      <c r="U1095" s="32"/>
      <c r="V1095" s="2"/>
      <c r="W1095" s="2"/>
      <c r="X1095" s="2"/>
      <c r="Y1095" s="2"/>
      <c r="Z1095" s="2"/>
    </row>
    <row r="1096" spans="1:26" ht="13.8" x14ac:dyDescent="0.3">
      <c r="A1096" s="2"/>
      <c r="B1096" s="2"/>
      <c r="C1096" s="10"/>
      <c r="D1096" s="10"/>
      <c r="E1096" s="10"/>
      <c r="F1096" s="10"/>
      <c r="G1096" s="69"/>
      <c r="H1096" s="69"/>
      <c r="I1096" s="69"/>
      <c r="J1096" s="70"/>
      <c r="K1096" s="69"/>
      <c r="L1096" s="69"/>
      <c r="M1096" s="69"/>
      <c r="N1096" s="69"/>
      <c r="O1096" s="69"/>
      <c r="P1096" s="2"/>
      <c r="Q1096" s="2"/>
      <c r="R1096" s="32"/>
      <c r="S1096" s="32"/>
      <c r="T1096" s="32"/>
      <c r="U1096" s="32"/>
      <c r="V1096" s="2"/>
      <c r="W1096" s="2"/>
      <c r="X1096" s="2"/>
      <c r="Y1096" s="2"/>
      <c r="Z1096" s="2"/>
    </row>
    <row r="1097" spans="1:26" ht="13.8" x14ac:dyDescent="0.3">
      <c r="A1097" s="2"/>
      <c r="B1097" s="2"/>
      <c r="C1097" s="10"/>
      <c r="D1097" s="10"/>
      <c r="E1097" s="10"/>
      <c r="F1097" s="10"/>
      <c r="G1097" s="69"/>
      <c r="H1097" s="69"/>
      <c r="I1097" s="69"/>
      <c r="J1097" s="70"/>
      <c r="K1097" s="69"/>
      <c r="L1097" s="69"/>
      <c r="M1097" s="69"/>
      <c r="N1097" s="69"/>
      <c r="O1097" s="69"/>
      <c r="P1097" s="2"/>
      <c r="Q1097" s="2"/>
      <c r="R1097" s="32"/>
      <c r="S1097" s="32"/>
      <c r="T1097" s="32"/>
      <c r="U1097" s="32"/>
      <c r="V1097" s="2"/>
      <c r="W1097" s="2"/>
      <c r="X1097" s="2"/>
      <c r="Y1097" s="2"/>
      <c r="Z1097" s="2"/>
    </row>
    <row r="1098" spans="1:26" ht="13.8" x14ac:dyDescent="0.3">
      <c r="A1098" s="2"/>
      <c r="B1098" s="2"/>
      <c r="C1098" s="10"/>
      <c r="D1098" s="10"/>
      <c r="E1098" s="10"/>
      <c r="F1098" s="10"/>
      <c r="G1098" s="69"/>
      <c r="H1098" s="69"/>
      <c r="I1098" s="69"/>
      <c r="J1098" s="70"/>
      <c r="K1098" s="69"/>
      <c r="L1098" s="69"/>
      <c r="M1098" s="69"/>
      <c r="N1098" s="69"/>
      <c r="O1098" s="69"/>
      <c r="P1098" s="2"/>
      <c r="Q1098" s="2"/>
      <c r="R1098" s="32"/>
      <c r="S1098" s="32"/>
      <c r="T1098" s="32"/>
      <c r="U1098" s="32"/>
      <c r="V1098" s="2"/>
      <c r="W1098" s="2"/>
      <c r="X1098" s="2"/>
      <c r="Y1098" s="2"/>
      <c r="Z1098" s="2"/>
    </row>
    <row r="1099" spans="1:26" ht="13.8" x14ac:dyDescent="0.3">
      <c r="A1099" s="2"/>
      <c r="B1099" s="2"/>
      <c r="C1099" s="10"/>
      <c r="D1099" s="10"/>
      <c r="E1099" s="10"/>
      <c r="F1099" s="10"/>
      <c r="G1099" s="69"/>
      <c r="H1099" s="69"/>
      <c r="I1099" s="69"/>
      <c r="J1099" s="70"/>
      <c r="K1099" s="69"/>
      <c r="L1099" s="69"/>
      <c r="M1099" s="69"/>
      <c r="N1099" s="69"/>
      <c r="O1099" s="69"/>
      <c r="P1099" s="2"/>
      <c r="Q1099" s="2"/>
      <c r="R1099" s="32"/>
      <c r="S1099" s="32"/>
      <c r="T1099" s="32"/>
      <c r="U1099" s="32"/>
      <c r="V1099" s="2"/>
      <c r="W1099" s="2"/>
      <c r="X1099" s="2"/>
      <c r="Y1099" s="2"/>
      <c r="Z1099" s="2"/>
    </row>
    <row r="1100" spans="1:26" ht="13.8" x14ac:dyDescent="0.3">
      <c r="A1100" s="2"/>
      <c r="B1100" s="2"/>
      <c r="C1100" s="10"/>
      <c r="D1100" s="10"/>
      <c r="E1100" s="10"/>
      <c r="F1100" s="10"/>
      <c r="G1100" s="69"/>
      <c r="H1100" s="69"/>
      <c r="I1100" s="69"/>
      <c r="J1100" s="70"/>
      <c r="K1100" s="69"/>
      <c r="L1100" s="69"/>
      <c r="M1100" s="69"/>
      <c r="N1100" s="69"/>
      <c r="O1100" s="69"/>
      <c r="P1100" s="2"/>
      <c r="Q1100" s="2"/>
      <c r="R1100" s="32"/>
      <c r="S1100" s="32"/>
      <c r="T1100" s="32"/>
      <c r="U1100" s="32"/>
      <c r="V1100" s="2"/>
      <c r="W1100" s="2"/>
      <c r="X1100" s="2"/>
      <c r="Y1100" s="2"/>
      <c r="Z1100" s="2"/>
    </row>
    <row r="1101" spans="1:26" ht="13.8" x14ac:dyDescent="0.3">
      <c r="A1101" s="2"/>
      <c r="B1101" s="2"/>
      <c r="C1101" s="10"/>
      <c r="D1101" s="10"/>
      <c r="E1101" s="10"/>
      <c r="F1101" s="10"/>
      <c r="G1101" s="69"/>
      <c r="H1101" s="69"/>
      <c r="I1101" s="69"/>
      <c r="J1101" s="70"/>
      <c r="K1101" s="69"/>
      <c r="L1101" s="69"/>
      <c r="M1101" s="69"/>
      <c r="N1101" s="69"/>
      <c r="O1101" s="69"/>
      <c r="P1101" s="2"/>
      <c r="Q1101" s="2"/>
      <c r="R1101" s="32"/>
      <c r="S1101" s="32"/>
      <c r="T1101" s="32"/>
      <c r="U1101" s="32"/>
      <c r="V1101" s="2"/>
      <c r="W1101" s="2"/>
      <c r="X1101" s="2"/>
      <c r="Y1101" s="2"/>
      <c r="Z1101" s="2"/>
    </row>
    <row r="1102" spans="1:26" ht="13.8" x14ac:dyDescent="0.3">
      <c r="A1102" s="2"/>
      <c r="B1102" s="2"/>
      <c r="C1102" s="10"/>
      <c r="D1102" s="10"/>
      <c r="E1102" s="10"/>
      <c r="F1102" s="10"/>
      <c r="G1102" s="69"/>
      <c r="H1102" s="69"/>
      <c r="I1102" s="69"/>
      <c r="J1102" s="70"/>
      <c r="K1102" s="69"/>
      <c r="L1102" s="69"/>
      <c r="M1102" s="69"/>
      <c r="N1102" s="69"/>
      <c r="O1102" s="69"/>
      <c r="P1102" s="2"/>
      <c r="Q1102" s="2"/>
      <c r="R1102" s="32"/>
      <c r="S1102" s="32"/>
      <c r="T1102" s="32"/>
      <c r="U1102" s="32"/>
      <c r="V1102" s="2"/>
      <c r="W1102" s="2"/>
      <c r="X1102" s="2"/>
      <c r="Y1102" s="2"/>
      <c r="Z1102" s="2"/>
    </row>
    <row r="1103" spans="1:26" ht="13.8" x14ac:dyDescent="0.3">
      <c r="A1103" s="2"/>
      <c r="B1103" s="2"/>
      <c r="C1103" s="10"/>
      <c r="D1103" s="10"/>
      <c r="E1103" s="10"/>
      <c r="F1103" s="10"/>
      <c r="G1103" s="69"/>
      <c r="H1103" s="69"/>
      <c r="I1103" s="69"/>
      <c r="J1103" s="70"/>
      <c r="K1103" s="69"/>
      <c r="L1103" s="69"/>
      <c r="M1103" s="69"/>
      <c r="N1103" s="69"/>
      <c r="O1103" s="69"/>
      <c r="P1103" s="2"/>
      <c r="Q1103" s="2"/>
      <c r="R1103" s="32"/>
      <c r="S1103" s="32"/>
      <c r="T1103" s="32"/>
      <c r="U1103" s="32"/>
      <c r="V1103" s="2"/>
      <c r="W1103" s="2"/>
      <c r="X1103" s="2"/>
      <c r="Y1103" s="2"/>
      <c r="Z1103" s="2"/>
    </row>
    <row r="1104" spans="1:26" ht="13.8" x14ac:dyDescent="0.3">
      <c r="A1104" s="2"/>
      <c r="B1104" s="2"/>
      <c r="C1104" s="10"/>
      <c r="D1104" s="10"/>
      <c r="E1104" s="10"/>
      <c r="F1104" s="10"/>
      <c r="G1104" s="69"/>
      <c r="H1104" s="69"/>
      <c r="I1104" s="69"/>
      <c r="J1104" s="70"/>
      <c r="K1104" s="69"/>
      <c r="L1104" s="69"/>
      <c r="M1104" s="69"/>
      <c r="N1104" s="69"/>
      <c r="O1104" s="69"/>
      <c r="P1104" s="2"/>
      <c r="Q1104" s="2"/>
      <c r="R1104" s="32"/>
      <c r="S1104" s="32"/>
      <c r="T1104" s="32"/>
      <c r="U1104" s="32"/>
      <c r="V1104" s="2"/>
      <c r="W1104" s="2"/>
      <c r="X1104" s="2"/>
      <c r="Y1104" s="2"/>
      <c r="Z1104" s="2"/>
    </row>
    <row r="1105" spans="1:26" ht="13.8" x14ac:dyDescent="0.3">
      <c r="A1105" s="2"/>
      <c r="B1105" s="2"/>
      <c r="C1105" s="10"/>
      <c r="D1105" s="10"/>
      <c r="E1105" s="10"/>
      <c r="F1105" s="10"/>
      <c r="G1105" s="69"/>
      <c r="H1105" s="69"/>
      <c r="I1105" s="69"/>
      <c r="J1105" s="70"/>
      <c r="K1105" s="69"/>
      <c r="L1105" s="69"/>
      <c r="M1105" s="69"/>
      <c r="N1105" s="69"/>
      <c r="O1105" s="69"/>
      <c r="P1105" s="2"/>
      <c r="Q1105" s="2"/>
      <c r="R1105" s="32"/>
      <c r="S1105" s="32"/>
      <c r="T1105" s="32"/>
      <c r="U1105" s="32"/>
      <c r="V1105" s="2"/>
      <c r="W1105" s="2"/>
      <c r="X1105" s="2"/>
      <c r="Y1105" s="2"/>
      <c r="Z1105" s="2"/>
    </row>
    <row r="1106" spans="1:26" ht="13.8" x14ac:dyDescent="0.3">
      <c r="A1106" s="2"/>
      <c r="B1106" s="2"/>
      <c r="C1106" s="10"/>
      <c r="D1106" s="10"/>
      <c r="E1106" s="10"/>
      <c r="F1106" s="10"/>
      <c r="G1106" s="69"/>
      <c r="H1106" s="69"/>
      <c r="I1106" s="69"/>
      <c r="J1106" s="70"/>
      <c r="K1106" s="69"/>
      <c r="L1106" s="69"/>
      <c r="M1106" s="69"/>
      <c r="N1106" s="69"/>
      <c r="O1106" s="69"/>
      <c r="P1106" s="2"/>
      <c r="Q1106" s="2"/>
      <c r="R1106" s="32"/>
      <c r="S1106" s="32"/>
      <c r="T1106" s="32"/>
      <c r="U1106" s="32"/>
      <c r="V1106" s="2"/>
      <c r="W1106" s="2"/>
      <c r="X1106" s="2"/>
      <c r="Y1106" s="2"/>
      <c r="Z1106" s="2"/>
    </row>
    <row r="1107" spans="1:26" ht="13.8" x14ac:dyDescent="0.3">
      <c r="A1107" s="2"/>
      <c r="B1107" s="2"/>
      <c r="C1107" s="10"/>
      <c r="D1107" s="10"/>
      <c r="E1107" s="10"/>
      <c r="F1107" s="10"/>
      <c r="G1107" s="69"/>
      <c r="H1107" s="69"/>
      <c r="I1107" s="69"/>
      <c r="J1107" s="70"/>
      <c r="K1107" s="69"/>
      <c r="L1107" s="69"/>
      <c r="M1107" s="69"/>
      <c r="N1107" s="69"/>
      <c r="O1107" s="69"/>
      <c r="P1107" s="2"/>
      <c r="Q1107" s="2"/>
      <c r="R1107" s="32"/>
      <c r="S1107" s="32"/>
      <c r="T1107" s="32"/>
      <c r="U1107" s="32"/>
      <c r="V1107" s="2"/>
      <c r="W1107" s="2"/>
      <c r="X1107" s="2"/>
      <c r="Y1107" s="2"/>
      <c r="Z1107" s="2"/>
    </row>
    <row r="1108" spans="1:26" ht="13.8" x14ac:dyDescent="0.3">
      <c r="A1108" s="2"/>
      <c r="B1108" s="2"/>
      <c r="C1108" s="10"/>
      <c r="D1108" s="10"/>
      <c r="E1108" s="10"/>
      <c r="F1108" s="10"/>
      <c r="G1108" s="69"/>
      <c r="H1108" s="69"/>
      <c r="I1108" s="69"/>
      <c r="J1108" s="70"/>
      <c r="K1108" s="69"/>
      <c r="L1108" s="69"/>
      <c r="M1108" s="69"/>
      <c r="N1108" s="69"/>
      <c r="O1108" s="69"/>
      <c r="P1108" s="2"/>
      <c r="Q1108" s="2"/>
      <c r="R1108" s="32"/>
      <c r="S1108" s="32"/>
      <c r="T1108" s="32"/>
      <c r="U1108" s="32"/>
      <c r="V1108" s="2"/>
      <c r="W1108" s="2"/>
      <c r="X1108" s="2"/>
      <c r="Y1108" s="2"/>
      <c r="Z1108" s="2"/>
    </row>
    <row r="1109" spans="1:26" ht="13.8" x14ac:dyDescent="0.3">
      <c r="A1109" s="2"/>
      <c r="B1109" s="2"/>
      <c r="C1109" s="10"/>
      <c r="D1109" s="10"/>
      <c r="E1109" s="10"/>
      <c r="F1109" s="10"/>
      <c r="G1109" s="69"/>
      <c r="H1109" s="69"/>
      <c r="I1109" s="69"/>
      <c r="J1109" s="70"/>
      <c r="K1109" s="69"/>
      <c r="L1109" s="69"/>
      <c r="M1109" s="69"/>
      <c r="N1109" s="69"/>
      <c r="O1109" s="69"/>
      <c r="P1109" s="2"/>
      <c r="Q1109" s="2"/>
      <c r="R1109" s="32"/>
      <c r="S1109" s="32"/>
      <c r="T1109" s="32"/>
      <c r="U1109" s="32"/>
      <c r="V1109" s="2"/>
      <c r="W1109" s="2"/>
      <c r="X1109" s="2"/>
      <c r="Y1109" s="2"/>
      <c r="Z1109" s="2"/>
    </row>
    <row r="1110" spans="1:26" ht="13.8" x14ac:dyDescent="0.3">
      <c r="A1110" s="2"/>
      <c r="B1110" s="2"/>
      <c r="C1110" s="10"/>
      <c r="D1110" s="10"/>
      <c r="E1110" s="10"/>
      <c r="F1110" s="10"/>
      <c r="G1110" s="69"/>
      <c r="H1110" s="69"/>
      <c r="I1110" s="69"/>
      <c r="J1110" s="70"/>
      <c r="K1110" s="69"/>
      <c r="L1110" s="69"/>
      <c r="M1110" s="69"/>
      <c r="N1110" s="69"/>
      <c r="O1110" s="69"/>
      <c r="P1110" s="2"/>
      <c r="Q1110" s="2"/>
      <c r="R1110" s="32"/>
      <c r="S1110" s="32"/>
      <c r="T1110" s="32"/>
      <c r="U1110" s="32"/>
      <c r="V1110" s="2"/>
      <c r="W1110" s="2"/>
      <c r="X1110" s="2"/>
      <c r="Y1110" s="2"/>
      <c r="Z1110" s="2"/>
    </row>
    <row r="1111" spans="1:26" ht="13.8" x14ac:dyDescent="0.3">
      <c r="A1111" s="2"/>
      <c r="B1111" s="2"/>
      <c r="C1111" s="10"/>
      <c r="D1111" s="10"/>
      <c r="E1111" s="10"/>
      <c r="F1111" s="10"/>
      <c r="G1111" s="69"/>
      <c r="H1111" s="69"/>
      <c r="I1111" s="69"/>
      <c r="J1111" s="70"/>
      <c r="K1111" s="69"/>
      <c r="L1111" s="69"/>
      <c r="M1111" s="69"/>
      <c r="N1111" s="69"/>
      <c r="O1111" s="69"/>
      <c r="P1111" s="2"/>
      <c r="Q1111" s="2"/>
      <c r="R1111" s="32"/>
      <c r="S1111" s="32"/>
      <c r="T1111" s="32"/>
      <c r="U1111" s="32"/>
      <c r="V1111" s="2"/>
      <c r="W1111" s="2"/>
      <c r="X1111" s="2"/>
      <c r="Y1111" s="2"/>
      <c r="Z1111" s="2"/>
    </row>
    <row r="1112" spans="1:26" ht="13.8" x14ac:dyDescent="0.3">
      <c r="A1112" s="2"/>
      <c r="B1112" s="2"/>
      <c r="C1112" s="10"/>
      <c r="D1112" s="10"/>
      <c r="E1112" s="10"/>
      <c r="F1112" s="10"/>
      <c r="G1112" s="69"/>
      <c r="H1112" s="69"/>
      <c r="I1112" s="69"/>
      <c r="J1112" s="70"/>
      <c r="K1112" s="69"/>
      <c r="L1112" s="69"/>
      <c r="M1112" s="69"/>
      <c r="N1112" s="69"/>
      <c r="O1112" s="69"/>
      <c r="P1112" s="2"/>
      <c r="Q1112" s="2"/>
      <c r="R1112" s="32"/>
      <c r="S1112" s="32"/>
      <c r="T1112" s="32"/>
      <c r="U1112" s="32"/>
      <c r="V1112" s="2"/>
      <c r="W1112" s="2"/>
      <c r="X1112" s="2"/>
      <c r="Y1112" s="2"/>
      <c r="Z1112" s="2"/>
    </row>
    <row r="1113" spans="1:26" ht="13.8" x14ac:dyDescent="0.3">
      <c r="A1113" s="2"/>
      <c r="B1113" s="2"/>
      <c r="C1113" s="10"/>
      <c r="D1113" s="10"/>
      <c r="E1113" s="10"/>
      <c r="F1113" s="10"/>
      <c r="G1113" s="69"/>
      <c r="H1113" s="69"/>
      <c r="I1113" s="69"/>
      <c r="J1113" s="70"/>
      <c r="K1113" s="69"/>
      <c r="L1113" s="69"/>
      <c r="M1113" s="69"/>
      <c r="N1113" s="69"/>
      <c r="O1113" s="69"/>
      <c r="P1113" s="2"/>
      <c r="Q1113" s="2"/>
      <c r="R1113" s="32"/>
      <c r="S1113" s="32"/>
      <c r="T1113" s="32"/>
      <c r="U1113" s="32"/>
      <c r="V1113" s="2"/>
      <c r="W1113" s="2"/>
      <c r="X1113" s="2"/>
      <c r="Y1113" s="2"/>
      <c r="Z1113" s="2"/>
    </row>
    <row r="1114" spans="1:26" ht="13.8" x14ac:dyDescent="0.3">
      <c r="A1114" s="2"/>
      <c r="B1114" s="2"/>
      <c r="C1114" s="10"/>
      <c r="D1114" s="10"/>
      <c r="E1114" s="10"/>
      <c r="F1114" s="10"/>
      <c r="G1114" s="69"/>
      <c r="H1114" s="69"/>
      <c r="I1114" s="69"/>
      <c r="J1114" s="70"/>
      <c r="K1114" s="69"/>
      <c r="L1114" s="69"/>
      <c r="M1114" s="69"/>
      <c r="N1114" s="69"/>
      <c r="O1114" s="69"/>
      <c r="P1114" s="2"/>
      <c r="Q1114" s="2"/>
      <c r="R1114" s="32"/>
      <c r="S1114" s="32"/>
      <c r="T1114" s="32"/>
      <c r="U1114" s="32"/>
      <c r="V1114" s="2"/>
      <c r="W1114" s="2"/>
      <c r="X1114" s="2"/>
      <c r="Y1114" s="2"/>
      <c r="Z1114" s="2"/>
    </row>
    <row r="1115" spans="1:26" ht="13.8" x14ac:dyDescent="0.3">
      <c r="A1115" s="2"/>
      <c r="B1115" s="2"/>
      <c r="C1115" s="10"/>
      <c r="D1115" s="10"/>
      <c r="E1115" s="10"/>
      <c r="F1115" s="10"/>
      <c r="G1115" s="69"/>
      <c r="H1115" s="69"/>
      <c r="I1115" s="69"/>
      <c r="J1115" s="70"/>
      <c r="K1115" s="69"/>
      <c r="L1115" s="69"/>
      <c r="M1115" s="69"/>
      <c r="N1115" s="69"/>
      <c r="O1115" s="69"/>
      <c r="P1115" s="2"/>
      <c r="Q1115" s="2"/>
      <c r="R1115" s="32"/>
      <c r="S1115" s="32"/>
      <c r="T1115" s="32"/>
      <c r="U1115" s="32"/>
      <c r="V1115" s="2"/>
      <c r="W1115" s="2"/>
      <c r="X1115" s="2"/>
      <c r="Y1115" s="2"/>
      <c r="Z1115" s="2"/>
    </row>
    <row r="1116" spans="1:26" ht="13.8" x14ac:dyDescent="0.3">
      <c r="A1116" s="2"/>
      <c r="B1116" s="2"/>
      <c r="C1116" s="10"/>
      <c r="D1116" s="10"/>
      <c r="E1116" s="10"/>
      <c r="F1116" s="10"/>
      <c r="G1116" s="69"/>
      <c r="H1116" s="69"/>
      <c r="I1116" s="69"/>
      <c r="J1116" s="70"/>
      <c r="K1116" s="69"/>
      <c r="L1116" s="69"/>
      <c r="M1116" s="69"/>
      <c r="N1116" s="69"/>
      <c r="O1116" s="69"/>
      <c r="P1116" s="2"/>
      <c r="Q1116" s="2"/>
      <c r="R1116" s="32"/>
      <c r="S1116" s="32"/>
      <c r="T1116" s="32"/>
      <c r="U1116" s="32"/>
      <c r="V1116" s="2"/>
      <c r="W1116" s="2"/>
      <c r="X1116" s="2"/>
      <c r="Y1116" s="2"/>
      <c r="Z1116" s="2"/>
    </row>
    <row r="1117" spans="1:26" ht="13.8" x14ac:dyDescent="0.3">
      <c r="A1117" s="2"/>
      <c r="B1117" s="2"/>
      <c r="C1117" s="10"/>
      <c r="D1117" s="10"/>
      <c r="E1117" s="10"/>
      <c r="F1117" s="10"/>
      <c r="G1117" s="69"/>
      <c r="H1117" s="69"/>
      <c r="I1117" s="69"/>
      <c r="J1117" s="70"/>
      <c r="K1117" s="69"/>
      <c r="L1117" s="69"/>
      <c r="M1117" s="69"/>
      <c r="N1117" s="69"/>
      <c r="O1117" s="69"/>
      <c r="P1117" s="2"/>
      <c r="Q1117" s="2"/>
      <c r="R1117" s="32"/>
      <c r="S1117" s="32"/>
      <c r="T1117" s="32"/>
      <c r="U1117" s="32"/>
      <c r="V1117" s="2"/>
      <c r="W1117" s="2"/>
      <c r="X1117" s="2"/>
      <c r="Y1117" s="2"/>
      <c r="Z1117" s="2"/>
    </row>
    <row r="1118" spans="1:26" ht="13.8" x14ac:dyDescent="0.3">
      <c r="A1118" s="2"/>
      <c r="B1118" s="2"/>
      <c r="C1118" s="10"/>
      <c r="D1118" s="10"/>
      <c r="E1118" s="10"/>
      <c r="F1118" s="10"/>
      <c r="G1118" s="69"/>
      <c r="H1118" s="69"/>
      <c r="I1118" s="69"/>
      <c r="J1118" s="70"/>
      <c r="K1118" s="69"/>
      <c r="L1118" s="69"/>
      <c r="M1118" s="69"/>
      <c r="N1118" s="69"/>
      <c r="O1118" s="69"/>
      <c r="P1118" s="2"/>
      <c r="Q1118" s="2"/>
      <c r="R1118" s="32"/>
      <c r="S1118" s="32"/>
      <c r="T1118" s="32"/>
      <c r="U1118" s="32"/>
      <c r="V1118" s="2"/>
      <c r="W1118" s="2"/>
      <c r="X1118" s="2"/>
      <c r="Y1118" s="2"/>
      <c r="Z1118" s="2"/>
    </row>
    <row r="1119" spans="1:26" ht="13.8" x14ac:dyDescent="0.3">
      <c r="A1119" s="2"/>
      <c r="B1119" s="2"/>
      <c r="C1119" s="10"/>
      <c r="D1119" s="10"/>
      <c r="E1119" s="10"/>
      <c r="F1119" s="10"/>
      <c r="G1119" s="69"/>
      <c r="H1119" s="69"/>
      <c r="I1119" s="69"/>
      <c r="J1119" s="70"/>
      <c r="K1119" s="69"/>
      <c r="L1119" s="69"/>
      <c r="M1119" s="69"/>
      <c r="N1119" s="69"/>
      <c r="O1119" s="69"/>
      <c r="P1119" s="2"/>
      <c r="Q1119" s="2"/>
      <c r="R1119" s="32"/>
      <c r="S1119" s="32"/>
      <c r="T1119" s="32"/>
      <c r="U1119" s="32"/>
      <c r="V1119" s="2"/>
      <c r="W1119" s="2"/>
      <c r="X1119" s="2"/>
      <c r="Y1119" s="2"/>
      <c r="Z1119" s="2"/>
    </row>
    <row r="1120" spans="1:26" ht="13.8" x14ac:dyDescent="0.3">
      <c r="A1120" s="2"/>
      <c r="B1120" s="2"/>
      <c r="C1120" s="10"/>
      <c r="D1120" s="10"/>
      <c r="E1120" s="10"/>
      <c r="F1120" s="10"/>
      <c r="G1120" s="69"/>
      <c r="H1120" s="69"/>
      <c r="I1120" s="69"/>
      <c r="J1120" s="70"/>
      <c r="K1120" s="69"/>
      <c r="L1120" s="69"/>
      <c r="M1120" s="69"/>
      <c r="N1120" s="69"/>
      <c r="O1120" s="69"/>
      <c r="P1120" s="2"/>
      <c r="Q1120" s="2"/>
      <c r="R1120" s="32"/>
      <c r="S1120" s="32"/>
      <c r="T1120" s="32"/>
      <c r="U1120" s="32"/>
      <c r="V1120" s="2"/>
      <c r="W1120" s="2"/>
      <c r="X1120" s="2"/>
      <c r="Y1120" s="2"/>
      <c r="Z1120" s="2"/>
    </row>
    <row r="1121" spans="1:26" ht="13.8" x14ac:dyDescent="0.3">
      <c r="A1121" s="2"/>
      <c r="B1121" s="2"/>
      <c r="C1121" s="10"/>
      <c r="D1121" s="10"/>
      <c r="E1121" s="10"/>
      <c r="F1121" s="10"/>
      <c r="G1121" s="69"/>
      <c r="H1121" s="69"/>
      <c r="I1121" s="69"/>
      <c r="J1121" s="70"/>
      <c r="K1121" s="69"/>
      <c r="L1121" s="69"/>
      <c r="M1121" s="69"/>
      <c r="N1121" s="69"/>
      <c r="O1121" s="69"/>
      <c r="P1121" s="2"/>
      <c r="Q1121" s="2"/>
      <c r="R1121" s="32"/>
      <c r="S1121" s="32"/>
      <c r="T1121" s="32"/>
      <c r="U1121" s="32"/>
      <c r="V1121" s="2"/>
      <c r="W1121" s="2"/>
      <c r="X1121" s="2"/>
      <c r="Y1121" s="2"/>
      <c r="Z1121" s="2"/>
    </row>
    <row r="1122" spans="1:26" ht="13.8" x14ac:dyDescent="0.3">
      <c r="A1122" s="2"/>
      <c r="B1122" s="2"/>
      <c r="C1122" s="10"/>
      <c r="D1122" s="10"/>
      <c r="E1122" s="10"/>
      <c r="F1122" s="10"/>
      <c r="G1122" s="69"/>
      <c r="H1122" s="69"/>
      <c r="I1122" s="69"/>
      <c r="J1122" s="70"/>
      <c r="K1122" s="69"/>
      <c r="L1122" s="69"/>
      <c r="M1122" s="69"/>
      <c r="N1122" s="69"/>
      <c r="O1122" s="69"/>
      <c r="P1122" s="2"/>
      <c r="Q1122" s="2"/>
      <c r="R1122" s="32"/>
      <c r="S1122" s="32"/>
      <c r="T1122" s="32"/>
      <c r="U1122" s="32"/>
      <c r="V1122" s="2"/>
      <c r="W1122" s="2"/>
      <c r="X1122" s="2"/>
      <c r="Y1122" s="2"/>
      <c r="Z1122" s="2"/>
    </row>
    <row r="1123" spans="1:26" ht="13.8" x14ac:dyDescent="0.3">
      <c r="A1123" s="2"/>
      <c r="B1123" s="2"/>
      <c r="C1123" s="10"/>
      <c r="D1123" s="10"/>
      <c r="E1123" s="10"/>
      <c r="F1123" s="10"/>
      <c r="G1123" s="69"/>
      <c r="H1123" s="69"/>
      <c r="I1123" s="69"/>
      <c r="J1123" s="70"/>
      <c r="K1123" s="69"/>
      <c r="L1123" s="69"/>
      <c r="M1123" s="69"/>
      <c r="N1123" s="69"/>
      <c r="O1123" s="69"/>
      <c r="P1123" s="2"/>
      <c r="Q1123" s="2"/>
      <c r="R1123" s="32"/>
      <c r="S1123" s="32"/>
      <c r="T1123" s="32"/>
      <c r="U1123" s="32"/>
      <c r="V1123" s="2"/>
      <c r="W1123" s="2"/>
      <c r="X1123" s="2"/>
      <c r="Y1123" s="2"/>
      <c r="Z1123" s="2"/>
    </row>
    <row r="1124" spans="1:26" ht="13.8" x14ac:dyDescent="0.3">
      <c r="A1124" s="2"/>
      <c r="B1124" s="2"/>
      <c r="C1124" s="10"/>
      <c r="D1124" s="10"/>
      <c r="E1124" s="10"/>
      <c r="F1124" s="10"/>
      <c r="G1124" s="69"/>
      <c r="H1124" s="69"/>
      <c r="I1124" s="69"/>
      <c r="J1124" s="70"/>
      <c r="K1124" s="69"/>
      <c r="L1124" s="69"/>
      <c r="M1124" s="69"/>
      <c r="N1124" s="69"/>
      <c r="O1124" s="69"/>
      <c r="P1124" s="2"/>
      <c r="Q1124" s="2"/>
      <c r="R1124" s="32"/>
      <c r="S1124" s="32"/>
      <c r="T1124" s="32"/>
      <c r="U1124" s="32"/>
      <c r="V1124" s="2"/>
      <c r="W1124" s="2"/>
      <c r="X1124" s="2"/>
      <c r="Y1124" s="2"/>
      <c r="Z1124" s="2"/>
    </row>
    <row r="1125" spans="1:26" ht="13.8" x14ac:dyDescent="0.3">
      <c r="A1125" s="2"/>
      <c r="B1125" s="2"/>
      <c r="C1125" s="10"/>
      <c r="D1125" s="10"/>
      <c r="E1125" s="10"/>
      <c r="F1125" s="10"/>
      <c r="G1125" s="69"/>
      <c r="H1125" s="69"/>
      <c r="I1125" s="69"/>
      <c r="J1125" s="70"/>
      <c r="K1125" s="69"/>
      <c r="L1125" s="69"/>
      <c r="M1125" s="69"/>
      <c r="N1125" s="69"/>
      <c r="O1125" s="69"/>
      <c r="P1125" s="2"/>
      <c r="Q1125" s="2"/>
      <c r="R1125" s="32"/>
      <c r="S1125" s="32"/>
      <c r="T1125" s="32"/>
      <c r="U1125" s="32"/>
      <c r="V1125" s="2"/>
      <c r="W1125" s="2"/>
      <c r="X1125" s="2"/>
      <c r="Y1125" s="2"/>
      <c r="Z1125" s="2"/>
    </row>
    <row r="1126" spans="1:26" ht="13.8" x14ac:dyDescent="0.3">
      <c r="A1126" s="2"/>
      <c r="B1126" s="2"/>
      <c r="C1126" s="10"/>
      <c r="D1126" s="10"/>
      <c r="E1126" s="10"/>
      <c r="F1126" s="10"/>
      <c r="G1126" s="69"/>
      <c r="H1126" s="69"/>
      <c r="I1126" s="69"/>
      <c r="J1126" s="70"/>
      <c r="K1126" s="69"/>
      <c r="L1126" s="69"/>
      <c r="M1126" s="69"/>
      <c r="N1126" s="69"/>
      <c r="O1126" s="69"/>
      <c r="P1126" s="2"/>
      <c r="Q1126" s="2"/>
      <c r="R1126" s="32"/>
      <c r="S1126" s="32"/>
      <c r="T1126" s="32"/>
      <c r="U1126" s="32"/>
      <c r="V1126" s="2"/>
      <c r="W1126" s="2"/>
      <c r="X1126" s="2"/>
      <c r="Y1126" s="2"/>
      <c r="Z1126" s="2"/>
    </row>
    <row r="1127" spans="1:26" ht="13.8" x14ac:dyDescent="0.3">
      <c r="A1127" s="2"/>
      <c r="B1127" s="2"/>
      <c r="C1127" s="10"/>
      <c r="D1127" s="10"/>
      <c r="E1127" s="10"/>
      <c r="F1127" s="10"/>
      <c r="G1127" s="69"/>
      <c r="H1127" s="69"/>
      <c r="I1127" s="69"/>
      <c r="J1127" s="70"/>
      <c r="K1127" s="69"/>
      <c r="L1127" s="69"/>
      <c r="M1127" s="69"/>
      <c r="N1127" s="69"/>
      <c r="O1127" s="69"/>
      <c r="P1127" s="2"/>
      <c r="Q1127" s="2"/>
      <c r="R1127" s="32"/>
      <c r="S1127" s="32"/>
      <c r="T1127" s="32"/>
      <c r="U1127" s="32"/>
      <c r="V1127" s="2"/>
      <c r="W1127" s="2"/>
      <c r="X1127" s="2"/>
      <c r="Y1127" s="2"/>
      <c r="Z1127" s="2"/>
    </row>
    <row r="1128" spans="1:26" ht="13.8" x14ac:dyDescent="0.3">
      <c r="A1128" s="2"/>
      <c r="B1128" s="2"/>
      <c r="C1128" s="10"/>
      <c r="D1128" s="10"/>
      <c r="E1128" s="10"/>
      <c r="F1128" s="10"/>
      <c r="G1128" s="69"/>
      <c r="H1128" s="69"/>
      <c r="I1128" s="69"/>
      <c r="J1128" s="70"/>
      <c r="K1128" s="69"/>
      <c r="L1128" s="69"/>
      <c r="M1128" s="69"/>
      <c r="N1128" s="69"/>
      <c r="O1128" s="69"/>
      <c r="P1128" s="2"/>
      <c r="Q1128" s="2"/>
      <c r="R1128" s="32"/>
      <c r="S1128" s="32"/>
      <c r="T1128" s="32"/>
      <c r="U1128" s="32"/>
      <c r="V1128" s="2"/>
      <c r="W1128" s="2"/>
      <c r="X1128" s="2"/>
      <c r="Y1128" s="2"/>
      <c r="Z1128" s="2"/>
    </row>
    <row r="1129" spans="1:26" ht="13.8" x14ac:dyDescent="0.3">
      <c r="A1129" s="2"/>
      <c r="B1129" s="2"/>
      <c r="C1129" s="10"/>
      <c r="D1129" s="10"/>
      <c r="E1129" s="10"/>
      <c r="F1129" s="10"/>
      <c r="G1129" s="69"/>
      <c r="H1129" s="69"/>
      <c r="I1129" s="69"/>
      <c r="J1129" s="70"/>
      <c r="K1129" s="69"/>
      <c r="L1129" s="69"/>
      <c r="M1129" s="69"/>
      <c r="N1129" s="69"/>
      <c r="O1129" s="69"/>
      <c r="P1129" s="2"/>
      <c r="Q1129" s="2"/>
      <c r="R1129" s="32"/>
      <c r="S1129" s="32"/>
      <c r="T1129" s="32"/>
      <c r="U1129" s="32"/>
      <c r="V1129" s="2"/>
      <c r="W1129" s="2"/>
      <c r="X1129" s="2"/>
      <c r="Y1129" s="2"/>
      <c r="Z1129" s="2"/>
    </row>
    <row r="1130" spans="1:26" ht="13.8" x14ac:dyDescent="0.3">
      <c r="A1130" s="2"/>
      <c r="B1130" s="2"/>
      <c r="C1130" s="10"/>
      <c r="D1130" s="10"/>
      <c r="E1130" s="10"/>
      <c r="F1130" s="10"/>
      <c r="G1130" s="69"/>
      <c r="H1130" s="69"/>
      <c r="I1130" s="69"/>
      <c r="J1130" s="70"/>
      <c r="K1130" s="69"/>
      <c r="L1130" s="69"/>
      <c r="M1130" s="69"/>
      <c r="N1130" s="69"/>
      <c r="O1130" s="69"/>
      <c r="P1130" s="2"/>
      <c r="Q1130" s="2"/>
      <c r="R1130" s="32"/>
      <c r="S1130" s="32"/>
      <c r="T1130" s="32"/>
      <c r="U1130" s="32"/>
      <c r="V1130" s="2"/>
      <c r="W1130" s="2"/>
      <c r="X1130" s="2"/>
      <c r="Y1130" s="2"/>
      <c r="Z1130" s="2"/>
    </row>
    <row r="1131" spans="1:26" ht="13.8" x14ac:dyDescent="0.3">
      <c r="A1131" s="2"/>
      <c r="B1131" s="2"/>
      <c r="C1131" s="10"/>
      <c r="D1131" s="10"/>
      <c r="E1131" s="10"/>
      <c r="F1131" s="10"/>
      <c r="G1131" s="69"/>
      <c r="H1131" s="69"/>
      <c r="I1131" s="69"/>
      <c r="J1131" s="70"/>
      <c r="K1131" s="69"/>
      <c r="L1131" s="69"/>
      <c r="M1131" s="69"/>
      <c r="N1131" s="69"/>
      <c r="O1131" s="69"/>
      <c r="P1131" s="2"/>
      <c r="Q1131" s="2"/>
      <c r="R1131" s="32"/>
      <c r="S1131" s="32"/>
      <c r="T1131" s="32"/>
      <c r="U1131" s="32"/>
      <c r="V1131" s="2"/>
      <c r="W1131" s="2"/>
      <c r="X1131" s="2"/>
      <c r="Y1131" s="2"/>
      <c r="Z1131" s="2"/>
    </row>
    <row r="1132" spans="1:26" ht="13.8" x14ac:dyDescent="0.3">
      <c r="A1132" s="2"/>
      <c r="B1132" s="2"/>
      <c r="C1132" s="10"/>
      <c r="D1132" s="10"/>
      <c r="E1132" s="10"/>
      <c r="F1132" s="10"/>
      <c r="G1132" s="69"/>
      <c r="H1132" s="69"/>
      <c r="I1132" s="69"/>
      <c r="J1132" s="70"/>
      <c r="K1132" s="69"/>
      <c r="L1132" s="69"/>
      <c r="M1132" s="69"/>
      <c r="N1132" s="69"/>
      <c r="O1132" s="69"/>
      <c r="P1132" s="2"/>
      <c r="Q1132" s="2"/>
      <c r="R1132" s="32"/>
      <c r="S1132" s="32"/>
      <c r="T1132" s="32"/>
      <c r="U1132" s="32"/>
      <c r="V1132" s="2"/>
      <c r="W1132" s="2"/>
      <c r="X1132" s="2"/>
      <c r="Y1132" s="2"/>
      <c r="Z1132" s="2"/>
    </row>
    <row r="1133" spans="1:26" ht="13.8" x14ac:dyDescent="0.3">
      <c r="A1133" s="2"/>
      <c r="B1133" s="2"/>
      <c r="C1133" s="10"/>
      <c r="D1133" s="10"/>
      <c r="E1133" s="10"/>
      <c r="F1133" s="10"/>
      <c r="G1133" s="69"/>
      <c r="H1133" s="69"/>
      <c r="I1133" s="69"/>
      <c r="J1133" s="70"/>
      <c r="K1133" s="69"/>
      <c r="L1133" s="69"/>
      <c r="M1133" s="69"/>
      <c r="N1133" s="69"/>
      <c r="O1133" s="69"/>
      <c r="P1133" s="2"/>
      <c r="Q1133" s="2"/>
      <c r="R1133" s="32"/>
      <c r="S1133" s="32"/>
      <c r="T1133" s="32"/>
      <c r="U1133" s="32"/>
      <c r="V1133" s="2"/>
      <c r="W1133" s="2"/>
      <c r="X1133" s="2"/>
      <c r="Y1133" s="2"/>
      <c r="Z1133" s="2"/>
    </row>
    <row r="1134" spans="1:26" ht="13.8" x14ac:dyDescent="0.3">
      <c r="A1134" s="2"/>
      <c r="B1134" s="2"/>
      <c r="C1134" s="10"/>
      <c r="D1134" s="10"/>
      <c r="E1134" s="10"/>
      <c r="F1134" s="10"/>
      <c r="G1134" s="69"/>
      <c r="H1134" s="69"/>
      <c r="I1134" s="69"/>
      <c r="J1134" s="70"/>
      <c r="K1134" s="69"/>
      <c r="L1134" s="69"/>
      <c r="M1134" s="69"/>
      <c r="N1134" s="69"/>
      <c r="O1134" s="69"/>
      <c r="P1134" s="2"/>
      <c r="Q1134" s="2"/>
      <c r="R1134" s="32"/>
      <c r="S1134" s="32"/>
      <c r="T1134" s="32"/>
      <c r="U1134" s="32"/>
      <c r="V1134" s="2"/>
      <c r="W1134" s="2"/>
      <c r="X1134" s="2"/>
      <c r="Y1134" s="2"/>
      <c r="Z1134" s="2"/>
    </row>
    <row r="1135" spans="1:26" ht="13.8" x14ac:dyDescent="0.3">
      <c r="A1135" s="2"/>
      <c r="B1135" s="2"/>
      <c r="C1135" s="10"/>
      <c r="D1135" s="10"/>
      <c r="E1135" s="10"/>
      <c r="F1135" s="10"/>
      <c r="G1135" s="69"/>
      <c r="H1135" s="69"/>
      <c r="I1135" s="69"/>
      <c r="J1135" s="70"/>
      <c r="K1135" s="69"/>
      <c r="L1135" s="69"/>
      <c r="M1135" s="69"/>
      <c r="N1135" s="69"/>
      <c r="O1135" s="69"/>
      <c r="P1135" s="2"/>
      <c r="Q1135" s="2"/>
      <c r="R1135" s="32"/>
      <c r="S1135" s="32"/>
      <c r="T1135" s="32"/>
      <c r="U1135" s="32"/>
      <c r="V1135" s="2"/>
      <c r="W1135" s="2"/>
      <c r="X1135" s="2"/>
      <c r="Y1135" s="2"/>
      <c r="Z1135" s="2"/>
    </row>
    <row r="1136" spans="1:26" ht="13.8" x14ac:dyDescent="0.3">
      <c r="A1136" s="2"/>
      <c r="B1136" s="2"/>
      <c r="C1136" s="10"/>
      <c r="D1136" s="10"/>
      <c r="E1136" s="10"/>
      <c r="F1136" s="10"/>
      <c r="G1136" s="69"/>
      <c r="H1136" s="69"/>
      <c r="I1136" s="69"/>
      <c r="J1136" s="70"/>
      <c r="K1136" s="69"/>
      <c r="L1136" s="69"/>
      <c r="M1136" s="69"/>
      <c r="N1136" s="69"/>
      <c r="O1136" s="69"/>
      <c r="P1136" s="2"/>
      <c r="Q1136" s="2"/>
      <c r="R1136" s="32"/>
      <c r="S1136" s="32"/>
      <c r="T1136" s="32"/>
      <c r="U1136" s="32"/>
      <c r="V1136" s="2"/>
      <c r="W1136" s="2"/>
      <c r="X1136" s="2"/>
      <c r="Y1136" s="2"/>
      <c r="Z1136" s="2"/>
    </row>
    <row r="1137" spans="1:26" ht="13.8" x14ac:dyDescent="0.3">
      <c r="A1137" s="2"/>
      <c r="B1137" s="2"/>
      <c r="C1137" s="10"/>
      <c r="D1137" s="10"/>
      <c r="E1137" s="10"/>
      <c r="F1137" s="10"/>
      <c r="G1137" s="69"/>
      <c r="H1137" s="69"/>
      <c r="I1137" s="69"/>
      <c r="J1137" s="70"/>
      <c r="K1137" s="69"/>
      <c r="L1137" s="69"/>
      <c r="M1137" s="69"/>
      <c r="N1137" s="69"/>
      <c r="O1137" s="69"/>
      <c r="P1137" s="2"/>
      <c r="Q1137" s="2"/>
      <c r="R1137" s="32"/>
      <c r="S1137" s="32"/>
      <c r="T1137" s="32"/>
      <c r="U1137" s="32"/>
      <c r="V1137" s="2"/>
      <c r="W1137" s="2"/>
      <c r="X1137" s="2"/>
      <c r="Y1137" s="2"/>
      <c r="Z1137" s="2"/>
    </row>
    <row r="1138" spans="1:26" ht="13.8" x14ac:dyDescent="0.3">
      <c r="A1138" s="2"/>
      <c r="B1138" s="2"/>
      <c r="C1138" s="10"/>
      <c r="D1138" s="10"/>
      <c r="E1138" s="10"/>
      <c r="F1138" s="10"/>
      <c r="G1138" s="69"/>
      <c r="H1138" s="69"/>
      <c r="I1138" s="69"/>
      <c r="J1138" s="70"/>
      <c r="K1138" s="69"/>
      <c r="L1138" s="69"/>
      <c r="M1138" s="69"/>
      <c r="N1138" s="69"/>
      <c r="O1138" s="69"/>
      <c r="P1138" s="2"/>
      <c r="Q1138" s="2"/>
      <c r="R1138" s="32"/>
      <c r="S1138" s="32"/>
      <c r="T1138" s="32"/>
      <c r="U1138" s="32"/>
      <c r="V1138" s="2"/>
      <c r="W1138" s="2"/>
      <c r="X1138" s="2"/>
      <c r="Y1138" s="2"/>
      <c r="Z1138" s="2"/>
    </row>
    <row r="1139" spans="1:26" ht="13.8" x14ac:dyDescent="0.3">
      <c r="A1139" s="2"/>
      <c r="B1139" s="2"/>
      <c r="C1139" s="10"/>
      <c r="D1139" s="10"/>
      <c r="E1139" s="10"/>
      <c r="F1139" s="10"/>
      <c r="G1139" s="69"/>
      <c r="H1139" s="69"/>
      <c r="I1139" s="69"/>
      <c r="J1139" s="70"/>
      <c r="K1139" s="69"/>
      <c r="L1139" s="69"/>
      <c r="M1139" s="69"/>
      <c r="N1139" s="69"/>
      <c r="O1139" s="69"/>
      <c r="P1139" s="2"/>
      <c r="Q1139" s="2"/>
      <c r="R1139" s="32"/>
      <c r="S1139" s="32"/>
      <c r="T1139" s="32"/>
      <c r="U1139" s="32"/>
      <c r="V1139" s="2"/>
      <c r="W1139" s="2"/>
      <c r="X1139" s="2"/>
      <c r="Y1139" s="2"/>
      <c r="Z1139" s="2"/>
    </row>
    <row r="1140" spans="1:26" ht="13.8" x14ac:dyDescent="0.3">
      <c r="A1140" s="2"/>
      <c r="B1140" s="2"/>
      <c r="C1140" s="10"/>
      <c r="D1140" s="10"/>
      <c r="E1140" s="10"/>
      <c r="F1140" s="10"/>
      <c r="G1140" s="69"/>
      <c r="H1140" s="69"/>
      <c r="I1140" s="69"/>
      <c r="J1140" s="70"/>
      <c r="K1140" s="69"/>
      <c r="L1140" s="69"/>
      <c r="M1140" s="69"/>
      <c r="N1140" s="69"/>
      <c r="O1140" s="69"/>
      <c r="P1140" s="2"/>
      <c r="Q1140" s="2"/>
      <c r="R1140" s="32"/>
      <c r="S1140" s="32"/>
      <c r="T1140" s="32"/>
      <c r="U1140" s="32"/>
      <c r="V1140" s="2"/>
      <c r="W1140" s="2"/>
      <c r="X1140" s="2"/>
      <c r="Y1140" s="2"/>
      <c r="Z1140" s="2"/>
    </row>
    <row r="1141" spans="1:26" ht="13.8" x14ac:dyDescent="0.3">
      <c r="A1141" s="2"/>
      <c r="B1141" s="2"/>
      <c r="C1141" s="10"/>
      <c r="D1141" s="10"/>
      <c r="E1141" s="10"/>
      <c r="F1141" s="10"/>
      <c r="G1141" s="69"/>
      <c r="H1141" s="69"/>
      <c r="I1141" s="69"/>
      <c r="J1141" s="70"/>
      <c r="K1141" s="69"/>
      <c r="L1141" s="69"/>
      <c r="M1141" s="69"/>
      <c r="N1141" s="69"/>
      <c r="O1141" s="69"/>
      <c r="P1141" s="2"/>
      <c r="Q1141" s="2"/>
      <c r="R1141" s="32"/>
      <c r="S1141" s="32"/>
      <c r="T1141" s="32"/>
      <c r="U1141" s="32"/>
      <c r="V1141" s="2"/>
      <c r="W1141" s="2"/>
      <c r="X1141" s="2"/>
      <c r="Y1141" s="2"/>
      <c r="Z1141" s="2"/>
    </row>
    <row r="1142" spans="1:26" ht="13.8" x14ac:dyDescent="0.3">
      <c r="A1142" s="2"/>
      <c r="B1142" s="2"/>
      <c r="C1142" s="10"/>
      <c r="D1142" s="10"/>
      <c r="E1142" s="10"/>
      <c r="F1142" s="10"/>
      <c r="G1142" s="69"/>
      <c r="H1142" s="69"/>
      <c r="I1142" s="69"/>
      <c r="J1142" s="70"/>
      <c r="K1142" s="69"/>
      <c r="L1142" s="69"/>
      <c r="M1142" s="69"/>
      <c r="N1142" s="69"/>
      <c r="O1142" s="69"/>
      <c r="P1142" s="2"/>
      <c r="Q1142" s="2"/>
      <c r="R1142" s="32"/>
      <c r="S1142" s="32"/>
      <c r="T1142" s="32"/>
      <c r="U1142" s="32"/>
      <c r="V1142" s="2"/>
      <c r="W1142" s="2"/>
      <c r="X1142" s="2"/>
      <c r="Y1142" s="2"/>
      <c r="Z1142" s="2"/>
    </row>
    <row r="1143" spans="1:26" ht="13.8" x14ac:dyDescent="0.3">
      <c r="A1143" s="2"/>
      <c r="B1143" s="2"/>
      <c r="C1143" s="10"/>
      <c r="D1143" s="10"/>
      <c r="E1143" s="10"/>
      <c r="F1143" s="10"/>
      <c r="G1143" s="69"/>
      <c r="H1143" s="69"/>
      <c r="I1143" s="69"/>
      <c r="J1143" s="70"/>
      <c r="K1143" s="69"/>
      <c r="L1143" s="69"/>
      <c r="M1143" s="69"/>
      <c r="N1143" s="69"/>
      <c r="O1143" s="69"/>
      <c r="P1143" s="2"/>
      <c r="Q1143" s="2"/>
      <c r="R1143" s="32"/>
      <c r="S1143" s="32"/>
      <c r="T1143" s="32"/>
      <c r="U1143" s="32"/>
      <c r="V1143" s="2"/>
      <c r="W1143" s="2"/>
      <c r="X1143" s="2"/>
      <c r="Y1143" s="2"/>
      <c r="Z1143" s="2"/>
    </row>
    <row r="1144" spans="1:26" ht="13.8" x14ac:dyDescent="0.3">
      <c r="A1144" s="2"/>
      <c r="B1144" s="2"/>
      <c r="C1144" s="10"/>
      <c r="D1144" s="10"/>
      <c r="E1144" s="10"/>
      <c r="F1144" s="10"/>
      <c r="G1144" s="69"/>
      <c r="H1144" s="69"/>
      <c r="I1144" s="69"/>
      <c r="J1144" s="70"/>
      <c r="K1144" s="69"/>
      <c r="L1144" s="69"/>
      <c r="M1144" s="69"/>
      <c r="N1144" s="69"/>
      <c r="O1144" s="69"/>
      <c r="P1144" s="2"/>
      <c r="Q1144" s="2"/>
      <c r="R1144" s="32"/>
      <c r="S1144" s="32"/>
      <c r="T1144" s="32"/>
      <c r="U1144" s="32"/>
      <c r="V1144" s="2"/>
      <c r="W1144" s="2"/>
      <c r="X1144" s="2"/>
      <c r="Y1144" s="2"/>
      <c r="Z1144" s="2"/>
    </row>
    <row r="1145" spans="1:26" ht="13.8" x14ac:dyDescent="0.3">
      <c r="A1145" s="2"/>
      <c r="B1145" s="2"/>
      <c r="C1145" s="10"/>
      <c r="D1145" s="10"/>
      <c r="E1145" s="10"/>
      <c r="F1145" s="10"/>
      <c r="G1145" s="69"/>
      <c r="H1145" s="69"/>
      <c r="I1145" s="69"/>
      <c r="J1145" s="70"/>
      <c r="K1145" s="69"/>
      <c r="L1145" s="69"/>
      <c r="M1145" s="69"/>
      <c r="N1145" s="69"/>
      <c r="O1145" s="69"/>
      <c r="P1145" s="2"/>
      <c r="Q1145" s="2"/>
      <c r="R1145" s="32"/>
      <c r="S1145" s="32"/>
      <c r="T1145" s="32"/>
      <c r="U1145" s="32"/>
      <c r="V1145" s="2"/>
      <c r="W1145" s="2"/>
      <c r="X1145" s="2"/>
      <c r="Y1145" s="2"/>
      <c r="Z1145" s="2"/>
    </row>
    <row r="1146" spans="1:26" ht="13.8" x14ac:dyDescent="0.3">
      <c r="A1146" s="2"/>
      <c r="B1146" s="2"/>
      <c r="C1146" s="10"/>
      <c r="D1146" s="10"/>
      <c r="E1146" s="10"/>
      <c r="F1146" s="10"/>
      <c r="G1146" s="69"/>
      <c r="H1146" s="69"/>
      <c r="I1146" s="69"/>
      <c r="J1146" s="70"/>
      <c r="K1146" s="69"/>
      <c r="L1146" s="69"/>
      <c r="M1146" s="69"/>
      <c r="N1146" s="69"/>
      <c r="O1146" s="69"/>
      <c r="P1146" s="2"/>
      <c r="Q1146" s="2"/>
      <c r="R1146" s="32"/>
      <c r="S1146" s="32"/>
      <c r="T1146" s="32"/>
      <c r="U1146" s="32"/>
      <c r="V1146" s="2"/>
      <c r="W1146" s="2"/>
      <c r="X1146" s="2"/>
      <c r="Y1146" s="2"/>
      <c r="Z1146" s="2"/>
    </row>
    <row r="1147" spans="1:26" ht="13.8" x14ac:dyDescent="0.3">
      <c r="A1147" s="2"/>
      <c r="B1147" s="2"/>
      <c r="C1147" s="10"/>
      <c r="D1147" s="10"/>
      <c r="E1147" s="10"/>
      <c r="F1147" s="10"/>
      <c r="G1147" s="69"/>
      <c r="H1147" s="69"/>
      <c r="I1147" s="69"/>
      <c r="J1147" s="70"/>
      <c r="K1147" s="69"/>
      <c r="L1147" s="69"/>
      <c r="M1147" s="69"/>
      <c r="N1147" s="69"/>
      <c r="O1147" s="69"/>
      <c r="P1147" s="2"/>
      <c r="Q1147" s="2"/>
      <c r="R1147" s="32"/>
      <c r="S1147" s="32"/>
      <c r="T1147" s="32"/>
      <c r="U1147" s="32"/>
      <c r="V1147" s="2"/>
      <c r="W1147" s="2"/>
      <c r="X1147" s="2"/>
      <c r="Y1147" s="2"/>
      <c r="Z1147" s="2"/>
    </row>
    <row r="1148" spans="1:26" ht="13.8" x14ac:dyDescent="0.3">
      <c r="A1148" s="2"/>
      <c r="B1148" s="2"/>
      <c r="C1148" s="10"/>
      <c r="D1148" s="10"/>
      <c r="E1148" s="10"/>
      <c r="F1148" s="10"/>
      <c r="G1148" s="69"/>
      <c r="H1148" s="69"/>
      <c r="I1148" s="69"/>
      <c r="J1148" s="70"/>
      <c r="K1148" s="69"/>
      <c r="L1148" s="69"/>
      <c r="M1148" s="69"/>
      <c r="N1148" s="69"/>
      <c r="O1148" s="69"/>
      <c r="P1148" s="2"/>
      <c r="Q1148" s="2"/>
      <c r="R1148" s="32"/>
      <c r="S1148" s="32"/>
      <c r="T1148" s="32"/>
      <c r="U1148" s="32"/>
      <c r="V1148" s="2"/>
      <c r="W1148" s="2"/>
      <c r="X1148" s="2"/>
      <c r="Y1148" s="2"/>
      <c r="Z1148" s="2"/>
    </row>
    <row r="1149" spans="1:26" ht="13.8" x14ac:dyDescent="0.3">
      <c r="A1149" s="2"/>
      <c r="B1149" s="2"/>
      <c r="C1149" s="10"/>
      <c r="D1149" s="10"/>
      <c r="E1149" s="10"/>
      <c r="F1149" s="10"/>
      <c r="G1149" s="69"/>
      <c r="H1149" s="69"/>
      <c r="I1149" s="69"/>
      <c r="J1149" s="70"/>
      <c r="K1149" s="69"/>
      <c r="L1149" s="69"/>
      <c r="M1149" s="69"/>
      <c r="N1149" s="69"/>
      <c r="O1149" s="69"/>
      <c r="P1149" s="2"/>
      <c r="Q1149" s="2"/>
      <c r="R1149" s="32"/>
      <c r="S1149" s="32"/>
      <c r="T1149" s="32"/>
      <c r="U1149" s="32"/>
      <c r="V1149" s="2"/>
      <c r="W1149" s="2"/>
      <c r="X1149" s="2"/>
      <c r="Y1149" s="2"/>
      <c r="Z1149" s="2"/>
    </row>
    <row r="1150" spans="1:26" ht="13.8" x14ac:dyDescent="0.3">
      <c r="A1150" s="2"/>
      <c r="B1150" s="2"/>
      <c r="C1150" s="10"/>
      <c r="D1150" s="10"/>
      <c r="E1150" s="10"/>
      <c r="F1150" s="10"/>
      <c r="G1150" s="69"/>
      <c r="H1150" s="69"/>
      <c r="I1150" s="69"/>
      <c r="J1150" s="70"/>
      <c r="K1150" s="69"/>
      <c r="L1150" s="69"/>
      <c r="M1150" s="69"/>
      <c r="N1150" s="69"/>
      <c r="O1150" s="69"/>
      <c r="P1150" s="2"/>
      <c r="Q1150" s="2"/>
      <c r="R1150" s="32"/>
      <c r="S1150" s="32"/>
      <c r="T1150" s="32"/>
      <c r="U1150" s="32"/>
      <c r="V1150" s="2"/>
      <c r="W1150" s="2"/>
      <c r="X1150" s="2"/>
      <c r="Y1150" s="2"/>
      <c r="Z1150" s="2"/>
    </row>
    <row r="1151" spans="1:26" ht="13.8" x14ac:dyDescent="0.3">
      <c r="A1151" s="2"/>
      <c r="B1151" s="2"/>
      <c r="C1151" s="10"/>
      <c r="D1151" s="10"/>
      <c r="E1151" s="10"/>
      <c r="F1151" s="10"/>
      <c r="G1151" s="69"/>
      <c r="H1151" s="69"/>
      <c r="I1151" s="69"/>
      <c r="J1151" s="70"/>
      <c r="K1151" s="69"/>
      <c r="L1151" s="69"/>
      <c r="M1151" s="69"/>
      <c r="N1151" s="69"/>
      <c r="O1151" s="69"/>
      <c r="P1151" s="2"/>
      <c r="Q1151" s="2"/>
      <c r="R1151" s="32"/>
      <c r="S1151" s="32"/>
      <c r="T1151" s="32"/>
      <c r="U1151" s="32"/>
      <c r="V1151" s="2"/>
      <c r="W1151" s="2"/>
      <c r="X1151" s="2"/>
      <c r="Y1151" s="2"/>
      <c r="Z1151" s="2"/>
    </row>
    <row r="1152" spans="1:26" ht="13.8" x14ac:dyDescent="0.3">
      <c r="A1152" s="2"/>
      <c r="B1152" s="2"/>
      <c r="C1152" s="10"/>
      <c r="D1152" s="10"/>
      <c r="E1152" s="10"/>
      <c r="F1152" s="10"/>
      <c r="G1152" s="69"/>
      <c r="H1152" s="69"/>
      <c r="I1152" s="69"/>
      <c r="J1152" s="70"/>
      <c r="K1152" s="69"/>
      <c r="L1152" s="69"/>
      <c r="M1152" s="69"/>
      <c r="N1152" s="69"/>
      <c r="O1152" s="69"/>
      <c r="P1152" s="2"/>
      <c r="Q1152" s="2"/>
      <c r="R1152" s="32"/>
      <c r="S1152" s="32"/>
      <c r="T1152" s="32"/>
      <c r="U1152" s="32"/>
      <c r="V1152" s="2"/>
      <c r="W1152" s="2"/>
      <c r="X1152" s="2"/>
      <c r="Y1152" s="2"/>
      <c r="Z1152" s="2"/>
    </row>
    <row r="1153" spans="1:26" ht="13.8" x14ac:dyDescent="0.3">
      <c r="A1153" s="2"/>
      <c r="B1153" s="2"/>
      <c r="C1153" s="10"/>
      <c r="D1153" s="10"/>
      <c r="E1153" s="10"/>
      <c r="F1153" s="10"/>
      <c r="G1153" s="69"/>
      <c r="H1153" s="69"/>
      <c r="I1153" s="69"/>
      <c r="J1153" s="70"/>
      <c r="K1153" s="69"/>
      <c r="L1153" s="69"/>
      <c r="M1153" s="69"/>
      <c r="N1153" s="69"/>
      <c r="O1153" s="69"/>
      <c r="P1153" s="2"/>
      <c r="Q1153" s="2"/>
      <c r="R1153" s="32"/>
      <c r="S1153" s="32"/>
      <c r="T1153" s="32"/>
      <c r="U1153" s="32"/>
      <c r="V1153" s="2"/>
      <c r="W1153" s="2"/>
      <c r="X1153" s="2"/>
      <c r="Y1153" s="2"/>
      <c r="Z1153" s="2"/>
    </row>
    <row r="1154" spans="1:26" ht="13.8" x14ac:dyDescent="0.3">
      <c r="A1154" s="2"/>
      <c r="B1154" s="2"/>
      <c r="C1154" s="10"/>
      <c r="D1154" s="10"/>
      <c r="E1154" s="10"/>
      <c r="F1154" s="10"/>
      <c r="G1154" s="69"/>
      <c r="H1154" s="69"/>
      <c r="I1154" s="69"/>
      <c r="J1154" s="70"/>
      <c r="K1154" s="69"/>
      <c r="L1154" s="69"/>
      <c r="M1154" s="69"/>
      <c r="N1154" s="69"/>
      <c r="O1154" s="69"/>
      <c r="P1154" s="2"/>
      <c r="Q1154" s="2"/>
      <c r="R1154" s="32"/>
      <c r="S1154" s="32"/>
      <c r="T1154" s="32"/>
      <c r="U1154" s="32"/>
      <c r="V1154" s="2"/>
      <c r="W1154" s="2"/>
      <c r="X1154" s="2"/>
      <c r="Y1154" s="2"/>
      <c r="Z1154" s="2"/>
    </row>
    <row r="1155" spans="1:26" ht="13.8" x14ac:dyDescent="0.3">
      <c r="A1155" s="2"/>
      <c r="B1155" s="2"/>
      <c r="C1155" s="10"/>
      <c r="D1155" s="10"/>
      <c r="E1155" s="10"/>
      <c r="F1155" s="10"/>
      <c r="G1155" s="69"/>
      <c r="H1155" s="69"/>
      <c r="I1155" s="69"/>
      <c r="J1155" s="70"/>
      <c r="K1155" s="69"/>
      <c r="L1155" s="69"/>
      <c r="M1155" s="69"/>
      <c r="N1155" s="69"/>
      <c r="O1155" s="69"/>
      <c r="P1155" s="2"/>
      <c r="Q1155" s="2"/>
      <c r="R1155" s="32"/>
      <c r="S1155" s="32"/>
      <c r="T1155" s="32"/>
      <c r="U1155" s="32"/>
      <c r="V1155" s="2"/>
      <c r="W1155" s="2"/>
      <c r="X1155" s="2"/>
      <c r="Y1155" s="2"/>
      <c r="Z1155" s="2"/>
    </row>
    <row r="1156" spans="1:26" ht="13.8" x14ac:dyDescent="0.3">
      <c r="A1156" s="2"/>
      <c r="B1156" s="2"/>
      <c r="C1156" s="10"/>
      <c r="D1156" s="10"/>
      <c r="E1156" s="10"/>
      <c r="F1156" s="10"/>
      <c r="G1156" s="69"/>
      <c r="H1156" s="69"/>
      <c r="I1156" s="69"/>
      <c r="J1156" s="70"/>
      <c r="K1156" s="69"/>
      <c r="L1156" s="69"/>
      <c r="M1156" s="69"/>
      <c r="N1156" s="69"/>
      <c r="O1156" s="69"/>
      <c r="P1156" s="2"/>
      <c r="Q1156" s="2"/>
      <c r="R1156" s="32"/>
      <c r="S1156" s="32"/>
      <c r="T1156" s="32"/>
      <c r="U1156" s="32"/>
      <c r="V1156" s="2"/>
      <c r="W1156" s="2"/>
      <c r="X1156" s="2"/>
      <c r="Y1156" s="2"/>
      <c r="Z1156" s="2"/>
    </row>
    <row r="1157" spans="1:26" ht="13.8" x14ac:dyDescent="0.3">
      <c r="A1157" s="2"/>
      <c r="B1157" s="2"/>
      <c r="C1157" s="10"/>
      <c r="D1157" s="10"/>
      <c r="E1157" s="10"/>
      <c r="F1157" s="10"/>
      <c r="G1157" s="69"/>
      <c r="H1157" s="69"/>
      <c r="I1157" s="69"/>
      <c r="J1157" s="70"/>
      <c r="K1157" s="69"/>
      <c r="L1157" s="69"/>
      <c r="M1157" s="69"/>
      <c r="N1157" s="69"/>
      <c r="O1157" s="69"/>
      <c r="P1157" s="2"/>
      <c r="Q1157" s="2"/>
      <c r="R1157" s="32"/>
      <c r="S1157" s="32"/>
      <c r="T1157" s="32"/>
      <c r="U1157" s="32"/>
      <c r="V1157" s="2"/>
      <c r="W1157" s="2"/>
      <c r="X1157" s="2"/>
      <c r="Y1157" s="2"/>
      <c r="Z1157" s="2"/>
    </row>
    <row r="1158" spans="1:26" ht="13.8" x14ac:dyDescent="0.3">
      <c r="A1158" s="2"/>
      <c r="B1158" s="2"/>
      <c r="C1158" s="10"/>
      <c r="D1158" s="10"/>
      <c r="E1158" s="10"/>
      <c r="F1158" s="10"/>
      <c r="G1158" s="69"/>
      <c r="H1158" s="69"/>
      <c r="I1158" s="69"/>
      <c r="J1158" s="70"/>
      <c r="K1158" s="69"/>
      <c r="L1158" s="69"/>
      <c r="M1158" s="69"/>
      <c r="N1158" s="69"/>
      <c r="O1158" s="69"/>
      <c r="P1158" s="2"/>
      <c r="Q1158" s="2"/>
      <c r="R1158" s="32"/>
      <c r="S1158" s="32"/>
      <c r="T1158" s="32"/>
      <c r="U1158" s="32"/>
      <c r="V1158" s="2"/>
      <c r="W1158" s="2"/>
      <c r="X1158" s="2"/>
      <c r="Y1158" s="2"/>
      <c r="Z1158" s="2"/>
    </row>
    <row r="1159" spans="1:26" ht="13.8" x14ac:dyDescent="0.3">
      <c r="A1159" s="2"/>
      <c r="B1159" s="2"/>
      <c r="C1159" s="10"/>
      <c r="D1159" s="10"/>
      <c r="E1159" s="10"/>
      <c r="F1159" s="10"/>
      <c r="G1159" s="69"/>
      <c r="H1159" s="69"/>
      <c r="I1159" s="69"/>
      <c r="J1159" s="70"/>
      <c r="K1159" s="69"/>
      <c r="L1159" s="69"/>
      <c r="M1159" s="69"/>
      <c r="N1159" s="69"/>
      <c r="O1159" s="69"/>
      <c r="P1159" s="2"/>
      <c r="Q1159" s="2"/>
      <c r="R1159" s="32"/>
      <c r="S1159" s="32"/>
      <c r="T1159" s="32"/>
      <c r="U1159" s="32"/>
      <c r="V1159" s="2"/>
      <c r="W1159" s="2"/>
      <c r="X1159" s="2"/>
      <c r="Y1159" s="2"/>
      <c r="Z1159" s="2"/>
    </row>
    <row r="1160" spans="1:26" ht="13.8" x14ac:dyDescent="0.3">
      <c r="A1160" s="2"/>
      <c r="B1160" s="2"/>
      <c r="C1160" s="10"/>
      <c r="D1160" s="10"/>
      <c r="E1160" s="10"/>
      <c r="F1160" s="10"/>
      <c r="G1160" s="69"/>
      <c r="H1160" s="69"/>
      <c r="I1160" s="69"/>
      <c r="J1160" s="70"/>
      <c r="K1160" s="69"/>
      <c r="L1160" s="69"/>
      <c r="M1160" s="69"/>
      <c r="N1160" s="69"/>
      <c r="O1160" s="69"/>
      <c r="P1160" s="2"/>
      <c r="Q1160" s="2"/>
      <c r="R1160" s="32"/>
      <c r="S1160" s="32"/>
      <c r="T1160" s="32"/>
      <c r="U1160" s="32"/>
      <c r="V1160" s="2"/>
      <c r="W1160" s="2"/>
      <c r="X1160" s="2"/>
      <c r="Y1160" s="2"/>
      <c r="Z1160" s="2"/>
    </row>
    <row r="1161" spans="1:26" ht="13.8" x14ac:dyDescent="0.3">
      <c r="A1161" s="2"/>
      <c r="B1161" s="2"/>
      <c r="C1161" s="10"/>
      <c r="D1161" s="10"/>
      <c r="E1161" s="10"/>
      <c r="F1161" s="10"/>
      <c r="G1161" s="69"/>
      <c r="H1161" s="69"/>
      <c r="I1161" s="69"/>
      <c r="J1161" s="70"/>
      <c r="K1161" s="69"/>
      <c r="L1161" s="69"/>
      <c r="M1161" s="69"/>
      <c r="N1161" s="69"/>
      <c r="O1161" s="69"/>
      <c r="P1161" s="2"/>
      <c r="Q1161" s="2"/>
      <c r="R1161" s="32"/>
      <c r="S1161" s="32"/>
      <c r="T1161" s="32"/>
      <c r="U1161" s="32"/>
      <c r="V1161" s="2"/>
      <c r="W1161" s="2"/>
      <c r="X1161" s="2"/>
      <c r="Y1161" s="2"/>
      <c r="Z1161" s="2"/>
    </row>
    <row r="1162" spans="1:26" ht="13.8" x14ac:dyDescent="0.3">
      <c r="A1162" s="2"/>
      <c r="B1162" s="2"/>
      <c r="C1162" s="10"/>
      <c r="D1162" s="10"/>
      <c r="E1162" s="10"/>
      <c r="F1162" s="10"/>
      <c r="G1162" s="69"/>
      <c r="H1162" s="69"/>
      <c r="I1162" s="69"/>
      <c r="J1162" s="70"/>
      <c r="K1162" s="69"/>
      <c r="L1162" s="69"/>
      <c r="M1162" s="69"/>
      <c r="N1162" s="69"/>
      <c r="O1162" s="69"/>
      <c r="P1162" s="2"/>
      <c r="Q1162" s="2"/>
      <c r="R1162" s="32"/>
      <c r="S1162" s="32"/>
      <c r="T1162" s="32"/>
      <c r="U1162" s="32"/>
      <c r="V1162" s="2"/>
      <c r="W1162" s="2"/>
      <c r="X1162" s="2"/>
      <c r="Y1162" s="2"/>
      <c r="Z1162" s="2"/>
    </row>
    <row r="1163" spans="1:26" ht="13.8" x14ac:dyDescent="0.3">
      <c r="A1163" s="2"/>
      <c r="B1163" s="2"/>
      <c r="C1163" s="10"/>
      <c r="D1163" s="10"/>
      <c r="E1163" s="10"/>
      <c r="F1163" s="10"/>
      <c r="G1163" s="69"/>
      <c r="H1163" s="69"/>
      <c r="I1163" s="69"/>
      <c r="J1163" s="70"/>
      <c r="K1163" s="69"/>
      <c r="L1163" s="69"/>
      <c r="M1163" s="69"/>
      <c r="N1163" s="69"/>
      <c r="O1163" s="69"/>
      <c r="P1163" s="2"/>
      <c r="Q1163" s="2"/>
      <c r="R1163" s="32"/>
      <c r="S1163" s="32"/>
      <c r="T1163" s="32"/>
      <c r="U1163" s="32"/>
      <c r="V1163" s="2"/>
      <c r="W1163" s="2"/>
      <c r="X1163" s="2"/>
      <c r="Y1163" s="2"/>
      <c r="Z1163" s="2"/>
    </row>
    <row r="1164" spans="1:26" ht="13.8" x14ac:dyDescent="0.3">
      <c r="A1164" s="2"/>
      <c r="B1164" s="2"/>
      <c r="C1164" s="10"/>
      <c r="D1164" s="10"/>
      <c r="E1164" s="10"/>
      <c r="F1164" s="10"/>
      <c r="G1164" s="69"/>
      <c r="H1164" s="69"/>
      <c r="I1164" s="69"/>
      <c r="J1164" s="70"/>
      <c r="K1164" s="69"/>
      <c r="L1164" s="69"/>
      <c r="M1164" s="69"/>
      <c r="N1164" s="69"/>
      <c r="O1164" s="69"/>
      <c r="P1164" s="2"/>
      <c r="Q1164" s="2"/>
      <c r="R1164" s="32"/>
      <c r="S1164" s="32"/>
      <c r="T1164" s="32"/>
      <c r="U1164" s="32"/>
      <c r="V1164" s="2"/>
      <c r="W1164" s="2"/>
      <c r="X1164" s="2"/>
      <c r="Y1164" s="2"/>
      <c r="Z1164" s="2"/>
    </row>
    <row r="1165" spans="1:26" ht="13.8" x14ac:dyDescent="0.3">
      <c r="A1165" s="2"/>
      <c r="B1165" s="2"/>
      <c r="C1165" s="10"/>
      <c r="D1165" s="10"/>
      <c r="E1165" s="10"/>
      <c r="F1165" s="10"/>
      <c r="G1165" s="69"/>
      <c r="H1165" s="69"/>
      <c r="I1165" s="69"/>
      <c r="J1165" s="70"/>
      <c r="K1165" s="69"/>
      <c r="L1165" s="69"/>
      <c r="M1165" s="69"/>
      <c r="N1165" s="69"/>
      <c r="O1165" s="69"/>
      <c r="P1165" s="2"/>
      <c r="Q1165" s="2"/>
      <c r="R1165" s="32"/>
      <c r="S1165" s="32"/>
      <c r="T1165" s="32"/>
      <c r="U1165" s="32"/>
      <c r="V1165" s="2"/>
      <c r="W1165" s="2"/>
      <c r="X1165" s="2"/>
      <c r="Y1165" s="2"/>
      <c r="Z1165" s="2"/>
    </row>
    <row r="1166" spans="1:26" ht="13.8" x14ac:dyDescent="0.3">
      <c r="A1166" s="2"/>
      <c r="B1166" s="2"/>
      <c r="C1166" s="10"/>
      <c r="D1166" s="10"/>
      <c r="E1166" s="10"/>
      <c r="F1166" s="10"/>
      <c r="G1166" s="69"/>
      <c r="H1166" s="69"/>
      <c r="I1166" s="69"/>
      <c r="J1166" s="70"/>
      <c r="K1166" s="69"/>
      <c r="L1166" s="69"/>
      <c r="M1166" s="69"/>
      <c r="N1166" s="69"/>
      <c r="O1166" s="69"/>
      <c r="P1166" s="2"/>
      <c r="Q1166" s="2"/>
      <c r="R1166" s="32"/>
      <c r="S1166" s="32"/>
      <c r="T1166" s="32"/>
      <c r="U1166" s="32"/>
      <c r="V1166" s="2"/>
      <c r="W1166" s="2"/>
      <c r="X1166" s="2"/>
      <c r="Y1166" s="2"/>
      <c r="Z1166" s="2"/>
    </row>
    <row r="1167" spans="1:26" ht="13.8" x14ac:dyDescent="0.3">
      <c r="A1167" s="2"/>
      <c r="B1167" s="2"/>
      <c r="C1167" s="10"/>
      <c r="D1167" s="10"/>
      <c r="E1167" s="10"/>
      <c r="F1167" s="10"/>
      <c r="G1167" s="69"/>
      <c r="H1167" s="69"/>
      <c r="I1167" s="69"/>
      <c r="J1167" s="70"/>
      <c r="K1167" s="69"/>
      <c r="L1167" s="69"/>
      <c r="M1167" s="69"/>
      <c r="N1167" s="69"/>
      <c r="O1167" s="69"/>
      <c r="P1167" s="2"/>
      <c r="Q1167" s="2"/>
      <c r="R1167" s="32"/>
      <c r="S1167" s="32"/>
      <c r="T1167" s="32"/>
      <c r="U1167" s="32"/>
      <c r="V1167" s="2"/>
      <c r="W1167" s="2"/>
      <c r="X1167" s="2"/>
      <c r="Y1167" s="2"/>
      <c r="Z1167" s="2"/>
    </row>
    <row r="1168" spans="1:26" ht="13.8" x14ac:dyDescent="0.3">
      <c r="A1168" s="2"/>
      <c r="B1168" s="2"/>
      <c r="C1168" s="10"/>
      <c r="D1168" s="10"/>
      <c r="E1168" s="10"/>
      <c r="F1168" s="10"/>
      <c r="G1168" s="69"/>
      <c r="H1168" s="69"/>
      <c r="I1168" s="69"/>
      <c r="J1168" s="70"/>
      <c r="K1168" s="69"/>
      <c r="L1168" s="69"/>
      <c r="M1168" s="69"/>
      <c r="N1168" s="69"/>
      <c r="O1168" s="69"/>
      <c r="P1168" s="2"/>
      <c r="Q1168" s="2"/>
      <c r="R1168" s="32"/>
      <c r="S1168" s="32"/>
      <c r="T1168" s="32"/>
      <c r="U1168" s="32"/>
      <c r="V1168" s="2"/>
      <c r="W1168" s="2"/>
      <c r="X1168" s="2"/>
      <c r="Y1168" s="2"/>
      <c r="Z1168" s="2"/>
    </row>
    <row r="1169" spans="1:26" ht="13.8" x14ac:dyDescent="0.3">
      <c r="A1169" s="2"/>
      <c r="B1169" s="2"/>
      <c r="C1169" s="10"/>
      <c r="D1169" s="10"/>
      <c r="E1169" s="10"/>
      <c r="F1169" s="10"/>
      <c r="G1169" s="69"/>
      <c r="H1169" s="69"/>
      <c r="I1169" s="69"/>
      <c r="J1169" s="70"/>
      <c r="K1169" s="69"/>
      <c r="L1169" s="69"/>
      <c r="M1169" s="69"/>
      <c r="N1169" s="69"/>
      <c r="O1169" s="69"/>
      <c r="P1169" s="2"/>
      <c r="Q1169" s="2"/>
      <c r="R1169" s="32"/>
      <c r="S1169" s="32"/>
      <c r="T1169" s="32"/>
      <c r="U1169" s="32"/>
      <c r="V1169" s="2"/>
      <c r="W1169" s="2"/>
      <c r="X1169" s="2"/>
      <c r="Y1169" s="2"/>
      <c r="Z1169" s="2"/>
    </row>
    <row r="1170" spans="1:26" ht="13.8" x14ac:dyDescent="0.3">
      <c r="A1170" s="2"/>
      <c r="B1170" s="2"/>
      <c r="C1170" s="10"/>
      <c r="D1170" s="10"/>
      <c r="E1170" s="10"/>
      <c r="F1170" s="10"/>
      <c r="G1170" s="69"/>
      <c r="H1170" s="69"/>
      <c r="I1170" s="69"/>
      <c r="J1170" s="70"/>
      <c r="K1170" s="69"/>
      <c r="L1170" s="69"/>
      <c r="M1170" s="69"/>
      <c r="N1170" s="69"/>
      <c r="O1170" s="69"/>
      <c r="P1170" s="2"/>
      <c r="Q1170" s="2"/>
      <c r="R1170" s="32"/>
      <c r="S1170" s="32"/>
      <c r="T1170" s="32"/>
      <c r="U1170" s="32"/>
      <c r="V1170" s="2"/>
      <c r="W1170" s="2"/>
      <c r="X1170" s="2"/>
      <c r="Y1170" s="2"/>
      <c r="Z1170" s="2"/>
    </row>
    <row r="1171" spans="1:26" ht="13.8" x14ac:dyDescent="0.3">
      <c r="A1171" s="2"/>
      <c r="B1171" s="2"/>
      <c r="C1171" s="10"/>
      <c r="D1171" s="10"/>
      <c r="E1171" s="10"/>
      <c r="F1171" s="10"/>
      <c r="G1171" s="69"/>
      <c r="H1171" s="69"/>
      <c r="I1171" s="69"/>
      <c r="J1171" s="70"/>
      <c r="K1171" s="69"/>
      <c r="L1171" s="69"/>
      <c r="M1171" s="69"/>
      <c r="N1171" s="69"/>
      <c r="O1171" s="69"/>
      <c r="P1171" s="2"/>
      <c r="Q1171" s="2"/>
      <c r="R1171" s="32"/>
      <c r="S1171" s="32"/>
      <c r="T1171" s="32"/>
      <c r="U1171" s="32"/>
      <c r="V1171" s="2"/>
      <c r="W1171" s="2"/>
      <c r="X1171" s="2"/>
      <c r="Y1171" s="2"/>
      <c r="Z1171" s="2"/>
    </row>
    <row r="1172" spans="1:26" ht="13.8" x14ac:dyDescent="0.3">
      <c r="A1172" s="2"/>
      <c r="B1172" s="2"/>
      <c r="C1172" s="10"/>
      <c r="D1172" s="10"/>
      <c r="E1172" s="10"/>
      <c r="F1172" s="10"/>
      <c r="G1172" s="69"/>
      <c r="H1172" s="69"/>
      <c r="I1172" s="69"/>
      <c r="J1172" s="70"/>
      <c r="K1172" s="69"/>
      <c r="L1172" s="69"/>
      <c r="M1172" s="69"/>
      <c r="N1172" s="69"/>
      <c r="O1172" s="69"/>
      <c r="P1172" s="2"/>
      <c r="Q1172" s="2"/>
      <c r="R1172" s="32"/>
      <c r="S1172" s="32"/>
      <c r="T1172" s="32"/>
      <c r="U1172" s="32"/>
      <c r="V1172" s="2"/>
      <c r="W1172" s="2"/>
      <c r="X1172" s="2"/>
      <c r="Y1172" s="2"/>
      <c r="Z1172" s="2"/>
    </row>
    <row r="1173" spans="1:26" ht="13.8" x14ac:dyDescent="0.3">
      <c r="A1173" s="2"/>
      <c r="B1173" s="2"/>
      <c r="C1173" s="10"/>
      <c r="D1173" s="10"/>
      <c r="E1173" s="10"/>
      <c r="F1173" s="10"/>
      <c r="G1173" s="69"/>
      <c r="H1173" s="69"/>
      <c r="I1173" s="69"/>
      <c r="J1173" s="70"/>
      <c r="K1173" s="69"/>
      <c r="L1173" s="69"/>
      <c r="M1173" s="69"/>
      <c r="N1173" s="69"/>
      <c r="O1173" s="69"/>
      <c r="P1173" s="2"/>
      <c r="Q1173" s="2"/>
      <c r="R1173" s="32"/>
      <c r="S1173" s="32"/>
      <c r="T1173" s="32"/>
      <c r="U1173" s="32"/>
      <c r="V1173" s="2"/>
      <c r="W1173" s="2"/>
      <c r="X1173" s="2"/>
      <c r="Y1173" s="2"/>
      <c r="Z1173" s="2"/>
    </row>
    <row r="1174" spans="1:26" ht="13.8" x14ac:dyDescent="0.3">
      <c r="A1174" s="2"/>
      <c r="B1174" s="2"/>
      <c r="C1174" s="10"/>
      <c r="D1174" s="10"/>
      <c r="E1174" s="10"/>
      <c r="F1174" s="10"/>
      <c r="G1174" s="69"/>
      <c r="H1174" s="69"/>
      <c r="I1174" s="69"/>
      <c r="J1174" s="70"/>
      <c r="K1174" s="69"/>
      <c r="L1174" s="69"/>
      <c r="M1174" s="69"/>
      <c r="N1174" s="69"/>
      <c r="O1174" s="69"/>
      <c r="P1174" s="2"/>
      <c r="Q1174" s="2"/>
      <c r="R1174" s="32"/>
      <c r="S1174" s="32"/>
      <c r="T1174" s="32"/>
      <c r="U1174" s="32"/>
      <c r="V1174" s="2"/>
      <c r="W1174" s="2"/>
      <c r="X1174" s="2"/>
      <c r="Y1174" s="2"/>
      <c r="Z1174" s="2"/>
    </row>
    <row r="1175" spans="1:26" ht="13.8" x14ac:dyDescent="0.3">
      <c r="A1175" s="2"/>
      <c r="B1175" s="2"/>
      <c r="C1175" s="10"/>
      <c r="D1175" s="10"/>
      <c r="E1175" s="10"/>
      <c r="F1175" s="10"/>
      <c r="G1175" s="69"/>
      <c r="H1175" s="69"/>
      <c r="I1175" s="69"/>
      <c r="J1175" s="70"/>
      <c r="K1175" s="69"/>
      <c r="L1175" s="69"/>
      <c r="M1175" s="69"/>
      <c r="N1175" s="69"/>
      <c r="O1175" s="69"/>
      <c r="P1175" s="2"/>
      <c r="Q1175" s="2"/>
      <c r="R1175" s="32"/>
      <c r="S1175" s="32"/>
      <c r="T1175" s="32"/>
      <c r="U1175" s="32"/>
      <c r="V1175" s="2"/>
      <c r="W1175" s="2"/>
      <c r="X1175" s="2"/>
      <c r="Y1175" s="2"/>
      <c r="Z1175" s="2"/>
    </row>
    <row r="1176" spans="1:26" ht="13.8" x14ac:dyDescent="0.3">
      <c r="A1176" s="2"/>
      <c r="B1176" s="2"/>
      <c r="C1176" s="10"/>
      <c r="D1176" s="10"/>
      <c r="E1176" s="10"/>
      <c r="F1176" s="10"/>
      <c r="G1176" s="69"/>
      <c r="H1176" s="69"/>
      <c r="I1176" s="69"/>
      <c r="J1176" s="70"/>
      <c r="K1176" s="69"/>
      <c r="L1176" s="69"/>
      <c r="M1176" s="69"/>
      <c r="N1176" s="69"/>
      <c r="O1176" s="69"/>
      <c r="P1176" s="2"/>
      <c r="Q1176" s="2"/>
      <c r="R1176" s="32"/>
      <c r="S1176" s="32"/>
      <c r="T1176" s="32"/>
      <c r="U1176" s="32"/>
      <c r="V1176" s="2"/>
      <c r="W1176" s="2"/>
      <c r="X1176" s="2"/>
      <c r="Y1176" s="2"/>
      <c r="Z1176" s="2"/>
    </row>
    <row r="1177" spans="1:26" ht="13.8" x14ac:dyDescent="0.3">
      <c r="A1177" s="2"/>
      <c r="B1177" s="2"/>
      <c r="C1177" s="10"/>
      <c r="D1177" s="10"/>
      <c r="E1177" s="10"/>
      <c r="F1177" s="10"/>
      <c r="G1177" s="69"/>
      <c r="H1177" s="69"/>
      <c r="I1177" s="69"/>
      <c r="J1177" s="70"/>
      <c r="K1177" s="69"/>
      <c r="L1177" s="69"/>
      <c r="M1177" s="69"/>
      <c r="N1177" s="69"/>
      <c r="O1177" s="69"/>
      <c r="P1177" s="2"/>
      <c r="Q1177" s="2"/>
      <c r="R1177" s="32"/>
      <c r="S1177" s="32"/>
      <c r="T1177" s="32"/>
      <c r="U1177" s="32"/>
      <c r="V1177" s="2"/>
      <c r="W1177" s="2"/>
      <c r="X1177" s="2"/>
      <c r="Y1177" s="2"/>
      <c r="Z1177" s="2"/>
    </row>
    <row r="1178" spans="1:26" ht="13.8" x14ac:dyDescent="0.3">
      <c r="A1178" s="2"/>
      <c r="B1178" s="2"/>
      <c r="C1178" s="10"/>
      <c r="D1178" s="10"/>
      <c r="E1178" s="10"/>
      <c r="F1178" s="10"/>
      <c r="G1178" s="69"/>
      <c r="H1178" s="69"/>
      <c r="I1178" s="69"/>
      <c r="J1178" s="70"/>
      <c r="K1178" s="69"/>
      <c r="L1178" s="69"/>
      <c r="M1178" s="69"/>
      <c r="N1178" s="69"/>
      <c r="O1178" s="69"/>
      <c r="P1178" s="2"/>
      <c r="Q1178" s="2"/>
      <c r="R1178" s="32"/>
      <c r="S1178" s="32"/>
      <c r="T1178" s="32"/>
      <c r="U1178" s="32"/>
      <c r="V1178" s="2"/>
      <c r="W1178" s="2"/>
      <c r="X1178" s="2"/>
      <c r="Y1178" s="2"/>
      <c r="Z1178" s="2"/>
    </row>
    <row r="1179" spans="1:26" ht="13.8" x14ac:dyDescent="0.3">
      <c r="A1179" s="2"/>
      <c r="B1179" s="2"/>
      <c r="C1179" s="10"/>
      <c r="D1179" s="10"/>
      <c r="E1179" s="10"/>
      <c r="F1179" s="10"/>
      <c r="G1179" s="69"/>
      <c r="H1179" s="69"/>
      <c r="I1179" s="69"/>
      <c r="J1179" s="70"/>
      <c r="K1179" s="69"/>
      <c r="L1179" s="69"/>
      <c r="M1179" s="69"/>
      <c r="N1179" s="69"/>
      <c r="O1179" s="69"/>
      <c r="P1179" s="2"/>
      <c r="Q1179" s="2"/>
      <c r="R1179" s="32"/>
      <c r="S1179" s="32"/>
      <c r="T1179" s="32"/>
      <c r="U1179" s="32"/>
      <c r="V1179" s="2"/>
      <c r="W1179" s="2"/>
      <c r="X1179" s="2"/>
      <c r="Y1179" s="2"/>
      <c r="Z1179" s="2"/>
    </row>
    <row r="1180" spans="1:26" ht="13.8" x14ac:dyDescent="0.3">
      <c r="A1180" s="2"/>
      <c r="B1180" s="2"/>
      <c r="C1180" s="10"/>
      <c r="D1180" s="10"/>
      <c r="E1180" s="10"/>
      <c r="F1180" s="10"/>
      <c r="G1180" s="69"/>
      <c r="H1180" s="69"/>
      <c r="I1180" s="69"/>
      <c r="J1180" s="70"/>
      <c r="K1180" s="69"/>
      <c r="L1180" s="69"/>
      <c r="M1180" s="69"/>
      <c r="N1180" s="69"/>
      <c r="O1180" s="69"/>
      <c r="P1180" s="2"/>
      <c r="Q1180" s="2"/>
      <c r="R1180" s="32"/>
      <c r="S1180" s="32"/>
      <c r="T1180" s="32"/>
      <c r="U1180" s="32"/>
      <c r="V1180" s="2"/>
      <c r="W1180" s="2"/>
      <c r="X1180" s="2"/>
      <c r="Y1180" s="2"/>
      <c r="Z1180" s="2"/>
    </row>
    <row r="1181" spans="1:26" ht="13.8" x14ac:dyDescent="0.3">
      <c r="A1181" s="2"/>
      <c r="B1181" s="2"/>
      <c r="C1181" s="10"/>
      <c r="D1181" s="10"/>
      <c r="E1181" s="10"/>
      <c r="F1181" s="10"/>
      <c r="G1181" s="69"/>
      <c r="H1181" s="69"/>
      <c r="I1181" s="69"/>
      <c r="J1181" s="70"/>
      <c r="K1181" s="69"/>
      <c r="L1181" s="69"/>
      <c r="M1181" s="69"/>
      <c r="N1181" s="69"/>
      <c r="O1181" s="69"/>
      <c r="P1181" s="2"/>
      <c r="Q1181" s="2"/>
      <c r="R1181" s="32"/>
      <c r="S1181" s="32"/>
      <c r="T1181" s="32"/>
      <c r="U1181" s="32"/>
      <c r="V1181" s="2"/>
      <c r="W1181" s="2"/>
      <c r="X1181" s="2"/>
      <c r="Y1181" s="2"/>
      <c r="Z1181" s="2"/>
    </row>
    <row r="1182" spans="1:26" ht="13.8" x14ac:dyDescent="0.3">
      <c r="A1182" s="2"/>
      <c r="B1182" s="2"/>
      <c r="C1182" s="10"/>
      <c r="D1182" s="10"/>
      <c r="E1182" s="10"/>
      <c r="F1182" s="10"/>
      <c r="G1182" s="69"/>
      <c r="H1182" s="69"/>
      <c r="I1182" s="69"/>
      <c r="J1182" s="70"/>
      <c r="K1182" s="69"/>
      <c r="L1182" s="69"/>
      <c r="M1182" s="69"/>
      <c r="N1182" s="69"/>
      <c r="O1182" s="69"/>
      <c r="P1182" s="2"/>
      <c r="Q1182" s="2"/>
      <c r="R1182" s="32"/>
      <c r="S1182" s="32"/>
      <c r="T1182" s="32"/>
      <c r="U1182" s="32"/>
      <c r="V1182" s="2"/>
      <c r="W1182" s="2"/>
      <c r="X1182" s="2"/>
      <c r="Y1182" s="2"/>
      <c r="Z1182" s="2"/>
    </row>
    <row r="1183" spans="1:26" ht="13.8" x14ac:dyDescent="0.3">
      <c r="A1183" s="2"/>
      <c r="B1183" s="2"/>
      <c r="C1183" s="10"/>
      <c r="D1183" s="10"/>
      <c r="E1183" s="10"/>
      <c r="F1183" s="10"/>
      <c r="G1183" s="69"/>
      <c r="H1183" s="69"/>
      <c r="I1183" s="69"/>
      <c r="J1183" s="70"/>
      <c r="K1183" s="69"/>
      <c r="L1183" s="69"/>
      <c r="M1183" s="69"/>
      <c r="N1183" s="69"/>
      <c r="O1183" s="69"/>
      <c r="P1183" s="2"/>
      <c r="Q1183" s="2"/>
      <c r="R1183" s="32"/>
      <c r="S1183" s="32"/>
      <c r="T1183" s="32"/>
      <c r="U1183" s="32"/>
      <c r="V1183" s="2"/>
      <c r="W1183" s="2"/>
      <c r="X1183" s="2"/>
      <c r="Y1183" s="2"/>
      <c r="Z1183" s="2"/>
    </row>
    <row r="1184" spans="1:26" ht="13.8" x14ac:dyDescent="0.3">
      <c r="A1184" s="2"/>
      <c r="B1184" s="2"/>
      <c r="C1184" s="10"/>
      <c r="D1184" s="10"/>
      <c r="E1184" s="10"/>
      <c r="F1184" s="10"/>
      <c r="G1184" s="69"/>
      <c r="H1184" s="69"/>
      <c r="I1184" s="69"/>
      <c r="J1184" s="70"/>
      <c r="K1184" s="69"/>
      <c r="L1184" s="69"/>
      <c r="M1184" s="69"/>
      <c r="N1184" s="69"/>
      <c r="O1184" s="69"/>
      <c r="P1184" s="2"/>
      <c r="Q1184" s="2"/>
      <c r="R1184" s="32"/>
      <c r="S1184" s="32"/>
      <c r="T1184" s="32"/>
      <c r="U1184" s="32"/>
      <c r="V1184" s="2"/>
      <c r="W1184" s="2"/>
      <c r="X1184" s="2"/>
      <c r="Y1184" s="2"/>
      <c r="Z1184" s="2"/>
    </row>
    <row r="1185" spans="1:26" ht="13.8" x14ac:dyDescent="0.3">
      <c r="A1185" s="2"/>
      <c r="B1185" s="2"/>
      <c r="C1185" s="10"/>
      <c r="D1185" s="10"/>
      <c r="E1185" s="10"/>
      <c r="F1185" s="10"/>
      <c r="G1185" s="69"/>
      <c r="H1185" s="69"/>
      <c r="I1185" s="69"/>
      <c r="J1185" s="70"/>
      <c r="K1185" s="69"/>
      <c r="L1185" s="69"/>
      <c r="M1185" s="69"/>
      <c r="N1185" s="69"/>
      <c r="O1185" s="69"/>
      <c r="P1185" s="2"/>
      <c r="Q1185" s="2"/>
      <c r="R1185" s="32"/>
      <c r="S1185" s="32"/>
      <c r="T1185" s="32"/>
      <c r="U1185" s="32"/>
      <c r="V1185" s="2"/>
      <c r="W1185" s="2"/>
      <c r="X1185" s="2"/>
      <c r="Y1185" s="2"/>
      <c r="Z1185" s="2"/>
    </row>
    <row r="1186" spans="1:26" ht="13.8" x14ac:dyDescent="0.3">
      <c r="A1186" s="2"/>
      <c r="B1186" s="2"/>
      <c r="C1186" s="10"/>
      <c r="D1186" s="10"/>
      <c r="E1186" s="10"/>
      <c r="F1186" s="10"/>
      <c r="G1186" s="69"/>
      <c r="H1186" s="69"/>
      <c r="I1186" s="69"/>
      <c r="J1186" s="70"/>
      <c r="K1186" s="69"/>
      <c r="L1186" s="69"/>
      <c r="M1186" s="69"/>
      <c r="N1186" s="69"/>
      <c r="O1186" s="69"/>
      <c r="P1186" s="2"/>
      <c r="Q1186" s="2"/>
      <c r="R1186" s="32"/>
      <c r="S1186" s="32"/>
      <c r="T1186" s="32"/>
      <c r="U1186" s="32"/>
      <c r="V1186" s="2"/>
      <c r="W1186" s="2"/>
      <c r="X1186" s="2"/>
      <c r="Y1186" s="2"/>
      <c r="Z1186" s="2"/>
    </row>
    <row r="1187" spans="1:26" ht="13.8" x14ac:dyDescent="0.3">
      <c r="A1187" s="2"/>
      <c r="B1187" s="2"/>
      <c r="C1187" s="10"/>
      <c r="D1187" s="10"/>
      <c r="E1187" s="10"/>
      <c r="F1187" s="10"/>
      <c r="G1187" s="69"/>
      <c r="H1187" s="69"/>
      <c r="I1187" s="69"/>
      <c r="J1187" s="70"/>
      <c r="K1187" s="69"/>
      <c r="L1187" s="69"/>
      <c r="M1187" s="69"/>
      <c r="N1187" s="69"/>
      <c r="O1187" s="69"/>
      <c r="P1187" s="2"/>
      <c r="Q1187" s="2"/>
      <c r="R1187" s="32"/>
      <c r="S1187" s="32"/>
      <c r="T1187" s="32"/>
      <c r="U1187" s="32"/>
      <c r="V1187" s="2"/>
      <c r="W1187" s="2"/>
      <c r="X1187" s="2"/>
      <c r="Y1187" s="2"/>
      <c r="Z1187" s="2"/>
    </row>
    <row r="1188" spans="1:26" ht="13.8" x14ac:dyDescent="0.3">
      <c r="A1188" s="2"/>
      <c r="B1188" s="2"/>
      <c r="C1188" s="10"/>
      <c r="D1188" s="10"/>
      <c r="E1188" s="10"/>
      <c r="F1188" s="10"/>
      <c r="G1188" s="69"/>
      <c r="H1188" s="69"/>
      <c r="I1188" s="69"/>
      <c r="J1188" s="70"/>
      <c r="K1188" s="69"/>
      <c r="L1188" s="69"/>
      <c r="M1188" s="69"/>
      <c r="N1188" s="69"/>
      <c r="O1188" s="69"/>
      <c r="P1188" s="2"/>
      <c r="Q1188" s="2"/>
      <c r="R1188" s="32"/>
      <c r="S1188" s="32"/>
      <c r="T1188" s="32"/>
      <c r="U1188" s="32"/>
      <c r="V1188" s="2"/>
      <c r="W1188" s="2"/>
      <c r="X1188" s="2"/>
      <c r="Y1188" s="2"/>
      <c r="Z1188" s="2"/>
    </row>
    <row r="1189" spans="1:26" ht="13.8" x14ac:dyDescent="0.3">
      <c r="A1189" s="2"/>
      <c r="B1189" s="2"/>
      <c r="C1189" s="10"/>
      <c r="D1189" s="10"/>
      <c r="E1189" s="10"/>
      <c r="F1189" s="10"/>
      <c r="G1189" s="69"/>
      <c r="H1189" s="69"/>
      <c r="I1189" s="69"/>
      <c r="J1189" s="70"/>
      <c r="K1189" s="69"/>
      <c r="L1189" s="69"/>
      <c r="M1189" s="69"/>
      <c r="N1189" s="69"/>
      <c r="O1189" s="69"/>
      <c r="P1189" s="2"/>
      <c r="Q1189" s="2"/>
      <c r="R1189" s="32"/>
      <c r="S1189" s="32"/>
      <c r="T1189" s="32"/>
      <c r="U1189" s="32"/>
      <c r="V1189" s="2"/>
      <c r="W1189" s="2"/>
      <c r="X1189" s="2"/>
      <c r="Y1189" s="2"/>
      <c r="Z1189" s="2"/>
    </row>
    <row r="1190" spans="1:26" ht="13.8" x14ac:dyDescent="0.3">
      <c r="A1190" s="2"/>
      <c r="B1190" s="2"/>
      <c r="C1190" s="10"/>
      <c r="D1190" s="10"/>
      <c r="E1190" s="10"/>
      <c r="F1190" s="10"/>
      <c r="G1190" s="69"/>
      <c r="H1190" s="69"/>
      <c r="I1190" s="69"/>
      <c r="J1190" s="70"/>
      <c r="K1190" s="69"/>
      <c r="L1190" s="69"/>
      <c r="M1190" s="69"/>
      <c r="N1190" s="69"/>
      <c r="O1190" s="69"/>
      <c r="P1190" s="2"/>
      <c r="Q1190" s="2"/>
      <c r="R1190" s="32"/>
      <c r="S1190" s="32"/>
      <c r="T1190" s="32"/>
      <c r="U1190" s="32"/>
      <c r="V1190" s="2"/>
      <c r="W1190" s="2"/>
      <c r="X1190" s="2"/>
      <c r="Y1190" s="2"/>
      <c r="Z1190" s="2"/>
    </row>
    <row r="1191" spans="1:26" ht="13.8" x14ac:dyDescent="0.3">
      <c r="A1191" s="2"/>
      <c r="B1191" s="2"/>
      <c r="C1191" s="10"/>
      <c r="D1191" s="10"/>
      <c r="E1191" s="10"/>
      <c r="F1191" s="10"/>
      <c r="G1191" s="69"/>
      <c r="H1191" s="69"/>
      <c r="I1191" s="69"/>
      <c r="J1191" s="70"/>
      <c r="K1191" s="69"/>
      <c r="L1191" s="69"/>
      <c r="M1191" s="69"/>
      <c r="N1191" s="69"/>
      <c r="O1191" s="69"/>
      <c r="P1191" s="2"/>
      <c r="Q1191" s="2"/>
      <c r="R1191" s="32"/>
      <c r="S1191" s="32"/>
      <c r="T1191" s="32"/>
      <c r="U1191" s="32"/>
      <c r="V1191" s="2"/>
      <c r="W1191" s="2"/>
      <c r="X1191" s="2"/>
      <c r="Y1191" s="2"/>
      <c r="Z1191" s="2"/>
    </row>
    <row r="1192" spans="1:26" ht="13.8" x14ac:dyDescent="0.3">
      <c r="A1192" s="2"/>
      <c r="B1192" s="2"/>
      <c r="C1192" s="10"/>
      <c r="D1192" s="10"/>
      <c r="E1192" s="10"/>
      <c r="F1192" s="10"/>
      <c r="G1192" s="69"/>
      <c r="H1192" s="69"/>
      <c r="I1192" s="69"/>
      <c r="J1192" s="70"/>
      <c r="K1192" s="69"/>
      <c r="L1192" s="69"/>
      <c r="M1192" s="69"/>
      <c r="N1192" s="69"/>
      <c r="O1192" s="69"/>
      <c r="P1192" s="2"/>
      <c r="Q1192" s="2"/>
      <c r="R1192" s="32"/>
      <c r="S1192" s="32"/>
      <c r="T1192" s="32"/>
      <c r="U1192" s="32"/>
      <c r="V1192" s="2"/>
      <c r="W1192" s="2"/>
      <c r="X1192" s="2"/>
      <c r="Y1192" s="2"/>
      <c r="Z1192" s="2"/>
    </row>
    <row r="1193" spans="1:26" ht="13.8" x14ac:dyDescent="0.3">
      <c r="A1193" s="2"/>
      <c r="B1193" s="2"/>
      <c r="C1193" s="10"/>
      <c r="D1193" s="10"/>
      <c r="E1193" s="10"/>
      <c r="F1193" s="10"/>
      <c r="G1193" s="69"/>
      <c r="H1193" s="69"/>
      <c r="I1193" s="69"/>
      <c r="J1193" s="70"/>
      <c r="K1193" s="69"/>
      <c r="L1193" s="69"/>
      <c r="M1193" s="69"/>
      <c r="N1193" s="69"/>
      <c r="O1193" s="69"/>
      <c r="P1193" s="2"/>
      <c r="Q1193" s="2"/>
      <c r="R1193" s="32"/>
      <c r="S1193" s="32"/>
      <c r="T1193" s="32"/>
      <c r="U1193" s="32"/>
      <c r="V1193" s="2"/>
      <c r="W1193" s="2"/>
      <c r="X1193" s="2"/>
      <c r="Y1193" s="2"/>
      <c r="Z1193" s="2"/>
    </row>
    <row r="1194" spans="1:26" ht="13.8" x14ac:dyDescent="0.3">
      <c r="A1194" s="2"/>
      <c r="B1194" s="2"/>
      <c r="C1194" s="10"/>
      <c r="D1194" s="10"/>
      <c r="E1194" s="10"/>
      <c r="F1194" s="10"/>
      <c r="G1194" s="69"/>
      <c r="H1194" s="69"/>
      <c r="I1194" s="69"/>
      <c r="J1194" s="70"/>
      <c r="K1194" s="69"/>
      <c r="L1194" s="69"/>
      <c r="M1194" s="69"/>
      <c r="N1194" s="69"/>
      <c r="O1194" s="69"/>
      <c r="P1194" s="2"/>
      <c r="Q1194" s="2"/>
      <c r="R1194" s="32"/>
      <c r="S1194" s="32"/>
      <c r="T1194" s="32"/>
      <c r="U1194" s="32"/>
      <c r="V1194" s="2"/>
      <c r="W1194" s="2"/>
      <c r="X1194" s="2"/>
      <c r="Y1194" s="2"/>
      <c r="Z1194" s="2"/>
    </row>
    <row r="1195" spans="1:26" ht="13.8" x14ac:dyDescent="0.3">
      <c r="A1195" s="2"/>
      <c r="B1195" s="2"/>
      <c r="C1195" s="10"/>
      <c r="D1195" s="10"/>
      <c r="E1195" s="10"/>
      <c r="F1195" s="10"/>
      <c r="G1195" s="69"/>
      <c r="H1195" s="69"/>
      <c r="I1195" s="69"/>
      <c r="J1195" s="70"/>
      <c r="K1195" s="69"/>
      <c r="L1195" s="69"/>
      <c r="M1195" s="69"/>
      <c r="N1195" s="69"/>
      <c r="O1195" s="69"/>
      <c r="P1195" s="2"/>
      <c r="Q1195" s="2"/>
      <c r="R1195" s="32"/>
      <c r="S1195" s="32"/>
      <c r="T1195" s="32"/>
      <c r="U1195" s="32"/>
      <c r="V1195" s="2"/>
      <c r="W1195" s="2"/>
      <c r="X1195" s="2"/>
      <c r="Y1195" s="2"/>
      <c r="Z1195" s="2"/>
    </row>
    <row r="1196" spans="1:26" ht="13.8" x14ac:dyDescent="0.3">
      <c r="A1196" s="2"/>
      <c r="B1196" s="2"/>
      <c r="C1196" s="10"/>
      <c r="D1196" s="10"/>
      <c r="E1196" s="10"/>
      <c r="F1196" s="10"/>
      <c r="G1196" s="69"/>
      <c r="H1196" s="69"/>
      <c r="I1196" s="69"/>
      <c r="J1196" s="70"/>
      <c r="K1196" s="69"/>
      <c r="L1196" s="69"/>
      <c r="M1196" s="69"/>
      <c r="N1196" s="69"/>
      <c r="O1196" s="69"/>
      <c r="P1196" s="2"/>
      <c r="Q1196" s="2"/>
      <c r="R1196" s="32"/>
      <c r="S1196" s="32"/>
      <c r="T1196" s="32"/>
      <c r="U1196" s="32"/>
      <c r="V1196" s="2"/>
      <c r="W1196" s="2"/>
      <c r="X1196" s="2"/>
      <c r="Y1196" s="2"/>
      <c r="Z1196" s="2"/>
    </row>
    <row r="1197" spans="1:26" ht="13.8" x14ac:dyDescent="0.3">
      <c r="A1197" s="2"/>
      <c r="B1197" s="2"/>
      <c r="C1197" s="10"/>
      <c r="D1197" s="10"/>
      <c r="E1197" s="10"/>
      <c r="F1197" s="10"/>
      <c r="G1197" s="69"/>
      <c r="H1197" s="69"/>
      <c r="I1197" s="69"/>
      <c r="J1197" s="70"/>
      <c r="K1197" s="69"/>
      <c r="L1197" s="69"/>
      <c r="M1197" s="69"/>
      <c r="N1197" s="69"/>
      <c r="O1197" s="69"/>
      <c r="P1197" s="2"/>
      <c r="Q1197" s="2"/>
      <c r="R1197" s="32"/>
      <c r="S1197" s="32"/>
      <c r="T1197" s="32"/>
      <c r="U1197" s="32"/>
      <c r="V1197" s="2"/>
      <c r="W1197" s="2"/>
      <c r="X1197" s="2"/>
      <c r="Y1197" s="2"/>
      <c r="Z1197" s="2"/>
    </row>
    <row r="1198" spans="1:26" ht="13.8" x14ac:dyDescent="0.3">
      <c r="A1198" s="2"/>
      <c r="B1198" s="2"/>
      <c r="C1198" s="10"/>
      <c r="D1198" s="10"/>
      <c r="E1198" s="10"/>
      <c r="F1198" s="10"/>
      <c r="G1198" s="69"/>
      <c r="H1198" s="69"/>
      <c r="I1198" s="69"/>
      <c r="J1198" s="70"/>
      <c r="K1198" s="69"/>
      <c r="L1198" s="69"/>
      <c r="M1198" s="69"/>
      <c r="N1198" s="69"/>
      <c r="O1198" s="69"/>
      <c r="P1198" s="2"/>
      <c r="Q1198" s="2"/>
      <c r="R1198" s="32"/>
      <c r="S1198" s="32"/>
      <c r="T1198" s="32"/>
      <c r="U1198" s="32"/>
      <c r="V1198" s="2"/>
      <c r="W1198" s="2"/>
      <c r="X1198" s="2"/>
      <c r="Y1198" s="2"/>
      <c r="Z1198" s="2"/>
    </row>
    <row r="1199" spans="1:26" ht="13.8" x14ac:dyDescent="0.3">
      <c r="A1199" s="2"/>
      <c r="B1199" s="2"/>
      <c r="C1199" s="10"/>
      <c r="D1199" s="10"/>
      <c r="E1199" s="10"/>
      <c r="F1199" s="10"/>
      <c r="G1199" s="69"/>
      <c r="H1199" s="69"/>
      <c r="I1199" s="69"/>
      <c r="J1199" s="70"/>
      <c r="K1199" s="69"/>
      <c r="L1199" s="69"/>
      <c r="M1199" s="69"/>
      <c r="N1199" s="69"/>
      <c r="O1199" s="69"/>
      <c r="P1199" s="2"/>
      <c r="Q1199" s="2"/>
      <c r="R1199" s="32"/>
      <c r="S1199" s="32"/>
      <c r="T1199" s="32"/>
      <c r="U1199" s="32"/>
      <c r="V1199" s="2"/>
      <c r="W1199" s="2"/>
      <c r="X1199" s="2"/>
      <c r="Y1199" s="2"/>
      <c r="Z1199" s="2"/>
    </row>
    <row r="1200" spans="1:26" ht="13.8" x14ac:dyDescent="0.3">
      <c r="A1200" s="2"/>
      <c r="B1200" s="2"/>
      <c r="C1200" s="10"/>
      <c r="D1200" s="10"/>
      <c r="E1200" s="10"/>
      <c r="F1200" s="10"/>
      <c r="G1200" s="69"/>
      <c r="H1200" s="69"/>
      <c r="I1200" s="69"/>
      <c r="J1200" s="70"/>
      <c r="K1200" s="69"/>
      <c r="L1200" s="69"/>
      <c r="M1200" s="69"/>
      <c r="N1200" s="69"/>
      <c r="O1200" s="69"/>
      <c r="P1200" s="2"/>
      <c r="Q1200" s="2"/>
      <c r="R1200" s="32"/>
      <c r="S1200" s="32"/>
      <c r="T1200" s="32"/>
      <c r="U1200" s="32"/>
      <c r="V1200" s="2"/>
      <c r="W1200" s="2"/>
      <c r="X1200" s="2"/>
      <c r="Y1200" s="2"/>
      <c r="Z1200" s="2"/>
    </row>
    <row r="1201" spans="1:26" ht="13.8" x14ac:dyDescent="0.3">
      <c r="A1201" s="2"/>
      <c r="B1201" s="2"/>
      <c r="C1201" s="10"/>
      <c r="D1201" s="10"/>
      <c r="E1201" s="10"/>
      <c r="F1201" s="10"/>
      <c r="G1201" s="69"/>
      <c r="H1201" s="69"/>
      <c r="I1201" s="69"/>
      <c r="J1201" s="70"/>
      <c r="K1201" s="69"/>
      <c r="L1201" s="69"/>
      <c r="M1201" s="69"/>
      <c r="N1201" s="69"/>
      <c r="O1201" s="69"/>
      <c r="P1201" s="2"/>
      <c r="Q1201" s="2"/>
      <c r="R1201" s="32"/>
      <c r="S1201" s="32"/>
      <c r="T1201" s="32"/>
      <c r="U1201" s="32"/>
      <c r="V1201" s="2"/>
      <c r="W1201" s="2"/>
      <c r="X1201" s="2"/>
      <c r="Y1201" s="2"/>
      <c r="Z1201" s="2"/>
    </row>
    <row r="1202" spans="1:26" ht="13.8" x14ac:dyDescent="0.3">
      <c r="A1202" s="2"/>
      <c r="B1202" s="2"/>
      <c r="C1202" s="10"/>
      <c r="D1202" s="10"/>
      <c r="E1202" s="10"/>
      <c r="F1202" s="10"/>
      <c r="G1202" s="69"/>
      <c r="H1202" s="69"/>
      <c r="I1202" s="69"/>
      <c r="J1202" s="70"/>
      <c r="K1202" s="69"/>
      <c r="L1202" s="69"/>
      <c r="M1202" s="69"/>
      <c r="N1202" s="69"/>
      <c r="O1202" s="69"/>
      <c r="P1202" s="2"/>
      <c r="Q1202" s="2"/>
      <c r="R1202" s="32"/>
      <c r="S1202" s="32"/>
      <c r="T1202" s="32"/>
      <c r="U1202" s="32"/>
      <c r="V1202" s="2"/>
      <c r="W1202" s="2"/>
      <c r="X1202" s="2"/>
      <c r="Y1202" s="2"/>
      <c r="Z1202" s="2"/>
    </row>
    <row r="1203" spans="1:26" ht="13.8" x14ac:dyDescent="0.3">
      <c r="A1203" s="2"/>
      <c r="B1203" s="2"/>
      <c r="C1203" s="10"/>
      <c r="D1203" s="10"/>
      <c r="E1203" s="10"/>
      <c r="F1203" s="10"/>
      <c r="G1203" s="69"/>
      <c r="H1203" s="69"/>
      <c r="I1203" s="69"/>
      <c r="J1203" s="70"/>
      <c r="K1203" s="69"/>
      <c r="L1203" s="69"/>
      <c r="M1203" s="69"/>
      <c r="N1203" s="69"/>
      <c r="O1203" s="69"/>
      <c r="P1203" s="2"/>
      <c r="Q1203" s="2"/>
      <c r="R1203" s="32"/>
      <c r="S1203" s="32"/>
      <c r="T1203" s="32"/>
      <c r="U1203" s="32"/>
      <c r="V1203" s="2"/>
      <c r="W1203" s="2"/>
      <c r="X1203" s="2"/>
      <c r="Y1203" s="2"/>
      <c r="Z1203" s="2"/>
    </row>
    <row r="1204" spans="1:26" ht="13.8" x14ac:dyDescent="0.3">
      <c r="A1204" s="2"/>
      <c r="B1204" s="2"/>
      <c r="C1204" s="10"/>
      <c r="D1204" s="10"/>
      <c r="E1204" s="10"/>
      <c r="F1204" s="10"/>
      <c r="G1204" s="69"/>
      <c r="H1204" s="69"/>
      <c r="I1204" s="69"/>
      <c r="J1204" s="70"/>
      <c r="K1204" s="69"/>
      <c r="L1204" s="69"/>
      <c r="M1204" s="69"/>
      <c r="N1204" s="69"/>
      <c r="O1204" s="69"/>
      <c r="P1204" s="2"/>
      <c r="Q1204" s="2"/>
      <c r="R1204" s="32"/>
      <c r="S1204" s="32"/>
      <c r="T1204" s="32"/>
      <c r="U1204" s="32"/>
      <c r="V1204" s="2"/>
      <c r="W1204" s="2"/>
      <c r="X1204" s="2"/>
      <c r="Y1204" s="2"/>
      <c r="Z1204" s="2"/>
    </row>
    <row r="1205" spans="1:26" ht="13.8" x14ac:dyDescent="0.3">
      <c r="A1205" s="2"/>
      <c r="B1205" s="2"/>
      <c r="C1205" s="10"/>
      <c r="D1205" s="10"/>
      <c r="E1205" s="10"/>
      <c r="F1205" s="10"/>
      <c r="G1205" s="69"/>
      <c r="H1205" s="69"/>
      <c r="I1205" s="69"/>
      <c r="J1205" s="70"/>
      <c r="K1205" s="69"/>
      <c r="L1205" s="69"/>
      <c r="M1205" s="69"/>
      <c r="N1205" s="69"/>
      <c r="O1205" s="69"/>
      <c r="P1205" s="2"/>
      <c r="Q1205" s="2"/>
      <c r="R1205" s="32"/>
      <c r="S1205" s="32"/>
      <c r="T1205" s="32"/>
      <c r="U1205" s="32"/>
      <c r="V1205" s="2"/>
      <c r="W1205" s="2"/>
      <c r="X1205" s="2"/>
      <c r="Y1205" s="2"/>
      <c r="Z1205" s="2"/>
    </row>
    <row r="1206" spans="1:26" ht="13.8" x14ac:dyDescent="0.3">
      <c r="A1206" s="2"/>
      <c r="B1206" s="2"/>
      <c r="C1206" s="10"/>
      <c r="D1206" s="10"/>
      <c r="E1206" s="10"/>
      <c r="F1206" s="10"/>
      <c r="G1206" s="69"/>
      <c r="H1206" s="69"/>
      <c r="I1206" s="69"/>
      <c r="J1206" s="70"/>
      <c r="K1206" s="69"/>
      <c r="L1206" s="69"/>
      <c r="M1206" s="69"/>
      <c r="N1206" s="69"/>
      <c r="O1206" s="69"/>
      <c r="P1206" s="2"/>
      <c r="Q1206" s="2"/>
      <c r="R1206" s="32"/>
      <c r="S1206" s="32"/>
      <c r="T1206" s="32"/>
      <c r="U1206" s="32"/>
      <c r="V1206" s="2"/>
      <c r="W1206" s="2"/>
      <c r="X1206" s="2"/>
      <c r="Y1206" s="2"/>
      <c r="Z1206" s="2"/>
    </row>
    <row r="1207" spans="1:26" ht="13.8" x14ac:dyDescent="0.3">
      <c r="A1207" s="2"/>
      <c r="B1207" s="2"/>
      <c r="C1207" s="10"/>
      <c r="D1207" s="10"/>
      <c r="E1207" s="10"/>
      <c r="F1207" s="10"/>
      <c r="G1207" s="69"/>
      <c r="H1207" s="69"/>
      <c r="I1207" s="69"/>
      <c r="J1207" s="70"/>
      <c r="K1207" s="69"/>
      <c r="L1207" s="69"/>
      <c r="M1207" s="69"/>
      <c r="N1207" s="69"/>
      <c r="O1207" s="69"/>
      <c r="P1207" s="2"/>
      <c r="Q1207" s="2"/>
      <c r="R1207" s="32"/>
      <c r="S1207" s="32"/>
      <c r="T1207" s="32"/>
      <c r="U1207" s="32"/>
      <c r="V1207" s="2"/>
      <c r="W1207" s="2"/>
      <c r="X1207" s="2"/>
      <c r="Y1207" s="2"/>
      <c r="Z1207" s="2"/>
    </row>
    <row r="1208" spans="1:26" ht="13.8" x14ac:dyDescent="0.3">
      <c r="A1208" s="2"/>
      <c r="B1208" s="2"/>
      <c r="C1208" s="10"/>
      <c r="D1208" s="10"/>
      <c r="E1208" s="10"/>
      <c r="F1208" s="10"/>
      <c r="G1208" s="69"/>
      <c r="H1208" s="69"/>
      <c r="I1208" s="69"/>
      <c r="J1208" s="70"/>
      <c r="K1208" s="69"/>
      <c r="L1208" s="69"/>
      <c r="M1208" s="69"/>
      <c r="N1208" s="69"/>
      <c r="O1208" s="69"/>
      <c r="P1208" s="2"/>
      <c r="Q1208" s="2"/>
      <c r="R1208" s="32"/>
      <c r="S1208" s="32"/>
      <c r="T1208" s="32"/>
      <c r="U1208" s="32"/>
      <c r="V1208" s="2"/>
      <c r="W1208" s="2"/>
      <c r="X1208" s="2"/>
      <c r="Y1208" s="2"/>
      <c r="Z1208" s="2"/>
    </row>
    <row r="1209" spans="1:26" ht="13.8" x14ac:dyDescent="0.3">
      <c r="A1209" s="2"/>
      <c r="B1209" s="2"/>
      <c r="C1209" s="10"/>
      <c r="D1209" s="10"/>
      <c r="E1209" s="10"/>
      <c r="F1209" s="10"/>
      <c r="G1209" s="69"/>
      <c r="H1209" s="69"/>
      <c r="I1209" s="69"/>
      <c r="J1209" s="70"/>
      <c r="K1209" s="69"/>
      <c r="L1209" s="69"/>
      <c r="M1209" s="69"/>
      <c r="N1209" s="69"/>
      <c r="O1209" s="69"/>
      <c r="P1209" s="2"/>
      <c r="Q1209" s="2"/>
      <c r="R1209" s="32"/>
      <c r="S1209" s="32"/>
      <c r="T1209" s="32"/>
      <c r="U1209" s="32"/>
      <c r="V1209" s="2"/>
      <c r="W1209" s="2"/>
      <c r="X1209" s="2"/>
      <c r="Y1209" s="2"/>
      <c r="Z1209" s="2"/>
    </row>
    <row r="1210" spans="1:26" ht="13.8" x14ac:dyDescent="0.3">
      <c r="A1210" s="2"/>
      <c r="B1210" s="2"/>
      <c r="C1210" s="10"/>
      <c r="D1210" s="10"/>
      <c r="E1210" s="10"/>
      <c r="F1210" s="10"/>
      <c r="G1210" s="69"/>
      <c r="H1210" s="69"/>
      <c r="I1210" s="69"/>
      <c r="J1210" s="70"/>
      <c r="K1210" s="69"/>
      <c r="L1210" s="69"/>
      <c r="M1210" s="69"/>
      <c r="N1210" s="69"/>
      <c r="O1210" s="69"/>
      <c r="P1210" s="2"/>
      <c r="Q1210" s="2"/>
      <c r="R1210" s="32"/>
      <c r="S1210" s="32"/>
      <c r="T1210" s="32"/>
      <c r="U1210" s="32"/>
      <c r="V1210" s="2"/>
      <c r="W1210" s="2"/>
      <c r="X1210" s="2"/>
      <c r="Y1210" s="2"/>
      <c r="Z1210" s="2"/>
    </row>
    <row r="1211" spans="1:26" ht="13.8" x14ac:dyDescent="0.3">
      <c r="A1211" s="2"/>
      <c r="B1211" s="2"/>
      <c r="C1211" s="10"/>
      <c r="D1211" s="10"/>
      <c r="E1211" s="10"/>
      <c r="F1211" s="10"/>
      <c r="G1211" s="69"/>
      <c r="H1211" s="69"/>
      <c r="I1211" s="69"/>
      <c r="J1211" s="70"/>
      <c r="K1211" s="69"/>
      <c r="L1211" s="69"/>
      <c r="M1211" s="69"/>
      <c r="N1211" s="69"/>
      <c r="O1211" s="69"/>
      <c r="P1211" s="2"/>
      <c r="Q1211" s="2"/>
      <c r="R1211" s="32"/>
      <c r="S1211" s="32"/>
      <c r="T1211" s="32"/>
      <c r="U1211" s="32"/>
      <c r="V1211" s="2"/>
      <c r="W1211" s="2"/>
      <c r="X1211" s="2"/>
      <c r="Y1211" s="2"/>
      <c r="Z1211" s="2"/>
    </row>
    <row r="1212" spans="1:26" ht="13.8" x14ac:dyDescent="0.3">
      <c r="A1212" s="2"/>
      <c r="B1212" s="2"/>
      <c r="C1212" s="10"/>
      <c r="D1212" s="10"/>
      <c r="E1212" s="10"/>
      <c r="F1212" s="10"/>
      <c r="G1212" s="69"/>
      <c r="H1212" s="69"/>
      <c r="I1212" s="69"/>
      <c r="J1212" s="70"/>
      <c r="K1212" s="69"/>
      <c r="L1212" s="69"/>
      <c r="M1212" s="69"/>
      <c r="N1212" s="69"/>
      <c r="O1212" s="69"/>
      <c r="P1212" s="2"/>
      <c r="Q1212" s="2"/>
      <c r="R1212" s="32"/>
      <c r="S1212" s="32"/>
      <c r="T1212" s="32"/>
      <c r="U1212" s="32"/>
      <c r="V1212" s="2"/>
      <c r="W1212" s="2"/>
      <c r="X1212" s="2"/>
      <c r="Y1212" s="2"/>
      <c r="Z1212" s="2"/>
    </row>
    <row r="1213" spans="1:26" ht="13.8" x14ac:dyDescent="0.3">
      <c r="A1213" s="2"/>
      <c r="B1213" s="2"/>
      <c r="C1213" s="10"/>
      <c r="D1213" s="10"/>
      <c r="E1213" s="10"/>
      <c r="F1213" s="10"/>
      <c r="G1213" s="69"/>
      <c r="H1213" s="69"/>
      <c r="I1213" s="69"/>
      <c r="J1213" s="70"/>
      <c r="K1213" s="69"/>
      <c r="L1213" s="69"/>
      <c r="M1213" s="69"/>
      <c r="N1213" s="69"/>
      <c r="O1213" s="69"/>
      <c r="P1213" s="2"/>
      <c r="Q1213" s="2"/>
      <c r="R1213" s="32"/>
      <c r="S1213" s="32"/>
      <c r="T1213" s="32"/>
      <c r="U1213" s="32"/>
      <c r="V1213" s="2"/>
      <c r="W1213" s="2"/>
      <c r="X1213" s="2"/>
      <c r="Y1213" s="2"/>
      <c r="Z1213" s="2"/>
    </row>
    <row r="1214" spans="1:26" ht="13.8" x14ac:dyDescent="0.3">
      <c r="A1214" s="2"/>
      <c r="B1214" s="2"/>
      <c r="C1214" s="10"/>
      <c r="D1214" s="10"/>
      <c r="E1214" s="10"/>
      <c r="F1214" s="10"/>
      <c r="G1214" s="69"/>
      <c r="H1214" s="69"/>
      <c r="I1214" s="69"/>
      <c r="J1214" s="70"/>
      <c r="K1214" s="69"/>
      <c r="L1214" s="69"/>
      <c r="M1214" s="69"/>
      <c r="N1214" s="69"/>
      <c r="O1214" s="69"/>
      <c r="P1214" s="2"/>
      <c r="Q1214" s="2"/>
      <c r="R1214" s="32"/>
      <c r="S1214" s="32"/>
      <c r="T1214" s="32"/>
      <c r="U1214" s="32"/>
      <c r="V1214" s="2"/>
      <c r="W1214" s="2"/>
      <c r="X1214" s="2"/>
      <c r="Y1214" s="2"/>
      <c r="Z1214" s="2"/>
    </row>
    <row r="1215" spans="1:26" ht="13.8" x14ac:dyDescent="0.3">
      <c r="A1215" s="2"/>
      <c r="B1215" s="2"/>
      <c r="C1215" s="10"/>
      <c r="D1215" s="10"/>
      <c r="E1215" s="10"/>
      <c r="F1215" s="10"/>
      <c r="G1215" s="69"/>
      <c r="H1215" s="69"/>
      <c r="I1215" s="69"/>
      <c r="J1215" s="70"/>
      <c r="K1215" s="69"/>
      <c r="L1215" s="69"/>
      <c r="M1215" s="69"/>
      <c r="N1215" s="69"/>
      <c r="O1215" s="69"/>
      <c r="P1215" s="2"/>
      <c r="Q1215" s="2"/>
      <c r="R1215" s="32"/>
      <c r="S1215" s="32"/>
      <c r="T1215" s="32"/>
      <c r="U1215" s="32"/>
      <c r="V1215" s="2"/>
      <c r="W1215" s="2"/>
      <c r="X1215" s="2"/>
      <c r="Y1215" s="2"/>
      <c r="Z1215" s="2"/>
    </row>
    <row r="1216" spans="1:26" ht="13.8" x14ac:dyDescent="0.3">
      <c r="A1216" s="2"/>
      <c r="B1216" s="2"/>
      <c r="C1216" s="10"/>
      <c r="D1216" s="10"/>
      <c r="E1216" s="10"/>
      <c r="F1216" s="10"/>
      <c r="G1216" s="69"/>
      <c r="H1216" s="69"/>
      <c r="I1216" s="69"/>
      <c r="J1216" s="70"/>
      <c r="K1216" s="69"/>
      <c r="L1216" s="69"/>
      <c r="M1216" s="69"/>
      <c r="N1216" s="69"/>
      <c r="O1216" s="69"/>
      <c r="P1216" s="2"/>
      <c r="Q1216" s="2"/>
      <c r="R1216" s="32"/>
      <c r="S1216" s="32"/>
      <c r="T1216" s="32"/>
      <c r="U1216" s="32"/>
      <c r="V1216" s="2"/>
      <c r="W1216" s="2"/>
      <c r="X1216" s="2"/>
      <c r="Y1216" s="2"/>
      <c r="Z1216" s="2"/>
    </row>
    <row r="1217" spans="1:26" ht="13.8" x14ac:dyDescent="0.3">
      <c r="A1217" s="2"/>
      <c r="B1217" s="2"/>
      <c r="C1217" s="10"/>
      <c r="D1217" s="10"/>
      <c r="E1217" s="10"/>
      <c r="F1217" s="10"/>
      <c r="G1217" s="69"/>
      <c r="H1217" s="69"/>
      <c r="I1217" s="69"/>
      <c r="J1217" s="70"/>
      <c r="K1217" s="69"/>
      <c r="L1217" s="69"/>
      <c r="M1217" s="69"/>
      <c r="N1217" s="69"/>
      <c r="O1217" s="69"/>
      <c r="P1217" s="2"/>
      <c r="Q1217" s="2"/>
      <c r="R1217" s="32"/>
      <c r="S1217" s="32"/>
      <c r="T1217" s="32"/>
      <c r="U1217" s="32"/>
      <c r="V1217" s="2"/>
      <c r="W1217" s="2"/>
      <c r="X1217" s="2"/>
      <c r="Y1217" s="2"/>
      <c r="Z1217" s="2"/>
    </row>
    <row r="1218" spans="1:26" ht="13.8" x14ac:dyDescent="0.3">
      <c r="A1218" s="2"/>
      <c r="B1218" s="2"/>
      <c r="C1218" s="10"/>
      <c r="D1218" s="10"/>
      <c r="E1218" s="10"/>
      <c r="F1218" s="10"/>
      <c r="G1218" s="69"/>
      <c r="H1218" s="69"/>
      <c r="I1218" s="69"/>
      <c r="J1218" s="70"/>
      <c r="K1218" s="69"/>
      <c r="L1218" s="69"/>
      <c r="M1218" s="69"/>
      <c r="N1218" s="69"/>
      <c r="O1218" s="69"/>
      <c r="P1218" s="2"/>
      <c r="Q1218" s="2"/>
      <c r="R1218" s="32"/>
      <c r="S1218" s="32"/>
      <c r="T1218" s="32"/>
      <c r="U1218" s="32"/>
      <c r="V1218" s="2"/>
      <c r="W1218" s="2"/>
      <c r="X1218" s="2"/>
      <c r="Y1218" s="2"/>
      <c r="Z1218" s="2"/>
    </row>
    <row r="1219" spans="1:26" ht="13.8" x14ac:dyDescent="0.3">
      <c r="A1219" s="2"/>
      <c r="B1219" s="2"/>
      <c r="C1219" s="10"/>
      <c r="D1219" s="10"/>
      <c r="E1219" s="10"/>
      <c r="F1219" s="10"/>
      <c r="G1219" s="69"/>
      <c r="H1219" s="69"/>
      <c r="I1219" s="69"/>
      <c r="J1219" s="70"/>
      <c r="K1219" s="69"/>
      <c r="L1219" s="69"/>
      <c r="M1219" s="69"/>
      <c r="N1219" s="69"/>
      <c r="O1219" s="69"/>
      <c r="P1219" s="2"/>
      <c r="Q1219" s="2"/>
      <c r="R1219" s="32"/>
      <c r="S1219" s="32"/>
      <c r="T1219" s="32"/>
      <c r="U1219" s="32"/>
      <c r="V1219" s="2"/>
      <c r="W1219" s="2"/>
      <c r="X1219" s="2"/>
      <c r="Y1219" s="2"/>
      <c r="Z1219" s="2"/>
    </row>
    <row r="1220" spans="1:26" ht="13.8" x14ac:dyDescent="0.3">
      <c r="A1220" s="2"/>
      <c r="B1220" s="2"/>
      <c r="C1220" s="10"/>
      <c r="D1220" s="10"/>
      <c r="E1220" s="10"/>
      <c r="F1220" s="10"/>
      <c r="G1220" s="69"/>
      <c r="H1220" s="69"/>
      <c r="I1220" s="69"/>
      <c r="J1220" s="70"/>
      <c r="K1220" s="69"/>
      <c r="L1220" s="69"/>
      <c r="M1220" s="69"/>
      <c r="N1220" s="69"/>
      <c r="O1220" s="69"/>
      <c r="P1220" s="2"/>
      <c r="Q1220" s="2"/>
      <c r="R1220" s="32"/>
      <c r="S1220" s="32"/>
      <c r="T1220" s="32"/>
      <c r="U1220" s="32"/>
      <c r="V1220" s="2"/>
      <c r="W1220" s="2"/>
      <c r="X1220" s="2"/>
      <c r="Y1220" s="2"/>
      <c r="Z1220" s="2"/>
    </row>
    <row r="1221" spans="1:26" ht="13.8" x14ac:dyDescent="0.3">
      <c r="A1221" s="2"/>
      <c r="B1221" s="2"/>
      <c r="C1221" s="10"/>
      <c r="D1221" s="10"/>
      <c r="E1221" s="10"/>
      <c r="F1221" s="10"/>
      <c r="G1221" s="69"/>
      <c r="H1221" s="69"/>
      <c r="I1221" s="69"/>
      <c r="J1221" s="70"/>
      <c r="K1221" s="69"/>
      <c r="L1221" s="69"/>
      <c r="M1221" s="69"/>
      <c r="N1221" s="69"/>
      <c r="O1221" s="69"/>
      <c r="P1221" s="2"/>
      <c r="Q1221" s="2"/>
      <c r="R1221" s="32"/>
      <c r="S1221" s="32"/>
      <c r="T1221" s="32"/>
      <c r="U1221" s="32"/>
      <c r="V1221" s="2"/>
      <c r="W1221" s="2"/>
      <c r="X1221" s="2"/>
      <c r="Y1221" s="2"/>
      <c r="Z1221" s="2"/>
    </row>
    <row r="1222" spans="1:26" ht="13.8" x14ac:dyDescent="0.3">
      <c r="A1222" s="2"/>
      <c r="B1222" s="2"/>
      <c r="C1222" s="10"/>
      <c r="D1222" s="10"/>
      <c r="E1222" s="10"/>
      <c r="F1222" s="10"/>
      <c r="G1222" s="69"/>
      <c r="H1222" s="69"/>
      <c r="I1222" s="69"/>
      <c r="J1222" s="70"/>
      <c r="K1222" s="69"/>
      <c r="L1222" s="69"/>
      <c r="M1222" s="69"/>
      <c r="N1222" s="69"/>
      <c r="O1222" s="69"/>
      <c r="P1222" s="2"/>
      <c r="Q1222" s="2"/>
      <c r="R1222" s="32"/>
      <c r="S1222" s="32"/>
      <c r="T1222" s="32"/>
      <c r="U1222" s="32"/>
      <c r="V1222" s="2"/>
      <c r="W1222" s="2"/>
      <c r="X1222" s="2"/>
      <c r="Y1222" s="2"/>
      <c r="Z1222" s="2"/>
    </row>
    <row r="1223" spans="1:26" ht="13.8" x14ac:dyDescent="0.3">
      <c r="A1223" s="2"/>
      <c r="B1223" s="2"/>
      <c r="C1223" s="10"/>
      <c r="D1223" s="10"/>
      <c r="E1223" s="10"/>
      <c r="F1223" s="10"/>
      <c r="G1223" s="69"/>
      <c r="H1223" s="69"/>
      <c r="I1223" s="69"/>
      <c r="J1223" s="70"/>
      <c r="K1223" s="69"/>
      <c r="L1223" s="69"/>
      <c r="M1223" s="69"/>
      <c r="N1223" s="69"/>
      <c r="O1223" s="69"/>
      <c r="P1223" s="2"/>
      <c r="Q1223" s="2"/>
      <c r="R1223" s="32"/>
      <c r="S1223" s="32"/>
      <c r="T1223" s="32"/>
      <c r="U1223" s="32"/>
      <c r="V1223" s="2"/>
      <c r="W1223" s="2"/>
      <c r="X1223" s="2"/>
      <c r="Y1223" s="2"/>
      <c r="Z1223" s="2"/>
    </row>
    <row r="1224" spans="1:26" ht="13.8" x14ac:dyDescent="0.3">
      <c r="A1224" s="2"/>
      <c r="B1224" s="2"/>
      <c r="C1224" s="10"/>
      <c r="D1224" s="10"/>
      <c r="E1224" s="10"/>
      <c r="F1224" s="10"/>
      <c r="G1224" s="69"/>
      <c r="H1224" s="69"/>
      <c r="I1224" s="69"/>
      <c r="J1224" s="70"/>
      <c r="K1224" s="69"/>
      <c r="L1224" s="69"/>
      <c r="M1224" s="69"/>
      <c r="N1224" s="69"/>
      <c r="O1224" s="69"/>
      <c r="P1224" s="2"/>
      <c r="Q1224" s="2"/>
      <c r="R1224" s="32"/>
      <c r="S1224" s="32"/>
      <c r="T1224" s="32"/>
      <c r="U1224" s="32"/>
      <c r="V1224" s="2"/>
      <c r="W1224" s="2"/>
      <c r="X1224" s="2"/>
      <c r="Y1224" s="2"/>
      <c r="Z1224" s="2"/>
    </row>
    <row r="1225" spans="1:26" ht="13.8" x14ac:dyDescent="0.3">
      <c r="A1225" s="2"/>
      <c r="B1225" s="2"/>
      <c r="C1225" s="10"/>
      <c r="D1225" s="10"/>
      <c r="E1225" s="10"/>
      <c r="F1225" s="10"/>
      <c r="G1225" s="69"/>
      <c r="H1225" s="69"/>
      <c r="I1225" s="69"/>
      <c r="J1225" s="70"/>
      <c r="K1225" s="69"/>
      <c r="L1225" s="69"/>
      <c r="M1225" s="69"/>
      <c r="N1225" s="69"/>
      <c r="O1225" s="69"/>
      <c r="P1225" s="2"/>
      <c r="Q1225" s="2"/>
      <c r="R1225" s="32"/>
      <c r="S1225" s="32"/>
      <c r="T1225" s="32"/>
      <c r="U1225" s="32"/>
      <c r="V1225" s="2"/>
      <c r="W1225" s="2"/>
      <c r="X1225" s="2"/>
      <c r="Y1225" s="2"/>
      <c r="Z1225" s="2"/>
    </row>
    <row r="1226" spans="1:26" ht="13.8" x14ac:dyDescent="0.3">
      <c r="A1226" s="2"/>
      <c r="B1226" s="2"/>
      <c r="C1226" s="10"/>
      <c r="D1226" s="10"/>
      <c r="E1226" s="10"/>
      <c r="F1226" s="10"/>
      <c r="G1226" s="69"/>
      <c r="H1226" s="69"/>
      <c r="I1226" s="69"/>
      <c r="J1226" s="70"/>
      <c r="K1226" s="69"/>
      <c r="L1226" s="69"/>
      <c r="M1226" s="69"/>
      <c r="N1226" s="69"/>
      <c r="O1226" s="69"/>
      <c r="P1226" s="2"/>
      <c r="Q1226" s="2"/>
      <c r="R1226" s="32"/>
      <c r="S1226" s="32"/>
      <c r="T1226" s="32"/>
      <c r="U1226" s="32"/>
      <c r="V1226" s="2"/>
      <c r="W1226" s="2"/>
      <c r="X1226" s="2"/>
      <c r="Y1226" s="2"/>
      <c r="Z1226" s="2"/>
    </row>
    <row r="1227" spans="1:26" ht="13.8" x14ac:dyDescent="0.3">
      <c r="A1227" s="2"/>
      <c r="B1227" s="2"/>
      <c r="C1227" s="10"/>
      <c r="D1227" s="10"/>
      <c r="E1227" s="10"/>
      <c r="F1227" s="10"/>
      <c r="G1227" s="69"/>
      <c r="H1227" s="69"/>
      <c r="I1227" s="69"/>
      <c r="J1227" s="70"/>
      <c r="K1227" s="69"/>
      <c r="L1227" s="69"/>
      <c r="M1227" s="69"/>
      <c r="N1227" s="69"/>
      <c r="O1227" s="69"/>
      <c r="P1227" s="2"/>
      <c r="Q1227" s="2"/>
      <c r="R1227" s="32"/>
      <c r="S1227" s="32"/>
      <c r="T1227" s="32"/>
      <c r="U1227" s="32"/>
      <c r="V1227" s="2"/>
      <c r="W1227" s="2"/>
      <c r="X1227" s="2"/>
      <c r="Y1227" s="2"/>
      <c r="Z1227" s="2"/>
    </row>
    <row r="1228" spans="1:26" ht="13.8" x14ac:dyDescent="0.3">
      <c r="A1228" s="2"/>
      <c r="B1228" s="2"/>
      <c r="C1228" s="10"/>
      <c r="D1228" s="10"/>
      <c r="E1228" s="10"/>
      <c r="F1228" s="10"/>
      <c r="G1228" s="69"/>
      <c r="H1228" s="69"/>
      <c r="I1228" s="69"/>
      <c r="J1228" s="70"/>
      <c r="K1228" s="69"/>
      <c r="L1228" s="69"/>
      <c r="M1228" s="69"/>
      <c r="N1228" s="69"/>
      <c r="O1228" s="69"/>
      <c r="P1228" s="2"/>
      <c r="Q1228" s="2"/>
      <c r="R1228" s="32"/>
      <c r="S1228" s="32"/>
      <c r="T1228" s="32"/>
      <c r="U1228" s="32"/>
      <c r="V1228" s="2"/>
      <c r="W1228" s="2"/>
      <c r="X1228" s="2"/>
      <c r="Y1228" s="2"/>
      <c r="Z1228" s="2"/>
    </row>
    <row r="1229" spans="1:26" ht="13.8" x14ac:dyDescent="0.3">
      <c r="A1229" s="2"/>
      <c r="B1229" s="2"/>
      <c r="C1229" s="10"/>
      <c r="D1229" s="10"/>
      <c r="E1229" s="10"/>
      <c r="F1229" s="10"/>
      <c r="G1229" s="69"/>
      <c r="H1229" s="69"/>
      <c r="I1229" s="69"/>
      <c r="J1229" s="70"/>
      <c r="K1229" s="69"/>
      <c r="L1229" s="69"/>
      <c r="M1229" s="69"/>
      <c r="N1229" s="69"/>
      <c r="O1229" s="69"/>
      <c r="P1229" s="2"/>
      <c r="Q1229" s="2"/>
      <c r="R1229" s="32"/>
      <c r="S1229" s="32"/>
      <c r="T1229" s="32"/>
      <c r="U1229" s="32"/>
      <c r="V1229" s="2"/>
      <c r="W1229" s="2"/>
      <c r="X1229" s="2"/>
      <c r="Y1229" s="2"/>
      <c r="Z1229" s="2"/>
    </row>
    <row r="1230" spans="1:26" ht="13.8" x14ac:dyDescent="0.3">
      <c r="A1230" s="2"/>
      <c r="B1230" s="2"/>
      <c r="C1230" s="10"/>
      <c r="D1230" s="10"/>
      <c r="E1230" s="10"/>
      <c r="F1230" s="10"/>
      <c r="G1230" s="69"/>
      <c r="H1230" s="69"/>
      <c r="I1230" s="69"/>
      <c r="J1230" s="70"/>
      <c r="K1230" s="69"/>
      <c r="L1230" s="69"/>
      <c r="M1230" s="69"/>
      <c r="N1230" s="69"/>
      <c r="O1230" s="69"/>
      <c r="P1230" s="2"/>
      <c r="Q1230" s="2"/>
      <c r="R1230" s="32"/>
      <c r="S1230" s="32"/>
      <c r="T1230" s="32"/>
      <c r="U1230" s="32"/>
      <c r="V1230" s="2"/>
      <c r="W1230" s="2"/>
      <c r="X1230" s="2"/>
      <c r="Y1230" s="2"/>
      <c r="Z1230" s="2"/>
    </row>
    <row r="1231" spans="1:26" ht="13.8" x14ac:dyDescent="0.3">
      <c r="A1231" s="2"/>
      <c r="B1231" s="2"/>
      <c r="C1231" s="10"/>
      <c r="D1231" s="10"/>
      <c r="E1231" s="10"/>
      <c r="F1231" s="10"/>
      <c r="G1231" s="69"/>
      <c r="H1231" s="69"/>
      <c r="I1231" s="69"/>
      <c r="J1231" s="70"/>
      <c r="K1231" s="69"/>
      <c r="L1231" s="69"/>
      <c r="M1231" s="69"/>
      <c r="N1231" s="69"/>
      <c r="O1231" s="69"/>
      <c r="P1231" s="2"/>
      <c r="Q1231" s="2"/>
      <c r="R1231" s="32"/>
      <c r="S1231" s="32"/>
      <c r="T1231" s="32"/>
      <c r="U1231" s="32"/>
      <c r="V1231" s="2"/>
      <c r="W1231" s="2"/>
      <c r="X1231" s="2"/>
      <c r="Y1231" s="2"/>
      <c r="Z1231" s="2"/>
    </row>
    <row r="1232" spans="1:26" ht="13.8" x14ac:dyDescent="0.3">
      <c r="A1232" s="2"/>
      <c r="B1232" s="2"/>
      <c r="C1232" s="10"/>
      <c r="D1232" s="10"/>
      <c r="E1232" s="10"/>
      <c r="F1232" s="10"/>
      <c r="G1232" s="69"/>
      <c r="H1232" s="69"/>
      <c r="I1232" s="69"/>
      <c r="J1232" s="70"/>
      <c r="K1232" s="69"/>
      <c r="L1232" s="69"/>
      <c r="M1232" s="69"/>
      <c r="N1232" s="69"/>
      <c r="O1232" s="69"/>
      <c r="P1232" s="2"/>
      <c r="Q1232" s="2"/>
      <c r="R1232" s="32"/>
      <c r="S1232" s="32"/>
      <c r="T1232" s="32"/>
      <c r="U1232" s="32"/>
      <c r="V1232" s="2"/>
      <c r="W1232" s="2"/>
      <c r="X1232" s="2"/>
      <c r="Y1232" s="2"/>
      <c r="Z1232" s="2"/>
    </row>
    <row r="1233" spans="1:26" ht="13.8" x14ac:dyDescent="0.3">
      <c r="A1233" s="2"/>
      <c r="B1233" s="2"/>
      <c r="C1233" s="10"/>
      <c r="D1233" s="10"/>
      <c r="E1233" s="10"/>
      <c r="F1233" s="10"/>
      <c r="G1233" s="69"/>
      <c r="H1233" s="69"/>
      <c r="I1233" s="69"/>
      <c r="J1233" s="70"/>
      <c r="K1233" s="69"/>
      <c r="L1233" s="69"/>
      <c r="M1233" s="69"/>
      <c r="N1233" s="69"/>
      <c r="O1233" s="69"/>
      <c r="P1233" s="2"/>
      <c r="Q1233" s="2"/>
      <c r="R1233" s="32"/>
      <c r="S1233" s="32"/>
      <c r="T1233" s="32"/>
      <c r="U1233" s="32"/>
      <c r="V1233" s="2"/>
      <c r="W1233" s="2"/>
      <c r="X1233" s="2"/>
      <c r="Y1233" s="2"/>
      <c r="Z1233" s="2"/>
    </row>
    <row r="1234" spans="1:26" ht="13.8" x14ac:dyDescent="0.3">
      <c r="A1234" s="2"/>
      <c r="B1234" s="2"/>
      <c r="C1234" s="10"/>
      <c r="D1234" s="10"/>
      <c r="E1234" s="10"/>
      <c r="F1234" s="10"/>
      <c r="G1234" s="69"/>
      <c r="H1234" s="69"/>
      <c r="I1234" s="69"/>
      <c r="J1234" s="70"/>
      <c r="K1234" s="69"/>
      <c r="L1234" s="69"/>
      <c r="M1234" s="69"/>
      <c r="N1234" s="69"/>
      <c r="O1234" s="69"/>
      <c r="P1234" s="2"/>
      <c r="Q1234" s="2"/>
      <c r="R1234" s="32"/>
      <c r="S1234" s="32"/>
      <c r="T1234" s="32"/>
      <c r="U1234" s="32"/>
      <c r="V1234" s="2"/>
      <c r="W1234" s="2"/>
      <c r="X1234" s="2"/>
      <c r="Y1234" s="2"/>
      <c r="Z1234" s="2"/>
    </row>
    <row r="1235" spans="1:26" ht="13.8" x14ac:dyDescent="0.3">
      <c r="A1235" s="2"/>
      <c r="B1235" s="2"/>
      <c r="C1235" s="10"/>
      <c r="D1235" s="10"/>
      <c r="E1235" s="10"/>
      <c r="F1235" s="10"/>
      <c r="G1235" s="69"/>
      <c r="H1235" s="69"/>
      <c r="I1235" s="69"/>
      <c r="J1235" s="70"/>
      <c r="K1235" s="69"/>
      <c r="L1235" s="69"/>
      <c r="M1235" s="69"/>
      <c r="N1235" s="69"/>
      <c r="O1235" s="69"/>
      <c r="P1235" s="2"/>
      <c r="Q1235" s="2"/>
      <c r="R1235" s="32"/>
      <c r="S1235" s="32"/>
      <c r="T1235" s="32"/>
      <c r="U1235" s="32"/>
      <c r="V1235" s="2"/>
      <c r="W1235" s="2"/>
      <c r="X1235" s="2"/>
      <c r="Y1235" s="2"/>
      <c r="Z1235" s="2"/>
    </row>
    <row r="1236" spans="1:26" ht="13.8" x14ac:dyDescent="0.3">
      <c r="A1236" s="2"/>
      <c r="B1236" s="2"/>
      <c r="C1236" s="10"/>
      <c r="D1236" s="10"/>
      <c r="E1236" s="10"/>
      <c r="F1236" s="10"/>
      <c r="G1236" s="69"/>
      <c r="H1236" s="69"/>
      <c r="I1236" s="69"/>
      <c r="J1236" s="70"/>
      <c r="K1236" s="69"/>
      <c r="L1236" s="69"/>
      <c r="M1236" s="69"/>
      <c r="N1236" s="69"/>
      <c r="O1236" s="69"/>
      <c r="P1236" s="2"/>
      <c r="Q1236" s="2"/>
      <c r="R1236" s="32"/>
      <c r="S1236" s="32"/>
      <c r="T1236" s="32"/>
      <c r="U1236" s="32"/>
      <c r="V1236" s="2"/>
      <c r="W1236" s="2"/>
      <c r="X1236" s="2"/>
      <c r="Y1236" s="2"/>
      <c r="Z1236" s="2"/>
    </row>
    <row r="1237" spans="1:26" ht="13.8" x14ac:dyDescent="0.3">
      <c r="A1237" s="2"/>
      <c r="B1237" s="2"/>
      <c r="C1237" s="10"/>
      <c r="D1237" s="10"/>
      <c r="E1237" s="10"/>
      <c r="F1237" s="10"/>
      <c r="G1237" s="69"/>
      <c r="H1237" s="69"/>
      <c r="I1237" s="69"/>
      <c r="J1237" s="70"/>
      <c r="K1237" s="69"/>
      <c r="L1237" s="69"/>
      <c r="M1237" s="69"/>
      <c r="N1237" s="69"/>
      <c r="O1237" s="69"/>
      <c r="P1237" s="2"/>
      <c r="Q1237" s="2"/>
      <c r="R1237" s="32"/>
      <c r="S1237" s="32"/>
      <c r="T1237" s="32"/>
      <c r="U1237" s="32"/>
      <c r="V1237" s="2"/>
      <c r="W1237" s="2"/>
      <c r="X1237" s="2"/>
      <c r="Y1237" s="2"/>
      <c r="Z1237" s="2"/>
    </row>
    <row r="1238" spans="1:26" ht="13.8" x14ac:dyDescent="0.3">
      <c r="A1238" s="2"/>
      <c r="B1238" s="2"/>
      <c r="C1238" s="10"/>
      <c r="D1238" s="10"/>
      <c r="E1238" s="10"/>
      <c r="F1238" s="10"/>
      <c r="G1238" s="69"/>
      <c r="H1238" s="69"/>
      <c r="I1238" s="69"/>
      <c r="J1238" s="70"/>
      <c r="K1238" s="69"/>
      <c r="L1238" s="69"/>
      <c r="M1238" s="69"/>
      <c r="N1238" s="69"/>
      <c r="O1238" s="69"/>
      <c r="P1238" s="2"/>
      <c r="Q1238" s="2"/>
      <c r="R1238" s="32"/>
      <c r="S1238" s="32"/>
      <c r="T1238" s="32"/>
      <c r="U1238" s="32"/>
      <c r="V1238" s="2"/>
      <c r="W1238" s="2"/>
      <c r="X1238" s="2"/>
      <c r="Y1238" s="2"/>
      <c r="Z1238" s="2"/>
    </row>
    <row r="1239" spans="1:26" ht="13.8" x14ac:dyDescent="0.3">
      <c r="A1239" s="2"/>
      <c r="B1239" s="2"/>
      <c r="C1239" s="10"/>
      <c r="D1239" s="10"/>
      <c r="E1239" s="10"/>
      <c r="F1239" s="10"/>
      <c r="G1239" s="69"/>
      <c r="H1239" s="69"/>
      <c r="I1239" s="69"/>
      <c r="J1239" s="70"/>
      <c r="K1239" s="69"/>
      <c r="L1239" s="69"/>
      <c r="M1239" s="69"/>
      <c r="N1239" s="69"/>
      <c r="O1239" s="69"/>
      <c r="P1239" s="2"/>
      <c r="Q1239" s="2"/>
      <c r="R1239" s="32"/>
      <c r="S1239" s="32"/>
      <c r="T1239" s="32"/>
      <c r="U1239" s="32"/>
      <c r="V1239" s="2"/>
      <c r="W1239" s="2"/>
      <c r="X1239" s="2"/>
      <c r="Y1239" s="2"/>
      <c r="Z1239" s="2"/>
    </row>
    <row r="1240" spans="1:26" ht="13.8" x14ac:dyDescent="0.3">
      <c r="A1240" s="2"/>
      <c r="B1240" s="2"/>
      <c r="C1240" s="10"/>
      <c r="D1240" s="10"/>
      <c r="E1240" s="10"/>
      <c r="F1240" s="10"/>
      <c r="G1240" s="69"/>
      <c r="H1240" s="69"/>
      <c r="I1240" s="69"/>
      <c r="J1240" s="70"/>
      <c r="K1240" s="69"/>
      <c r="L1240" s="69"/>
      <c r="M1240" s="69"/>
      <c r="N1240" s="69"/>
      <c r="O1240" s="69"/>
      <c r="P1240" s="2"/>
      <c r="Q1240" s="2"/>
      <c r="R1240" s="32"/>
      <c r="S1240" s="32"/>
      <c r="T1240" s="32"/>
      <c r="U1240" s="32"/>
      <c r="V1240" s="2"/>
      <c r="W1240" s="2"/>
      <c r="X1240" s="2"/>
      <c r="Y1240" s="2"/>
      <c r="Z1240" s="2"/>
    </row>
    <row r="1241" spans="1:26" ht="13.8" x14ac:dyDescent="0.3">
      <c r="A1241" s="2"/>
      <c r="B1241" s="2"/>
      <c r="C1241" s="10"/>
      <c r="D1241" s="10"/>
      <c r="E1241" s="10"/>
      <c r="F1241" s="10"/>
      <c r="G1241" s="69"/>
      <c r="H1241" s="69"/>
      <c r="I1241" s="69"/>
      <c r="J1241" s="70"/>
      <c r="K1241" s="69"/>
      <c r="L1241" s="69"/>
      <c r="M1241" s="69"/>
      <c r="N1241" s="69"/>
      <c r="O1241" s="69"/>
      <c r="P1241" s="2"/>
      <c r="Q1241" s="2"/>
      <c r="R1241" s="32"/>
      <c r="S1241" s="32"/>
      <c r="T1241" s="32"/>
      <c r="U1241" s="32"/>
      <c r="V1241" s="2"/>
      <c r="W1241" s="2"/>
      <c r="X1241" s="2"/>
      <c r="Y1241" s="2"/>
      <c r="Z1241" s="2"/>
    </row>
    <row r="1242" spans="1:26" ht="13.8" x14ac:dyDescent="0.3">
      <c r="A1242" s="2"/>
      <c r="B1242" s="2"/>
      <c r="C1242" s="10"/>
      <c r="D1242" s="10"/>
      <c r="E1242" s="10"/>
      <c r="F1242" s="10"/>
      <c r="G1242" s="69"/>
      <c r="H1242" s="69"/>
      <c r="I1242" s="69"/>
      <c r="J1242" s="70"/>
      <c r="K1242" s="69"/>
      <c r="L1242" s="69"/>
      <c r="M1242" s="69"/>
      <c r="N1242" s="69"/>
      <c r="O1242" s="69"/>
      <c r="P1242" s="2"/>
      <c r="Q1242" s="2"/>
      <c r="R1242" s="32"/>
      <c r="S1242" s="32"/>
      <c r="T1242" s="32"/>
      <c r="U1242" s="32"/>
      <c r="V1242" s="2"/>
      <c r="W1242" s="2"/>
      <c r="X1242" s="2"/>
      <c r="Y1242" s="2"/>
      <c r="Z1242" s="2"/>
    </row>
    <row r="1243" spans="1:26" ht="13.8" x14ac:dyDescent="0.3">
      <c r="A1243" s="2"/>
      <c r="B1243" s="2"/>
      <c r="C1243" s="10"/>
      <c r="D1243" s="10"/>
      <c r="E1243" s="10"/>
      <c r="F1243" s="10"/>
      <c r="G1243" s="69"/>
      <c r="H1243" s="69"/>
      <c r="I1243" s="69"/>
      <c r="J1243" s="70"/>
      <c r="K1243" s="69"/>
      <c r="L1243" s="69"/>
      <c r="M1243" s="69"/>
      <c r="N1243" s="69"/>
      <c r="O1243" s="69"/>
      <c r="P1243" s="2"/>
      <c r="Q1243" s="2"/>
      <c r="R1243" s="32"/>
      <c r="S1243" s="32"/>
      <c r="T1243" s="32"/>
      <c r="U1243" s="32"/>
      <c r="V1243" s="2"/>
      <c r="W1243" s="2"/>
      <c r="X1243" s="2"/>
      <c r="Y1243" s="2"/>
      <c r="Z1243" s="2"/>
    </row>
    <row r="1244" spans="1:26" ht="13.8" x14ac:dyDescent="0.3">
      <c r="A1244" s="2"/>
      <c r="B1244" s="2"/>
      <c r="C1244" s="10"/>
      <c r="D1244" s="10"/>
      <c r="E1244" s="10"/>
      <c r="F1244" s="10"/>
      <c r="G1244" s="69"/>
      <c r="H1244" s="69"/>
      <c r="I1244" s="69"/>
      <c r="J1244" s="70"/>
      <c r="K1244" s="69"/>
      <c r="L1244" s="69"/>
      <c r="M1244" s="69"/>
      <c r="N1244" s="69"/>
      <c r="O1244" s="69"/>
      <c r="P1244" s="2"/>
      <c r="Q1244" s="2"/>
      <c r="R1244" s="32"/>
      <c r="S1244" s="32"/>
      <c r="T1244" s="32"/>
      <c r="U1244" s="32"/>
      <c r="V1244" s="2"/>
      <c r="W1244" s="2"/>
      <c r="X1244" s="2"/>
      <c r="Y1244" s="2"/>
      <c r="Z1244" s="2"/>
    </row>
    <row r="1245" spans="1:26" ht="13.8" x14ac:dyDescent="0.3">
      <c r="A1245" s="2"/>
      <c r="B1245" s="2"/>
      <c r="C1245" s="10"/>
      <c r="D1245" s="10"/>
      <c r="E1245" s="10"/>
      <c r="F1245" s="10"/>
      <c r="G1245" s="69"/>
      <c r="H1245" s="69"/>
      <c r="I1245" s="69"/>
      <c r="J1245" s="70"/>
      <c r="K1245" s="69"/>
      <c r="L1245" s="69"/>
      <c r="M1245" s="69"/>
      <c r="N1245" s="69"/>
      <c r="O1245" s="69"/>
      <c r="P1245" s="2"/>
      <c r="Q1245" s="2"/>
      <c r="R1245" s="32"/>
      <c r="S1245" s="32"/>
      <c r="T1245" s="32"/>
      <c r="U1245" s="32"/>
      <c r="V1245" s="2"/>
      <c r="W1245" s="2"/>
      <c r="X1245" s="2"/>
      <c r="Y1245" s="2"/>
      <c r="Z1245" s="2"/>
    </row>
    <row r="1246" spans="1:26" ht="13.8" x14ac:dyDescent="0.3">
      <c r="A1246" s="2"/>
      <c r="B1246" s="2"/>
      <c r="C1246" s="10"/>
      <c r="D1246" s="10"/>
      <c r="E1246" s="10"/>
      <c r="F1246" s="10"/>
      <c r="G1246" s="69"/>
      <c r="H1246" s="69"/>
      <c r="I1246" s="69"/>
      <c r="J1246" s="70"/>
      <c r="K1246" s="69"/>
      <c r="L1246" s="69"/>
      <c r="M1246" s="69"/>
      <c r="N1246" s="69"/>
      <c r="O1246" s="69"/>
      <c r="P1246" s="2"/>
      <c r="Q1246" s="2"/>
      <c r="R1246" s="32"/>
      <c r="S1246" s="32"/>
      <c r="T1246" s="32"/>
      <c r="U1246" s="32"/>
      <c r="V1246" s="2"/>
      <c r="W1246" s="2"/>
      <c r="X1246" s="2"/>
      <c r="Y1246" s="2"/>
      <c r="Z1246" s="2"/>
    </row>
    <row r="1247" spans="1:26" ht="13.8" x14ac:dyDescent="0.3">
      <c r="A1247" s="2"/>
      <c r="B1247" s="2"/>
      <c r="C1247" s="10"/>
      <c r="D1247" s="10"/>
      <c r="E1247" s="10"/>
      <c r="F1247" s="10"/>
      <c r="G1247" s="69"/>
      <c r="H1247" s="69"/>
      <c r="I1247" s="69"/>
      <c r="J1247" s="70"/>
      <c r="K1247" s="69"/>
      <c r="L1247" s="69"/>
      <c r="M1247" s="69"/>
      <c r="N1247" s="69"/>
      <c r="O1247" s="69"/>
      <c r="P1247" s="2"/>
      <c r="Q1247" s="2"/>
      <c r="R1247" s="32"/>
      <c r="S1247" s="32"/>
      <c r="T1247" s="32"/>
      <c r="U1247" s="32"/>
      <c r="V1247" s="2"/>
      <c r="W1247" s="2"/>
      <c r="X1247" s="2"/>
      <c r="Y1247" s="2"/>
      <c r="Z1247" s="2"/>
    </row>
    <row r="1248" spans="1:26" ht="13.8" x14ac:dyDescent="0.3">
      <c r="A1248" s="2"/>
      <c r="B1248" s="2"/>
      <c r="C1248" s="10"/>
      <c r="D1248" s="10"/>
      <c r="E1248" s="10"/>
      <c r="F1248" s="10"/>
      <c r="G1248" s="69"/>
      <c r="H1248" s="69"/>
      <c r="I1248" s="69"/>
      <c r="J1248" s="70"/>
      <c r="K1248" s="69"/>
      <c r="L1248" s="69"/>
      <c r="M1248" s="69"/>
      <c r="N1248" s="69"/>
      <c r="O1248" s="69"/>
      <c r="P1248" s="2"/>
      <c r="Q1248" s="2"/>
      <c r="R1248" s="32"/>
      <c r="S1248" s="32"/>
      <c r="T1248" s="32"/>
      <c r="U1248" s="32"/>
      <c r="V1248" s="2"/>
      <c r="W1248" s="2"/>
      <c r="X1248" s="2"/>
      <c r="Y1248" s="2"/>
      <c r="Z1248" s="2"/>
    </row>
    <row r="1249" spans="1:26" ht="13.8" x14ac:dyDescent="0.3">
      <c r="A1249" s="2"/>
      <c r="B1249" s="2"/>
      <c r="C1249" s="10"/>
      <c r="D1249" s="10"/>
      <c r="E1249" s="10"/>
      <c r="F1249" s="10"/>
      <c r="G1249" s="69"/>
      <c r="H1249" s="69"/>
      <c r="I1249" s="69"/>
      <c r="J1249" s="70"/>
      <c r="K1249" s="69"/>
      <c r="L1249" s="69"/>
      <c r="M1249" s="69"/>
      <c r="N1249" s="69"/>
      <c r="O1249" s="69"/>
      <c r="P1249" s="2"/>
      <c r="Q1249" s="2"/>
      <c r="R1249" s="32"/>
      <c r="S1249" s="32"/>
      <c r="T1249" s="32"/>
      <c r="U1249" s="32"/>
      <c r="V1249" s="2"/>
      <c r="W1249" s="2"/>
      <c r="X1249" s="2"/>
      <c r="Y1249" s="2"/>
      <c r="Z1249" s="2"/>
    </row>
    <row r="1250" spans="1:26" ht="13.8" x14ac:dyDescent="0.3">
      <c r="A1250" s="2"/>
      <c r="B1250" s="2"/>
      <c r="C1250" s="10"/>
      <c r="D1250" s="10"/>
      <c r="E1250" s="10"/>
      <c r="F1250" s="10"/>
      <c r="G1250" s="69"/>
      <c r="H1250" s="69"/>
      <c r="I1250" s="69"/>
      <c r="J1250" s="70"/>
      <c r="K1250" s="69"/>
      <c r="L1250" s="69"/>
      <c r="M1250" s="69"/>
      <c r="N1250" s="69"/>
      <c r="O1250" s="69"/>
      <c r="P1250" s="2"/>
      <c r="Q1250" s="2"/>
      <c r="R1250" s="32"/>
      <c r="S1250" s="32"/>
      <c r="T1250" s="32"/>
      <c r="U1250" s="32"/>
      <c r="V1250" s="2"/>
      <c r="W1250" s="2"/>
      <c r="X1250" s="2"/>
      <c r="Y1250" s="2"/>
      <c r="Z1250" s="2"/>
    </row>
    <row r="1251" spans="1:26" ht="13.8" x14ac:dyDescent="0.3">
      <c r="A1251" s="2"/>
      <c r="B1251" s="2"/>
      <c r="C1251" s="10"/>
      <c r="D1251" s="10"/>
      <c r="E1251" s="10"/>
      <c r="F1251" s="10"/>
      <c r="G1251" s="69"/>
      <c r="H1251" s="69"/>
      <c r="I1251" s="69"/>
      <c r="J1251" s="70"/>
      <c r="K1251" s="69"/>
      <c r="L1251" s="69"/>
      <c r="M1251" s="69"/>
      <c r="N1251" s="69"/>
      <c r="O1251" s="69"/>
      <c r="P1251" s="2"/>
      <c r="Q1251" s="2"/>
      <c r="R1251" s="32"/>
      <c r="S1251" s="32"/>
      <c r="T1251" s="32"/>
      <c r="U1251" s="32"/>
      <c r="V1251" s="2"/>
      <c r="W1251" s="2"/>
      <c r="X1251" s="2"/>
      <c r="Y1251" s="2"/>
      <c r="Z1251" s="2"/>
    </row>
    <row r="1252" spans="1:26" ht="13.8" x14ac:dyDescent="0.3">
      <c r="A1252" s="2"/>
      <c r="B1252" s="2"/>
      <c r="C1252" s="10"/>
      <c r="D1252" s="10"/>
      <c r="E1252" s="10"/>
      <c r="F1252" s="10"/>
      <c r="G1252" s="69"/>
      <c r="H1252" s="69"/>
      <c r="I1252" s="69"/>
      <c r="J1252" s="70"/>
      <c r="K1252" s="69"/>
      <c r="L1252" s="69"/>
      <c r="M1252" s="69"/>
      <c r="N1252" s="69"/>
      <c r="O1252" s="69"/>
      <c r="P1252" s="2"/>
      <c r="Q1252" s="2"/>
      <c r="R1252" s="32"/>
      <c r="S1252" s="32"/>
      <c r="T1252" s="32"/>
      <c r="U1252" s="32"/>
      <c r="V1252" s="2"/>
      <c r="W1252" s="2"/>
      <c r="X1252" s="2"/>
      <c r="Y1252" s="2"/>
      <c r="Z1252" s="2"/>
    </row>
    <row r="1253" spans="1:26" ht="13.8" x14ac:dyDescent="0.3">
      <c r="A1253" s="2"/>
      <c r="B1253" s="2"/>
      <c r="C1253" s="10"/>
      <c r="D1253" s="10"/>
      <c r="E1253" s="10"/>
      <c r="F1253" s="10"/>
      <c r="G1253" s="69"/>
      <c r="H1253" s="69"/>
      <c r="I1253" s="69"/>
      <c r="J1253" s="70"/>
      <c r="K1253" s="69"/>
      <c r="L1253" s="69"/>
      <c r="M1253" s="69"/>
      <c r="N1253" s="69"/>
      <c r="O1253" s="69"/>
      <c r="P1253" s="2"/>
      <c r="Q1253" s="2"/>
      <c r="R1253" s="32"/>
      <c r="S1253" s="32"/>
      <c r="T1253" s="32"/>
      <c r="U1253" s="32"/>
      <c r="V1253" s="2"/>
      <c r="W1253" s="2"/>
      <c r="X1253" s="2"/>
      <c r="Y1253" s="2"/>
      <c r="Z1253" s="2"/>
    </row>
    <row r="1254" spans="1:26" ht="13.8" x14ac:dyDescent="0.3">
      <c r="A1254" s="2"/>
      <c r="B1254" s="2"/>
      <c r="C1254" s="10"/>
      <c r="D1254" s="10"/>
      <c r="E1254" s="10"/>
      <c r="F1254" s="10"/>
      <c r="G1254" s="69"/>
      <c r="H1254" s="69"/>
      <c r="I1254" s="69"/>
      <c r="J1254" s="70"/>
      <c r="K1254" s="69"/>
      <c r="L1254" s="69"/>
      <c r="M1254" s="69"/>
      <c r="N1254" s="69"/>
      <c r="O1254" s="69"/>
      <c r="P1254" s="2"/>
      <c r="Q1254" s="2"/>
      <c r="R1254" s="32"/>
      <c r="S1254" s="32"/>
      <c r="T1254" s="32"/>
      <c r="U1254" s="32"/>
      <c r="V1254" s="2"/>
      <c r="W1254" s="2"/>
      <c r="X1254" s="2"/>
      <c r="Y1254" s="2"/>
      <c r="Z1254" s="2"/>
    </row>
    <row r="1255" spans="1:26" ht="13.8" x14ac:dyDescent="0.3">
      <c r="A1255" s="2"/>
      <c r="B1255" s="2"/>
      <c r="C1255" s="10"/>
      <c r="D1255" s="10"/>
      <c r="E1255" s="10"/>
      <c r="F1255" s="10"/>
      <c r="G1255" s="69"/>
      <c r="H1255" s="69"/>
      <c r="I1255" s="69"/>
      <c r="J1255" s="70"/>
      <c r="K1255" s="69"/>
      <c r="L1255" s="69"/>
      <c r="M1255" s="69"/>
      <c r="N1255" s="69"/>
      <c r="O1255" s="69"/>
      <c r="P1255" s="2"/>
      <c r="Q1255" s="2"/>
      <c r="R1255" s="32"/>
      <c r="S1255" s="32"/>
      <c r="T1255" s="32"/>
      <c r="U1255" s="32"/>
      <c r="V1255" s="2"/>
      <c r="W1255" s="2"/>
      <c r="X1255" s="2"/>
      <c r="Y1255" s="2"/>
      <c r="Z1255" s="2"/>
    </row>
    <row r="1256" spans="1:26" ht="13.8" x14ac:dyDescent="0.3">
      <c r="A1256" s="2"/>
      <c r="B1256" s="2"/>
      <c r="C1256" s="10"/>
      <c r="D1256" s="10"/>
      <c r="E1256" s="10"/>
      <c r="F1256" s="10"/>
      <c r="G1256" s="69"/>
      <c r="H1256" s="69"/>
      <c r="I1256" s="69"/>
      <c r="J1256" s="70"/>
      <c r="K1256" s="69"/>
      <c r="L1256" s="69"/>
      <c r="M1256" s="69"/>
      <c r="N1256" s="69"/>
      <c r="O1256" s="69"/>
      <c r="P1256" s="2"/>
      <c r="Q1256" s="2"/>
      <c r="R1256" s="32"/>
      <c r="S1256" s="32"/>
      <c r="T1256" s="32"/>
      <c r="U1256" s="32"/>
      <c r="V1256" s="2"/>
      <c r="W1256" s="2"/>
      <c r="X1256" s="2"/>
      <c r="Y1256" s="2"/>
      <c r="Z1256" s="2"/>
    </row>
    <row r="1257" spans="1:26" ht="13.8" x14ac:dyDescent="0.3">
      <c r="A1257" s="2"/>
      <c r="B1257" s="2"/>
      <c r="C1257" s="10"/>
      <c r="D1257" s="10"/>
      <c r="E1257" s="10"/>
      <c r="F1257" s="10"/>
      <c r="G1257" s="69"/>
      <c r="H1257" s="69"/>
      <c r="I1257" s="69"/>
      <c r="J1257" s="70"/>
      <c r="K1257" s="69"/>
      <c r="L1257" s="69"/>
      <c r="M1257" s="69"/>
      <c r="N1257" s="69"/>
      <c r="O1257" s="69"/>
      <c r="P1257" s="2"/>
      <c r="Q1257" s="2"/>
      <c r="R1257" s="32"/>
      <c r="S1257" s="32"/>
      <c r="T1257" s="32"/>
      <c r="U1257" s="32"/>
      <c r="V1257" s="2"/>
      <c r="W1257" s="2"/>
      <c r="X1257" s="2"/>
      <c r="Y1257" s="2"/>
      <c r="Z1257" s="2"/>
    </row>
    <row r="1258" spans="1:26" ht="13.8" x14ac:dyDescent="0.3">
      <c r="A1258" s="2"/>
      <c r="B1258" s="2"/>
      <c r="C1258" s="10"/>
      <c r="D1258" s="10"/>
      <c r="E1258" s="10"/>
      <c r="F1258" s="10"/>
      <c r="G1258" s="69"/>
      <c r="H1258" s="69"/>
      <c r="I1258" s="69"/>
      <c r="J1258" s="70"/>
      <c r="K1258" s="69"/>
      <c r="L1258" s="69"/>
      <c r="M1258" s="69"/>
      <c r="N1258" s="69"/>
      <c r="O1258" s="69"/>
      <c r="P1258" s="2"/>
      <c r="Q1258" s="2"/>
      <c r="R1258" s="32"/>
      <c r="S1258" s="32"/>
      <c r="T1258" s="32"/>
      <c r="U1258" s="32"/>
      <c r="V1258" s="2"/>
      <c r="W1258" s="2"/>
      <c r="X1258" s="2"/>
      <c r="Y1258" s="2"/>
      <c r="Z1258" s="2"/>
    </row>
    <row r="1259" spans="1:26" ht="13.8" x14ac:dyDescent="0.3">
      <c r="A1259" s="2"/>
      <c r="B1259" s="2"/>
      <c r="C1259" s="10"/>
      <c r="D1259" s="10"/>
      <c r="E1259" s="10"/>
      <c r="F1259" s="10"/>
      <c r="G1259" s="69"/>
      <c r="H1259" s="69"/>
      <c r="I1259" s="69"/>
      <c r="J1259" s="70"/>
      <c r="K1259" s="69"/>
      <c r="L1259" s="69"/>
      <c r="M1259" s="69"/>
      <c r="N1259" s="69"/>
      <c r="O1259" s="69"/>
      <c r="P1259" s="2"/>
      <c r="Q1259" s="2"/>
      <c r="R1259" s="32"/>
      <c r="S1259" s="32"/>
      <c r="T1259" s="32"/>
      <c r="U1259" s="32"/>
      <c r="V1259" s="2"/>
      <c r="W1259" s="2"/>
      <c r="X1259" s="2"/>
      <c r="Y1259" s="2"/>
      <c r="Z1259" s="2"/>
    </row>
    <row r="1260" spans="1:26" ht="13.8" x14ac:dyDescent="0.3">
      <c r="A1260" s="2"/>
      <c r="B1260" s="2"/>
      <c r="C1260" s="10"/>
      <c r="D1260" s="10"/>
      <c r="E1260" s="10"/>
      <c r="F1260" s="10"/>
      <c r="G1260" s="69"/>
      <c r="H1260" s="69"/>
      <c r="I1260" s="69"/>
      <c r="J1260" s="70"/>
      <c r="K1260" s="69"/>
      <c r="L1260" s="69"/>
      <c r="M1260" s="69"/>
      <c r="N1260" s="69"/>
      <c r="O1260" s="69"/>
      <c r="P1260" s="2"/>
      <c r="Q1260" s="2"/>
      <c r="R1260" s="32"/>
      <c r="S1260" s="32"/>
      <c r="T1260" s="32"/>
      <c r="U1260" s="32"/>
      <c r="V1260" s="2"/>
      <c r="W1260" s="2"/>
      <c r="X1260" s="2"/>
      <c r="Y1260" s="2"/>
      <c r="Z1260" s="2"/>
    </row>
    <row r="1261" spans="1:26" ht="13.8" x14ac:dyDescent="0.3">
      <c r="A1261" s="2"/>
      <c r="B1261" s="2"/>
      <c r="C1261" s="10"/>
      <c r="D1261" s="10"/>
      <c r="E1261" s="10"/>
      <c r="F1261" s="10"/>
      <c r="G1261" s="69"/>
      <c r="H1261" s="69"/>
      <c r="I1261" s="69"/>
      <c r="J1261" s="70"/>
      <c r="K1261" s="69"/>
      <c r="L1261" s="69"/>
      <c r="M1261" s="69"/>
      <c r="N1261" s="69"/>
      <c r="O1261" s="69"/>
      <c r="P1261" s="2"/>
      <c r="Q1261" s="2"/>
      <c r="R1261" s="32"/>
      <c r="S1261" s="32"/>
      <c r="T1261" s="32"/>
      <c r="U1261" s="32"/>
      <c r="V1261" s="2"/>
      <c r="W1261" s="2"/>
      <c r="X1261" s="2"/>
      <c r="Y1261" s="2"/>
      <c r="Z1261" s="2"/>
    </row>
    <row r="1262" spans="1:26" ht="13.8" x14ac:dyDescent="0.3">
      <c r="A1262" s="2"/>
      <c r="B1262" s="2"/>
      <c r="C1262" s="10"/>
      <c r="D1262" s="10"/>
      <c r="E1262" s="10"/>
      <c r="F1262" s="10"/>
      <c r="G1262" s="69"/>
      <c r="H1262" s="69"/>
      <c r="I1262" s="69"/>
      <c r="J1262" s="70"/>
      <c r="K1262" s="69"/>
      <c r="L1262" s="69"/>
      <c r="M1262" s="69"/>
      <c r="N1262" s="69"/>
      <c r="O1262" s="69"/>
      <c r="P1262" s="2"/>
      <c r="Q1262" s="2"/>
      <c r="R1262" s="32"/>
      <c r="S1262" s="32"/>
      <c r="T1262" s="32"/>
      <c r="U1262" s="32"/>
      <c r="V1262" s="2"/>
      <c r="W1262" s="2"/>
      <c r="X1262" s="2"/>
      <c r="Y1262" s="2"/>
      <c r="Z1262" s="2"/>
    </row>
    <row r="1263" spans="1:26" ht="13.8" x14ac:dyDescent="0.3">
      <c r="A1263" s="2"/>
      <c r="B1263" s="2"/>
      <c r="C1263" s="10"/>
      <c r="D1263" s="10"/>
      <c r="E1263" s="10"/>
      <c r="F1263" s="10"/>
      <c r="G1263" s="69"/>
      <c r="H1263" s="69"/>
      <c r="I1263" s="69"/>
      <c r="J1263" s="70"/>
      <c r="K1263" s="69"/>
      <c r="L1263" s="69"/>
      <c r="M1263" s="69"/>
      <c r="N1263" s="69"/>
      <c r="O1263" s="69"/>
      <c r="P1263" s="2"/>
      <c r="Q1263" s="2"/>
      <c r="R1263" s="32"/>
      <c r="S1263" s="32"/>
      <c r="T1263" s="32"/>
      <c r="U1263" s="32"/>
      <c r="V1263" s="2"/>
      <c r="W1263" s="2"/>
      <c r="X1263" s="2"/>
      <c r="Y1263" s="2"/>
      <c r="Z1263" s="2"/>
    </row>
    <row r="1264" spans="1:26" ht="13.8" x14ac:dyDescent="0.3">
      <c r="A1264" s="2"/>
      <c r="B1264" s="2"/>
      <c r="C1264" s="10"/>
      <c r="D1264" s="10"/>
      <c r="E1264" s="10"/>
      <c r="F1264" s="10"/>
      <c r="G1264" s="69"/>
      <c r="H1264" s="69"/>
      <c r="I1264" s="69"/>
      <c r="J1264" s="70"/>
      <c r="K1264" s="69"/>
      <c r="L1264" s="69"/>
      <c r="M1264" s="69"/>
      <c r="N1264" s="69"/>
      <c r="O1264" s="69"/>
      <c r="P1264" s="2"/>
      <c r="Q1264" s="2"/>
      <c r="R1264" s="32"/>
      <c r="S1264" s="32"/>
      <c r="T1264" s="32"/>
      <c r="U1264" s="32"/>
      <c r="V1264" s="2"/>
      <c r="W1264" s="2"/>
      <c r="X1264" s="2"/>
      <c r="Y1264" s="2"/>
      <c r="Z1264" s="2"/>
    </row>
    <row r="1265" spans="1:26" ht="13.8" x14ac:dyDescent="0.3">
      <c r="A1265" s="2"/>
      <c r="B1265" s="2"/>
      <c r="C1265" s="10"/>
      <c r="D1265" s="10"/>
      <c r="E1265" s="10"/>
      <c r="F1265" s="10"/>
      <c r="G1265" s="69"/>
      <c r="H1265" s="69"/>
      <c r="I1265" s="69"/>
      <c r="J1265" s="70"/>
      <c r="K1265" s="69"/>
      <c r="L1265" s="69"/>
      <c r="M1265" s="69"/>
      <c r="N1265" s="69"/>
      <c r="O1265" s="69"/>
      <c r="P1265" s="2"/>
      <c r="Q1265" s="2"/>
      <c r="R1265" s="32"/>
      <c r="S1265" s="32"/>
      <c r="T1265" s="32"/>
      <c r="U1265" s="32"/>
      <c r="V1265" s="2"/>
      <c r="W1265" s="2"/>
      <c r="X1265" s="2"/>
      <c r="Y1265" s="2"/>
      <c r="Z1265" s="2"/>
    </row>
    <row r="1266" spans="1:26" ht="13.8" x14ac:dyDescent="0.3">
      <c r="A1266" s="2"/>
      <c r="B1266" s="2"/>
      <c r="C1266" s="10"/>
      <c r="D1266" s="10"/>
      <c r="E1266" s="10"/>
      <c r="F1266" s="10"/>
      <c r="G1266" s="69"/>
      <c r="H1266" s="69"/>
      <c r="I1266" s="69"/>
      <c r="J1266" s="70"/>
      <c r="K1266" s="69"/>
      <c r="L1266" s="69"/>
      <c r="M1266" s="69"/>
      <c r="N1266" s="69"/>
      <c r="O1266" s="69"/>
      <c r="P1266" s="2"/>
      <c r="Q1266" s="2"/>
      <c r="R1266" s="32"/>
      <c r="S1266" s="32"/>
      <c r="T1266" s="32"/>
      <c r="U1266" s="32"/>
      <c r="V1266" s="2"/>
      <c r="W1266" s="2"/>
      <c r="X1266" s="2"/>
      <c r="Y1266" s="2"/>
      <c r="Z1266" s="2"/>
    </row>
    <row r="1267" spans="1:26" ht="13.8" x14ac:dyDescent="0.3">
      <c r="A1267" s="2"/>
      <c r="B1267" s="2"/>
      <c r="C1267" s="10"/>
      <c r="D1267" s="10"/>
      <c r="E1267" s="10"/>
      <c r="F1267" s="10"/>
      <c r="G1267" s="69"/>
      <c r="H1267" s="69"/>
      <c r="I1267" s="69"/>
      <c r="J1267" s="70"/>
      <c r="K1267" s="69"/>
      <c r="L1267" s="69"/>
      <c r="M1267" s="69"/>
      <c r="N1267" s="69"/>
      <c r="O1267" s="69"/>
      <c r="P1267" s="2"/>
      <c r="Q1267" s="2"/>
      <c r="R1267" s="32"/>
      <c r="S1267" s="32"/>
      <c r="T1267" s="32"/>
      <c r="U1267" s="32"/>
      <c r="V1267" s="2"/>
      <c r="W1267" s="2"/>
      <c r="X1267" s="2"/>
      <c r="Y1267" s="2"/>
      <c r="Z1267" s="2"/>
    </row>
    <row r="1268" spans="1:26" ht="13.8" x14ac:dyDescent="0.3">
      <c r="A1268" s="2"/>
      <c r="B1268" s="2"/>
      <c r="C1268" s="10"/>
      <c r="D1268" s="10"/>
      <c r="E1268" s="10"/>
      <c r="F1268" s="10"/>
      <c r="G1268" s="69"/>
      <c r="H1268" s="69"/>
      <c r="I1268" s="69"/>
      <c r="J1268" s="70"/>
      <c r="K1268" s="69"/>
      <c r="L1268" s="69"/>
      <c r="M1268" s="69"/>
      <c r="N1268" s="69"/>
      <c r="O1268" s="69"/>
      <c r="P1268" s="2"/>
      <c r="Q1268" s="2"/>
      <c r="R1268" s="32"/>
      <c r="S1268" s="32"/>
      <c r="T1268" s="32"/>
      <c r="U1268" s="32"/>
      <c r="V1268" s="2"/>
      <c r="W1268" s="2"/>
      <c r="X1268" s="2"/>
      <c r="Y1268" s="2"/>
      <c r="Z1268" s="2"/>
    </row>
    <row r="1269" spans="1:26" ht="13.8" x14ac:dyDescent="0.3">
      <c r="A1269" s="2"/>
      <c r="B1269" s="2"/>
      <c r="C1269" s="10"/>
      <c r="D1269" s="10"/>
      <c r="E1269" s="10"/>
      <c r="F1269" s="10"/>
      <c r="G1269" s="69"/>
      <c r="H1269" s="69"/>
      <c r="I1269" s="69"/>
      <c r="J1269" s="70"/>
      <c r="K1269" s="69"/>
      <c r="L1269" s="69"/>
      <c r="M1269" s="69"/>
      <c r="N1269" s="69"/>
      <c r="O1269" s="69"/>
      <c r="P1269" s="2"/>
      <c r="Q1269" s="2"/>
      <c r="R1269" s="32"/>
      <c r="S1269" s="32"/>
      <c r="T1269" s="32"/>
      <c r="U1269" s="32"/>
      <c r="V1269" s="2"/>
      <c r="W1269" s="2"/>
      <c r="X1269" s="2"/>
      <c r="Y1269" s="2"/>
      <c r="Z1269" s="2"/>
    </row>
    <row r="1270" spans="1:26" ht="13.8" x14ac:dyDescent="0.3">
      <c r="A1270" s="2"/>
      <c r="B1270" s="2"/>
      <c r="C1270" s="10"/>
      <c r="D1270" s="10"/>
      <c r="E1270" s="10"/>
      <c r="F1270" s="10"/>
      <c r="G1270" s="69"/>
      <c r="H1270" s="69"/>
      <c r="I1270" s="69"/>
      <c r="J1270" s="70"/>
      <c r="K1270" s="69"/>
      <c r="L1270" s="69"/>
      <c r="M1270" s="69"/>
      <c r="N1270" s="69"/>
      <c r="O1270" s="69"/>
      <c r="P1270" s="2"/>
      <c r="Q1270" s="2"/>
      <c r="R1270" s="32"/>
      <c r="S1270" s="32"/>
      <c r="T1270" s="32"/>
      <c r="U1270" s="32"/>
      <c r="V1270" s="2"/>
      <c r="W1270" s="2"/>
      <c r="X1270" s="2"/>
      <c r="Y1270" s="2"/>
      <c r="Z1270" s="2"/>
    </row>
    <row r="1271" spans="1:26" ht="13.8" x14ac:dyDescent="0.3">
      <c r="A1271" s="2"/>
      <c r="B1271" s="2"/>
      <c r="C1271" s="10"/>
      <c r="D1271" s="10"/>
      <c r="E1271" s="10"/>
      <c r="F1271" s="10"/>
      <c r="G1271" s="69"/>
      <c r="H1271" s="69"/>
      <c r="I1271" s="69"/>
      <c r="J1271" s="70"/>
      <c r="K1271" s="69"/>
      <c r="L1271" s="69"/>
      <c r="M1271" s="69"/>
      <c r="N1271" s="69"/>
      <c r="O1271" s="69"/>
      <c r="P1271" s="2"/>
      <c r="Q1271" s="2"/>
      <c r="R1271" s="32"/>
      <c r="S1271" s="32"/>
      <c r="T1271" s="32"/>
      <c r="U1271" s="32"/>
      <c r="V1271" s="2"/>
      <c r="W1271" s="2"/>
      <c r="X1271" s="2"/>
      <c r="Y1271" s="2"/>
      <c r="Z1271" s="2"/>
    </row>
    <row r="1272" spans="1:26" ht="13.8" x14ac:dyDescent="0.3">
      <c r="A1272" s="2"/>
      <c r="B1272" s="2"/>
      <c r="C1272" s="10"/>
      <c r="D1272" s="10"/>
      <c r="E1272" s="10"/>
      <c r="F1272" s="10"/>
      <c r="G1272" s="69"/>
      <c r="H1272" s="69"/>
      <c r="I1272" s="69"/>
      <c r="J1272" s="70"/>
      <c r="K1272" s="69"/>
      <c r="L1272" s="69"/>
      <c r="M1272" s="69"/>
      <c r="N1272" s="69"/>
      <c r="O1272" s="69"/>
      <c r="P1272" s="2"/>
      <c r="Q1272" s="2"/>
      <c r="R1272" s="32"/>
      <c r="S1272" s="32"/>
      <c r="T1272" s="32"/>
      <c r="U1272" s="32"/>
      <c r="V1272" s="2"/>
      <c r="W1272" s="2"/>
      <c r="X1272" s="2"/>
      <c r="Y1272" s="2"/>
      <c r="Z1272" s="2"/>
    </row>
    <row r="1273" spans="1:26" ht="13.8" x14ac:dyDescent="0.3">
      <c r="A1273" s="2"/>
      <c r="B1273" s="2"/>
      <c r="C1273" s="10"/>
      <c r="D1273" s="10"/>
      <c r="E1273" s="10"/>
      <c r="F1273" s="10"/>
      <c r="G1273" s="69"/>
      <c r="H1273" s="69"/>
      <c r="I1273" s="69"/>
      <c r="J1273" s="70"/>
      <c r="K1273" s="69"/>
      <c r="L1273" s="69"/>
      <c r="M1273" s="69"/>
      <c r="N1273" s="69"/>
      <c r="O1273" s="69"/>
      <c r="P1273" s="2"/>
      <c r="Q1273" s="2"/>
      <c r="R1273" s="32"/>
      <c r="S1273" s="32"/>
      <c r="T1273" s="32"/>
      <c r="U1273" s="32"/>
      <c r="V1273" s="2"/>
      <c r="W1273" s="2"/>
      <c r="X1273" s="2"/>
      <c r="Y1273" s="2"/>
      <c r="Z1273" s="2"/>
    </row>
    <row r="1274" spans="1:26" ht="13.8" x14ac:dyDescent="0.3">
      <c r="A1274" s="2"/>
      <c r="B1274" s="2"/>
      <c r="C1274" s="10"/>
      <c r="D1274" s="10"/>
      <c r="E1274" s="10"/>
      <c r="F1274" s="10"/>
      <c r="G1274" s="69"/>
      <c r="H1274" s="69"/>
      <c r="I1274" s="69"/>
      <c r="J1274" s="70"/>
      <c r="K1274" s="69"/>
      <c r="L1274" s="69"/>
      <c r="M1274" s="69"/>
      <c r="N1274" s="69"/>
      <c r="O1274" s="69"/>
      <c r="P1274" s="2"/>
      <c r="Q1274" s="2"/>
      <c r="R1274" s="32"/>
      <c r="S1274" s="32"/>
      <c r="T1274" s="32"/>
      <c r="U1274" s="32"/>
      <c r="V1274" s="2"/>
      <c r="W1274" s="2"/>
      <c r="X1274" s="2"/>
      <c r="Y1274" s="2"/>
      <c r="Z1274" s="2"/>
    </row>
    <row r="1275" spans="1:26" ht="13.8" x14ac:dyDescent="0.3">
      <c r="A1275" s="2"/>
      <c r="B1275" s="2"/>
      <c r="C1275" s="10"/>
      <c r="D1275" s="10"/>
      <c r="E1275" s="10"/>
      <c r="F1275" s="10"/>
      <c r="G1275" s="69"/>
      <c r="H1275" s="69"/>
      <c r="I1275" s="69"/>
      <c r="J1275" s="70"/>
      <c r="K1275" s="69"/>
      <c r="L1275" s="69"/>
      <c r="M1275" s="69"/>
      <c r="N1275" s="69"/>
      <c r="O1275" s="69"/>
      <c r="P1275" s="2"/>
      <c r="Q1275" s="2"/>
      <c r="R1275" s="32"/>
      <c r="S1275" s="32"/>
      <c r="T1275" s="32"/>
      <c r="U1275" s="32"/>
      <c r="V1275" s="2"/>
      <c r="W1275" s="2"/>
      <c r="X1275" s="2"/>
      <c r="Y1275" s="2"/>
      <c r="Z1275" s="2"/>
    </row>
    <row r="1276" spans="1:26" ht="13.8" x14ac:dyDescent="0.3">
      <c r="A1276" s="2"/>
      <c r="B1276" s="2"/>
      <c r="C1276" s="10"/>
      <c r="D1276" s="10"/>
      <c r="E1276" s="10"/>
      <c r="F1276" s="10"/>
      <c r="G1276" s="69"/>
      <c r="H1276" s="69"/>
      <c r="I1276" s="69"/>
      <c r="J1276" s="70"/>
      <c r="K1276" s="69"/>
      <c r="L1276" s="69"/>
      <c r="M1276" s="69"/>
      <c r="N1276" s="69"/>
      <c r="O1276" s="69"/>
      <c r="P1276" s="2"/>
      <c r="Q1276" s="2"/>
      <c r="R1276" s="32"/>
      <c r="S1276" s="32"/>
      <c r="T1276" s="32"/>
      <c r="U1276" s="32"/>
      <c r="V1276" s="2"/>
      <c r="W1276" s="2"/>
      <c r="X1276" s="2"/>
      <c r="Y1276" s="2"/>
      <c r="Z1276" s="2"/>
    </row>
    <row r="1277" spans="1:26" ht="13.8" x14ac:dyDescent="0.3">
      <c r="A1277" s="2"/>
      <c r="B1277" s="2"/>
      <c r="C1277" s="10"/>
      <c r="D1277" s="10"/>
      <c r="E1277" s="10"/>
      <c r="F1277" s="10"/>
      <c r="G1277" s="69"/>
      <c r="H1277" s="69"/>
      <c r="I1277" s="69"/>
      <c r="J1277" s="70"/>
      <c r="K1277" s="69"/>
      <c r="L1277" s="69"/>
      <c r="M1277" s="69"/>
      <c r="N1277" s="69"/>
      <c r="O1277" s="69"/>
      <c r="P1277" s="2"/>
      <c r="Q1277" s="2"/>
      <c r="R1277" s="32"/>
      <c r="S1277" s="32"/>
      <c r="T1277" s="32"/>
      <c r="U1277" s="32"/>
      <c r="V1277" s="2"/>
      <c r="W1277" s="2"/>
      <c r="X1277" s="2"/>
      <c r="Y1277" s="2"/>
      <c r="Z1277" s="2"/>
    </row>
    <row r="1278" spans="1:26" ht="13.8" x14ac:dyDescent="0.3">
      <c r="A1278" s="2"/>
      <c r="B1278" s="2"/>
      <c r="C1278" s="10"/>
      <c r="D1278" s="10"/>
      <c r="E1278" s="10"/>
      <c r="F1278" s="10"/>
      <c r="G1278" s="69"/>
      <c r="H1278" s="69"/>
      <c r="I1278" s="69"/>
      <c r="J1278" s="70"/>
      <c r="K1278" s="69"/>
      <c r="L1278" s="69"/>
      <c r="M1278" s="69"/>
      <c r="N1278" s="69"/>
      <c r="O1278" s="69"/>
      <c r="P1278" s="2"/>
      <c r="Q1278" s="2"/>
      <c r="R1278" s="32"/>
      <c r="S1278" s="32"/>
      <c r="T1278" s="32"/>
      <c r="U1278" s="32"/>
      <c r="V1278" s="2"/>
      <c r="W1278" s="2"/>
      <c r="X1278" s="2"/>
      <c r="Y1278" s="2"/>
      <c r="Z1278" s="2"/>
    </row>
    <row r="1279" spans="1:26" ht="13.8" x14ac:dyDescent="0.3">
      <c r="A1279" s="2"/>
      <c r="B1279" s="2"/>
      <c r="C1279" s="10"/>
      <c r="D1279" s="10"/>
      <c r="E1279" s="10"/>
      <c r="F1279" s="10"/>
      <c r="G1279" s="69"/>
      <c r="H1279" s="69"/>
      <c r="I1279" s="69"/>
      <c r="J1279" s="70"/>
      <c r="K1279" s="69"/>
      <c r="L1279" s="69"/>
      <c r="M1279" s="69"/>
      <c r="N1279" s="69"/>
      <c r="O1279" s="69"/>
      <c r="P1279" s="2"/>
      <c r="Q1279" s="2"/>
      <c r="R1279" s="32"/>
      <c r="S1279" s="32"/>
      <c r="T1279" s="32"/>
      <c r="U1279" s="32"/>
      <c r="V1279" s="2"/>
      <c r="W1279" s="2"/>
      <c r="X1279" s="2"/>
      <c r="Y1279" s="2"/>
      <c r="Z1279" s="2"/>
    </row>
    <row r="1280" spans="1:26" ht="13.8" x14ac:dyDescent="0.3">
      <c r="A1280" s="2"/>
      <c r="B1280" s="2"/>
      <c r="C1280" s="10"/>
      <c r="D1280" s="10"/>
      <c r="E1280" s="10"/>
      <c r="F1280" s="10"/>
      <c r="G1280" s="69"/>
      <c r="H1280" s="69"/>
      <c r="I1280" s="69"/>
      <c r="J1280" s="70"/>
      <c r="K1280" s="69"/>
      <c r="L1280" s="69"/>
      <c r="M1280" s="69"/>
      <c r="N1280" s="69"/>
      <c r="O1280" s="69"/>
      <c r="P1280" s="2"/>
      <c r="Q1280" s="2"/>
      <c r="R1280" s="32"/>
      <c r="S1280" s="32"/>
      <c r="T1280" s="32"/>
      <c r="U1280" s="32"/>
      <c r="V1280" s="2"/>
      <c r="W1280" s="2"/>
      <c r="X1280" s="2"/>
      <c r="Y1280" s="2"/>
      <c r="Z1280" s="2"/>
    </row>
    <row r="1281" spans="1:26" ht="13.8" x14ac:dyDescent="0.3">
      <c r="A1281" s="2"/>
      <c r="B1281" s="2"/>
      <c r="C1281" s="10"/>
      <c r="D1281" s="10"/>
      <c r="E1281" s="10"/>
      <c r="F1281" s="10"/>
      <c r="G1281" s="69"/>
      <c r="H1281" s="69"/>
      <c r="I1281" s="69"/>
      <c r="J1281" s="70"/>
      <c r="K1281" s="69"/>
      <c r="L1281" s="69"/>
      <c r="M1281" s="69"/>
      <c r="N1281" s="69"/>
      <c r="O1281" s="69"/>
      <c r="P1281" s="2"/>
      <c r="Q1281" s="2"/>
      <c r="R1281" s="32"/>
      <c r="S1281" s="32"/>
      <c r="T1281" s="32"/>
      <c r="U1281" s="32"/>
      <c r="V1281" s="2"/>
      <c r="W1281" s="2"/>
      <c r="X1281" s="2"/>
      <c r="Y1281" s="2"/>
      <c r="Z1281" s="2"/>
    </row>
    <row r="1282" spans="1:26" ht="13.8" x14ac:dyDescent="0.3">
      <c r="A1282" s="2"/>
      <c r="B1282" s="2"/>
      <c r="C1282" s="10"/>
      <c r="D1282" s="10"/>
      <c r="E1282" s="10"/>
      <c r="F1282" s="10"/>
      <c r="G1282" s="69"/>
      <c r="H1282" s="69"/>
      <c r="I1282" s="69"/>
      <c r="J1282" s="70"/>
      <c r="K1282" s="69"/>
      <c r="L1282" s="69"/>
      <c r="M1282" s="69"/>
      <c r="N1282" s="69"/>
      <c r="O1282" s="69"/>
      <c r="P1282" s="2"/>
      <c r="Q1282" s="2"/>
      <c r="R1282" s="32"/>
      <c r="S1282" s="32"/>
      <c r="T1282" s="32"/>
      <c r="U1282" s="32"/>
      <c r="V1282" s="2"/>
      <c r="W1282" s="2"/>
      <c r="X1282" s="2"/>
      <c r="Y1282" s="2"/>
      <c r="Z1282" s="2"/>
    </row>
    <row r="1283" spans="1:26" ht="13.8" x14ac:dyDescent="0.3">
      <c r="A1283" s="2"/>
      <c r="B1283" s="2"/>
      <c r="C1283" s="10"/>
      <c r="D1283" s="10"/>
      <c r="E1283" s="10"/>
      <c r="F1283" s="10"/>
      <c r="G1283" s="69"/>
      <c r="H1283" s="69"/>
      <c r="I1283" s="69"/>
      <c r="J1283" s="70"/>
      <c r="K1283" s="69"/>
      <c r="L1283" s="69"/>
      <c r="M1283" s="69"/>
      <c r="N1283" s="69"/>
      <c r="O1283" s="69"/>
      <c r="P1283" s="2"/>
      <c r="Q1283" s="2"/>
      <c r="R1283" s="32"/>
      <c r="S1283" s="32"/>
      <c r="T1283" s="32"/>
      <c r="U1283" s="32"/>
      <c r="V1283" s="2"/>
      <c r="W1283" s="2"/>
      <c r="X1283" s="2"/>
      <c r="Y1283" s="2"/>
      <c r="Z1283" s="2"/>
    </row>
    <row r="1284" spans="1:26" ht="13.8" x14ac:dyDescent="0.3">
      <c r="A1284" s="2"/>
      <c r="B1284" s="2"/>
      <c r="C1284" s="10"/>
      <c r="D1284" s="10"/>
      <c r="E1284" s="10"/>
      <c r="F1284" s="10"/>
      <c r="G1284" s="69"/>
      <c r="H1284" s="69"/>
      <c r="I1284" s="69"/>
      <c r="J1284" s="70"/>
      <c r="K1284" s="69"/>
      <c r="L1284" s="69"/>
      <c r="M1284" s="69"/>
      <c r="N1284" s="69"/>
      <c r="O1284" s="69"/>
      <c r="P1284" s="2"/>
      <c r="Q1284" s="2"/>
      <c r="R1284" s="32"/>
      <c r="S1284" s="32"/>
      <c r="T1284" s="32"/>
      <c r="U1284" s="32"/>
      <c r="V1284" s="2"/>
      <c r="W1284" s="2"/>
      <c r="X1284" s="2"/>
      <c r="Y1284" s="2"/>
      <c r="Z1284" s="2"/>
    </row>
    <row r="1285" spans="1:26" ht="13.8" x14ac:dyDescent="0.3">
      <c r="A1285" s="2"/>
      <c r="B1285" s="2"/>
      <c r="C1285" s="10"/>
      <c r="D1285" s="10"/>
      <c r="E1285" s="10"/>
      <c r="F1285" s="10"/>
      <c r="G1285" s="69"/>
      <c r="H1285" s="69"/>
      <c r="I1285" s="69"/>
      <c r="J1285" s="70"/>
      <c r="K1285" s="69"/>
      <c r="L1285" s="69"/>
      <c r="M1285" s="69"/>
      <c r="N1285" s="69"/>
      <c r="O1285" s="69"/>
      <c r="P1285" s="2"/>
      <c r="Q1285" s="2"/>
      <c r="R1285" s="32"/>
      <c r="S1285" s="32"/>
      <c r="T1285" s="32"/>
      <c r="U1285" s="32"/>
      <c r="V1285" s="2"/>
      <c r="W1285" s="2"/>
      <c r="X1285" s="2"/>
      <c r="Y1285" s="2"/>
      <c r="Z1285" s="2"/>
    </row>
    <row r="1286" spans="1:26" ht="13.8" x14ac:dyDescent="0.3">
      <c r="A1286" s="2"/>
      <c r="B1286" s="2"/>
      <c r="C1286" s="10"/>
      <c r="D1286" s="10"/>
      <c r="E1286" s="10"/>
      <c r="F1286" s="10"/>
      <c r="G1286" s="69"/>
      <c r="H1286" s="69"/>
      <c r="I1286" s="69"/>
      <c r="J1286" s="70"/>
      <c r="K1286" s="69"/>
      <c r="L1286" s="69"/>
      <c r="M1286" s="69"/>
      <c r="N1286" s="69"/>
      <c r="O1286" s="69"/>
      <c r="P1286" s="2"/>
      <c r="Q1286" s="2"/>
      <c r="R1286" s="32"/>
      <c r="S1286" s="32"/>
      <c r="T1286" s="32"/>
      <c r="U1286" s="32"/>
      <c r="V1286" s="2"/>
      <c r="W1286" s="2"/>
      <c r="X1286" s="2"/>
      <c r="Y1286" s="2"/>
      <c r="Z1286" s="2"/>
    </row>
    <row r="1287" spans="1:26" ht="13.8" x14ac:dyDescent="0.3">
      <c r="A1287" s="2"/>
      <c r="B1287" s="2"/>
      <c r="C1287" s="10"/>
      <c r="D1287" s="10"/>
      <c r="E1287" s="10"/>
      <c r="F1287" s="10"/>
      <c r="G1287" s="69"/>
      <c r="H1287" s="69"/>
      <c r="I1287" s="69"/>
      <c r="J1287" s="70"/>
      <c r="K1287" s="69"/>
      <c r="L1287" s="69"/>
      <c r="M1287" s="69"/>
      <c r="N1287" s="69"/>
      <c r="O1287" s="69"/>
      <c r="P1287" s="2"/>
      <c r="Q1287" s="2"/>
      <c r="R1287" s="32"/>
      <c r="S1287" s="32"/>
      <c r="T1287" s="32"/>
      <c r="U1287" s="32"/>
      <c r="V1287" s="2"/>
      <c r="W1287" s="2"/>
      <c r="X1287" s="2"/>
      <c r="Y1287" s="2"/>
      <c r="Z1287" s="2"/>
    </row>
    <row r="1288" spans="1:26" ht="13.8" x14ac:dyDescent="0.3">
      <c r="A1288" s="2"/>
      <c r="B1288" s="2"/>
      <c r="C1288" s="10"/>
      <c r="D1288" s="10"/>
      <c r="E1288" s="10"/>
      <c r="F1288" s="10"/>
      <c r="G1288" s="69"/>
      <c r="H1288" s="69"/>
      <c r="I1288" s="69"/>
      <c r="J1288" s="70"/>
      <c r="K1288" s="69"/>
      <c r="L1288" s="69"/>
      <c r="M1288" s="69"/>
      <c r="N1288" s="69"/>
      <c r="O1288" s="69"/>
      <c r="P1288" s="2"/>
      <c r="Q1288" s="2"/>
      <c r="R1288" s="32"/>
      <c r="S1288" s="32"/>
      <c r="T1288" s="32"/>
      <c r="U1288" s="32"/>
      <c r="V1288" s="2"/>
      <c r="W1288" s="2"/>
      <c r="X1288" s="2"/>
      <c r="Y1288" s="2"/>
      <c r="Z1288" s="2"/>
    </row>
    <row r="1289" spans="1:26" ht="13.8" x14ac:dyDescent="0.3">
      <c r="A1289" s="2"/>
      <c r="B1289" s="2"/>
      <c r="C1289" s="10"/>
      <c r="D1289" s="10"/>
      <c r="E1289" s="10"/>
      <c r="F1289" s="10"/>
      <c r="G1289" s="69"/>
      <c r="H1289" s="69"/>
      <c r="I1289" s="69"/>
      <c r="J1289" s="70"/>
      <c r="K1289" s="69"/>
      <c r="L1289" s="69"/>
      <c r="M1289" s="69"/>
      <c r="N1289" s="69"/>
      <c r="O1289" s="69"/>
      <c r="P1289" s="2"/>
      <c r="Q1289" s="2"/>
      <c r="R1289" s="32"/>
      <c r="S1289" s="32"/>
      <c r="T1289" s="32"/>
      <c r="U1289" s="32"/>
      <c r="V1289" s="2"/>
      <c r="W1289" s="2"/>
      <c r="X1289" s="2"/>
      <c r="Y1289" s="2"/>
      <c r="Z1289" s="2"/>
    </row>
    <row r="1290" spans="1:26" ht="13.8" x14ac:dyDescent="0.3">
      <c r="A1290" s="2"/>
      <c r="B1290" s="2"/>
      <c r="C1290" s="10"/>
      <c r="D1290" s="10"/>
      <c r="E1290" s="10"/>
      <c r="F1290" s="10"/>
      <c r="G1290" s="69"/>
      <c r="H1290" s="69"/>
      <c r="I1290" s="69"/>
      <c r="J1290" s="70"/>
      <c r="K1290" s="69"/>
      <c r="L1290" s="69"/>
      <c r="M1290" s="69"/>
      <c r="N1290" s="69"/>
      <c r="O1290" s="69"/>
      <c r="P1290" s="2"/>
      <c r="Q1290" s="2"/>
      <c r="R1290" s="32"/>
      <c r="S1290" s="32"/>
      <c r="T1290" s="32"/>
      <c r="U1290" s="32"/>
      <c r="V1290" s="2"/>
      <c r="W1290" s="2"/>
      <c r="X1290" s="2"/>
      <c r="Y1290" s="2"/>
      <c r="Z1290" s="2"/>
    </row>
    <row r="1291" spans="1:26" ht="13.8" x14ac:dyDescent="0.3">
      <c r="A1291" s="2"/>
      <c r="B1291" s="2"/>
      <c r="C1291" s="10"/>
      <c r="D1291" s="10"/>
      <c r="E1291" s="10"/>
      <c r="F1291" s="10"/>
      <c r="G1291" s="69"/>
      <c r="H1291" s="69"/>
      <c r="I1291" s="69"/>
      <c r="J1291" s="70"/>
      <c r="K1291" s="69"/>
      <c r="L1291" s="69"/>
      <c r="M1291" s="69"/>
      <c r="N1291" s="69"/>
      <c r="O1291" s="69"/>
      <c r="P1291" s="2"/>
      <c r="Q1291" s="2"/>
      <c r="R1291" s="32"/>
      <c r="S1291" s="32"/>
      <c r="T1291" s="32"/>
      <c r="U1291" s="32"/>
      <c r="V1291" s="2"/>
      <c r="W1291" s="2"/>
      <c r="X1291" s="2"/>
      <c r="Y1291" s="2"/>
      <c r="Z1291" s="2"/>
    </row>
    <row r="1292" spans="1:26" ht="13.8" x14ac:dyDescent="0.3">
      <c r="A1292" s="2"/>
      <c r="B1292" s="2"/>
      <c r="C1292" s="10"/>
      <c r="D1292" s="10"/>
      <c r="E1292" s="10"/>
      <c r="F1292" s="10"/>
      <c r="G1292" s="69"/>
      <c r="H1292" s="69"/>
      <c r="I1292" s="69"/>
      <c r="J1292" s="70"/>
      <c r="K1292" s="69"/>
      <c r="L1292" s="69"/>
      <c r="M1292" s="69"/>
      <c r="N1292" s="69"/>
      <c r="O1292" s="69"/>
      <c r="P1292" s="2"/>
      <c r="Q1292" s="2"/>
      <c r="R1292" s="32"/>
      <c r="S1292" s="32"/>
      <c r="T1292" s="32"/>
      <c r="U1292" s="32"/>
      <c r="V1292" s="2"/>
      <c r="W1292" s="2"/>
      <c r="X1292" s="2"/>
      <c r="Y1292" s="2"/>
      <c r="Z1292" s="2"/>
    </row>
    <row r="1293" spans="1:26" ht="13.8" x14ac:dyDescent="0.3">
      <c r="A1293" s="2"/>
      <c r="B1293" s="2"/>
      <c r="C1293" s="10"/>
      <c r="D1293" s="10"/>
      <c r="E1293" s="10"/>
      <c r="F1293" s="10"/>
      <c r="G1293" s="69"/>
      <c r="H1293" s="69"/>
      <c r="I1293" s="69"/>
      <c r="J1293" s="70"/>
      <c r="K1293" s="69"/>
      <c r="L1293" s="69"/>
      <c r="M1293" s="69"/>
      <c r="N1293" s="69"/>
      <c r="O1293" s="69"/>
      <c r="P1293" s="2"/>
      <c r="Q1293" s="2"/>
      <c r="R1293" s="32"/>
      <c r="S1293" s="32"/>
      <c r="T1293" s="32"/>
      <c r="U1293" s="32"/>
      <c r="V1293" s="2"/>
      <c r="W1293" s="2"/>
      <c r="X1293" s="2"/>
      <c r="Y1293" s="2"/>
      <c r="Z1293" s="2"/>
    </row>
    <row r="1294" spans="1:26" ht="13.8" x14ac:dyDescent="0.3">
      <c r="A1294" s="2"/>
      <c r="B1294" s="2"/>
      <c r="C1294" s="10"/>
      <c r="D1294" s="10"/>
      <c r="E1294" s="10"/>
      <c r="F1294" s="10"/>
      <c r="G1294" s="69"/>
      <c r="H1294" s="69"/>
      <c r="I1294" s="69"/>
      <c r="J1294" s="70"/>
      <c r="K1294" s="69"/>
      <c r="L1294" s="69"/>
      <c r="M1294" s="69"/>
      <c r="N1294" s="69"/>
      <c r="O1294" s="69"/>
      <c r="P1294" s="2"/>
      <c r="Q1294" s="2"/>
      <c r="R1294" s="32"/>
      <c r="S1294" s="32"/>
      <c r="T1294" s="32"/>
      <c r="U1294" s="32"/>
      <c r="V1294" s="2"/>
      <c r="W1294" s="2"/>
      <c r="X1294" s="2"/>
      <c r="Y1294" s="2"/>
      <c r="Z1294" s="2"/>
    </row>
    <row r="1295" spans="1:26" ht="13.8" x14ac:dyDescent="0.3">
      <c r="A1295" s="2"/>
      <c r="B1295" s="2"/>
      <c r="C1295" s="10"/>
      <c r="D1295" s="10"/>
      <c r="E1295" s="10"/>
      <c r="F1295" s="10"/>
      <c r="G1295" s="69"/>
      <c r="H1295" s="69"/>
      <c r="I1295" s="69"/>
      <c r="J1295" s="70"/>
      <c r="K1295" s="69"/>
      <c r="L1295" s="69"/>
      <c r="M1295" s="69"/>
      <c r="N1295" s="69"/>
      <c r="O1295" s="69"/>
      <c r="P1295" s="2"/>
      <c r="Q1295" s="2"/>
      <c r="R1295" s="32"/>
      <c r="S1295" s="32"/>
      <c r="T1295" s="32"/>
      <c r="U1295" s="32"/>
      <c r="V1295" s="2"/>
      <c r="W1295" s="2"/>
      <c r="X1295" s="2"/>
      <c r="Y1295" s="2"/>
      <c r="Z1295" s="2"/>
    </row>
    <row r="1296" spans="1:26" ht="13.8" x14ac:dyDescent="0.3">
      <c r="A1296" s="2"/>
      <c r="B1296" s="2"/>
      <c r="C1296" s="10"/>
      <c r="D1296" s="10"/>
      <c r="E1296" s="10"/>
      <c r="F1296" s="10"/>
      <c r="G1296" s="69"/>
      <c r="H1296" s="69"/>
      <c r="I1296" s="69"/>
      <c r="J1296" s="70"/>
      <c r="K1296" s="69"/>
      <c r="L1296" s="69"/>
      <c r="M1296" s="69"/>
      <c r="N1296" s="69"/>
      <c r="O1296" s="69"/>
      <c r="P1296" s="2"/>
      <c r="Q1296" s="2"/>
      <c r="R1296" s="32"/>
      <c r="S1296" s="32"/>
      <c r="T1296" s="32"/>
      <c r="U1296" s="32"/>
      <c r="V1296" s="2"/>
      <c r="W1296" s="2"/>
      <c r="X1296" s="2"/>
      <c r="Y1296" s="2"/>
      <c r="Z1296" s="2"/>
    </row>
    <row r="1297" spans="1:26" ht="13.8" x14ac:dyDescent="0.3">
      <c r="A1297" s="2"/>
      <c r="B1297" s="2"/>
      <c r="C1297" s="10"/>
      <c r="D1297" s="10"/>
      <c r="E1297" s="10"/>
      <c r="F1297" s="10"/>
      <c r="G1297" s="69"/>
      <c r="H1297" s="69"/>
      <c r="I1297" s="69"/>
      <c r="J1297" s="70"/>
      <c r="K1297" s="69"/>
      <c r="L1297" s="69"/>
      <c r="M1297" s="69"/>
      <c r="N1297" s="69"/>
      <c r="O1297" s="69"/>
      <c r="P1297" s="2"/>
      <c r="Q1297" s="2"/>
      <c r="R1297" s="32"/>
      <c r="S1297" s="32"/>
      <c r="T1297" s="32"/>
      <c r="U1297" s="32"/>
      <c r="V1297" s="2"/>
      <c r="W1297" s="2"/>
      <c r="X1297" s="2"/>
      <c r="Y1297" s="2"/>
      <c r="Z1297" s="2"/>
    </row>
    <row r="1298" spans="1:26" ht="13.8" x14ac:dyDescent="0.3">
      <c r="A1298" s="2"/>
      <c r="B1298" s="2"/>
      <c r="C1298" s="10"/>
      <c r="D1298" s="10"/>
      <c r="E1298" s="10"/>
      <c r="F1298" s="10"/>
      <c r="G1298" s="69"/>
      <c r="H1298" s="69"/>
      <c r="I1298" s="69"/>
      <c r="J1298" s="70"/>
      <c r="K1298" s="69"/>
      <c r="L1298" s="69"/>
      <c r="M1298" s="69"/>
      <c r="N1298" s="69"/>
      <c r="O1298" s="69"/>
      <c r="P1298" s="2"/>
      <c r="Q1298" s="2"/>
      <c r="R1298" s="32"/>
      <c r="S1298" s="32"/>
      <c r="T1298" s="32"/>
      <c r="U1298" s="32"/>
      <c r="V1298" s="2"/>
      <c r="W1298" s="2"/>
      <c r="X1298" s="2"/>
      <c r="Y1298" s="2"/>
      <c r="Z1298" s="2"/>
    </row>
    <row r="1299" spans="1:26" ht="13.8" x14ac:dyDescent="0.3">
      <c r="A1299" s="2"/>
      <c r="B1299" s="2"/>
      <c r="C1299" s="10"/>
      <c r="D1299" s="10"/>
      <c r="E1299" s="10"/>
      <c r="F1299" s="10"/>
      <c r="G1299" s="69"/>
      <c r="H1299" s="69"/>
      <c r="I1299" s="69"/>
      <c r="J1299" s="70"/>
      <c r="K1299" s="69"/>
      <c r="L1299" s="69"/>
      <c r="M1299" s="69"/>
      <c r="N1299" s="69"/>
      <c r="O1299" s="69"/>
      <c r="P1299" s="2"/>
      <c r="Q1299" s="2"/>
      <c r="R1299" s="32"/>
      <c r="S1299" s="32"/>
      <c r="T1299" s="32"/>
      <c r="U1299" s="32"/>
      <c r="V1299" s="2"/>
      <c r="W1299" s="2"/>
      <c r="X1299" s="2"/>
      <c r="Y1299" s="2"/>
      <c r="Z1299" s="2"/>
    </row>
    <row r="1300" spans="1:26" ht="13.8" x14ac:dyDescent="0.3">
      <c r="A1300" s="2"/>
      <c r="B1300" s="2"/>
      <c r="C1300" s="10"/>
      <c r="D1300" s="10"/>
      <c r="E1300" s="10"/>
      <c r="F1300" s="10"/>
      <c r="G1300" s="69"/>
      <c r="H1300" s="69"/>
      <c r="I1300" s="69"/>
      <c r="J1300" s="70"/>
      <c r="K1300" s="69"/>
      <c r="L1300" s="69"/>
      <c r="M1300" s="69"/>
      <c r="N1300" s="69"/>
      <c r="O1300" s="69"/>
      <c r="P1300" s="2"/>
      <c r="Q1300" s="2"/>
      <c r="R1300" s="32"/>
      <c r="S1300" s="32"/>
      <c r="T1300" s="32"/>
      <c r="U1300" s="32"/>
      <c r="V1300" s="2"/>
      <c r="W1300" s="2"/>
      <c r="X1300" s="2"/>
      <c r="Y1300" s="2"/>
      <c r="Z1300" s="2"/>
    </row>
    <row r="1301" spans="1:26" ht="13.8" x14ac:dyDescent="0.3">
      <c r="A1301" s="2"/>
      <c r="B1301" s="2"/>
      <c r="C1301" s="10"/>
      <c r="D1301" s="10"/>
      <c r="E1301" s="10"/>
      <c r="F1301" s="10"/>
      <c r="G1301" s="69"/>
      <c r="H1301" s="69"/>
      <c r="I1301" s="69"/>
      <c r="J1301" s="70"/>
      <c r="K1301" s="69"/>
      <c r="L1301" s="69"/>
      <c r="M1301" s="69"/>
      <c r="N1301" s="69"/>
      <c r="O1301" s="69"/>
      <c r="P1301" s="2"/>
      <c r="Q1301" s="2"/>
      <c r="R1301" s="32"/>
      <c r="S1301" s="32"/>
      <c r="T1301" s="32"/>
      <c r="U1301" s="32"/>
      <c r="V1301" s="2"/>
      <c r="W1301" s="2"/>
      <c r="X1301" s="2"/>
      <c r="Y1301" s="2"/>
      <c r="Z1301" s="2"/>
    </row>
    <row r="1302" spans="1:26" ht="13.8" x14ac:dyDescent="0.3">
      <c r="A1302" s="2"/>
      <c r="B1302" s="2"/>
      <c r="C1302" s="10"/>
      <c r="D1302" s="10"/>
      <c r="E1302" s="10"/>
      <c r="F1302" s="10"/>
      <c r="G1302" s="69"/>
      <c r="H1302" s="69"/>
      <c r="I1302" s="69"/>
      <c r="J1302" s="70"/>
      <c r="K1302" s="69"/>
      <c r="L1302" s="69"/>
      <c r="M1302" s="69"/>
      <c r="N1302" s="69"/>
      <c r="O1302" s="69"/>
      <c r="P1302" s="2"/>
      <c r="Q1302" s="2"/>
      <c r="R1302" s="32"/>
      <c r="S1302" s="32"/>
      <c r="T1302" s="32"/>
      <c r="U1302" s="32"/>
      <c r="V1302" s="2"/>
      <c r="W1302" s="2"/>
      <c r="X1302" s="2"/>
      <c r="Y1302" s="2"/>
      <c r="Z1302" s="2"/>
    </row>
    <row r="1303" spans="1:26" ht="13.8" x14ac:dyDescent="0.3">
      <c r="A1303" s="2"/>
      <c r="B1303" s="2"/>
      <c r="C1303" s="10"/>
      <c r="D1303" s="10"/>
      <c r="E1303" s="10"/>
      <c r="F1303" s="10"/>
      <c r="G1303" s="69"/>
      <c r="H1303" s="69"/>
      <c r="I1303" s="69"/>
      <c r="J1303" s="70"/>
      <c r="K1303" s="69"/>
      <c r="L1303" s="69"/>
      <c r="M1303" s="69"/>
      <c r="N1303" s="69"/>
      <c r="O1303" s="69"/>
      <c r="P1303" s="2"/>
      <c r="Q1303" s="2"/>
      <c r="R1303" s="32"/>
      <c r="S1303" s="32"/>
      <c r="T1303" s="32"/>
      <c r="U1303" s="32"/>
      <c r="V1303" s="2"/>
      <c r="W1303" s="2"/>
      <c r="X1303" s="2"/>
      <c r="Y1303" s="2"/>
      <c r="Z1303" s="2"/>
    </row>
    <row r="1304" spans="1:26" ht="13.8" x14ac:dyDescent="0.3">
      <c r="A1304" s="2"/>
      <c r="B1304" s="2"/>
      <c r="C1304" s="10"/>
      <c r="D1304" s="10"/>
      <c r="E1304" s="10"/>
      <c r="F1304" s="10"/>
      <c r="G1304" s="69"/>
      <c r="H1304" s="69"/>
      <c r="I1304" s="69"/>
      <c r="J1304" s="70"/>
      <c r="K1304" s="69"/>
      <c r="L1304" s="69"/>
      <c r="M1304" s="69"/>
      <c r="N1304" s="69"/>
      <c r="O1304" s="69"/>
      <c r="P1304" s="2"/>
      <c r="Q1304" s="2"/>
      <c r="R1304" s="32"/>
      <c r="S1304" s="32"/>
      <c r="T1304" s="32"/>
      <c r="U1304" s="32"/>
      <c r="V1304" s="2"/>
      <c r="W1304" s="2"/>
      <c r="X1304" s="2"/>
      <c r="Y1304" s="2"/>
      <c r="Z1304" s="2"/>
    </row>
    <row r="1305" spans="1:26" ht="13.8" x14ac:dyDescent="0.3">
      <c r="A1305" s="2"/>
      <c r="B1305" s="2"/>
      <c r="C1305" s="10"/>
      <c r="D1305" s="10"/>
      <c r="E1305" s="10"/>
      <c r="F1305" s="10"/>
      <c r="G1305" s="69"/>
      <c r="H1305" s="69"/>
      <c r="I1305" s="69"/>
      <c r="J1305" s="70"/>
      <c r="K1305" s="69"/>
      <c r="L1305" s="69"/>
      <c r="M1305" s="69"/>
      <c r="N1305" s="69"/>
      <c r="O1305" s="69"/>
      <c r="P1305" s="2"/>
      <c r="Q1305" s="2"/>
      <c r="R1305" s="32"/>
      <c r="S1305" s="32"/>
      <c r="T1305" s="32"/>
      <c r="U1305" s="32"/>
      <c r="V1305" s="2"/>
      <c r="W1305" s="2"/>
      <c r="X1305" s="2"/>
      <c r="Y1305" s="2"/>
      <c r="Z1305" s="2"/>
    </row>
    <row r="1306" spans="1:26" ht="13.8" x14ac:dyDescent="0.3">
      <c r="A1306" s="2"/>
      <c r="B1306" s="2"/>
      <c r="C1306" s="10"/>
      <c r="D1306" s="10"/>
      <c r="E1306" s="10"/>
      <c r="F1306" s="10"/>
      <c r="G1306" s="69"/>
      <c r="H1306" s="69"/>
      <c r="I1306" s="69"/>
      <c r="J1306" s="70"/>
      <c r="K1306" s="69"/>
      <c r="L1306" s="69"/>
      <c r="M1306" s="69"/>
      <c r="N1306" s="69"/>
      <c r="O1306" s="69"/>
      <c r="P1306" s="2"/>
      <c r="Q1306" s="2"/>
      <c r="R1306" s="32"/>
      <c r="S1306" s="32"/>
      <c r="T1306" s="32"/>
      <c r="U1306" s="32"/>
      <c r="V1306" s="2"/>
      <c r="W1306" s="2"/>
      <c r="X1306" s="2"/>
      <c r="Y1306" s="2"/>
      <c r="Z1306" s="2"/>
    </row>
    <row r="1307" spans="1:26" ht="13.8" x14ac:dyDescent="0.3">
      <c r="A1307" s="2"/>
      <c r="B1307" s="2"/>
      <c r="C1307" s="10"/>
      <c r="D1307" s="10"/>
      <c r="E1307" s="10"/>
      <c r="F1307" s="10"/>
      <c r="G1307" s="69"/>
      <c r="H1307" s="69"/>
      <c r="I1307" s="69"/>
      <c r="J1307" s="70"/>
      <c r="K1307" s="69"/>
      <c r="L1307" s="69"/>
      <c r="M1307" s="69"/>
      <c r="N1307" s="69"/>
      <c r="O1307" s="69"/>
      <c r="P1307" s="2"/>
      <c r="Q1307" s="2"/>
      <c r="R1307" s="32"/>
      <c r="S1307" s="32"/>
      <c r="T1307" s="32"/>
      <c r="U1307" s="32"/>
      <c r="V1307" s="2"/>
      <c r="W1307" s="2"/>
      <c r="X1307" s="2"/>
      <c r="Y1307" s="2"/>
      <c r="Z1307" s="2"/>
    </row>
    <row r="1308" spans="1:26" ht="13.8" x14ac:dyDescent="0.3">
      <c r="A1308" s="2"/>
      <c r="B1308" s="2"/>
      <c r="C1308" s="10"/>
      <c r="D1308" s="10"/>
      <c r="E1308" s="10"/>
      <c r="F1308" s="10"/>
      <c r="G1308" s="69"/>
      <c r="H1308" s="69"/>
      <c r="I1308" s="69"/>
      <c r="J1308" s="70"/>
      <c r="K1308" s="69"/>
      <c r="L1308" s="69"/>
      <c r="M1308" s="69"/>
      <c r="N1308" s="69"/>
      <c r="O1308" s="69"/>
      <c r="P1308" s="2"/>
      <c r="Q1308" s="2"/>
      <c r="R1308" s="32"/>
      <c r="S1308" s="32"/>
      <c r="T1308" s="32"/>
      <c r="U1308" s="32"/>
      <c r="V1308" s="2"/>
      <c r="W1308" s="2"/>
      <c r="X1308" s="2"/>
      <c r="Y1308" s="2"/>
      <c r="Z1308" s="2"/>
    </row>
    <row r="1309" spans="1:26" ht="13.8" x14ac:dyDescent="0.3">
      <c r="A1309" s="2"/>
      <c r="B1309" s="2"/>
      <c r="C1309" s="10"/>
      <c r="D1309" s="10"/>
      <c r="E1309" s="10"/>
      <c r="F1309" s="10"/>
      <c r="G1309" s="69"/>
      <c r="H1309" s="69"/>
      <c r="I1309" s="69"/>
      <c r="J1309" s="70"/>
      <c r="K1309" s="69"/>
      <c r="L1309" s="69"/>
      <c r="M1309" s="69"/>
      <c r="N1309" s="69"/>
      <c r="O1309" s="69"/>
      <c r="P1309" s="2"/>
      <c r="Q1309" s="2"/>
      <c r="R1309" s="32"/>
      <c r="S1309" s="32"/>
      <c r="T1309" s="32"/>
      <c r="U1309" s="32"/>
      <c r="V1309" s="2"/>
      <c r="W1309" s="2"/>
      <c r="X1309" s="2"/>
      <c r="Y1309" s="2"/>
      <c r="Z1309" s="2"/>
    </row>
    <row r="1310" spans="1:26" ht="13.8" x14ac:dyDescent="0.3">
      <c r="A1310" s="2"/>
      <c r="B1310" s="2"/>
      <c r="C1310" s="10"/>
      <c r="D1310" s="10"/>
      <c r="E1310" s="10"/>
      <c r="F1310" s="10"/>
      <c r="G1310" s="69"/>
      <c r="H1310" s="69"/>
      <c r="I1310" s="69"/>
      <c r="J1310" s="70"/>
      <c r="K1310" s="69"/>
      <c r="L1310" s="69"/>
      <c r="M1310" s="69"/>
      <c r="N1310" s="69"/>
      <c r="O1310" s="69"/>
      <c r="P1310" s="2"/>
      <c r="Q1310" s="2"/>
      <c r="R1310" s="32"/>
      <c r="S1310" s="32"/>
      <c r="T1310" s="32"/>
      <c r="U1310" s="32"/>
      <c r="V1310" s="2"/>
      <c r="W1310" s="2"/>
      <c r="X1310" s="2"/>
      <c r="Y1310" s="2"/>
      <c r="Z1310" s="2"/>
    </row>
    <row r="1311" spans="1:26" ht="13.8" x14ac:dyDescent="0.3">
      <c r="A1311" s="2"/>
      <c r="B1311" s="2"/>
      <c r="C1311" s="10"/>
      <c r="D1311" s="10"/>
      <c r="E1311" s="10"/>
      <c r="F1311" s="10"/>
      <c r="G1311" s="69"/>
      <c r="H1311" s="69"/>
      <c r="I1311" s="69"/>
      <c r="J1311" s="70"/>
      <c r="K1311" s="69"/>
      <c r="L1311" s="69"/>
      <c r="M1311" s="69"/>
      <c r="N1311" s="69"/>
      <c r="O1311" s="69"/>
      <c r="P1311" s="2"/>
      <c r="Q1311" s="2"/>
      <c r="R1311" s="32"/>
      <c r="S1311" s="32"/>
      <c r="T1311" s="32"/>
      <c r="U1311" s="32"/>
      <c r="V1311" s="2"/>
      <c r="W1311" s="2"/>
      <c r="X1311" s="2"/>
      <c r="Y1311" s="2"/>
      <c r="Z1311" s="2"/>
    </row>
    <row r="1312" spans="1:26" ht="13.8" x14ac:dyDescent="0.3">
      <c r="A1312" s="2"/>
      <c r="B1312" s="2"/>
      <c r="C1312" s="10"/>
      <c r="D1312" s="10"/>
      <c r="E1312" s="10"/>
      <c r="F1312" s="10"/>
      <c r="G1312" s="69"/>
      <c r="H1312" s="69"/>
      <c r="I1312" s="69"/>
      <c r="J1312" s="70"/>
      <c r="K1312" s="69"/>
      <c r="L1312" s="69"/>
      <c r="M1312" s="69"/>
      <c r="N1312" s="69"/>
      <c r="O1312" s="69"/>
      <c r="P1312" s="2"/>
      <c r="Q1312" s="2"/>
      <c r="R1312" s="32"/>
      <c r="S1312" s="32"/>
      <c r="T1312" s="32"/>
      <c r="U1312" s="32"/>
      <c r="V1312" s="2"/>
      <c r="W1312" s="2"/>
      <c r="X1312" s="2"/>
      <c r="Y1312" s="2"/>
      <c r="Z1312" s="2"/>
    </row>
    <row r="1313" spans="1:26" ht="13.8" x14ac:dyDescent="0.3">
      <c r="A1313" s="2"/>
      <c r="B1313" s="2"/>
      <c r="C1313" s="10"/>
      <c r="D1313" s="10"/>
      <c r="E1313" s="10"/>
      <c r="F1313" s="10"/>
      <c r="G1313" s="69"/>
      <c r="H1313" s="69"/>
      <c r="I1313" s="69"/>
      <c r="J1313" s="70"/>
      <c r="K1313" s="69"/>
      <c r="L1313" s="69"/>
      <c r="M1313" s="69"/>
      <c r="N1313" s="69"/>
      <c r="O1313" s="69"/>
      <c r="P1313" s="2"/>
      <c r="Q1313" s="2"/>
      <c r="R1313" s="32"/>
      <c r="S1313" s="32"/>
      <c r="T1313" s="32"/>
      <c r="U1313" s="32"/>
      <c r="V1313" s="2"/>
      <c r="W1313" s="2"/>
      <c r="X1313" s="2"/>
      <c r="Y1313" s="2"/>
      <c r="Z1313" s="2"/>
    </row>
    <row r="1314" spans="1:26" ht="13.8" x14ac:dyDescent="0.3">
      <c r="A1314" s="2"/>
      <c r="B1314" s="2"/>
      <c r="C1314" s="10"/>
      <c r="D1314" s="10"/>
      <c r="E1314" s="10"/>
      <c r="F1314" s="10"/>
      <c r="G1314" s="69"/>
      <c r="H1314" s="69"/>
      <c r="I1314" s="69"/>
      <c r="J1314" s="70"/>
      <c r="K1314" s="69"/>
      <c r="L1314" s="69"/>
      <c r="M1314" s="69"/>
      <c r="N1314" s="69"/>
      <c r="O1314" s="69"/>
      <c r="P1314" s="2"/>
      <c r="Q1314" s="2"/>
      <c r="R1314" s="32"/>
      <c r="S1314" s="32"/>
      <c r="T1314" s="32"/>
      <c r="U1314" s="32"/>
      <c r="V1314" s="2"/>
      <c r="W1314" s="2"/>
      <c r="X1314" s="2"/>
      <c r="Y1314" s="2"/>
      <c r="Z1314" s="2"/>
    </row>
    <row r="1315" spans="1:26" ht="13.8" x14ac:dyDescent="0.3">
      <c r="A1315" s="2"/>
      <c r="B1315" s="2"/>
      <c r="C1315" s="10"/>
      <c r="D1315" s="10"/>
      <c r="E1315" s="10"/>
      <c r="F1315" s="10"/>
      <c r="G1315" s="69"/>
      <c r="H1315" s="69"/>
      <c r="I1315" s="69"/>
      <c r="J1315" s="70"/>
      <c r="K1315" s="69"/>
      <c r="L1315" s="69"/>
      <c r="M1315" s="69"/>
      <c r="N1315" s="69"/>
      <c r="O1315" s="69"/>
      <c r="P1315" s="2"/>
      <c r="Q1315" s="2"/>
      <c r="R1315" s="32"/>
      <c r="S1315" s="32"/>
      <c r="T1315" s="32"/>
      <c r="U1315" s="32"/>
      <c r="V1315" s="2"/>
      <c r="W1315" s="2"/>
      <c r="X1315" s="2"/>
      <c r="Y1315" s="2"/>
      <c r="Z1315" s="2"/>
    </row>
    <row r="1316" spans="1:26" ht="13.8" x14ac:dyDescent="0.3">
      <c r="A1316" s="2"/>
      <c r="B1316" s="2"/>
      <c r="C1316" s="10"/>
      <c r="D1316" s="10"/>
      <c r="E1316" s="10"/>
      <c r="F1316" s="10"/>
      <c r="G1316" s="69"/>
      <c r="H1316" s="69"/>
      <c r="I1316" s="69"/>
      <c r="J1316" s="70"/>
      <c r="K1316" s="69"/>
      <c r="L1316" s="69"/>
      <c r="M1316" s="69"/>
      <c r="N1316" s="69"/>
      <c r="O1316" s="69"/>
      <c r="P1316" s="2"/>
      <c r="Q1316" s="2"/>
      <c r="R1316" s="32"/>
      <c r="S1316" s="32"/>
      <c r="T1316" s="32"/>
      <c r="U1316" s="32"/>
      <c r="V1316" s="2"/>
      <c r="W1316" s="2"/>
      <c r="X1316" s="2"/>
      <c r="Y1316" s="2"/>
      <c r="Z1316" s="2"/>
    </row>
    <row r="1317" spans="1:26" ht="13.8" x14ac:dyDescent="0.3">
      <c r="A1317" s="2"/>
      <c r="B1317" s="2"/>
      <c r="C1317" s="10"/>
      <c r="D1317" s="10"/>
      <c r="E1317" s="10"/>
      <c r="F1317" s="10"/>
      <c r="G1317" s="69"/>
      <c r="H1317" s="69"/>
      <c r="I1317" s="69"/>
      <c r="J1317" s="70"/>
      <c r="K1317" s="69"/>
      <c r="L1317" s="69"/>
      <c r="M1317" s="69"/>
      <c r="N1317" s="69"/>
      <c r="O1317" s="69"/>
      <c r="P1317" s="2"/>
      <c r="Q1317" s="2"/>
      <c r="R1317" s="32"/>
      <c r="S1317" s="32"/>
      <c r="T1317" s="32"/>
      <c r="U1317" s="32"/>
      <c r="V1317" s="2"/>
      <c r="W1317" s="2"/>
      <c r="X1317" s="2"/>
      <c r="Y1317" s="2"/>
      <c r="Z1317" s="2"/>
    </row>
    <row r="1318" spans="1:26" ht="13.8" x14ac:dyDescent="0.3">
      <c r="A1318" s="2"/>
      <c r="B1318" s="2"/>
      <c r="C1318" s="10"/>
      <c r="D1318" s="10"/>
      <c r="E1318" s="10"/>
      <c r="F1318" s="10"/>
      <c r="G1318" s="69"/>
      <c r="H1318" s="69"/>
      <c r="I1318" s="69"/>
      <c r="J1318" s="70"/>
      <c r="K1318" s="69"/>
      <c r="L1318" s="69"/>
      <c r="M1318" s="69"/>
      <c r="N1318" s="69"/>
      <c r="O1318" s="69"/>
      <c r="P1318" s="2"/>
      <c r="Q1318" s="2"/>
      <c r="R1318" s="32"/>
      <c r="S1318" s="32"/>
      <c r="T1318" s="32"/>
      <c r="U1318" s="32"/>
      <c r="V1318" s="2"/>
      <c r="W1318" s="2"/>
      <c r="X1318" s="2"/>
      <c r="Y1318" s="2"/>
      <c r="Z1318" s="2"/>
    </row>
    <row r="1319" spans="1:26" ht="13.8" x14ac:dyDescent="0.3">
      <c r="A1319" s="2"/>
      <c r="B1319" s="2"/>
      <c r="C1319" s="10"/>
      <c r="D1319" s="10"/>
      <c r="E1319" s="10"/>
      <c r="F1319" s="10"/>
      <c r="G1319" s="69"/>
      <c r="H1319" s="69"/>
      <c r="I1319" s="69"/>
      <c r="J1319" s="70"/>
      <c r="K1319" s="69"/>
      <c r="L1319" s="69"/>
      <c r="M1319" s="69"/>
      <c r="N1319" s="69"/>
      <c r="O1319" s="69"/>
      <c r="P1319" s="2"/>
      <c r="Q1319" s="2"/>
      <c r="R1319" s="32"/>
      <c r="S1319" s="32"/>
      <c r="T1319" s="32"/>
      <c r="U1319" s="32"/>
      <c r="V1319" s="2"/>
      <c r="W1319" s="2"/>
      <c r="X1319" s="2"/>
      <c r="Y1319" s="2"/>
      <c r="Z1319" s="2"/>
    </row>
    <row r="1320" spans="1:26" ht="13.8" x14ac:dyDescent="0.3">
      <c r="A1320" s="2"/>
      <c r="B1320" s="2"/>
      <c r="C1320" s="10"/>
      <c r="D1320" s="10"/>
      <c r="E1320" s="10"/>
      <c r="F1320" s="10"/>
      <c r="G1320" s="69"/>
      <c r="H1320" s="69"/>
      <c r="I1320" s="69"/>
      <c r="J1320" s="70"/>
      <c r="K1320" s="69"/>
      <c r="L1320" s="69"/>
      <c r="M1320" s="69"/>
      <c r="N1320" s="69"/>
      <c r="O1320" s="69"/>
      <c r="P1320" s="2"/>
      <c r="Q1320" s="2"/>
      <c r="R1320" s="32"/>
      <c r="S1320" s="32"/>
      <c r="T1320" s="32"/>
      <c r="U1320" s="32"/>
      <c r="V1320" s="2"/>
      <c r="W1320" s="2"/>
      <c r="X1320" s="2"/>
      <c r="Y1320" s="2"/>
      <c r="Z1320" s="2"/>
    </row>
    <row r="1321" spans="1:26" ht="13.8" x14ac:dyDescent="0.3">
      <c r="A1321" s="2"/>
      <c r="B1321" s="2"/>
      <c r="C1321" s="10"/>
      <c r="D1321" s="10"/>
      <c r="E1321" s="10"/>
      <c r="F1321" s="10"/>
      <c r="G1321" s="69"/>
      <c r="H1321" s="69"/>
      <c r="I1321" s="69"/>
      <c r="J1321" s="70"/>
      <c r="K1321" s="69"/>
      <c r="L1321" s="69"/>
      <c r="M1321" s="69"/>
      <c r="N1321" s="69"/>
      <c r="O1321" s="69"/>
      <c r="P1321" s="2"/>
      <c r="Q1321" s="2"/>
      <c r="R1321" s="32"/>
      <c r="S1321" s="32"/>
      <c r="T1321" s="32"/>
      <c r="U1321" s="32"/>
      <c r="V1321" s="2"/>
      <c r="W1321" s="2"/>
      <c r="X1321" s="2"/>
      <c r="Y1321" s="2"/>
      <c r="Z1321" s="2"/>
    </row>
    <row r="1322" spans="1:26" ht="13.8" x14ac:dyDescent="0.3">
      <c r="A1322" s="2"/>
      <c r="B1322" s="2"/>
      <c r="C1322" s="10"/>
      <c r="D1322" s="10"/>
      <c r="E1322" s="10"/>
      <c r="F1322" s="10"/>
      <c r="G1322" s="69"/>
      <c r="H1322" s="69"/>
      <c r="I1322" s="69"/>
      <c r="J1322" s="70"/>
      <c r="K1322" s="69"/>
      <c r="L1322" s="69"/>
      <c r="M1322" s="69"/>
      <c r="N1322" s="69"/>
      <c r="O1322" s="69"/>
      <c r="P1322" s="2"/>
      <c r="Q1322" s="2"/>
      <c r="R1322" s="32"/>
      <c r="S1322" s="32"/>
      <c r="T1322" s="32"/>
      <c r="U1322" s="32"/>
      <c r="V1322" s="2"/>
      <c r="W1322" s="2"/>
      <c r="X1322" s="2"/>
      <c r="Y1322" s="2"/>
      <c r="Z1322" s="2"/>
    </row>
    <row r="1323" spans="1:26" ht="13.8" x14ac:dyDescent="0.3">
      <c r="A1323" s="2"/>
      <c r="B1323" s="2"/>
      <c r="C1323" s="10"/>
      <c r="D1323" s="10"/>
      <c r="E1323" s="10"/>
      <c r="F1323" s="10"/>
      <c r="G1323" s="69"/>
      <c r="H1323" s="69"/>
      <c r="I1323" s="69"/>
      <c r="J1323" s="70"/>
      <c r="K1323" s="69"/>
      <c r="L1323" s="69"/>
      <c r="M1323" s="69"/>
      <c r="N1323" s="69"/>
      <c r="O1323" s="69"/>
      <c r="P1323" s="2"/>
      <c r="Q1323" s="2"/>
      <c r="R1323" s="32"/>
      <c r="S1323" s="32"/>
      <c r="T1323" s="32"/>
      <c r="U1323" s="32"/>
      <c r="V1323" s="2"/>
      <c r="W1323" s="2"/>
      <c r="X1323" s="2"/>
      <c r="Y1323" s="2"/>
      <c r="Z1323" s="2"/>
    </row>
    <row r="1324" spans="1:26" ht="13.8" x14ac:dyDescent="0.3">
      <c r="A1324" s="2"/>
      <c r="B1324" s="2"/>
      <c r="C1324" s="10"/>
      <c r="D1324" s="10"/>
      <c r="E1324" s="10"/>
      <c r="F1324" s="10"/>
      <c r="G1324" s="69"/>
      <c r="H1324" s="69"/>
      <c r="I1324" s="69"/>
      <c r="J1324" s="70"/>
      <c r="K1324" s="69"/>
      <c r="L1324" s="69"/>
      <c r="M1324" s="69"/>
      <c r="N1324" s="69"/>
      <c r="O1324" s="69"/>
      <c r="P1324" s="2"/>
      <c r="Q1324" s="2"/>
      <c r="R1324" s="32"/>
      <c r="S1324" s="32"/>
      <c r="T1324" s="32"/>
      <c r="U1324" s="32"/>
      <c r="V1324" s="2"/>
      <c r="W1324" s="2"/>
      <c r="X1324" s="2"/>
      <c r="Y1324" s="2"/>
      <c r="Z1324" s="2"/>
    </row>
    <row r="1325" spans="1:26" ht="13.8" x14ac:dyDescent="0.3">
      <c r="A1325" s="2"/>
      <c r="B1325" s="2"/>
      <c r="C1325" s="10"/>
      <c r="D1325" s="10"/>
      <c r="E1325" s="10"/>
      <c r="F1325" s="10"/>
      <c r="G1325" s="69"/>
      <c r="H1325" s="69"/>
      <c r="I1325" s="69"/>
      <c r="J1325" s="70"/>
      <c r="K1325" s="69"/>
      <c r="L1325" s="69"/>
      <c r="M1325" s="69"/>
      <c r="N1325" s="69"/>
      <c r="O1325" s="69"/>
      <c r="P1325" s="2"/>
      <c r="Q1325" s="2"/>
      <c r="R1325" s="32"/>
      <c r="S1325" s="32"/>
      <c r="T1325" s="32"/>
      <c r="U1325" s="32"/>
      <c r="V1325" s="2"/>
      <c r="W1325" s="2"/>
      <c r="X1325" s="2"/>
      <c r="Y1325" s="2"/>
      <c r="Z1325" s="2"/>
    </row>
    <row r="1326" spans="1:26" ht="13.8" x14ac:dyDescent="0.3">
      <c r="A1326" s="2"/>
      <c r="B1326" s="2"/>
      <c r="C1326" s="10"/>
      <c r="D1326" s="10"/>
      <c r="E1326" s="10"/>
      <c r="F1326" s="10"/>
      <c r="G1326" s="69"/>
      <c r="H1326" s="69"/>
      <c r="I1326" s="69"/>
      <c r="J1326" s="70"/>
      <c r="K1326" s="69"/>
      <c r="L1326" s="69"/>
      <c r="M1326" s="69"/>
      <c r="N1326" s="69"/>
      <c r="O1326" s="69"/>
      <c r="P1326" s="2"/>
      <c r="Q1326" s="2"/>
      <c r="R1326" s="32"/>
      <c r="S1326" s="32"/>
      <c r="T1326" s="32"/>
      <c r="U1326" s="32"/>
      <c r="V1326" s="2"/>
      <c r="W1326" s="2"/>
      <c r="X1326" s="2"/>
      <c r="Y1326" s="2"/>
      <c r="Z1326" s="2"/>
    </row>
    <row r="1327" spans="1:26" ht="13.8" x14ac:dyDescent="0.3">
      <c r="A1327" s="2"/>
      <c r="B1327" s="2"/>
      <c r="C1327" s="10"/>
      <c r="D1327" s="10"/>
      <c r="E1327" s="10"/>
      <c r="F1327" s="10"/>
      <c r="G1327" s="69"/>
      <c r="H1327" s="69"/>
      <c r="I1327" s="69"/>
      <c r="J1327" s="70"/>
      <c r="K1327" s="69"/>
      <c r="L1327" s="69"/>
      <c r="M1327" s="69"/>
      <c r="N1327" s="69"/>
      <c r="O1327" s="69"/>
      <c r="P1327" s="2"/>
      <c r="Q1327" s="2"/>
      <c r="R1327" s="32"/>
      <c r="S1327" s="32"/>
      <c r="T1327" s="32"/>
      <c r="U1327" s="32"/>
      <c r="V1327" s="2"/>
      <c r="W1327" s="2"/>
      <c r="X1327" s="2"/>
      <c r="Y1327" s="2"/>
      <c r="Z1327" s="2"/>
    </row>
    <row r="1328" spans="1:26" ht="13.8" x14ac:dyDescent="0.3">
      <c r="A1328" s="2"/>
      <c r="B1328" s="2"/>
      <c r="C1328" s="10"/>
      <c r="D1328" s="10"/>
      <c r="E1328" s="10"/>
      <c r="F1328" s="10"/>
      <c r="G1328" s="69"/>
      <c r="H1328" s="69"/>
      <c r="I1328" s="69"/>
      <c r="J1328" s="70"/>
      <c r="K1328" s="69"/>
      <c r="L1328" s="69"/>
      <c r="M1328" s="69"/>
      <c r="N1328" s="69"/>
      <c r="O1328" s="69"/>
      <c r="P1328" s="2"/>
      <c r="Q1328" s="2"/>
      <c r="R1328" s="32"/>
      <c r="S1328" s="32"/>
      <c r="T1328" s="32"/>
      <c r="U1328" s="32"/>
      <c r="V1328" s="2"/>
      <c r="W1328" s="2"/>
      <c r="X1328" s="2"/>
      <c r="Y1328" s="2"/>
      <c r="Z1328" s="2"/>
    </row>
    <row r="1329" spans="1:26" ht="13.8" x14ac:dyDescent="0.3">
      <c r="A1329" s="2"/>
      <c r="B1329" s="2"/>
      <c r="C1329" s="10"/>
      <c r="D1329" s="10"/>
      <c r="E1329" s="10"/>
      <c r="F1329" s="10"/>
      <c r="G1329" s="69"/>
      <c r="H1329" s="69"/>
      <c r="I1329" s="69"/>
      <c r="J1329" s="70"/>
      <c r="K1329" s="69"/>
      <c r="L1329" s="69"/>
      <c r="M1329" s="69"/>
      <c r="N1329" s="69"/>
      <c r="O1329" s="69"/>
      <c r="P1329" s="2"/>
      <c r="Q1329" s="2"/>
      <c r="R1329" s="32"/>
      <c r="S1329" s="32"/>
      <c r="T1329" s="32"/>
      <c r="U1329" s="32"/>
      <c r="V1329" s="2"/>
      <c r="W1329" s="2"/>
      <c r="X1329" s="2"/>
      <c r="Y1329" s="2"/>
      <c r="Z1329" s="2"/>
    </row>
    <row r="1330" spans="1:26" ht="13.8" x14ac:dyDescent="0.3">
      <c r="A1330" s="2"/>
      <c r="B1330" s="2"/>
      <c r="C1330" s="10"/>
      <c r="D1330" s="10"/>
      <c r="E1330" s="10"/>
      <c r="F1330" s="10"/>
      <c r="G1330" s="69"/>
      <c r="H1330" s="69"/>
      <c r="I1330" s="69"/>
      <c r="J1330" s="70"/>
      <c r="K1330" s="69"/>
      <c r="L1330" s="69"/>
      <c r="M1330" s="69"/>
      <c r="N1330" s="69"/>
      <c r="O1330" s="69"/>
      <c r="P1330" s="2"/>
      <c r="Q1330" s="2"/>
      <c r="R1330" s="32"/>
      <c r="S1330" s="32"/>
      <c r="T1330" s="32"/>
      <c r="U1330" s="32"/>
      <c r="V1330" s="2"/>
      <c r="W1330" s="2"/>
      <c r="X1330" s="2"/>
      <c r="Y1330" s="2"/>
      <c r="Z1330" s="2"/>
    </row>
    <row r="1331" spans="1:26" ht="13.8" x14ac:dyDescent="0.3">
      <c r="A1331" s="2"/>
      <c r="B1331" s="2"/>
      <c r="C1331" s="10"/>
      <c r="D1331" s="10"/>
      <c r="E1331" s="10"/>
      <c r="F1331" s="10"/>
      <c r="G1331" s="69"/>
      <c r="H1331" s="69"/>
      <c r="I1331" s="69"/>
      <c r="J1331" s="70"/>
      <c r="K1331" s="69"/>
      <c r="L1331" s="69"/>
      <c r="M1331" s="69"/>
      <c r="N1331" s="69"/>
      <c r="O1331" s="69"/>
      <c r="P1331" s="2"/>
      <c r="Q1331" s="2"/>
      <c r="R1331" s="32"/>
      <c r="S1331" s="32"/>
      <c r="T1331" s="32"/>
      <c r="U1331" s="32"/>
      <c r="V1331" s="2"/>
      <c r="W1331" s="2"/>
      <c r="X1331" s="2"/>
      <c r="Y1331" s="2"/>
      <c r="Z1331" s="2"/>
    </row>
    <row r="1332" spans="1:26" ht="13.8" x14ac:dyDescent="0.3">
      <c r="A1332" s="2"/>
      <c r="B1332" s="2"/>
      <c r="C1332" s="10"/>
      <c r="D1332" s="10"/>
      <c r="E1332" s="10"/>
      <c r="F1332" s="10"/>
      <c r="G1332" s="69"/>
      <c r="H1332" s="69"/>
      <c r="I1332" s="69"/>
      <c r="J1332" s="70"/>
      <c r="K1332" s="69"/>
      <c r="L1332" s="69"/>
      <c r="M1332" s="69"/>
      <c r="N1332" s="69"/>
      <c r="O1332" s="69"/>
      <c r="P1332" s="2"/>
      <c r="Q1332" s="2"/>
      <c r="R1332" s="32"/>
      <c r="S1332" s="32"/>
      <c r="T1332" s="32"/>
      <c r="U1332" s="32"/>
      <c r="V1332" s="2"/>
      <c r="W1332" s="2"/>
      <c r="X1332" s="2"/>
      <c r="Y1332" s="2"/>
      <c r="Z1332" s="2"/>
    </row>
    <row r="1333" spans="1:26" ht="13.8" x14ac:dyDescent="0.3">
      <c r="A1333" s="2"/>
      <c r="B1333" s="2"/>
      <c r="C1333" s="10"/>
      <c r="D1333" s="10"/>
      <c r="E1333" s="10"/>
      <c r="F1333" s="10"/>
      <c r="G1333" s="69"/>
      <c r="H1333" s="69"/>
      <c r="I1333" s="69"/>
      <c r="J1333" s="70"/>
      <c r="K1333" s="69"/>
      <c r="L1333" s="69"/>
      <c r="M1333" s="69"/>
      <c r="N1333" s="69"/>
      <c r="O1333" s="69"/>
      <c r="P1333" s="2"/>
      <c r="Q1333" s="2"/>
      <c r="R1333" s="32"/>
      <c r="S1333" s="32"/>
      <c r="T1333" s="32"/>
      <c r="U1333" s="32"/>
      <c r="V1333" s="2"/>
      <c r="W1333" s="2"/>
      <c r="X1333" s="2"/>
      <c r="Y1333" s="2"/>
      <c r="Z1333" s="2"/>
    </row>
    <row r="1334" spans="1:26" ht="13.8" x14ac:dyDescent="0.3">
      <c r="A1334" s="2"/>
      <c r="B1334" s="2"/>
      <c r="C1334" s="10"/>
      <c r="D1334" s="10"/>
      <c r="E1334" s="10"/>
      <c r="F1334" s="10"/>
      <c r="G1334" s="69"/>
      <c r="H1334" s="69"/>
      <c r="I1334" s="69"/>
      <c r="J1334" s="70"/>
      <c r="K1334" s="69"/>
      <c r="L1334" s="69"/>
      <c r="M1334" s="69"/>
      <c r="N1334" s="69"/>
      <c r="O1334" s="69"/>
      <c r="P1334" s="2"/>
      <c r="Q1334" s="2"/>
      <c r="R1334" s="32"/>
      <c r="S1334" s="32"/>
      <c r="T1334" s="32"/>
      <c r="U1334" s="32"/>
      <c r="V1334" s="2"/>
      <c r="W1334" s="2"/>
      <c r="X1334" s="2"/>
      <c r="Y1334" s="2"/>
      <c r="Z1334" s="2"/>
    </row>
    <row r="1335" spans="1:26" ht="13.8" x14ac:dyDescent="0.3">
      <c r="A1335" s="2"/>
      <c r="B1335" s="2"/>
      <c r="C1335" s="10"/>
      <c r="D1335" s="10"/>
      <c r="E1335" s="10"/>
      <c r="F1335" s="10"/>
      <c r="G1335" s="69"/>
      <c r="H1335" s="69"/>
      <c r="I1335" s="69"/>
      <c r="J1335" s="70"/>
      <c r="K1335" s="69"/>
      <c r="L1335" s="69"/>
      <c r="M1335" s="69"/>
      <c r="N1335" s="69"/>
      <c r="O1335" s="69"/>
      <c r="P1335" s="2"/>
      <c r="Q1335" s="2"/>
      <c r="R1335" s="32"/>
      <c r="S1335" s="32"/>
      <c r="T1335" s="32"/>
      <c r="U1335" s="32"/>
      <c r="V1335" s="2"/>
      <c r="W1335" s="2"/>
      <c r="X1335" s="2"/>
      <c r="Y1335" s="2"/>
      <c r="Z1335" s="2"/>
    </row>
    <row r="1336" spans="1:26" ht="13.8" x14ac:dyDescent="0.3">
      <c r="A1336" s="2"/>
      <c r="B1336" s="2"/>
      <c r="C1336" s="10"/>
      <c r="D1336" s="10"/>
      <c r="E1336" s="10"/>
      <c r="F1336" s="10"/>
      <c r="G1336" s="69"/>
      <c r="H1336" s="69"/>
      <c r="I1336" s="69"/>
      <c r="J1336" s="70"/>
      <c r="K1336" s="69"/>
      <c r="L1336" s="69"/>
      <c r="M1336" s="69"/>
      <c r="N1336" s="69"/>
      <c r="O1336" s="69"/>
      <c r="P1336" s="2"/>
      <c r="Q1336" s="2"/>
      <c r="R1336" s="32"/>
      <c r="S1336" s="32"/>
      <c r="T1336" s="32"/>
      <c r="U1336" s="32"/>
      <c r="V1336" s="2"/>
      <c r="W1336" s="2"/>
      <c r="X1336" s="2"/>
      <c r="Y1336" s="2"/>
      <c r="Z1336" s="2"/>
    </row>
    <row r="1337" spans="1:26" ht="13.8" x14ac:dyDescent="0.3">
      <c r="A1337" s="2"/>
      <c r="B1337" s="2"/>
      <c r="C1337" s="10"/>
      <c r="D1337" s="10"/>
      <c r="E1337" s="10"/>
      <c r="F1337" s="10"/>
      <c r="G1337" s="69"/>
      <c r="H1337" s="69"/>
      <c r="I1337" s="69"/>
      <c r="J1337" s="70"/>
      <c r="K1337" s="69"/>
      <c r="L1337" s="69"/>
      <c r="M1337" s="69"/>
      <c r="N1337" s="69"/>
      <c r="O1337" s="69"/>
      <c r="P1337" s="2"/>
      <c r="Q1337" s="2"/>
      <c r="R1337" s="32"/>
      <c r="S1337" s="32"/>
      <c r="T1337" s="32"/>
      <c r="U1337" s="32"/>
      <c r="V1337" s="2"/>
      <c r="W1337" s="2"/>
      <c r="X1337" s="2"/>
      <c r="Y1337" s="2"/>
      <c r="Z1337" s="2"/>
    </row>
    <row r="1338" spans="1:26" ht="13.8" x14ac:dyDescent="0.3">
      <c r="A1338" s="2"/>
      <c r="B1338" s="2"/>
      <c r="C1338" s="10"/>
      <c r="D1338" s="10"/>
      <c r="E1338" s="10"/>
      <c r="F1338" s="10"/>
      <c r="G1338" s="69"/>
      <c r="H1338" s="69"/>
      <c r="I1338" s="69"/>
      <c r="J1338" s="70"/>
      <c r="K1338" s="69"/>
      <c r="L1338" s="69"/>
      <c r="M1338" s="69"/>
      <c r="N1338" s="69"/>
      <c r="O1338" s="69"/>
      <c r="P1338" s="2"/>
      <c r="Q1338" s="2"/>
      <c r="R1338" s="32"/>
      <c r="S1338" s="32"/>
      <c r="T1338" s="32"/>
      <c r="U1338" s="32"/>
      <c r="V1338" s="2"/>
      <c r="W1338" s="2"/>
      <c r="X1338" s="2"/>
      <c r="Y1338" s="2"/>
      <c r="Z1338" s="2"/>
    </row>
    <row r="1339" spans="1:26" ht="13.8" x14ac:dyDescent="0.3">
      <c r="A1339" s="2"/>
      <c r="B1339" s="2"/>
      <c r="C1339" s="10"/>
      <c r="D1339" s="10"/>
      <c r="E1339" s="10"/>
      <c r="F1339" s="10"/>
      <c r="G1339" s="69"/>
      <c r="H1339" s="69"/>
      <c r="I1339" s="69"/>
      <c r="J1339" s="70"/>
      <c r="K1339" s="69"/>
      <c r="L1339" s="69"/>
      <c r="M1339" s="69"/>
      <c r="N1339" s="69"/>
      <c r="O1339" s="69"/>
      <c r="P1339" s="2"/>
      <c r="Q1339" s="2"/>
      <c r="R1339" s="32"/>
      <c r="S1339" s="32"/>
      <c r="T1339" s="32"/>
      <c r="U1339" s="32"/>
      <c r="V1339" s="2"/>
      <c r="W1339" s="2"/>
      <c r="X1339" s="2"/>
      <c r="Y1339" s="2"/>
      <c r="Z1339" s="2"/>
    </row>
    <row r="1340" spans="1:26" ht="13.8" x14ac:dyDescent="0.3">
      <c r="A1340" s="2"/>
      <c r="B1340" s="2"/>
      <c r="C1340" s="10"/>
      <c r="D1340" s="10"/>
      <c r="E1340" s="10"/>
      <c r="F1340" s="10"/>
      <c r="G1340" s="69"/>
      <c r="H1340" s="69"/>
      <c r="I1340" s="69"/>
      <c r="J1340" s="70"/>
      <c r="K1340" s="69"/>
      <c r="L1340" s="69"/>
      <c r="M1340" s="69"/>
      <c r="N1340" s="69"/>
      <c r="O1340" s="69"/>
      <c r="P1340" s="2"/>
      <c r="Q1340" s="2"/>
      <c r="R1340" s="32"/>
      <c r="S1340" s="32"/>
      <c r="T1340" s="32"/>
      <c r="U1340" s="32"/>
      <c r="V1340" s="2"/>
      <c r="W1340" s="2"/>
      <c r="X1340" s="2"/>
      <c r="Y1340" s="2"/>
      <c r="Z1340" s="2"/>
    </row>
    <row r="1341" spans="1:26" ht="13.8" x14ac:dyDescent="0.3">
      <c r="A1341" s="2"/>
      <c r="B1341" s="2"/>
      <c r="C1341" s="10"/>
      <c r="D1341" s="10"/>
      <c r="E1341" s="10"/>
      <c r="F1341" s="10"/>
      <c r="G1341" s="69"/>
      <c r="H1341" s="69"/>
      <c r="I1341" s="69"/>
      <c r="J1341" s="70"/>
      <c r="K1341" s="69"/>
      <c r="L1341" s="69"/>
      <c r="M1341" s="69"/>
      <c r="N1341" s="69"/>
      <c r="O1341" s="69"/>
      <c r="P1341" s="2"/>
      <c r="Q1341" s="2"/>
      <c r="R1341" s="32"/>
      <c r="S1341" s="32"/>
      <c r="T1341" s="32"/>
      <c r="U1341" s="32"/>
      <c r="V1341" s="2"/>
      <c r="W1341" s="2"/>
      <c r="X1341" s="2"/>
      <c r="Y1341" s="2"/>
      <c r="Z1341" s="2"/>
    </row>
    <row r="1342" spans="1:26" ht="13.8" x14ac:dyDescent="0.3">
      <c r="A1342" s="2"/>
      <c r="B1342" s="2"/>
      <c r="C1342" s="10"/>
      <c r="D1342" s="10"/>
      <c r="E1342" s="10"/>
      <c r="F1342" s="10"/>
      <c r="G1342" s="69"/>
      <c r="H1342" s="69"/>
      <c r="I1342" s="69"/>
      <c r="J1342" s="70"/>
      <c r="K1342" s="69"/>
      <c r="L1342" s="69"/>
      <c r="M1342" s="69"/>
      <c r="N1342" s="69"/>
      <c r="O1342" s="69"/>
      <c r="P1342" s="2"/>
      <c r="Q1342" s="2"/>
      <c r="R1342" s="32"/>
      <c r="S1342" s="32"/>
      <c r="T1342" s="32"/>
      <c r="U1342" s="32"/>
      <c r="V1342" s="2"/>
      <c r="W1342" s="2"/>
      <c r="X1342" s="2"/>
      <c r="Y1342" s="2"/>
      <c r="Z1342" s="2"/>
    </row>
    <row r="1343" spans="1:26" ht="13.8" x14ac:dyDescent="0.3">
      <c r="A1343" s="2"/>
      <c r="B1343" s="2"/>
      <c r="C1343" s="10"/>
      <c r="D1343" s="10"/>
      <c r="E1343" s="10"/>
      <c r="F1343" s="10"/>
      <c r="G1343" s="69"/>
      <c r="H1343" s="69"/>
      <c r="I1343" s="69"/>
      <c r="J1343" s="70"/>
      <c r="K1343" s="69"/>
      <c r="L1343" s="69"/>
      <c r="M1343" s="69"/>
      <c r="N1343" s="69"/>
      <c r="O1343" s="69"/>
      <c r="P1343" s="2"/>
      <c r="Q1343" s="2"/>
      <c r="R1343" s="32"/>
      <c r="S1343" s="32"/>
      <c r="T1343" s="32"/>
      <c r="U1343" s="32"/>
      <c r="V1343" s="2"/>
      <c r="W1343" s="2"/>
      <c r="X1343" s="2"/>
      <c r="Y1343" s="2"/>
      <c r="Z1343" s="2"/>
    </row>
    <row r="1344" spans="1:26" ht="13.8" x14ac:dyDescent="0.3">
      <c r="A1344" s="2"/>
      <c r="B1344" s="2"/>
      <c r="C1344" s="10"/>
      <c r="D1344" s="10"/>
      <c r="E1344" s="10"/>
      <c r="F1344" s="10"/>
      <c r="G1344" s="69"/>
      <c r="H1344" s="69"/>
      <c r="I1344" s="69"/>
      <c r="J1344" s="70"/>
      <c r="K1344" s="69"/>
      <c r="L1344" s="69"/>
      <c r="M1344" s="69"/>
      <c r="N1344" s="69"/>
      <c r="O1344" s="69"/>
      <c r="P1344" s="2"/>
      <c r="Q1344" s="2"/>
      <c r="R1344" s="32"/>
      <c r="S1344" s="32"/>
      <c r="T1344" s="32"/>
      <c r="U1344" s="32"/>
      <c r="V1344" s="2"/>
      <c r="W1344" s="2"/>
      <c r="X1344" s="2"/>
      <c r="Y1344" s="2"/>
      <c r="Z1344" s="2"/>
    </row>
    <row r="1345" spans="1:26" ht="13.8" x14ac:dyDescent="0.3">
      <c r="A1345" s="2"/>
      <c r="B1345" s="2"/>
      <c r="C1345" s="10"/>
      <c r="D1345" s="10"/>
      <c r="E1345" s="10"/>
      <c r="F1345" s="10"/>
      <c r="G1345" s="69"/>
      <c r="H1345" s="69"/>
      <c r="I1345" s="69"/>
      <c r="J1345" s="70"/>
      <c r="K1345" s="69"/>
      <c r="L1345" s="69"/>
      <c r="M1345" s="69"/>
      <c r="N1345" s="69"/>
      <c r="O1345" s="69"/>
      <c r="P1345" s="2"/>
      <c r="Q1345" s="2"/>
      <c r="R1345" s="32"/>
      <c r="S1345" s="32"/>
      <c r="T1345" s="32"/>
      <c r="U1345" s="32"/>
      <c r="V1345" s="2"/>
      <c r="W1345" s="2"/>
      <c r="X1345" s="2"/>
      <c r="Y1345" s="2"/>
      <c r="Z1345" s="2"/>
    </row>
    <row r="1346" spans="1:26" ht="13.8" x14ac:dyDescent="0.3">
      <c r="A1346" s="2"/>
      <c r="B1346" s="2"/>
      <c r="C1346" s="10"/>
      <c r="D1346" s="10"/>
      <c r="E1346" s="10"/>
      <c r="F1346" s="10"/>
      <c r="G1346" s="69"/>
      <c r="H1346" s="69"/>
      <c r="I1346" s="69"/>
      <c r="J1346" s="70"/>
      <c r="K1346" s="69"/>
      <c r="L1346" s="69"/>
      <c r="M1346" s="69"/>
      <c r="N1346" s="69"/>
      <c r="O1346" s="69"/>
      <c r="P1346" s="2"/>
      <c r="Q1346" s="2"/>
      <c r="R1346" s="32"/>
      <c r="S1346" s="32"/>
      <c r="T1346" s="32"/>
      <c r="U1346" s="32"/>
      <c r="V1346" s="2"/>
      <c r="W1346" s="2"/>
      <c r="X1346" s="2"/>
      <c r="Y1346" s="2"/>
      <c r="Z1346" s="2"/>
    </row>
    <row r="1347" spans="1:26" ht="13.8" x14ac:dyDescent="0.3">
      <c r="A1347" s="2"/>
      <c r="B1347" s="2"/>
      <c r="C1347" s="10"/>
      <c r="D1347" s="10"/>
      <c r="E1347" s="10"/>
      <c r="F1347" s="10"/>
      <c r="G1347" s="69"/>
      <c r="H1347" s="69"/>
      <c r="I1347" s="69"/>
      <c r="J1347" s="70"/>
      <c r="K1347" s="69"/>
      <c r="L1347" s="69"/>
      <c r="M1347" s="69"/>
      <c r="N1347" s="69"/>
      <c r="O1347" s="69"/>
      <c r="P1347" s="2"/>
      <c r="Q1347" s="2"/>
      <c r="R1347" s="32"/>
      <c r="S1347" s="32"/>
      <c r="T1347" s="32"/>
      <c r="U1347" s="32"/>
      <c r="V1347" s="2"/>
      <c r="W1347" s="2"/>
      <c r="X1347" s="2"/>
      <c r="Y1347" s="2"/>
      <c r="Z1347" s="2"/>
    </row>
    <row r="1348" spans="1:26" ht="13.8" x14ac:dyDescent="0.3">
      <c r="A1348" s="2"/>
      <c r="B1348" s="2"/>
      <c r="C1348" s="10"/>
      <c r="D1348" s="10"/>
      <c r="E1348" s="10"/>
      <c r="F1348" s="10"/>
      <c r="G1348" s="69"/>
      <c r="H1348" s="69"/>
      <c r="I1348" s="69"/>
      <c r="J1348" s="70"/>
      <c r="K1348" s="69"/>
      <c r="L1348" s="69"/>
      <c r="M1348" s="69"/>
      <c r="N1348" s="69"/>
      <c r="O1348" s="69"/>
      <c r="P1348" s="2"/>
      <c r="Q1348" s="2"/>
      <c r="R1348" s="32"/>
      <c r="S1348" s="32"/>
      <c r="T1348" s="32"/>
      <c r="U1348" s="32"/>
      <c r="V1348" s="2"/>
      <c r="W1348" s="2"/>
      <c r="X1348" s="2"/>
      <c r="Y1348" s="2"/>
      <c r="Z1348" s="2"/>
    </row>
    <row r="1349" spans="1:26" ht="13.8" x14ac:dyDescent="0.3">
      <c r="A1349" s="2"/>
      <c r="B1349" s="2"/>
      <c r="C1349" s="10"/>
      <c r="D1349" s="10"/>
      <c r="E1349" s="10"/>
      <c r="F1349" s="10"/>
      <c r="G1349" s="69"/>
      <c r="H1349" s="69"/>
      <c r="I1349" s="69"/>
      <c r="J1349" s="70"/>
      <c r="K1349" s="69"/>
      <c r="L1349" s="69"/>
      <c r="M1349" s="69"/>
      <c r="N1349" s="69"/>
      <c r="O1349" s="69"/>
      <c r="P1349" s="2"/>
      <c r="Q1349" s="2"/>
      <c r="R1349" s="32"/>
      <c r="S1349" s="32"/>
      <c r="T1349" s="32"/>
      <c r="U1349" s="32"/>
      <c r="V1349" s="2"/>
      <c r="W1349" s="2"/>
      <c r="X1349" s="2"/>
      <c r="Y1349" s="2"/>
      <c r="Z1349" s="2"/>
    </row>
    <row r="1350" spans="1:26" ht="13.8" x14ac:dyDescent="0.3">
      <c r="A1350" s="2"/>
      <c r="B1350" s="2"/>
      <c r="C1350" s="10"/>
      <c r="D1350" s="10"/>
      <c r="E1350" s="10"/>
      <c r="F1350" s="10"/>
      <c r="G1350" s="69"/>
      <c r="H1350" s="69"/>
      <c r="I1350" s="69"/>
      <c r="J1350" s="70"/>
      <c r="K1350" s="69"/>
      <c r="L1350" s="69"/>
      <c r="M1350" s="69"/>
      <c r="N1350" s="69"/>
      <c r="O1350" s="69"/>
      <c r="P1350" s="2"/>
      <c r="Q1350" s="2"/>
      <c r="R1350" s="32"/>
      <c r="S1350" s="32"/>
      <c r="T1350" s="32"/>
      <c r="U1350" s="32"/>
      <c r="V1350" s="2"/>
      <c r="W1350" s="2"/>
      <c r="X1350" s="2"/>
      <c r="Y1350" s="2"/>
      <c r="Z1350" s="2"/>
    </row>
    <row r="1351" spans="1:26" ht="13.8" x14ac:dyDescent="0.3">
      <c r="A1351" s="2"/>
      <c r="B1351" s="2"/>
      <c r="C1351" s="10"/>
      <c r="D1351" s="10"/>
      <c r="E1351" s="10"/>
      <c r="F1351" s="10"/>
      <c r="G1351" s="69"/>
      <c r="H1351" s="69"/>
      <c r="I1351" s="69"/>
      <c r="J1351" s="70"/>
      <c r="K1351" s="69"/>
      <c r="L1351" s="69"/>
      <c r="M1351" s="69"/>
      <c r="N1351" s="69"/>
      <c r="O1351" s="69"/>
      <c r="P1351" s="2"/>
      <c r="Q1351" s="2"/>
      <c r="R1351" s="32"/>
      <c r="S1351" s="32"/>
      <c r="T1351" s="32"/>
      <c r="U1351" s="32"/>
      <c r="V1351" s="2"/>
      <c r="W1351" s="2"/>
      <c r="X1351" s="2"/>
      <c r="Y1351" s="2"/>
      <c r="Z1351" s="2"/>
    </row>
    <row r="1352" spans="1:26" ht="13.8" x14ac:dyDescent="0.3">
      <c r="A1352" s="2"/>
      <c r="B1352" s="2"/>
      <c r="C1352" s="10"/>
      <c r="D1352" s="10"/>
      <c r="E1352" s="10"/>
      <c r="F1352" s="10"/>
      <c r="G1352" s="69"/>
      <c r="H1352" s="69"/>
      <c r="I1352" s="69"/>
      <c r="J1352" s="70"/>
      <c r="K1352" s="69"/>
      <c r="L1352" s="69"/>
      <c r="M1352" s="69"/>
      <c r="N1352" s="69"/>
      <c r="O1352" s="69"/>
      <c r="P1352" s="2"/>
      <c r="Q1352" s="2"/>
      <c r="R1352" s="32"/>
      <c r="S1352" s="32"/>
      <c r="T1352" s="32"/>
      <c r="U1352" s="32"/>
      <c r="V1352" s="2"/>
      <c r="W1352" s="2"/>
      <c r="X1352" s="2"/>
      <c r="Y1352" s="2"/>
      <c r="Z1352" s="2"/>
    </row>
    <row r="1353" spans="1:26" ht="13.8" x14ac:dyDescent="0.3">
      <c r="A1353" s="2"/>
      <c r="B1353" s="2"/>
      <c r="C1353" s="10"/>
      <c r="D1353" s="10"/>
      <c r="E1353" s="10"/>
      <c r="F1353" s="10"/>
      <c r="G1353" s="69"/>
      <c r="H1353" s="69"/>
      <c r="I1353" s="69"/>
      <c r="J1353" s="70"/>
      <c r="K1353" s="69"/>
      <c r="L1353" s="69"/>
      <c r="M1353" s="69"/>
      <c r="N1353" s="69"/>
      <c r="O1353" s="69"/>
      <c r="P1353" s="2"/>
      <c r="Q1353" s="2"/>
      <c r="R1353" s="32"/>
      <c r="S1353" s="32"/>
      <c r="T1353" s="32"/>
      <c r="U1353" s="32"/>
      <c r="V1353" s="2"/>
      <c r="W1353" s="2"/>
      <c r="X1353" s="2"/>
      <c r="Y1353" s="2"/>
      <c r="Z1353" s="2"/>
    </row>
    <row r="1354" spans="1:26" ht="13.8" x14ac:dyDescent="0.3">
      <c r="A1354" s="2"/>
      <c r="B1354" s="2"/>
      <c r="C1354" s="10"/>
      <c r="D1354" s="10"/>
      <c r="E1354" s="10"/>
      <c r="F1354" s="10"/>
      <c r="G1354" s="69"/>
      <c r="H1354" s="69"/>
      <c r="I1354" s="69"/>
      <c r="J1354" s="70"/>
      <c r="K1354" s="69"/>
      <c r="L1354" s="69"/>
      <c r="M1354" s="69"/>
      <c r="N1354" s="69"/>
      <c r="O1354" s="69"/>
      <c r="P1354" s="2"/>
      <c r="Q1354" s="2"/>
      <c r="R1354" s="32"/>
      <c r="S1354" s="32"/>
      <c r="T1354" s="32"/>
      <c r="U1354" s="32"/>
      <c r="V1354" s="2"/>
      <c r="W1354" s="2"/>
      <c r="X1354" s="2"/>
      <c r="Y1354" s="2"/>
      <c r="Z1354" s="2"/>
    </row>
    <row r="1355" spans="1:26" ht="13.8" x14ac:dyDescent="0.3">
      <c r="A1355" s="2"/>
      <c r="B1355" s="2"/>
      <c r="C1355" s="10"/>
      <c r="D1355" s="10"/>
      <c r="E1355" s="10"/>
      <c r="F1355" s="10"/>
      <c r="G1355" s="69"/>
      <c r="H1355" s="69"/>
      <c r="I1355" s="69"/>
      <c r="J1355" s="70"/>
      <c r="K1355" s="69"/>
      <c r="L1355" s="69"/>
      <c r="M1355" s="69"/>
      <c r="N1355" s="69"/>
      <c r="O1355" s="69"/>
      <c r="P1355" s="2"/>
      <c r="Q1355" s="2"/>
      <c r="R1355" s="32"/>
      <c r="S1355" s="32"/>
      <c r="T1355" s="32"/>
      <c r="U1355" s="32"/>
      <c r="V1355" s="2"/>
      <c r="W1355" s="2"/>
      <c r="X1355" s="2"/>
      <c r="Y1355" s="2"/>
      <c r="Z1355" s="2"/>
    </row>
    <row r="1356" spans="1:26" ht="13.8" x14ac:dyDescent="0.3">
      <c r="A1356" s="2"/>
      <c r="B1356" s="2"/>
      <c r="C1356" s="10"/>
      <c r="D1356" s="10"/>
      <c r="E1356" s="10"/>
      <c r="F1356" s="10"/>
      <c r="G1356" s="69"/>
      <c r="H1356" s="69"/>
      <c r="I1356" s="69"/>
      <c r="J1356" s="70"/>
      <c r="K1356" s="69"/>
      <c r="L1356" s="69"/>
      <c r="M1356" s="69"/>
      <c r="N1356" s="69"/>
      <c r="O1356" s="69"/>
      <c r="P1356" s="2"/>
      <c r="Q1356" s="2"/>
      <c r="R1356" s="32"/>
      <c r="S1356" s="32"/>
      <c r="T1356" s="32"/>
      <c r="U1356" s="32"/>
      <c r="V1356" s="2"/>
      <c r="W1356" s="2"/>
      <c r="X1356" s="2"/>
      <c r="Y1356" s="2"/>
      <c r="Z1356" s="2"/>
    </row>
    <row r="1357" spans="1:26" ht="13.8" x14ac:dyDescent="0.3">
      <c r="A1357" s="2"/>
      <c r="B1357" s="2"/>
      <c r="C1357" s="10"/>
      <c r="D1357" s="10"/>
      <c r="E1357" s="10"/>
      <c r="F1357" s="10"/>
      <c r="G1357" s="69"/>
      <c r="H1357" s="69"/>
      <c r="I1357" s="69"/>
      <c r="J1357" s="70"/>
      <c r="K1357" s="69"/>
      <c r="L1357" s="69"/>
      <c r="M1357" s="69"/>
      <c r="N1357" s="69"/>
      <c r="O1357" s="69"/>
      <c r="P1357" s="2"/>
      <c r="Q1357" s="2"/>
      <c r="R1357" s="32"/>
      <c r="S1357" s="32"/>
      <c r="T1357" s="32"/>
      <c r="U1357" s="32"/>
      <c r="V1357" s="2"/>
      <c r="W1357" s="2"/>
      <c r="X1357" s="2"/>
      <c r="Y1357" s="2"/>
      <c r="Z1357" s="2"/>
    </row>
    <row r="1358" spans="1:26" ht="13.8" x14ac:dyDescent="0.3">
      <c r="A1358" s="2"/>
      <c r="B1358" s="2"/>
      <c r="C1358" s="10"/>
      <c r="D1358" s="10"/>
      <c r="E1358" s="10"/>
      <c r="F1358" s="10"/>
      <c r="G1358" s="69"/>
      <c r="H1358" s="69"/>
      <c r="I1358" s="69"/>
      <c r="J1358" s="70"/>
      <c r="K1358" s="69"/>
      <c r="L1358" s="69"/>
      <c r="M1358" s="69"/>
      <c r="N1358" s="69"/>
      <c r="O1358" s="69"/>
      <c r="P1358" s="2"/>
      <c r="Q1358" s="2"/>
      <c r="R1358" s="32"/>
      <c r="S1358" s="32"/>
      <c r="T1358" s="32"/>
      <c r="U1358" s="32"/>
      <c r="V1358" s="2"/>
      <c r="W1358" s="2"/>
      <c r="X1358" s="2"/>
      <c r="Y1358" s="2"/>
      <c r="Z1358" s="2"/>
    </row>
    <row r="1359" spans="1:26" ht="13.8" x14ac:dyDescent="0.3">
      <c r="A1359" s="2"/>
      <c r="B1359" s="2"/>
      <c r="C1359" s="10"/>
      <c r="D1359" s="10"/>
      <c r="E1359" s="10"/>
      <c r="F1359" s="10"/>
      <c r="G1359" s="69"/>
      <c r="H1359" s="69"/>
      <c r="I1359" s="69"/>
      <c r="J1359" s="70"/>
      <c r="K1359" s="69"/>
      <c r="L1359" s="69"/>
      <c r="M1359" s="69"/>
      <c r="N1359" s="69"/>
      <c r="O1359" s="69"/>
      <c r="P1359" s="2"/>
      <c r="Q1359" s="2"/>
      <c r="R1359" s="32"/>
      <c r="S1359" s="32"/>
      <c r="T1359" s="32"/>
      <c r="U1359" s="32"/>
      <c r="V1359" s="2"/>
      <c r="W1359" s="2"/>
      <c r="X1359" s="2"/>
      <c r="Y1359" s="2"/>
      <c r="Z1359" s="2"/>
    </row>
    <row r="1360" spans="1:26" ht="13.8" x14ac:dyDescent="0.3">
      <c r="A1360" s="2"/>
      <c r="B1360" s="2"/>
      <c r="C1360" s="10"/>
      <c r="D1360" s="10"/>
      <c r="E1360" s="10"/>
      <c r="F1360" s="10"/>
      <c r="G1360" s="69"/>
      <c r="H1360" s="69"/>
      <c r="I1360" s="69"/>
      <c r="J1360" s="70"/>
      <c r="K1360" s="69"/>
      <c r="L1360" s="69"/>
      <c r="M1360" s="69"/>
      <c r="N1360" s="69"/>
      <c r="O1360" s="69"/>
      <c r="P1360" s="2"/>
      <c r="Q1360" s="2"/>
      <c r="R1360" s="32"/>
      <c r="S1360" s="32"/>
      <c r="T1360" s="32"/>
      <c r="U1360" s="32"/>
      <c r="V1360" s="2"/>
      <c r="W1360" s="2"/>
      <c r="X1360" s="2"/>
      <c r="Y1360" s="2"/>
      <c r="Z1360" s="2"/>
    </row>
    <row r="1361" spans="1:26" ht="13.8" x14ac:dyDescent="0.3">
      <c r="A1361" s="2"/>
      <c r="B1361" s="2"/>
      <c r="C1361" s="10"/>
      <c r="D1361" s="10"/>
      <c r="E1361" s="10"/>
      <c r="F1361" s="10"/>
      <c r="G1361" s="69"/>
      <c r="H1361" s="69"/>
      <c r="I1361" s="69"/>
      <c r="J1361" s="70"/>
      <c r="K1361" s="69"/>
      <c r="L1361" s="69"/>
      <c r="M1361" s="69"/>
      <c r="N1361" s="69"/>
      <c r="O1361" s="69"/>
      <c r="P1361" s="2"/>
      <c r="Q1361" s="2"/>
      <c r="R1361" s="32"/>
      <c r="S1361" s="32"/>
      <c r="T1361" s="32"/>
      <c r="U1361" s="32"/>
      <c r="V1361" s="2"/>
      <c r="W1361" s="2"/>
      <c r="X1361" s="2"/>
      <c r="Y1361" s="2"/>
      <c r="Z1361" s="2"/>
    </row>
    <row r="1362" spans="1:26" ht="13.8" x14ac:dyDescent="0.3">
      <c r="A1362" s="2"/>
      <c r="B1362" s="2"/>
      <c r="C1362" s="10"/>
      <c r="D1362" s="10"/>
      <c r="E1362" s="10"/>
      <c r="F1362" s="10"/>
      <c r="G1362" s="69"/>
      <c r="H1362" s="69"/>
      <c r="I1362" s="69"/>
      <c r="J1362" s="70"/>
      <c r="K1362" s="69"/>
      <c r="L1362" s="69"/>
      <c r="M1362" s="69"/>
      <c r="N1362" s="69"/>
      <c r="O1362" s="69"/>
      <c r="P1362" s="2"/>
      <c r="Q1362" s="2"/>
      <c r="R1362" s="32"/>
      <c r="S1362" s="32"/>
      <c r="T1362" s="32"/>
      <c r="U1362" s="32"/>
      <c r="V1362" s="2"/>
      <c r="W1362" s="2"/>
      <c r="X1362" s="2"/>
      <c r="Y1362" s="2"/>
      <c r="Z1362" s="2"/>
    </row>
    <row r="1363" spans="1:26" ht="13.8" x14ac:dyDescent="0.3">
      <c r="A1363" s="2"/>
      <c r="B1363" s="2"/>
      <c r="C1363" s="10"/>
      <c r="D1363" s="10"/>
      <c r="E1363" s="10"/>
      <c r="F1363" s="10"/>
      <c r="G1363" s="69"/>
      <c r="H1363" s="69"/>
      <c r="I1363" s="69"/>
      <c r="J1363" s="70"/>
      <c r="K1363" s="69"/>
      <c r="L1363" s="69"/>
      <c r="M1363" s="69"/>
      <c r="N1363" s="69"/>
      <c r="O1363" s="69"/>
      <c r="P1363" s="2"/>
      <c r="Q1363" s="2"/>
      <c r="R1363" s="32"/>
      <c r="S1363" s="32"/>
      <c r="T1363" s="32"/>
      <c r="U1363" s="32"/>
      <c r="V1363" s="2"/>
      <c r="W1363" s="2"/>
      <c r="X1363" s="2"/>
      <c r="Y1363" s="2"/>
      <c r="Z1363" s="2"/>
    </row>
    <row r="1364" spans="1:26" ht="13.8" x14ac:dyDescent="0.3">
      <c r="A1364" s="2"/>
      <c r="B1364" s="2"/>
      <c r="C1364" s="10"/>
      <c r="D1364" s="10"/>
      <c r="E1364" s="10"/>
      <c r="F1364" s="10"/>
      <c r="G1364" s="69"/>
      <c r="H1364" s="69"/>
      <c r="I1364" s="69"/>
      <c r="J1364" s="70"/>
      <c r="K1364" s="69"/>
      <c r="L1364" s="69"/>
      <c r="M1364" s="69"/>
      <c r="N1364" s="69"/>
      <c r="O1364" s="69"/>
      <c r="P1364" s="2"/>
      <c r="Q1364" s="2"/>
      <c r="R1364" s="32"/>
      <c r="S1364" s="32"/>
      <c r="T1364" s="32"/>
      <c r="U1364" s="32"/>
      <c r="V1364" s="2"/>
      <c r="W1364" s="2"/>
      <c r="X1364" s="2"/>
      <c r="Y1364" s="2"/>
      <c r="Z1364" s="2"/>
    </row>
    <row r="1365" spans="1:26" ht="13.8" x14ac:dyDescent="0.3">
      <c r="A1365" s="2"/>
      <c r="B1365" s="2"/>
      <c r="C1365" s="10"/>
      <c r="D1365" s="10"/>
      <c r="E1365" s="10"/>
      <c r="F1365" s="10"/>
      <c r="G1365" s="69"/>
      <c r="H1365" s="69"/>
      <c r="I1365" s="69"/>
      <c r="J1365" s="70"/>
      <c r="K1365" s="69"/>
      <c r="L1365" s="69"/>
      <c r="M1365" s="69"/>
      <c r="N1365" s="69"/>
      <c r="O1365" s="69"/>
      <c r="P1365" s="2"/>
      <c r="Q1365" s="2"/>
      <c r="R1365" s="32"/>
      <c r="S1365" s="32"/>
      <c r="T1365" s="32"/>
      <c r="U1365" s="32"/>
      <c r="V1365" s="2"/>
      <c r="W1365" s="2"/>
      <c r="X1365" s="2"/>
      <c r="Y1365" s="2"/>
      <c r="Z1365" s="2"/>
    </row>
    <row r="1366" spans="1:26" ht="13.8" x14ac:dyDescent="0.3">
      <c r="A1366" s="2"/>
      <c r="B1366" s="2"/>
      <c r="C1366" s="10"/>
      <c r="D1366" s="10"/>
      <c r="E1366" s="10"/>
      <c r="F1366" s="10"/>
      <c r="G1366" s="69"/>
      <c r="H1366" s="69"/>
      <c r="I1366" s="69"/>
      <c r="J1366" s="70"/>
      <c r="K1366" s="69"/>
      <c r="L1366" s="69"/>
      <c r="M1366" s="69"/>
      <c r="N1366" s="69"/>
      <c r="O1366" s="69"/>
      <c r="P1366" s="2"/>
      <c r="Q1366" s="2"/>
      <c r="R1366" s="32"/>
      <c r="S1366" s="32"/>
      <c r="T1366" s="32"/>
      <c r="U1366" s="32"/>
      <c r="V1366" s="2"/>
      <c r="W1366" s="2"/>
      <c r="X1366" s="2"/>
      <c r="Y1366" s="2"/>
      <c r="Z1366" s="2"/>
    </row>
    <row r="1367" spans="1:26" ht="13.8" x14ac:dyDescent="0.3">
      <c r="A1367" s="2"/>
      <c r="B1367" s="2"/>
      <c r="C1367" s="10"/>
      <c r="D1367" s="10"/>
      <c r="E1367" s="10"/>
      <c r="F1367" s="10"/>
      <c r="G1367" s="69"/>
      <c r="H1367" s="69"/>
      <c r="I1367" s="69"/>
      <c r="J1367" s="70"/>
      <c r="K1367" s="69"/>
      <c r="L1367" s="69"/>
      <c r="M1367" s="69"/>
      <c r="N1367" s="69"/>
      <c r="O1367" s="69"/>
      <c r="P1367" s="2"/>
      <c r="Q1367" s="2"/>
      <c r="R1367" s="32"/>
      <c r="S1367" s="32"/>
      <c r="T1367" s="32"/>
      <c r="U1367" s="32"/>
      <c r="V1367" s="2"/>
      <c r="W1367" s="2"/>
      <c r="X1367" s="2"/>
      <c r="Y1367" s="2"/>
      <c r="Z1367" s="2"/>
    </row>
    <row r="1368" spans="1:26" ht="13.8" x14ac:dyDescent="0.3">
      <c r="A1368" s="2"/>
      <c r="B1368" s="2"/>
      <c r="C1368" s="10"/>
      <c r="D1368" s="10"/>
      <c r="E1368" s="10"/>
      <c r="F1368" s="10"/>
      <c r="G1368" s="69"/>
      <c r="H1368" s="69"/>
      <c r="I1368" s="69"/>
      <c r="J1368" s="70"/>
      <c r="K1368" s="69"/>
      <c r="L1368" s="69"/>
      <c r="M1368" s="69"/>
      <c r="N1368" s="69"/>
      <c r="O1368" s="69"/>
      <c r="P1368" s="2"/>
      <c r="Q1368" s="2"/>
      <c r="R1368" s="32"/>
      <c r="S1368" s="32"/>
      <c r="T1368" s="32"/>
      <c r="U1368" s="32"/>
      <c r="V1368" s="2"/>
      <c r="W1368" s="2"/>
      <c r="X1368" s="2"/>
      <c r="Y1368" s="2"/>
      <c r="Z1368" s="2"/>
    </row>
    <row r="1369" spans="1:26" ht="13.8" x14ac:dyDescent="0.3">
      <c r="A1369" s="2"/>
      <c r="B1369" s="2"/>
      <c r="C1369" s="10"/>
      <c r="D1369" s="10"/>
      <c r="E1369" s="10"/>
      <c r="F1369" s="10"/>
      <c r="G1369" s="69"/>
      <c r="H1369" s="69"/>
      <c r="I1369" s="69"/>
      <c r="J1369" s="70"/>
      <c r="K1369" s="69"/>
      <c r="L1369" s="69"/>
      <c r="M1369" s="69"/>
      <c r="N1369" s="69"/>
      <c r="O1369" s="69"/>
      <c r="P1369" s="2"/>
      <c r="Q1369" s="2"/>
      <c r="R1369" s="32"/>
      <c r="S1369" s="32"/>
      <c r="T1369" s="32"/>
      <c r="U1369" s="32"/>
      <c r="V1369" s="2"/>
      <c r="W1369" s="2"/>
      <c r="X1369" s="2"/>
      <c r="Y1369" s="2"/>
      <c r="Z1369" s="2"/>
    </row>
    <row r="1370" spans="1:26" ht="13.8" x14ac:dyDescent="0.3">
      <c r="A1370" s="2"/>
      <c r="B1370" s="2"/>
      <c r="C1370" s="10"/>
      <c r="D1370" s="10"/>
      <c r="E1370" s="10"/>
      <c r="F1370" s="10"/>
      <c r="G1370" s="69"/>
      <c r="H1370" s="69"/>
      <c r="I1370" s="69"/>
      <c r="J1370" s="70"/>
      <c r="K1370" s="69"/>
      <c r="L1370" s="69"/>
      <c r="M1370" s="69"/>
      <c r="N1370" s="69"/>
      <c r="O1370" s="69"/>
      <c r="P1370" s="2"/>
      <c r="Q1370" s="2"/>
      <c r="R1370" s="32"/>
      <c r="S1370" s="32"/>
      <c r="T1370" s="32"/>
      <c r="U1370" s="32"/>
      <c r="V1370" s="2"/>
      <c r="W1370" s="2"/>
      <c r="X1370" s="2"/>
      <c r="Y1370" s="2"/>
      <c r="Z1370" s="2"/>
    </row>
    <row r="1371" spans="1:26" ht="13.8" x14ac:dyDescent="0.3">
      <c r="A1371" s="2"/>
      <c r="B1371" s="2"/>
      <c r="C1371" s="10"/>
      <c r="D1371" s="10"/>
      <c r="E1371" s="10"/>
      <c r="F1371" s="10"/>
      <c r="G1371" s="69"/>
      <c r="H1371" s="69"/>
      <c r="I1371" s="69"/>
      <c r="J1371" s="70"/>
      <c r="K1371" s="69"/>
      <c r="L1371" s="69"/>
      <c r="M1371" s="69"/>
      <c r="N1371" s="69"/>
      <c r="O1371" s="69"/>
      <c r="P1371" s="2"/>
      <c r="Q1371" s="2"/>
      <c r="R1371" s="32"/>
      <c r="S1371" s="32"/>
      <c r="T1371" s="32"/>
      <c r="U1371" s="32"/>
      <c r="V1371" s="2"/>
      <c r="W1371" s="2"/>
      <c r="X1371" s="2"/>
      <c r="Y1371" s="2"/>
      <c r="Z1371" s="2"/>
    </row>
    <row r="1372" spans="1:26" ht="13.8" x14ac:dyDescent="0.3">
      <c r="A1372" s="2"/>
      <c r="B1372" s="2"/>
      <c r="C1372" s="10"/>
      <c r="D1372" s="10"/>
      <c r="E1372" s="10"/>
      <c r="F1372" s="10"/>
      <c r="G1372" s="69"/>
      <c r="H1372" s="69"/>
      <c r="I1372" s="69"/>
      <c r="J1372" s="70"/>
      <c r="K1372" s="69"/>
      <c r="L1372" s="69"/>
      <c r="M1372" s="69"/>
      <c r="N1372" s="69"/>
      <c r="O1372" s="69"/>
      <c r="P1372" s="2"/>
      <c r="Q1372" s="2"/>
      <c r="R1372" s="32"/>
      <c r="S1372" s="32"/>
      <c r="T1372" s="32"/>
      <c r="U1372" s="32"/>
      <c r="V1372" s="2"/>
      <c r="W1372" s="2"/>
      <c r="X1372" s="2"/>
      <c r="Y1372" s="2"/>
      <c r="Z1372" s="2"/>
    </row>
    <row r="1373" spans="1:26" ht="13.8" x14ac:dyDescent="0.3">
      <c r="A1373" s="2"/>
      <c r="B1373" s="2"/>
      <c r="C1373" s="10"/>
      <c r="D1373" s="10"/>
      <c r="E1373" s="10"/>
      <c r="F1373" s="10"/>
      <c r="G1373" s="69"/>
      <c r="H1373" s="69"/>
      <c r="I1373" s="69"/>
      <c r="J1373" s="70"/>
      <c r="K1373" s="69"/>
      <c r="L1373" s="69"/>
      <c r="M1373" s="69"/>
      <c r="N1373" s="69"/>
      <c r="O1373" s="69"/>
      <c r="P1373" s="2"/>
      <c r="Q1373" s="2"/>
      <c r="R1373" s="32"/>
      <c r="S1373" s="32"/>
      <c r="T1373" s="32"/>
      <c r="U1373" s="32"/>
      <c r="V1373" s="2"/>
      <c r="W1373" s="2"/>
      <c r="X1373" s="2"/>
      <c r="Y1373" s="2"/>
      <c r="Z1373" s="2"/>
    </row>
    <row r="1374" spans="1:26" ht="13.8" x14ac:dyDescent="0.3">
      <c r="A1374" s="2"/>
      <c r="B1374" s="2"/>
      <c r="C1374" s="10"/>
      <c r="D1374" s="10"/>
      <c r="E1374" s="10"/>
      <c r="F1374" s="10"/>
      <c r="G1374" s="69"/>
      <c r="H1374" s="69"/>
      <c r="I1374" s="69"/>
      <c r="J1374" s="70"/>
      <c r="K1374" s="69"/>
      <c r="L1374" s="69"/>
      <c r="M1374" s="69"/>
      <c r="N1374" s="69"/>
      <c r="O1374" s="69"/>
      <c r="P1374" s="2"/>
      <c r="Q1374" s="2"/>
      <c r="R1374" s="32"/>
      <c r="S1374" s="32"/>
      <c r="T1374" s="32"/>
      <c r="U1374" s="32"/>
      <c r="V1374" s="2"/>
      <c r="W1374" s="2"/>
      <c r="X1374" s="2"/>
      <c r="Y1374" s="2"/>
      <c r="Z1374" s="2"/>
    </row>
    <row r="1375" spans="1:26" ht="13.8" x14ac:dyDescent="0.3">
      <c r="A1375" s="2"/>
      <c r="B1375" s="2"/>
      <c r="C1375" s="10"/>
      <c r="D1375" s="10"/>
      <c r="E1375" s="10"/>
      <c r="F1375" s="10"/>
      <c r="G1375" s="69"/>
      <c r="H1375" s="69"/>
      <c r="I1375" s="69"/>
      <c r="J1375" s="70"/>
      <c r="K1375" s="69"/>
      <c r="L1375" s="69"/>
      <c r="M1375" s="69"/>
      <c r="N1375" s="69"/>
      <c r="O1375" s="69"/>
      <c r="P1375" s="2"/>
      <c r="Q1375" s="2"/>
      <c r="R1375" s="32"/>
      <c r="S1375" s="32"/>
      <c r="T1375" s="32"/>
      <c r="U1375" s="32"/>
      <c r="V1375" s="2"/>
      <c r="W1375" s="2"/>
      <c r="X1375" s="2"/>
      <c r="Y1375" s="2"/>
      <c r="Z1375" s="2"/>
    </row>
    <row r="1376" spans="1:26" ht="13.8" x14ac:dyDescent="0.3">
      <c r="A1376" s="2"/>
      <c r="B1376" s="2"/>
      <c r="C1376" s="10"/>
      <c r="D1376" s="10"/>
      <c r="E1376" s="10"/>
      <c r="F1376" s="10"/>
      <c r="G1376" s="69"/>
      <c r="H1376" s="69"/>
      <c r="I1376" s="69"/>
      <c r="J1376" s="70"/>
      <c r="K1376" s="69"/>
      <c r="L1376" s="69"/>
      <c r="M1376" s="69"/>
      <c r="N1376" s="69"/>
      <c r="O1376" s="69"/>
      <c r="P1376" s="2"/>
      <c r="Q1376" s="2"/>
      <c r="R1376" s="32"/>
      <c r="S1376" s="32"/>
      <c r="T1376" s="32"/>
      <c r="U1376" s="32"/>
      <c r="V1376" s="2"/>
      <c r="W1376" s="2"/>
      <c r="X1376" s="2"/>
      <c r="Y1376" s="2"/>
      <c r="Z1376" s="2"/>
    </row>
    <row r="1377" spans="1:26" ht="13.8" x14ac:dyDescent="0.3">
      <c r="A1377" s="2"/>
      <c r="B1377" s="2"/>
      <c r="C1377" s="10"/>
      <c r="D1377" s="10"/>
      <c r="E1377" s="10"/>
      <c r="F1377" s="10"/>
      <c r="G1377" s="69"/>
      <c r="H1377" s="69"/>
      <c r="I1377" s="69"/>
      <c r="J1377" s="70"/>
      <c r="K1377" s="69"/>
      <c r="L1377" s="69"/>
      <c r="M1377" s="69"/>
      <c r="N1377" s="69"/>
      <c r="O1377" s="69"/>
      <c r="P1377" s="2"/>
      <c r="Q1377" s="2"/>
      <c r="R1377" s="32"/>
      <c r="S1377" s="32"/>
      <c r="T1377" s="32"/>
      <c r="U1377" s="32"/>
      <c r="V1377" s="2"/>
      <c r="W1377" s="2"/>
      <c r="X1377" s="2"/>
      <c r="Y1377" s="2"/>
      <c r="Z1377" s="2"/>
    </row>
    <row r="1378" spans="1:26" ht="13.8" x14ac:dyDescent="0.3">
      <c r="A1378" s="2"/>
      <c r="B1378" s="2"/>
      <c r="C1378" s="10"/>
      <c r="D1378" s="10"/>
      <c r="E1378" s="10"/>
      <c r="F1378" s="10"/>
      <c r="G1378" s="69"/>
      <c r="H1378" s="69"/>
      <c r="I1378" s="69"/>
      <c r="J1378" s="70"/>
      <c r="K1378" s="69"/>
      <c r="L1378" s="69"/>
      <c r="M1378" s="69"/>
      <c r="N1378" s="69"/>
      <c r="O1378" s="69"/>
      <c r="P1378" s="2"/>
      <c r="Q1378" s="2"/>
      <c r="R1378" s="32"/>
      <c r="S1378" s="32"/>
      <c r="T1378" s="32"/>
      <c r="U1378" s="32"/>
      <c r="V1378" s="2"/>
      <c r="W1378" s="2"/>
      <c r="X1378" s="2"/>
      <c r="Y1378" s="2"/>
      <c r="Z1378" s="2"/>
    </row>
    <row r="1379" spans="1:26" ht="13.8" x14ac:dyDescent="0.3">
      <c r="A1379" s="2"/>
      <c r="B1379" s="2"/>
      <c r="C1379" s="10"/>
      <c r="D1379" s="10"/>
      <c r="E1379" s="10"/>
      <c r="F1379" s="10"/>
      <c r="G1379" s="69"/>
      <c r="H1379" s="69"/>
      <c r="I1379" s="69"/>
      <c r="J1379" s="70"/>
      <c r="K1379" s="69"/>
      <c r="L1379" s="69"/>
      <c r="M1379" s="69"/>
      <c r="N1379" s="69"/>
      <c r="O1379" s="69"/>
      <c r="P1379" s="2"/>
      <c r="Q1379" s="2"/>
      <c r="R1379" s="32"/>
      <c r="S1379" s="32"/>
      <c r="T1379" s="32"/>
      <c r="U1379" s="32"/>
      <c r="V1379" s="2"/>
      <c r="W1379" s="2"/>
      <c r="X1379" s="2"/>
      <c r="Y1379" s="2"/>
      <c r="Z1379" s="2"/>
    </row>
    <row r="1380" spans="1:26" ht="13.8" x14ac:dyDescent="0.3">
      <c r="A1380" s="2"/>
      <c r="B1380" s="2"/>
      <c r="C1380" s="10"/>
      <c r="D1380" s="10"/>
      <c r="E1380" s="10"/>
      <c r="F1380" s="10"/>
      <c r="G1380" s="69"/>
      <c r="H1380" s="69"/>
      <c r="I1380" s="69"/>
      <c r="J1380" s="70"/>
      <c r="K1380" s="69"/>
      <c r="L1380" s="69"/>
      <c r="M1380" s="69"/>
      <c r="N1380" s="69"/>
      <c r="O1380" s="69"/>
      <c r="P1380" s="2"/>
      <c r="Q1380" s="2"/>
      <c r="R1380" s="32"/>
      <c r="S1380" s="32"/>
      <c r="T1380" s="32"/>
      <c r="U1380" s="32"/>
      <c r="V1380" s="2"/>
      <c r="W1380" s="2"/>
      <c r="X1380" s="2"/>
      <c r="Y1380" s="2"/>
      <c r="Z1380" s="2"/>
    </row>
    <row r="1381" spans="1:26" ht="13.8" x14ac:dyDescent="0.3">
      <c r="A1381" s="2"/>
      <c r="B1381" s="2"/>
      <c r="C1381" s="10"/>
      <c r="D1381" s="10"/>
      <c r="E1381" s="10"/>
      <c r="F1381" s="10"/>
      <c r="G1381" s="69"/>
      <c r="H1381" s="69"/>
      <c r="I1381" s="69"/>
      <c r="J1381" s="70"/>
      <c r="K1381" s="69"/>
      <c r="L1381" s="69"/>
      <c r="M1381" s="69"/>
      <c r="N1381" s="69"/>
      <c r="O1381" s="69"/>
      <c r="P1381" s="2"/>
      <c r="Q1381" s="2"/>
      <c r="R1381" s="32"/>
      <c r="S1381" s="32"/>
      <c r="T1381" s="32"/>
      <c r="U1381" s="32"/>
      <c r="V1381" s="2"/>
      <c r="W1381" s="2"/>
      <c r="X1381" s="2"/>
      <c r="Y1381" s="2"/>
      <c r="Z1381" s="2"/>
    </row>
    <row r="1382" spans="1:26" ht="13.8" x14ac:dyDescent="0.3">
      <c r="A1382" s="2"/>
      <c r="B1382" s="2"/>
      <c r="C1382" s="10"/>
      <c r="D1382" s="10"/>
      <c r="E1382" s="10"/>
      <c r="F1382" s="10"/>
      <c r="G1382" s="69"/>
      <c r="H1382" s="69"/>
      <c r="I1382" s="69"/>
      <c r="J1382" s="70"/>
      <c r="K1382" s="69"/>
      <c r="L1382" s="69"/>
      <c r="M1382" s="69"/>
      <c r="N1382" s="69"/>
      <c r="O1382" s="69"/>
      <c r="P1382" s="2"/>
      <c r="Q1382" s="2"/>
      <c r="R1382" s="32"/>
      <c r="S1382" s="32"/>
      <c r="T1382" s="32"/>
      <c r="U1382" s="32"/>
      <c r="V1382" s="2"/>
      <c r="W1382" s="2"/>
      <c r="X1382" s="2"/>
      <c r="Y1382" s="2"/>
      <c r="Z1382" s="2"/>
    </row>
    <row r="1383" spans="1:26" ht="13.8" x14ac:dyDescent="0.3">
      <c r="A1383" s="2"/>
      <c r="B1383" s="2"/>
      <c r="C1383" s="10"/>
      <c r="D1383" s="10"/>
      <c r="E1383" s="10"/>
      <c r="F1383" s="10"/>
      <c r="G1383" s="69"/>
      <c r="H1383" s="69"/>
      <c r="I1383" s="69"/>
      <c r="J1383" s="70"/>
      <c r="K1383" s="69"/>
      <c r="L1383" s="69"/>
      <c r="M1383" s="69"/>
      <c r="N1383" s="69"/>
      <c r="O1383" s="69"/>
      <c r="P1383" s="2"/>
      <c r="Q1383" s="2"/>
      <c r="R1383" s="32"/>
      <c r="S1383" s="32"/>
      <c r="T1383" s="32"/>
      <c r="U1383" s="32"/>
      <c r="V1383" s="2"/>
      <c r="W1383" s="2"/>
      <c r="X1383" s="2"/>
      <c r="Y1383" s="2"/>
      <c r="Z1383" s="2"/>
    </row>
    <row r="1384" spans="1:26" ht="13.8" x14ac:dyDescent="0.3">
      <c r="A1384" s="2"/>
      <c r="B1384" s="2"/>
      <c r="C1384" s="10"/>
      <c r="D1384" s="10"/>
      <c r="E1384" s="10"/>
      <c r="F1384" s="10"/>
      <c r="G1384" s="69"/>
      <c r="H1384" s="69"/>
      <c r="I1384" s="69"/>
      <c r="J1384" s="70"/>
      <c r="K1384" s="69"/>
      <c r="L1384" s="69"/>
      <c r="M1384" s="69"/>
      <c r="N1384" s="69"/>
      <c r="O1384" s="69"/>
      <c r="P1384" s="2"/>
      <c r="Q1384" s="2"/>
      <c r="R1384" s="32"/>
      <c r="S1384" s="32"/>
      <c r="T1384" s="32"/>
      <c r="U1384" s="32"/>
      <c r="V1384" s="2"/>
      <c r="W1384" s="2"/>
      <c r="X1384" s="2"/>
      <c r="Y1384" s="2"/>
      <c r="Z1384" s="2"/>
    </row>
    <row r="1385" spans="1:26" ht="13.8" x14ac:dyDescent="0.3">
      <c r="A1385" s="2"/>
      <c r="B1385" s="2"/>
      <c r="C1385" s="10"/>
      <c r="D1385" s="10"/>
      <c r="E1385" s="10"/>
      <c r="F1385" s="10"/>
      <c r="G1385" s="69"/>
      <c r="H1385" s="69"/>
      <c r="I1385" s="69"/>
      <c r="J1385" s="70"/>
      <c r="K1385" s="69"/>
      <c r="L1385" s="69"/>
      <c r="M1385" s="69"/>
      <c r="N1385" s="69"/>
      <c r="O1385" s="69"/>
      <c r="P1385" s="2"/>
      <c r="Q1385" s="2"/>
      <c r="R1385" s="32"/>
      <c r="S1385" s="32"/>
      <c r="T1385" s="32"/>
      <c r="U1385" s="32"/>
      <c r="V1385" s="2"/>
      <c r="W1385" s="2"/>
      <c r="X1385" s="2"/>
      <c r="Y1385" s="2"/>
      <c r="Z1385" s="2"/>
    </row>
    <row r="1386" spans="1:26" ht="13.8" x14ac:dyDescent="0.3">
      <c r="A1386" s="2"/>
      <c r="B1386" s="2"/>
      <c r="C1386" s="10"/>
      <c r="D1386" s="10"/>
      <c r="E1386" s="10"/>
      <c r="F1386" s="10"/>
      <c r="G1386" s="69"/>
      <c r="H1386" s="69"/>
      <c r="I1386" s="69"/>
      <c r="J1386" s="70"/>
      <c r="K1386" s="69"/>
      <c r="L1386" s="69"/>
      <c r="M1386" s="69"/>
      <c r="N1386" s="69"/>
      <c r="O1386" s="69"/>
      <c r="P1386" s="2"/>
      <c r="Q1386" s="2"/>
      <c r="R1386" s="32"/>
      <c r="S1386" s="32"/>
      <c r="T1386" s="32"/>
      <c r="U1386" s="32"/>
      <c r="V1386" s="2"/>
      <c r="W1386" s="2"/>
      <c r="X1386" s="2"/>
      <c r="Y1386" s="2"/>
      <c r="Z1386" s="2"/>
    </row>
    <row r="1387" spans="1:26" ht="13.8" x14ac:dyDescent="0.3">
      <c r="A1387" s="2"/>
      <c r="B1387" s="2"/>
      <c r="C1387" s="10"/>
      <c r="D1387" s="10"/>
      <c r="E1387" s="10"/>
      <c r="F1387" s="10"/>
      <c r="G1387" s="69"/>
      <c r="H1387" s="69"/>
      <c r="I1387" s="69"/>
      <c r="J1387" s="70"/>
      <c r="K1387" s="69"/>
      <c r="L1387" s="69"/>
      <c r="M1387" s="69"/>
      <c r="N1387" s="69"/>
      <c r="O1387" s="69"/>
      <c r="P1387" s="2"/>
      <c r="Q1387" s="2"/>
      <c r="R1387" s="32"/>
      <c r="S1387" s="32"/>
      <c r="T1387" s="32"/>
      <c r="U1387" s="32"/>
      <c r="V1387" s="2"/>
      <c r="W1387" s="2"/>
      <c r="X1387" s="2"/>
      <c r="Y1387" s="2"/>
      <c r="Z1387" s="2"/>
    </row>
    <row r="1388" spans="1:26" ht="13.8" x14ac:dyDescent="0.3">
      <c r="A1388" s="2"/>
      <c r="B1388" s="2"/>
      <c r="C1388" s="10"/>
      <c r="D1388" s="10"/>
      <c r="E1388" s="10"/>
      <c r="F1388" s="10"/>
      <c r="G1388" s="69"/>
      <c r="H1388" s="69"/>
      <c r="I1388" s="69"/>
      <c r="J1388" s="70"/>
      <c r="K1388" s="69"/>
      <c r="L1388" s="69"/>
      <c r="M1388" s="69"/>
      <c r="N1388" s="69"/>
      <c r="O1388" s="69"/>
      <c r="P1388" s="2"/>
      <c r="Q1388" s="2"/>
      <c r="R1388" s="32"/>
      <c r="S1388" s="32"/>
      <c r="T1388" s="32"/>
      <c r="U1388" s="32"/>
      <c r="V1388" s="2"/>
      <c r="W1388" s="2"/>
      <c r="X1388" s="2"/>
      <c r="Y1388" s="2"/>
      <c r="Z1388" s="2"/>
    </row>
    <row r="1389" spans="1:26" ht="13.8" x14ac:dyDescent="0.3">
      <c r="A1389" s="2"/>
      <c r="B1389" s="2"/>
      <c r="C1389" s="10"/>
      <c r="D1389" s="10"/>
      <c r="E1389" s="10"/>
      <c r="F1389" s="10"/>
      <c r="G1389" s="69"/>
      <c r="H1389" s="69"/>
      <c r="I1389" s="69"/>
      <c r="J1389" s="70"/>
      <c r="K1389" s="69"/>
      <c r="L1389" s="69"/>
      <c r="M1389" s="69"/>
      <c r="N1389" s="69"/>
      <c r="O1389" s="69"/>
      <c r="P1389" s="2"/>
      <c r="Q1389" s="2"/>
      <c r="R1389" s="32"/>
      <c r="S1389" s="32"/>
      <c r="T1389" s="32"/>
      <c r="U1389" s="32"/>
      <c r="V1389" s="2"/>
      <c r="W1389" s="2"/>
      <c r="X1389" s="2"/>
      <c r="Y1389" s="2"/>
      <c r="Z1389" s="2"/>
    </row>
    <row r="1390" spans="1:26" ht="13.8" x14ac:dyDescent="0.3">
      <c r="A1390" s="2"/>
      <c r="B1390" s="2"/>
      <c r="C1390" s="10"/>
      <c r="D1390" s="10"/>
      <c r="E1390" s="10"/>
      <c r="F1390" s="10"/>
      <c r="G1390" s="69"/>
      <c r="H1390" s="69"/>
      <c r="I1390" s="69"/>
      <c r="J1390" s="70"/>
      <c r="K1390" s="69"/>
      <c r="L1390" s="69"/>
      <c r="M1390" s="69"/>
      <c r="N1390" s="69"/>
      <c r="O1390" s="69"/>
      <c r="P1390" s="2"/>
      <c r="Q1390" s="2"/>
      <c r="R1390" s="32"/>
      <c r="S1390" s="32"/>
      <c r="T1390" s="32"/>
      <c r="U1390" s="32"/>
      <c r="V1390" s="2"/>
      <c r="W1390" s="2"/>
      <c r="X1390" s="2"/>
      <c r="Y1390" s="2"/>
      <c r="Z1390" s="2"/>
    </row>
    <row r="1391" spans="1:26" ht="13.8" x14ac:dyDescent="0.3">
      <c r="A1391" s="2"/>
      <c r="B1391" s="2"/>
      <c r="C1391" s="10"/>
      <c r="D1391" s="10"/>
      <c r="E1391" s="10"/>
      <c r="F1391" s="10"/>
      <c r="G1391" s="69"/>
      <c r="H1391" s="69"/>
      <c r="I1391" s="69"/>
      <c r="J1391" s="70"/>
      <c r="K1391" s="69"/>
      <c r="L1391" s="69"/>
      <c r="M1391" s="69"/>
      <c r="N1391" s="69"/>
      <c r="O1391" s="69"/>
      <c r="P1391" s="2"/>
      <c r="Q1391" s="2"/>
      <c r="R1391" s="32"/>
      <c r="S1391" s="32"/>
      <c r="T1391" s="32"/>
      <c r="U1391" s="32"/>
      <c r="V1391" s="2"/>
      <c r="W1391" s="2"/>
      <c r="X1391" s="2"/>
      <c r="Y1391" s="2"/>
      <c r="Z1391" s="2"/>
    </row>
    <row r="1392" spans="1:26" ht="13.8" x14ac:dyDescent="0.3">
      <c r="A1392" s="2"/>
      <c r="B1392" s="2"/>
      <c r="C1392" s="10"/>
      <c r="D1392" s="10"/>
      <c r="E1392" s="10"/>
      <c r="F1392" s="10"/>
      <c r="G1392" s="69"/>
      <c r="H1392" s="69"/>
      <c r="I1392" s="69"/>
      <c r="J1392" s="70"/>
      <c r="K1392" s="69"/>
      <c r="L1392" s="69"/>
      <c r="M1392" s="69"/>
      <c r="N1392" s="69"/>
      <c r="O1392" s="69"/>
      <c r="P1392" s="2"/>
      <c r="Q1392" s="2"/>
      <c r="R1392" s="32"/>
      <c r="S1392" s="32"/>
      <c r="T1392" s="32"/>
      <c r="U1392" s="32"/>
      <c r="V1392" s="2"/>
      <c r="W1392" s="2"/>
      <c r="X1392" s="2"/>
      <c r="Y1392" s="2"/>
      <c r="Z1392" s="2"/>
    </row>
    <row r="1393" spans="1:26" ht="13.8" x14ac:dyDescent="0.3">
      <c r="A1393" s="2"/>
      <c r="B1393" s="2"/>
      <c r="C1393" s="10"/>
      <c r="D1393" s="10"/>
      <c r="E1393" s="10"/>
      <c r="F1393" s="10"/>
      <c r="G1393" s="69"/>
      <c r="H1393" s="69"/>
      <c r="I1393" s="69"/>
      <c r="J1393" s="70"/>
      <c r="K1393" s="69"/>
      <c r="L1393" s="69"/>
      <c r="M1393" s="69"/>
      <c r="N1393" s="69"/>
      <c r="O1393" s="69"/>
      <c r="P1393" s="2"/>
      <c r="Q1393" s="2"/>
      <c r="R1393" s="32"/>
      <c r="S1393" s="32"/>
      <c r="T1393" s="32"/>
      <c r="U1393" s="32"/>
      <c r="V1393" s="2"/>
      <c r="W1393" s="2"/>
      <c r="X1393" s="2"/>
      <c r="Y1393" s="2"/>
      <c r="Z1393" s="2"/>
    </row>
    <row r="1394" spans="1:26" ht="13.8" x14ac:dyDescent="0.3">
      <c r="A1394" s="2"/>
      <c r="B1394" s="2"/>
      <c r="C1394" s="10"/>
      <c r="D1394" s="10"/>
      <c r="E1394" s="10"/>
      <c r="F1394" s="10"/>
      <c r="G1394" s="69"/>
      <c r="H1394" s="69"/>
      <c r="I1394" s="69"/>
      <c r="J1394" s="70"/>
      <c r="K1394" s="69"/>
      <c r="L1394" s="69"/>
      <c r="M1394" s="69"/>
      <c r="N1394" s="69"/>
      <c r="O1394" s="69"/>
      <c r="P1394" s="2"/>
      <c r="Q1394" s="2"/>
      <c r="R1394" s="32"/>
      <c r="S1394" s="32"/>
      <c r="T1394" s="32"/>
      <c r="U1394" s="32"/>
      <c r="V1394" s="2"/>
      <c r="W1394" s="2"/>
      <c r="X1394" s="2"/>
      <c r="Y1394" s="2"/>
      <c r="Z1394" s="2"/>
    </row>
    <row r="1395" spans="1:26" ht="13.8" x14ac:dyDescent="0.3">
      <c r="A1395" s="2"/>
      <c r="B1395" s="2"/>
      <c r="C1395" s="10"/>
      <c r="D1395" s="10"/>
      <c r="E1395" s="10"/>
      <c r="F1395" s="10"/>
      <c r="G1395" s="69"/>
      <c r="H1395" s="69"/>
      <c r="I1395" s="69"/>
      <c r="J1395" s="70"/>
      <c r="K1395" s="69"/>
      <c r="L1395" s="69"/>
      <c r="M1395" s="69"/>
      <c r="N1395" s="69"/>
      <c r="O1395" s="69"/>
      <c r="P1395" s="2"/>
      <c r="Q1395" s="2"/>
      <c r="R1395" s="32"/>
      <c r="S1395" s="32"/>
      <c r="T1395" s="32"/>
      <c r="U1395" s="32"/>
      <c r="V1395" s="2"/>
      <c r="W1395" s="2"/>
      <c r="X1395" s="2"/>
      <c r="Y1395" s="2"/>
      <c r="Z1395" s="2"/>
    </row>
    <row r="1396" spans="1:26" ht="13.8" x14ac:dyDescent="0.3">
      <c r="A1396" s="2"/>
      <c r="B1396" s="2"/>
      <c r="C1396" s="10"/>
      <c r="D1396" s="10"/>
      <c r="E1396" s="10"/>
      <c r="F1396" s="10"/>
      <c r="G1396" s="69"/>
      <c r="H1396" s="69"/>
      <c r="I1396" s="69"/>
      <c r="J1396" s="70"/>
      <c r="K1396" s="69"/>
      <c r="L1396" s="69"/>
      <c r="M1396" s="69"/>
      <c r="N1396" s="69"/>
      <c r="O1396" s="69"/>
      <c r="P1396" s="2"/>
      <c r="Q1396" s="2"/>
      <c r="R1396" s="32"/>
      <c r="S1396" s="32"/>
      <c r="T1396" s="32"/>
      <c r="U1396" s="32"/>
      <c r="V1396" s="2"/>
      <c r="W1396" s="2"/>
      <c r="X1396" s="2"/>
      <c r="Y1396" s="2"/>
      <c r="Z1396" s="2"/>
    </row>
    <row r="1397" spans="1:26" ht="13.8" x14ac:dyDescent="0.3">
      <c r="A1397" s="2"/>
      <c r="B1397" s="2"/>
      <c r="C1397" s="10"/>
      <c r="D1397" s="10"/>
      <c r="E1397" s="10"/>
      <c r="F1397" s="10"/>
      <c r="G1397" s="69"/>
      <c r="H1397" s="69"/>
      <c r="I1397" s="69"/>
      <c r="J1397" s="70"/>
      <c r="K1397" s="69"/>
      <c r="L1397" s="69"/>
      <c r="M1397" s="69"/>
      <c r="N1397" s="69"/>
      <c r="O1397" s="69"/>
      <c r="P1397" s="2"/>
      <c r="Q1397" s="2"/>
      <c r="R1397" s="32"/>
      <c r="S1397" s="32"/>
      <c r="T1397" s="32"/>
      <c r="U1397" s="32"/>
      <c r="V1397" s="2"/>
      <c r="W1397" s="2"/>
      <c r="X1397" s="2"/>
      <c r="Y1397" s="2"/>
      <c r="Z1397" s="2"/>
    </row>
    <row r="1398" spans="1:26" ht="13.8" x14ac:dyDescent="0.3">
      <c r="A1398" s="2"/>
      <c r="B1398" s="2"/>
      <c r="C1398" s="10"/>
      <c r="D1398" s="10"/>
      <c r="E1398" s="10"/>
      <c r="F1398" s="10"/>
      <c r="G1398" s="69"/>
      <c r="H1398" s="69"/>
      <c r="I1398" s="69"/>
      <c r="J1398" s="70"/>
      <c r="K1398" s="69"/>
      <c r="L1398" s="69"/>
      <c r="M1398" s="69"/>
      <c r="N1398" s="69"/>
      <c r="O1398" s="69"/>
      <c r="P1398" s="2"/>
      <c r="Q1398" s="2"/>
      <c r="R1398" s="32"/>
      <c r="S1398" s="32"/>
      <c r="T1398" s="32"/>
      <c r="U1398" s="32"/>
      <c r="V1398" s="2"/>
      <c r="W1398" s="2"/>
      <c r="X1398" s="2"/>
      <c r="Y1398" s="2"/>
      <c r="Z1398" s="2"/>
    </row>
    <row r="1399" spans="1:26" ht="13.8" x14ac:dyDescent="0.3">
      <c r="A1399" s="2"/>
      <c r="B1399" s="2"/>
      <c r="C1399" s="10"/>
      <c r="D1399" s="10"/>
      <c r="E1399" s="10"/>
      <c r="F1399" s="10"/>
      <c r="G1399" s="69"/>
      <c r="H1399" s="69"/>
      <c r="I1399" s="69"/>
      <c r="J1399" s="70"/>
      <c r="K1399" s="69"/>
      <c r="L1399" s="69"/>
      <c r="M1399" s="69"/>
      <c r="N1399" s="69"/>
      <c r="O1399" s="69"/>
      <c r="P1399" s="2"/>
      <c r="Q1399" s="2"/>
      <c r="R1399" s="32"/>
      <c r="S1399" s="32"/>
      <c r="T1399" s="32"/>
      <c r="U1399" s="32"/>
      <c r="V1399" s="2"/>
      <c r="W1399" s="2"/>
      <c r="X1399" s="2"/>
      <c r="Y1399" s="2"/>
      <c r="Z1399" s="2"/>
    </row>
    <row r="1400" spans="1:26" ht="13.8" x14ac:dyDescent="0.3">
      <c r="A1400" s="2"/>
      <c r="B1400" s="2"/>
      <c r="C1400" s="10"/>
      <c r="D1400" s="10"/>
      <c r="E1400" s="10"/>
      <c r="F1400" s="10"/>
      <c r="G1400" s="69"/>
      <c r="H1400" s="69"/>
      <c r="I1400" s="69"/>
      <c r="J1400" s="70"/>
      <c r="K1400" s="69"/>
      <c r="L1400" s="69"/>
      <c r="M1400" s="69"/>
      <c r="N1400" s="69"/>
      <c r="O1400" s="69"/>
      <c r="P1400" s="2"/>
      <c r="Q1400" s="2"/>
      <c r="R1400" s="32"/>
      <c r="S1400" s="32"/>
      <c r="T1400" s="32"/>
      <c r="U1400" s="32"/>
      <c r="V1400" s="2"/>
      <c r="W1400" s="2"/>
      <c r="X1400" s="2"/>
      <c r="Y1400" s="2"/>
      <c r="Z1400" s="2"/>
    </row>
    <row r="1401" spans="1:26" ht="13.8" x14ac:dyDescent="0.3">
      <c r="A1401" s="2"/>
      <c r="B1401" s="2"/>
      <c r="C1401" s="10"/>
      <c r="D1401" s="10"/>
      <c r="E1401" s="10"/>
      <c r="F1401" s="10"/>
      <c r="G1401" s="69"/>
      <c r="H1401" s="69"/>
      <c r="I1401" s="69"/>
      <c r="J1401" s="70"/>
      <c r="K1401" s="69"/>
      <c r="L1401" s="69"/>
      <c r="M1401" s="69"/>
      <c r="N1401" s="69"/>
      <c r="O1401" s="69"/>
      <c r="P1401" s="2"/>
      <c r="Q1401" s="2"/>
      <c r="R1401" s="32"/>
      <c r="S1401" s="32"/>
      <c r="T1401" s="32"/>
      <c r="U1401" s="32"/>
      <c r="V1401" s="2"/>
      <c r="W1401" s="2"/>
      <c r="X1401" s="2"/>
      <c r="Y1401" s="2"/>
      <c r="Z1401" s="2"/>
    </row>
    <row r="1402" spans="1:26" ht="13.8" x14ac:dyDescent="0.3">
      <c r="A1402" s="2"/>
      <c r="B1402" s="2"/>
      <c r="C1402" s="10"/>
      <c r="D1402" s="10"/>
      <c r="E1402" s="10"/>
      <c r="F1402" s="10"/>
      <c r="G1402" s="69"/>
      <c r="H1402" s="69"/>
      <c r="I1402" s="69"/>
      <c r="J1402" s="70"/>
      <c r="K1402" s="69"/>
      <c r="L1402" s="69"/>
      <c r="M1402" s="69"/>
      <c r="N1402" s="69"/>
      <c r="O1402" s="69"/>
      <c r="P1402" s="2"/>
      <c r="Q1402" s="2"/>
      <c r="R1402" s="32"/>
      <c r="S1402" s="32"/>
      <c r="T1402" s="32"/>
      <c r="U1402" s="32"/>
      <c r="V1402" s="2"/>
      <c r="W1402" s="2"/>
      <c r="X1402" s="2"/>
      <c r="Y1402" s="2"/>
      <c r="Z1402" s="2"/>
    </row>
    <row r="1403" spans="1:26" ht="13.8" x14ac:dyDescent="0.3">
      <c r="A1403" s="2"/>
      <c r="B1403" s="2"/>
      <c r="C1403" s="10"/>
      <c r="D1403" s="10"/>
      <c r="E1403" s="10"/>
      <c r="F1403" s="10"/>
      <c r="G1403" s="69"/>
      <c r="H1403" s="69"/>
      <c r="I1403" s="69"/>
      <c r="J1403" s="70"/>
      <c r="K1403" s="69"/>
      <c r="L1403" s="69"/>
      <c r="M1403" s="69"/>
      <c r="N1403" s="69"/>
      <c r="O1403" s="69"/>
      <c r="P1403" s="2"/>
      <c r="Q1403" s="2"/>
      <c r="R1403" s="32"/>
      <c r="S1403" s="32"/>
      <c r="T1403" s="32"/>
      <c r="U1403" s="32"/>
      <c r="V1403" s="2"/>
      <c r="W1403" s="2"/>
      <c r="X1403" s="2"/>
      <c r="Y1403" s="2"/>
      <c r="Z1403" s="2"/>
    </row>
    <row r="1404" spans="1:26" ht="13.8" x14ac:dyDescent="0.3">
      <c r="A1404" s="2"/>
      <c r="B1404" s="2"/>
      <c r="C1404" s="10"/>
      <c r="D1404" s="10"/>
      <c r="E1404" s="10"/>
      <c r="F1404" s="10"/>
      <c r="G1404" s="69"/>
      <c r="H1404" s="69"/>
      <c r="I1404" s="69"/>
      <c r="J1404" s="70"/>
      <c r="K1404" s="69"/>
      <c r="L1404" s="69"/>
      <c r="M1404" s="69"/>
      <c r="N1404" s="69"/>
      <c r="O1404" s="69"/>
      <c r="P1404" s="2"/>
      <c r="Q1404" s="2"/>
      <c r="R1404" s="32"/>
      <c r="S1404" s="32"/>
      <c r="T1404" s="32"/>
      <c r="U1404" s="32"/>
      <c r="V1404" s="2"/>
      <c r="W1404" s="2"/>
      <c r="X1404" s="2"/>
      <c r="Y1404" s="2"/>
      <c r="Z1404" s="2"/>
    </row>
    <row r="1405" spans="1:26" ht="13.8" x14ac:dyDescent="0.3">
      <c r="A1405" s="2"/>
      <c r="B1405" s="2"/>
      <c r="C1405" s="10"/>
      <c r="D1405" s="10"/>
      <c r="E1405" s="10"/>
      <c r="F1405" s="10"/>
      <c r="G1405" s="69"/>
      <c r="H1405" s="69"/>
      <c r="I1405" s="69"/>
      <c r="J1405" s="70"/>
      <c r="K1405" s="69"/>
      <c r="L1405" s="69"/>
      <c r="M1405" s="69"/>
      <c r="N1405" s="69"/>
      <c r="O1405" s="69"/>
      <c r="P1405" s="2"/>
      <c r="Q1405" s="2"/>
      <c r="R1405" s="32"/>
      <c r="S1405" s="32"/>
      <c r="T1405" s="32"/>
      <c r="U1405" s="32"/>
      <c r="V1405" s="2"/>
      <c r="W1405" s="2"/>
      <c r="X1405" s="2"/>
      <c r="Y1405" s="2"/>
      <c r="Z1405" s="2"/>
    </row>
    <row r="1406" spans="1:26" ht="13.8" x14ac:dyDescent="0.3">
      <c r="A1406" s="2"/>
      <c r="B1406" s="2"/>
      <c r="C1406" s="10"/>
      <c r="D1406" s="10"/>
      <c r="E1406" s="10"/>
      <c r="F1406" s="10"/>
      <c r="G1406" s="69"/>
      <c r="H1406" s="69"/>
      <c r="I1406" s="69"/>
      <c r="J1406" s="70"/>
      <c r="K1406" s="69"/>
      <c r="L1406" s="69"/>
      <c r="M1406" s="69"/>
      <c r="N1406" s="69"/>
      <c r="O1406" s="69"/>
      <c r="P1406" s="2"/>
      <c r="Q1406" s="2"/>
      <c r="R1406" s="32"/>
      <c r="S1406" s="32"/>
      <c r="T1406" s="32"/>
      <c r="U1406" s="32"/>
      <c r="V1406" s="2"/>
      <c r="W1406" s="2"/>
      <c r="X1406" s="2"/>
      <c r="Y1406" s="2"/>
      <c r="Z1406" s="2"/>
    </row>
    <row r="1407" spans="1:26" ht="13.8" x14ac:dyDescent="0.3">
      <c r="A1407" s="2"/>
      <c r="B1407" s="2"/>
      <c r="C1407" s="10"/>
      <c r="D1407" s="10"/>
      <c r="E1407" s="10"/>
      <c r="F1407" s="10"/>
      <c r="G1407" s="69"/>
      <c r="H1407" s="69"/>
      <c r="I1407" s="69"/>
      <c r="J1407" s="70"/>
      <c r="K1407" s="69"/>
      <c r="L1407" s="69"/>
      <c r="M1407" s="69"/>
      <c r="N1407" s="69"/>
      <c r="O1407" s="69"/>
      <c r="P1407" s="2"/>
      <c r="Q1407" s="2"/>
      <c r="R1407" s="32"/>
      <c r="S1407" s="32"/>
      <c r="T1407" s="32"/>
      <c r="U1407" s="32"/>
      <c r="V1407" s="2"/>
      <c r="W1407" s="2"/>
      <c r="X1407" s="2"/>
      <c r="Y1407" s="2"/>
      <c r="Z1407" s="2"/>
    </row>
    <row r="1408" spans="1:26" ht="13.8" x14ac:dyDescent="0.3">
      <c r="A1408" s="2"/>
      <c r="B1408" s="2"/>
      <c r="C1408" s="10"/>
      <c r="D1408" s="10"/>
      <c r="E1408" s="10"/>
      <c r="F1408" s="10"/>
      <c r="G1408" s="69"/>
      <c r="H1408" s="69"/>
      <c r="I1408" s="69"/>
      <c r="J1408" s="70"/>
      <c r="K1408" s="69"/>
      <c r="L1408" s="69"/>
      <c r="M1408" s="69"/>
      <c r="N1408" s="69"/>
      <c r="O1408" s="69"/>
      <c r="P1408" s="2"/>
      <c r="Q1408" s="2"/>
      <c r="R1408" s="32"/>
      <c r="S1408" s="32"/>
      <c r="T1408" s="32"/>
      <c r="U1408" s="32"/>
      <c r="V1408" s="2"/>
      <c r="W1408" s="2"/>
      <c r="X1408" s="2"/>
      <c r="Y1408" s="2"/>
      <c r="Z1408" s="2"/>
    </row>
    <row r="1409" spans="1:26" ht="13.8" x14ac:dyDescent="0.3">
      <c r="A1409" s="2"/>
      <c r="B1409" s="2"/>
      <c r="C1409" s="10"/>
      <c r="D1409" s="10"/>
      <c r="E1409" s="10"/>
      <c r="F1409" s="10"/>
      <c r="G1409" s="69"/>
      <c r="H1409" s="69"/>
      <c r="I1409" s="69"/>
      <c r="J1409" s="70"/>
      <c r="K1409" s="69"/>
      <c r="L1409" s="69"/>
      <c r="M1409" s="69"/>
      <c r="N1409" s="69"/>
      <c r="O1409" s="69"/>
      <c r="P1409" s="2"/>
      <c r="Q1409" s="2"/>
      <c r="R1409" s="32"/>
      <c r="S1409" s="32"/>
      <c r="T1409" s="32"/>
      <c r="U1409" s="32"/>
      <c r="V1409" s="2"/>
      <c r="W1409" s="2"/>
      <c r="X1409" s="2"/>
      <c r="Y1409" s="2"/>
      <c r="Z1409" s="2"/>
    </row>
    <row r="1410" spans="1:26" ht="13.8" x14ac:dyDescent="0.3">
      <c r="A1410" s="2"/>
      <c r="B1410" s="2"/>
      <c r="C1410" s="10"/>
      <c r="D1410" s="10"/>
      <c r="E1410" s="10"/>
      <c r="F1410" s="10"/>
      <c r="G1410" s="69"/>
      <c r="H1410" s="69"/>
      <c r="I1410" s="69"/>
      <c r="J1410" s="70"/>
      <c r="K1410" s="69"/>
      <c r="L1410" s="69"/>
      <c r="M1410" s="69"/>
      <c r="N1410" s="69"/>
      <c r="O1410" s="69"/>
      <c r="P1410" s="2"/>
      <c r="Q1410" s="2"/>
      <c r="R1410" s="32"/>
      <c r="S1410" s="32"/>
      <c r="T1410" s="32"/>
      <c r="U1410" s="32"/>
      <c r="V1410" s="2"/>
      <c r="W1410" s="2"/>
      <c r="X1410" s="2"/>
      <c r="Y1410" s="2"/>
      <c r="Z1410" s="2"/>
    </row>
    <row r="1411" spans="1:26" ht="13.8" x14ac:dyDescent="0.3">
      <c r="A1411" s="2"/>
      <c r="B1411" s="2"/>
      <c r="C1411" s="10"/>
      <c r="D1411" s="10"/>
      <c r="E1411" s="10"/>
      <c r="F1411" s="10"/>
      <c r="G1411" s="69"/>
      <c r="H1411" s="69"/>
      <c r="I1411" s="69"/>
      <c r="J1411" s="70"/>
      <c r="K1411" s="69"/>
      <c r="L1411" s="69"/>
      <c r="M1411" s="69"/>
      <c r="N1411" s="69"/>
      <c r="O1411" s="69"/>
      <c r="P1411" s="2"/>
      <c r="Q1411" s="2"/>
      <c r="R1411" s="32"/>
      <c r="S1411" s="32"/>
      <c r="T1411" s="32"/>
      <c r="U1411" s="32"/>
      <c r="V1411" s="2"/>
      <c r="W1411" s="2"/>
      <c r="X1411" s="2"/>
      <c r="Y1411" s="2"/>
      <c r="Z1411" s="2"/>
    </row>
    <row r="1412" spans="1:26" ht="13.8" x14ac:dyDescent="0.3">
      <c r="A1412" s="2"/>
      <c r="B1412" s="2"/>
      <c r="C1412" s="10"/>
      <c r="D1412" s="10"/>
      <c r="E1412" s="10"/>
      <c r="F1412" s="10"/>
      <c r="G1412" s="69"/>
      <c r="H1412" s="69"/>
      <c r="I1412" s="69"/>
      <c r="J1412" s="70"/>
      <c r="K1412" s="69"/>
      <c r="L1412" s="69"/>
      <c r="M1412" s="69"/>
      <c r="N1412" s="69"/>
      <c r="O1412" s="69"/>
      <c r="P1412" s="2"/>
      <c r="Q1412" s="2"/>
      <c r="R1412" s="32"/>
      <c r="S1412" s="32"/>
      <c r="T1412" s="32"/>
      <c r="U1412" s="32"/>
      <c r="V1412" s="2"/>
      <c r="W1412" s="2"/>
      <c r="X1412" s="2"/>
      <c r="Y1412" s="2"/>
      <c r="Z1412" s="2"/>
    </row>
    <row r="1413" spans="1:26" ht="13.8" x14ac:dyDescent="0.3">
      <c r="A1413" s="2"/>
      <c r="B1413" s="2"/>
      <c r="C1413" s="10"/>
      <c r="D1413" s="10"/>
      <c r="E1413" s="10"/>
      <c r="F1413" s="10"/>
      <c r="G1413" s="69"/>
      <c r="H1413" s="69"/>
      <c r="I1413" s="69"/>
      <c r="J1413" s="70"/>
      <c r="K1413" s="69"/>
      <c r="L1413" s="69"/>
      <c r="M1413" s="69"/>
      <c r="N1413" s="69"/>
      <c r="O1413" s="69"/>
      <c r="P1413" s="2"/>
      <c r="Q1413" s="2"/>
      <c r="R1413" s="32"/>
      <c r="S1413" s="32"/>
      <c r="T1413" s="32"/>
      <c r="U1413" s="32"/>
      <c r="V1413" s="2"/>
      <c r="W1413" s="2"/>
      <c r="X1413" s="2"/>
      <c r="Y1413" s="2"/>
      <c r="Z1413" s="2"/>
    </row>
    <row r="1414" spans="1:26" ht="13.8" x14ac:dyDescent="0.3">
      <c r="A1414" s="2"/>
      <c r="B1414" s="2"/>
      <c r="C1414" s="10"/>
      <c r="D1414" s="10"/>
      <c r="E1414" s="10"/>
      <c r="F1414" s="10"/>
      <c r="G1414" s="69"/>
      <c r="H1414" s="69"/>
      <c r="I1414" s="69"/>
      <c r="J1414" s="70"/>
      <c r="K1414" s="69"/>
      <c r="L1414" s="69"/>
      <c r="M1414" s="69"/>
      <c r="N1414" s="69"/>
      <c r="O1414" s="69"/>
      <c r="P1414" s="2"/>
      <c r="Q1414" s="2"/>
      <c r="R1414" s="32"/>
      <c r="S1414" s="32"/>
      <c r="T1414" s="32"/>
      <c r="U1414" s="32"/>
      <c r="V1414" s="2"/>
      <c r="W1414" s="2"/>
      <c r="X1414" s="2"/>
      <c r="Y1414" s="2"/>
      <c r="Z1414" s="2"/>
    </row>
    <row r="1415" spans="1:26" ht="13.8" x14ac:dyDescent="0.3">
      <c r="A1415" s="2"/>
      <c r="B1415" s="2"/>
      <c r="C1415" s="10"/>
      <c r="D1415" s="10"/>
      <c r="E1415" s="10"/>
      <c r="F1415" s="10"/>
      <c r="G1415" s="69"/>
      <c r="H1415" s="69"/>
      <c r="I1415" s="69"/>
      <c r="J1415" s="70"/>
      <c r="K1415" s="69"/>
      <c r="L1415" s="69"/>
      <c r="M1415" s="69"/>
      <c r="N1415" s="69"/>
      <c r="O1415" s="69"/>
      <c r="P1415" s="2"/>
      <c r="Q1415" s="2"/>
      <c r="R1415" s="32"/>
      <c r="S1415" s="32"/>
      <c r="T1415" s="32"/>
      <c r="U1415" s="32"/>
      <c r="V1415" s="2"/>
      <c r="W1415" s="2"/>
      <c r="X1415" s="2"/>
      <c r="Y1415" s="2"/>
      <c r="Z1415" s="2"/>
    </row>
    <row r="1416" spans="1:26" ht="13.8" x14ac:dyDescent="0.3">
      <c r="A1416" s="2"/>
      <c r="B1416" s="2"/>
      <c r="C1416" s="10"/>
      <c r="D1416" s="10"/>
      <c r="E1416" s="10"/>
      <c r="F1416" s="10"/>
      <c r="G1416" s="69"/>
      <c r="H1416" s="69"/>
      <c r="I1416" s="69"/>
      <c r="J1416" s="70"/>
      <c r="K1416" s="69"/>
      <c r="L1416" s="69"/>
      <c r="M1416" s="69"/>
      <c r="N1416" s="69"/>
      <c r="O1416" s="69"/>
      <c r="P1416" s="2"/>
      <c r="Q1416" s="2"/>
      <c r="R1416" s="32"/>
      <c r="S1416" s="32"/>
      <c r="T1416" s="32"/>
      <c r="U1416" s="32"/>
      <c r="V1416" s="2"/>
      <c r="W1416" s="2"/>
      <c r="X1416" s="2"/>
      <c r="Y1416" s="2"/>
      <c r="Z1416" s="2"/>
    </row>
    <row r="1417" spans="1:26" ht="13.8" x14ac:dyDescent="0.3">
      <c r="A1417" s="2"/>
      <c r="B1417" s="2"/>
      <c r="C1417" s="10"/>
      <c r="D1417" s="10"/>
      <c r="E1417" s="10"/>
      <c r="F1417" s="10"/>
      <c r="G1417" s="69"/>
      <c r="H1417" s="69"/>
      <c r="I1417" s="69"/>
      <c r="J1417" s="70"/>
      <c r="K1417" s="69"/>
      <c r="L1417" s="69"/>
      <c r="M1417" s="69"/>
      <c r="N1417" s="69"/>
      <c r="O1417" s="69"/>
      <c r="P1417" s="2"/>
      <c r="Q1417" s="2"/>
      <c r="R1417" s="32"/>
      <c r="S1417" s="32"/>
      <c r="T1417" s="32"/>
      <c r="U1417" s="32"/>
      <c r="V1417" s="2"/>
      <c r="W1417" s="2"/>
      <c r="X1417" s="2"/>
      <c r="Y1417" s="2"/>
      <c r="Z1417" s="2"/>
    </row>
    <row r="1418" spans="1:26" ht="13.8" x14ac:dyDescent="0.3">
      <c r="A1418" s="2"/>
      <c r="B1418" s="2"/>
      <c r="C1418" s="10"/>
      <c r="D1418" s="10"/>
      <c r="E1418" s="10"/>
      <c r="F1418" s="10"/>
      <c r="G1418" s="69"/>
      <c r="H1418" s="69"/>
      <c r="I1418" s="69"/>
      <c r="J1418" s="70"/>
      <c r="K1418" s="69"/>
      <c r="L1418" s="69"/>
      <c r="M1418" s="69"/>
      <c r="N1418" s="69"/>
      <c r="O1418" s="69"/>
      <c r="P1418" s="2"/>
      <c r="Q1418" s="2"/>
      <c r="R1418" s="32"/>
      <c r="S1418" s="32"/>
      <c r="T1418" s="32"/>
      <c r="U1418" s="32"/>
      <c r="V1418" s="2"/>
      <c r="W1418" s="2"/>
      <c r="X1418" s="2"/>
      <c r="Y1418" s="2"/>
      <c r="Z1418" s="2"/>
    </row>
    <row r="1419" spans="1:26" ht="13.8" x14ac:dyDescent="0.3">
      <c r="A1419" s="2"/>
      <c r="B1419" s="2"/>
      <c r="C1419" s="10"/>
      <c r="D1419" s="10"/>
      <c r="E1419" s="10"/>
      <c r="F1419" s="10"/>
      <c r="G1419" s="69"/>
      <c r="H1419" s="69"/>
      <c r="I1419" s="69"/>
      <c r="J1419" s="70"/>
      <c r="K1419" s="69"/>
      <c r="L1419" s="69"/>
      <c r="M1419" s="69"/>
      <c r="N1419" s="69"/>
      <c r="O1419" s="69"/>
      <c r="P1419" s="2"/>
      <c r="Q1419" s="2"/>
      <c r="R1419" s="32"/>
      <c r="S1419" s="32"/>
      <c r="T1419" s="32"/>
      <c r="U1419" s="32"/>
      <c r="V1419" s="2"/>
      <c r="W1419" s="2"/>
      <c r="X1419" s="2"/>
      <c r="Y1419" s="2"/>
      <c r="Z1419" s="2"/>
    </row>
    <row r="1420" spans="1:26" ht="13.8" x14ac:dyDescent="0.3">
      <c r="A1420" s="2"/>
      <c r="B1420" s="2"/>
      <c r="C1420" s="10"/>
      <c r="D1420" s="10"/>
      <c r="E1420" s="10"/>
      <c r="F1420" s="10"/>
      <c r="G1420" s="69"/>
      <c r="H1420" s="69"/>
      <c r="I1420" s="69"/>
      <c r="J1420" s="70"/>
      <c r="K1420" s="69"/>
      <c r="L1420" s="69"/>
      <c r="M1420" s="69"/>
      <c r="N1420" s="69"/>
      <c r="O1420" s="69"/>
      <c r="P1420" s="2"/>
      <c r="Q1420" s="2"/>
      <c r="R1420" s="32"/>
      <c r="S1420" s="32"/>
      <c r="T1420" s="32"/>
      <c r="U1420" s="32"/>
      <c r="V1420" s="2"/>
      <c r="W1420" s="2"/>
      <c r="X1420" s="2"/>
      <c r="Y1420" s="2"/>
      <c r="Z1420" s="2"/>
    </row>
    <row r="1421" spans="1:26" ht="13.8" x14ac:dyDescent="0.3">
      <c r="A1421" s="2"/>
      <c r="B1421" s="2"/>
      <c r="C1421" s="10"/>
      <c r="D1421" s="10"/>
      <c r="E1421" s="10"/>
      <c r="F1421" s="10"/>
      <c r="G1421" s="69"/>
      <c r="H1421" s="69"/>
      <c r="I1421" s="69"/>
      <c r="J1421" s="70"/>
      <c r="K1421" s="69"/>
      <c r="L1421" s="69"/>
      <c r="M1421" s="69"/>
      <c r="N1421" s="69"/>
      <c r="O1421" s="69"/>
      <c r="P1421" s="2"/>
      <c r="Q1421" s="2"/>
      <c r="R1421" s="32"/>
      <c r="S1421" s="32"/>
      <c r="T1421" s="32"/>
      <c r="U1421" s="32"/>
      <c r="V1421" s="2"/>
      <c r="W1421" s="2"/>
      <c r="X1421" s="2"/>
      <c r="Y1421" s="2"/>
      <c r="Z1421" s="2"/>
    </row>
    <row r="1422" spans="1:26" ht="13.8" x14ac:dyDescent="0.3">
      <c r="A1422" s="2"/>
      <c r="B1422" s="2"/>
      <c r="C1422" s="10"/>
      <c r="D1422" s="10"/>
      <c r="E1422" s="10"/>
      <c r="F1422" s="10"/>
      <c r="G1422" s="69"/>
      <c r="H1422" s="69"/>
      <c r="I1422" s="69"/>
      <c r="J1422" s="70"/>
      <c r="K1422" s="69"/>
      <c r="L1422" s="69"/>
      <c r="M1422" s="69"/>
      <c r="N1422" s="69"/>
      <c r="O1422" s="69"/>
      <c r="P1422" s="2"/>
      <c r="Q1422" s="2"/>
      <c r="R1422" s="32"/>
      <c r="S1422" s="32"/>
      <c r="T1422" s="32"/>
      <c r="U1422" s="32"/>
      <c r="V1422" s="2"/>
      <c r="W1422" s="2"/>
      <c r="X1422" s="2"/>
      <c r="Y1422" s="2"/>
      <c r="Z1422" s="2"/>
    </row>
    <row r="1423" spans="1:26" ht="13.8" x14ac:dyDescent="0.3">
      <c r="A1423" s="2"/>
      <c r="B1423" s="2"/>
      <c r="C1423" s="10"/>
      <c r="D1423" s="10"/>
      <c r="E1423" s="10"/>
      <c r="F1423" s="10"/>
      <c r="G1423" s="69"/>
      <c r="H1423" s="69"/>
      <c r="I1423" s="69"/>
      <c r="J1423" s="70"/>
      <c r="K1423" s="69"/>
      <c r="L1423" s="69"/>
      <c r="M1423" s="69"/>
      <c r="N1423" s="69"/>
      <c r="O1423" s="69"/>
      <c r="P1423" s="2"/>
      <c r="Q1423" s="2"/>
      <c r="R1423" s="32"/>
      <c r="S1423" s="32"/>
      <c r="T1423" s="32"/>
      <c r="U1423" s="32"/>
      <c r="V1423" s="2"/>
      <c r="W1423" s="2"/>
      <c r="X1423" s="2"/>
      <c r="Y1423" s="2"/>
      <c r="Z1423" s="2"/>
    </row>
    <row r="1424" spans="1:26" ht="13.8" x14ac:dyDescent="0.3">
      <c r="A1424" s="2"/>
      <c r="B1424" s="2"/>
      <c r="C1424" s="10"/>
      <c r="D1424" s="10"/>
      <c r="E1424" s="10"/>
      <c r="F1424" s="10"/>
      <c r="G1424" s="69"/>
      <c r="H1424" s="69"/>
      <c r="I1424" s="69"/>
      <c r="J1424" s="70"/>
      <c r="K1424" s="69"/>
      <c r="L1424" s="69"/>
      <c r="M1424" s="69"/>
      <c r="N1424" s="69"/>
      <c r="O1424" s="69"/>
      <c r="P1424" s="2"/>
      <c r="Q1424" s="2"/>
      <c r="R1424" s="32"/>
      <c r="S1424" s="32"/>
      <c r="T1424" s="32"/>
      <c r="U1424" s="32"/>
      <c r="V1424" s="2"/>
      <c r="W1424" s="2"/>
      <c r="X1424" s="2"/>
      <c r="Y1424" s="2"/>
      <c r="Z1424" s="2"/>
    </row>
    <row r="1425" spans="1:26" ht="13.8" x14ac:dyDescent="0.3">
      <c r="A1425" s="2"/>
      <c r="B1425" s="2"/>
      <c r="C1425" s="10"/>
      <c r="D1425" s="10"/>
      <c r="E1425" s="10"/>
      <c r="F1425" s="10"/>
      <c r="G1425" s="69"/>
      <c r="H1425" s="69"/>
      <c r="I1425" s="69"/>
      <c r="J1425" s="70"/>
      <c r="K1425" s="69"/>
      <c r="L1425" s="69"/>
      <c r="M1425" s="69"/>
      <c r="N1425" s="69"/>
      <c r="O1425" s="69"/>
      <c r="P1425" s="2"/>
      <c r="Q1425" s="2"/>
      <c r="R1425" s="32"/>
      <c r="S1425" s="32"/>
      <c r="T1425" s="32"/>
      <c r="U1425" s="32"/>
      <c r="V1425" s="2"/>
      <c r="W1425" s="2"/>
      <c r="X1425" s="2"/>
      <c r="Y1425" s="2"/>
      <c r="Z1425" s="2"/>
    </row>
    <row r="1426" spans="1:26" ht="13.8" x14ac:dyDescent="0.3">
      <c r="A1426" s="2"/>
      <c r="B1426" s="2"/>
      <c r="C1426" s="10"/>
      <c r="D1426" s="10"/>
      <c r="E1426" s="10"/>
      <c r="F1426" s="10"/>
      <c r="G1426" s="69"/>
      <c r="H1426" s="69"/>
      <c r="I1426" s="69"/>
      <c r="J1426" s="70"/>
      <c r="K1426" s="69"/>
      <c r="L1426" s="69"/>
      <c r="M1426" s="69"/>
      <c r="N1426" s="69"/>
      <c r="O1426" s="69"/>
      <c r="P1426" s="2"/>
      <c r="Q1426" s="2"/>
      <c r="R1426" s="32"/>
      <c r="S1426" s="32"/>
      <c r="T1426" s="32"/>
      <c r="U1426" s="32"/>
      <c r="V1426" s="2"/>
      <c r="W1426" s="2"/>
      <c r="X1426" s="2"/>
      <c r="Y1426" s="2"/>
      <c r="Z1426" s="2"/>
    </row>
    <row r="1427" spans="1:26" ht="13.8" x14ac:dyDescent="0.3">
      <c r="A1427" s="2"/>
      <c r="B1427" s="2"/>
      <c r="C1427" s="10"/>
      <c r="D1427" s="10"/>
      <c r="E1427" s="10"/>
      <c r="F1427" s="10"/>
      <c r="G1427" s="69"/>
      <c r="H1427" s="69"/>
      <c r="I1427" s="69"/>
      <c r="J1427" s="70"/>
      <c r="K1427" s="69"/>
      <c r="L1427" s="69"/>
      <c r="M1427" s="69"/>
      <c r="N1427" s="69"/>
      <c r="O1427" s="69"/>
      <c r="P1427" s="2"/>
      <c r="Q1427" s="2"/>
      <c r="R1427" s="32"/>
      <c r="S1427" s="32"/>
      <c r="T1427" s="32"/>
      <c r="U1427" s="32"/>
      <c r="V1427" s="2"/>
      <c r="W1427" s="2"/>
      <c r="X1427" s="2"/>
      <c r="Y1427" s="2"/>
      <c r="Z1427" s="2"/>
    </row>
    <row r="1428" spans="1:26" ht="13.8" x14ac:dyDescent="0.3">
      <c r="A1428" s="2"/>
      <c r="B1428" s="2"/>
      <c r="C1428" s="10"/>
      <c r="D1428" s="10"/>
      <c r="E1428" s="10"/>
      <c r="F1428" s="10"/>
      <c r="G1428" s="69"/>
      <c r="H1428" s="69"/>
      <c r="I1428" s="69"/>
      <c r="J1428" s="70"/>
      <c r="K1428" s="69"/>
      <c r="L1428" s="69"/>
      <c r="M1428" s="69"/>
      <c r="N1428" s="69"/>
      <c r="O1428" s="69"/>
      <c r="P1428" s="2"/>
      <c r="Q1428" s="2"/>
      <c r="R1428" s="32"/>
      <c r="S1428" s="32"/>
      <c r="T1428" s="32"/>
      <c r="U1428" s="32"/>
      <c r="V1428" s="2"/>
      <c r="W1428" s="2"/>
      <c r="X1428" s="2"/>
      <c r="Y1428" s="2"/>
      <c r="Z1428" s="2"/>
    </row>
    <row r="1429" spans="1:26" ht="13.8" x14ac:dyDescent="0.3">
      <c r="A1429" s="2"/>
      <c r="B1429" s="2"/>
      <c r="C1429" s="10"/>
      <c r="D1429" s="10"/>
      <c r="E1429" s="10"/>
      <c r="F1429" s="10"/>
      <c r="G1429" s="69"/>
      <c r="H1429" s="69"/>
      <c r="I1429" s="69"/>
      <c r="J1429" s="70"/>
      <c r="K1429" s="69"/>
      <c r="L1429" s="69"/>
      <c r="M1429" s="69"/>
      <c r="N1429" s="69"/>
      <c r="O1429" s="69"/>
      <c r="P1429" s="2"/>
      <c r="Q1429" s="2"/>
      <c r="R1429" s="32"/>
      <c r="S1429" s="32"/>
      <c r="T1429" s="32"/>
      <c r="U1429" s="32"/>
      <c r="V1429" s="2"/>
      <c r="W1429" s="2"/>
      <c r="X1429" s="2"/>
      <c r="Y1429" s="2"/>
      <c r="Z1429" s="2"/>
    </row>
    <row r="1430" spans="1:26" ht="13.8" x14ac:dyDescent="0.3">
      <c r="A1430" s="2"/>
      <c r="B1430" s="2"/>
      <c r="C1430" s="10"/>
      <c r="D1430" s="10"/>
      <c r="E1430" s="10"/>
      <c r="F1430" s="10"/>
      <c r="G1430" s="69"/>
      <c r="H1430" s="69"/>
      <c r="I1430" s="69"/>
      <c r="J1430" s="70"/>
      <c r="K1430" s="69"/>
      <c r="L1430" s="69"/>
      <c r="M1430" s="69"/>
      <c r="N1430" s="69"/>
      <c r="O1430" s="69"/>
      <c r="P1430" s="2"/>
      <c r="Q1430" s="2"/>
      <c r="R1430" s="32"/>
      <c r="S1430" s="32"/>
      <c r="T1430" s="32"/>
      <c r="U1430" s="32"/>
      <c r="V1430" s="2"/>
      <c r="W1430" s="2"/>
      <c r="X1430" s="2"/>
      <c r="Y1430" s="2"/>
      <c r="Z1430" s="2"/>
    </row>
    <row r="1431" spans="1:26" ht="13.8" x14ac:dyDescent="0.3">
      <c r="A1431" s="2"/>
      <c r="B1431" s="2"/>
      <c r="C1431" s="10"/>
      <c r="D1431" s="10"/>
      <c r="E1431" s="10"/>
      <c r="F1431" s="10"/>
      <c r="G1431" s="69"/>
      <c r="H1431" s="69"/>
      <c r="I1431" s="69"/>
      <c r="J1431" s="70"/>
      <c r="K1431" s="69"/>
      <c r="L1431" s="69"/>
      <c r="M1431" s="69"/>
      <c r="N1431" s="69"/>
      <c r="O1431" s="69"/>
      <c r="P1431" s="2"/>
      <c r="Q1431" s="2"/>
      <c r="R1431" s="32"/>
      <c r="S1431" s="32"/>
      <c r="T1431" s="32"/>
      <c r="U1431" s="32"/>
      <c r="V1431" s="2"/>
      <c r="W1431" s="2"/>
      <c r="X1431" s="2"/>
      <c r="Y1431" s="2"/>
      <c r="Z1431" s="2"/>
    </row>
    <row r="1432" spans="1:26" ht="13.8" x14ac:dyDescent="0.3">
      <c r="A1432" s="2"/>
      <c r="B1432" s="2"/>
      <c r="C1432" s="10"/>
      <c r="D1432" s="10"/>
      <c r="E1432" s="10"/>
      <c r="F1432" s="10"/>
      <c r="G1432" s="69"/>
      <c r="H1432" s="69"/>
      <c r="I1432" s="69"/>
      <c r="J1432" s="70"/>
      <c r="K1432" s="69"/>
      <c r="L1432" s="69"/>
      <c r="M1432" s="69"/>
      <c r="N1432" s="69"/>
      <c r="O1432" s="69"/>
      <c r="P1432" s="2"/>
      <c r="Q1432" s="2"/>
      <c r="R1432" s="32"/>
      <c r="S1432" s="32"/>
      <c r="T1432" s="32"/>
      <c r="U1432" s="32"/>
      <c r="V1432" s="2"/>
      <c r="W1432" s="2"/>
      <c r="X1432" s="2"/>
      <c r="Y1432" s="2"/>
      <c r="Z1432" s="2"/>
    </row>
    <row r="1433" spans="1:26" ht="13.8" x14ac:dyDescent="0.3">
      <c r="A1433" s="2"/>
      <c r="B1433" s="2"/>
      <c r="C1433" s="10"/>
      <c r="D1433" s="10"/>
      <c r="E1433" s="10"/>
      <c r="F1433" s="10"/>
      <c r="G1433" s="69"/>
      <c r="H1433" s="69"/>
      <c r="I1433" s="69"/>
      <c r="J1433" s="70"/>
      <c r="K1433" s="69"/>
      <c r="L1433" s="69"/>
      <c r="M1433" s="69"/>
      <c r="N1433" s="69"/>
      <c r="O1433" s="69"/>
      <c r="P1433" s="2"/>
      <c r="Q1433" s="2"/>
      <c r="R1433" s="32"/>
      <c r="S1433" s="32"/>
      <c r="T1433" s="32"/>
      <c r="U1433" s="32"/>
      <c r="V1433" s="2"/>
      <c r="W1433" s="2"/>
      <c r="X1433" s="2"/>
      <c r="Y1433" s="2"/>
      <c r="Z1433" s="2"/>
    </row>
    <row r="1434" spans="1:26" ht="13.8" x14ac:dyDescent="0.3">
      <c r="A1434" s="2"/>
      <c r="B1434" s="2"/>
      <c r="C1434" s="10"/>
      <c r="D1434" s="10"/>
      <c r="E1434" s="10"/>
      <c r="F1434" s="10"/>
      <c r="G1434" s="69"/>
      <c r="H1434" s="69"/>
      <c r="I1434" s="69"/>
      <c r="J1434" s="70"/>
      <c r="K1434" s="69"/>
      <c r="L1434" s="69"/>
      <c r="M1434" s="69"/>
      <c r="N1434" s="69"/>
      <c r="O1434" s="69"/>
      <c r="P1434" s="2"/>
      <c r="Q1434" s="2"/>
      <c r="R1434" s="32"/>
      <c r="S1434" s="32"/>
      <c r="T1434" s="32"/>
      <c r="U1434" s="32"/>
      <c r="V1434" s="2"/>
      <c r="W1434" s="2"/>
      <c r="X1434" s="2"/>
      <c r="Y1434" s="2"/>
      <c r="Z1434" s="2"/>
    </row>
    <row r="1435" spans="1:26" ht="13.8" x14ac:dyDescent="0.3">
      <c r="A1435" s="2"/>
      <c r="B1435" s="2"/>
      <c r="C1435" s="10"/>
      <c r="D1435" s="10"/>
      <c r="E1435" s="10"/>
      <c r="F1435" s="10"/>
      <c r="G1435" s="69"/>
      <c r="H1435" s="69"/>
      <c r="I1435" s="69"/>
      <c r="J1435" s="70"/>
      <c r="K1435" s="69"/>
      <c r="L1435" s="69"/>
      <c r="M1435" s="69"/>
      <c r="N1435" s="69"/>
      <c r="O1435" s="69"/>
      <c r="P1435" s="2"/>
      <c r="Q1435" s="2"/>
      <c r="R1435" s="32"/>
      <c r="S1435" s="32"/>
      <c r="T1435" s="32"/>
      <c r="U1435" s="32"/>
      <c r="V1435" s="2"/>
      <c r="W1435" s="2"/>
      <c r="X1435" s="2"/>
      <c r="Y1435" s="2"/>
      <c r="Z1435" s="2"/>
    </row>
    <row r="1436" spans="1:26" ht="13.8" x14ac:dyDescent="0.3">
      <c r="A1436" s="2"/>
      <c r="B1436" s="2"/>
      <c r="C1436" s="10"/>
      <c r="D1436" s="10"/>
      <c r="E1436" s="10"/>
      <c r="F1436" s="10"/>
      <c r="G1436" s="69"/>
      <c r="H1436" s="69"/>
      <c r="I1436" s="69"/>
      <c r="J1436" s="70"/>
      <c r="K1436" s="69"/>
      <c r="L1436" s="69"/>
      <c r="M1436" s="69"/>
      <c r="N1436" s="69"/>
      <c r="O1436" s="69"/>
      <c r="P1436" s="2"/>
      <c r="Q1436" s="2"/>
      <c r="R1436" s="32"/>
      <c r="S1436" s="32"/>
      <c r="T1436" s="32"/>
      <c r="U1436" s="32"/>
      <c r="V1436" s="2"/>
      <c r="W1436" s="2"/>
      <c r="X1436" s="2"/>
      <c r="Y1436" s="2"/>
      <c r="Z1436" s="2"/>
    </row>
    <row r="1437" spans="1:26" ht="13.8" x14ac:dyDescent="0.3">
      <c r="A1437" s="2"/>
      <c r="B1437" s="2"/>
      <c r="C1437" s="10"/>
      <c r="D1437" s="10"/>
      <c r="E1437" s="10"/>
      <c r="F1437" s="10"/>
      <c r="G1437" s="69"/>
      <c r="H1437" s="69"/>
      <c r="I1437" s="69"/>
      <c r="J1437" s="70"/>
      <c r="K1437" s="69"/>
      <c r="L1437" s="69"/>
      <c r="M1437" s="69"/>
      <c r="N1437" s="69"/>
      <c r="O1437" s="69"/>
      <c r="P1437" s="2"/>
      <c r="Q1437" s="2"/>
      <c r="R1437" s="32"/>
      <c r="S1437" s="32"/>
      <c r="T1437" s="32"/>
      <c r="U1437" s="32"/>
      <c r="V1437" s="2"/>
      <c r="W1437" s="2"/>
      <c r="X1437" s="2"/>
      <c r="Y1437" s="2"/>
      <c r="Z1437" s="2"/>
    </row>
    <row r="1438" spans="1:26" ht="13.8" x14ac:dyDescent="0.3">
      <c r="A1438" s="2"/>
      <c r="B1438" s="2"/>
      <c r="C1438" s="10"/>
      <c r="D1438" s="10"/>
      <c r="E1438" s="10"/>
      <c r="F1438" s="10"/>
      <c r="G1438" s="69"/>
      <c r="H1438" s="69"/>
      <c r="I1438" s="69"/>
      <c r="J1438" s="70"/>
      <c r="K1438" s="69"/>
      <c r="L1438" s="69"/>
      <c r="M1438" s="69"/>
      <c r="N1438" s="69"/>
      <c r="O1438" s="69"/>
      <c r="P1438" s="2"/>
      <c r="Q1438" s="2"/>
      <c r="R1438" s="32"/>
      <c r="S1438" s="32"/>
      <c r="T1438" s="32"/>
      <c r="U1438" s="32"/>
      <c r="V1438" s="2"/>
      <c r="W1438" s="2"/>
      <c r="X1438" s="2"/>
      <c r="Y1438" s="2"/>
      <c r="Z1438" s="2"/>
    </row>
    <row r="1439" spans="1:26" ht="13.8" x14ac:dyDescent="0.3">
      <c r="A1439" s="2"/>
      <c r="B1439" s="2"/>
      <c r="C1439" s="10"/>
      <c r="D1439" s="10"/>
      <c r="E1439" s="10"/>
      <c r="F1439" s="10"/>
      <c r="G1439" s="69"/>
      <c r="H1439" s="69"/>
      <c r="I1439" s="69"/>
      <c r="J1439" s="70"/>
      <c r="K1439" s="69"/>
      <c r="L1439" s="69"/>
      <c r="M1439" s="69"/>
      <c r="N1439" s="69"/>
      <c r="O1439" s="69"/>
      <c r="P1439" s="2"/>
      <c r="Q1439" s="2"/>
      <c r="R1439" s="32"/>
      <c r="S1439" s="32"/>
      <c r="T1439" s="32"/>
      <c r="U1439" s="32"/>
      <c r="V1439" s="2"/>
      <c r="W1439" s="2"/>
      <c r="X1439" s="2"/>
      <c r="Y1439" s="2"/>
      <c r="Z1439" s="2"/>
    </row>
    <row r="1440" spans="1:26" ht="13.8" x14ac:dyDescent="0.3">
      <c r="A1440" s="2"/>
      <c r="B1440" s="2"/>
      <c r="C1440" s="10"/>
      <c r="D1440" s="10"/>
      <c r="E1440" s="10"/>
      <c r="F1440" s="10"/>
      <c r="G1440" s="69"/>
      <c r="H1440" s="69"/>
      <c r="I1440" s="69"/>
      <c r="J1440" s="70"/>
      <c r="K1440" s="69"/>
      <c r="L1440" s="69"/>
      <c r="M1440" s="69"/>
      <c r="N1440" s="69"/>
      <c r="O1440" s="69"/>
      <c r="P1440" s="2"/>
      <c r="Q1440" s="2"/>
      <c r="R1440" s="32"/>
      <c r="S1440" s="32"/>
      <c r="T1440" s="32"/>
      <c r="U1440" s="32"/>
      <c r="V1440" s="2"/>
      <c r="W1440" s="2"/>
      <c r="X1440" s="2"/>
      <c r="Y1440" s="2"/>
      <c r="Z1440" s="2"/>
    </row>
    <row r="1441" spans="1:26" ht="13.8" x14ac:dyDescent="0.3">
      <c r="A1441" s="2"/>
      <c r="B1441" s="2"/>
      <c r="C1441" s="10"/>
      <c r="D1441" s="10"/>
      <c r="E1441" s="10"/>
      <c r="F1441" s="10"/>
      <c r="G1441" s="69"/>
      <c r="H1441" s="69"/>
      <c r="I1441" s="69"/>
      <c r="J1441" s="70"/>
      <c r="K1441" s="69"/>
      <c r="L1441" s="69"/>
      <c r="M1441" s="69"/>
      <c r="N1441" s="69"/>
      <c r="O1441" s="69"/>
      <c r="P1441" s="2"/>
      <c r="Q1441" s="2"/>
      <c r="R1441" s="32"/>
      <c r="S1441" s="32"/>
      <c r="T1441" s="32"/>
      <c r="U1441" s="32"/>
      <c r="V1441" s="2"/>
      <c r="W1441" s="2"/>
      <c r="X1441" s="2"/>
      <c r="Y1441" s="2"/>
      <c r="Z1441" s="2"/>
    </row>
    <row r="1442" spans="1:26" ht="13.8" x14ac:dyDescent="0.3">
      <c r="A1442" s="2"/>
      <c r="B1442" s="2"/>
      <c r="C1442" s="10"/>
      <c r="D1442" s="10"/>
      <c r="E1442" s="10"/>
      <c r="F1442" s="10"/>
      <c r="G1442" s="69"/>
      <c r="H1442" s="69"/>
      <c r="I1442" s="69"/>
      <c r="J1442" s="70"/>
      <c r="K1442" s="69"/>
      <c r="L1442" s="69"/>
      <c r="M1442" s="69"/>
      <c r="N1442" s="69"/>
      <c r="O1442" s="69"/>
      <c r="P1442" s="2"/>
      <c r="Q1442" s="2"/>
      <c r="R1442" s="32"/>
      <c r="S1442" s="32"/>
      <c r="T1442" s="32"/>
      <c r="U1442" s="32"/>
      <c r="V1442" s="2"/>
      <c r="W1442" s="2"/>
      <c r="X1442" s="2"/>
      <c r="Y1442" s="2"/>
      <c r="Z1442" s="2"/>
    </row>
    <row r="1443" spans="1:26" ht="13.8" x14ac:dyDescent="0.3">
      <c r="A1443" s="2"/>
      <c r="B1443" s="2"/>
      <c r="C1443" s="10"/>
      <c r="D1443" s="10"/>
      <c r="E1443" s="10"/>
      <c r="F1443" s="10"/>
      <c r="G1443" s="69"/>
      <c r="H1443" s="69"/>
      <c r="I1443" s="69"/>
      <c r="J1443" s="70"/>
      <c r="K1443" s="69"/>
      <c r="L1443" s="69"/>
      <c r="M1443" s="69"/>
      <c r="N1443" s="69"/>
      <c r="O1443" s="69"/>
      <c r="P1443" s="2"/>
      <c r="Q1443" s="2"/>
      <c r="R1443" s="32"/>
      <c r="S1443" s="32"/>
      <c r="T1443" s="32"/>
      <c r="U1443" s="32"/>
      <c r="V1443" s="2"/>
      <c r="W1443" s="2"/>
      <c r="X1443" s="2"/>
      <c r="Y1443" s="2"/>
      <c r="Z1443" s="2"/>
    </row>
    <row r="1444" spans="1:26" ht="13.8" x14ac:dyDescent="0.3">
      <c r="A1444" s="2"/>
      <c r="B1444" s="2"/>
      <c r="C1444" s="10"/>
      <c r="D1444" s="10"/>
      <c r="E1444" s="10"/>
      <c r="F1444" s="10"/>
      <c r="G1444" s="69"/>
      <c r="H1444" s="69"/>
      <c r="I1444" s="69"/>
      <c r="J1444" s="70"/>
      <c r="K1444" s="69"/>
      <c r="L1444" s="69"/>
      <c r="M1444" s="69"/>
      <c r="N1444" s="69"/>
      <c r="O1444" s="69"/>
      <c r="P1444" s="2"/>
      <c r="Q1444" s="2"/>
      <c r="R1444" s="32"/>
      <c r="S1444" s="32"/>
      <c r="T1444" s="32"/>
      <c r="U1444" s="32"/>
      <c r="V1444" s="2"/>
      <c r="W1444" s="2"/>
      <c r="X1444" s="2"/>
      <c r="Y1444" s="2"/>
      <c r="Z1444" s="2"/>
    </row>
    <row r="1445" spans="1:26" ht="13.8" x14ac:dyDescent="0.3">
      <c r="A1445" s="2"/>
      <c r="B1445" s="2"/>
      <c r="C1445" s="10"/>
      <c r="D1445" s="10"/>
      <c r="E1445" s="10"/>
      <c r="F1445" s="10"/>
      <c r="G1445" s="69"/>
      <c r="H1445" s="69"/>
      <c r="I1445" s="69"/>
      <c r="J1445" s="70"/>
      <c r="K1445" s="69"/>
      <c r="L1445" s="69"/>
      <c r="M1445" s="69"/>
      <c r="N1445" s="69"/>
      <c r="O1445" s="69"/>
      <c r="P1445" s="2"/>
      <c r="Q1445" s="2"/>
      <c r="R1445" s="32"/>
      <c r="S1445" s="32"/>
      <c r="T1445" s="32"/>
      <c r="U1445" s="32"/>
      <c r="V1445" s="2"/>
      <c r="W1445" s="2"/>
      <c r="X1445" s="2"/>
      <c r="Y1445" s="2"/>
      <c r="Z1445" s="2"/>
    </row>
    <row r="1446" spans="1:26" ht="13.8" x14ac:dyDescent="0.3">
      <c r="A1446" s="2"/>
      <c r="B1446" s="2"/>
      <c r="C1446" s="10"/>
      <c r="D1446" s="10"/>
      <c r="E1446" s="10"/>
      <c r="F1446" s="10"/>
      <c r="G1446" s="69"/>
      <c r="H1446" s="69"/>
      <c r="I1446" s="69"/>
      <c r="J1446" s="70"/>
      <c r="K1446" s="69"/>
      <c r="L1446" s="69"/>
      <c r="M1446" s="69"/>
      <c r="N1446" s="69"/>
      <c r="O1446" s="69"/>
      <c r="P1446" s="2"/>
      <c r="Q1446" s="2"/>
      <c r="R1446" s="32"/>
      <c r="S1446" s="32"/>
      <c r="T1446" s="32"/>
      <c r="U1446" s="32"/>
      <c r="V1446" s="2"/>
      <c r="W1446" s="2"/>
      <c r="X1446" s="2"/>
      <c r="Y1446" s="2"/>
      <c r="Z1446" s="2"/>
    </row>
    <row r="1447" spans="1:26" ht="13.8" x14ac:dyDescent="0.3">
      <c r="A1447" s="2"/>
      <c r="B1447" s="2"/>
      <c r="C1447" s="10"/>
      <c r="D1447" s="10"/>
      <c r="E1447" s="10"/>
      <c r="F1447" s="10"/>
      <c r="G1447" s="69"/>
      <c r="H1447" s="69"/>
      <c r="I1447" s="69"/>
      <c r="J1447" s="70"/>
      <c r="K1447" s="69"/>
      <c r="L1447" s="69"/>
      <c r="M1447" s="69"/>
      <c r="N1447" s="69"/>
      <c r="O1447" s="69"/>
      <c r="P1447" s="2"/>
      <c r="Q1447" s="2"/>
      <c r="R1447" s="32"/>
      <c r="S1447" s="32"/>
      <c r="T1447" s="32"/>
      <c r="U1447" s="32"/>
      <c r="V1447" s="2"/>
      <c r="W1447" s="2"/>
      <c r="X1447" s="2"/>
      <c r="Y1447" s="2"/>
      <c r="Z1447" s="2"/>
    </row>
    <row r="1448" spans="1:26" ht="13.8" x14ac:dyDescent="0.3">
      <c r="A1448" s="2"/>
      <c r="B1448" s="2"/>
      <c r="C1448" s="10"/>
      <c r="D1448" s="10"/>
      <c r="E1448" s="10"/>
      <c r="F1448" s="10"/>
      <c r="G1448" s="69"/>
      <c r="H1448" s="69"/>
      <c r="I1448" s="69"/>
      <c r="J1448" s="70"/>
      <c r="K1448" s="69"/>
      <c r="L1448" s="69"/>
      <c r="M1448" s="69"/>
      <c r="N1448" s="69"/>
      <c r="O1448" s="69"/>
      <c r="P1448" s="2"/>
      <c r="Q1448" s="2"/>
      <c r="R1448" s="32"/>
      <c r="S1448" s="32"/>
      <c r="T1448" s="32"/>
      <c r="U1448" s="32"/>
      <c r="V1448" s="2"/>
      <c r="W1448" s="2"/>
      <c r="X1448" s="2"/>
      <c r="Y1448" s="2"/>
      <c r="Z1448" s="2"/>
    </row>
    <row r="1449" spans="1:26" ht="13.8" x14ac:dyDescent="0.3">
      <c r="A1449" s="2"/>
      <c r="B1449" s="2"/>
      <c r="C1449" s="10"/>
      <c r="D1449" s="10"/>
      <c r="E1449" s="10"/>
      <c r="F1449" s="10"/>
      <c r="G1449" s="69"/>
      <c r="H1449" s="69"/>
      <c r="I1449" s="69"/>
      <c r="J1449" s="70"/>
      <c r="K1449" s="69"/>
      <c r="L1449" s="69"/>
      <c r="M1449" s="69"/>
      <c r="N1449" s="69"/>
      <c r="O1449" s="69"/>
      <c r="P1449" s="2"/>
      <c r="Q1449" s="2"/>
      <c r="R1449" s="32"/>
      <c r="S1449" s="32"/>
      <c r="T1449" s="32"/>
      <c r="U1449" s="32"/>
      <c r="V1449" s="2"/>
      <c r="W1449" s="2"/>
      <c r="X1449" s="2"/>
      <c r="Y1449" s="2"/>
      <c r="Z1449" s="2"/>
    </row>
    <row r="1450" spans="1:26" ht="13.8" x14ac:dyDescent="0.3">
      <c r="A1450" s="2"/>
      <c r="B1450" s="2"/>
      <c r="C1450" s="10"/>
      <c r="D1450" s="10"/>
      <c r="E1450" s="10"/>
      <c r="F1450" s="10"/>
      <c r="G1450" s="69"/>
      <c r="H1450" s="69"/>
      <c r="I1450" s="69"/>
      <c r="J1450" s="70"/>
      <c r="K1450" s="69"/>
      <c r="L1450" s="69"/>
      <c r="M1450" s="69"/>
      <c r="N1450" s="69"/>
      <c r="O1450" s="69"/>
      <c r="P1450" s="2"/>
      <c r="Q1450" s="2"/>
      <c r="R1450" s="32"/>
      <c r="S1450" s="32"/>
      <c r="T1450" s="32"/>
      <c r="U1450" s="32"/>
      <c r="V1450" s="2"/>
      <c r="W1450" s="2"/>
      <c r="X1450" s="2"/>
      <c r="Y1450" s="2"/>
      <c r="Z1450" s="2"/>
    </row>
    <row r="1451" spans="1:26" ht="13.8" x14ac:dyDescent="0.3">
      <c r="A1451" s="2"/>
      <c r="B1451" s="2"/>
      <c r="C1451" s="10"/>
      <c r="D1451" s="10"/>
      <c r="E1451" s="10"/>
      <c r="F1451" s="10"/>
      <c r="G1451" s="69"/>
      <c r="H1451" s="69"/>
      <c r="I1451" s="69"/>
      <c r="J1451" s="70"/>
      <c r="K1451" s="69"/>
      <c r="L1451" s="69"/>
      <c r="M1451" s="69"/>
      <c r="N1451" s="69"/>
      <c r="O1451" s="69"/>
      <c r="P1451" s="2"/>
      <c r="Q1451" s="2"/>
      <c r="R1451" s="32"/>
      <c r="S1451" s="32"/>
      <c r="T1451" s="32"/>
      <c r="U1451" s="32"/>
      <c r="V1451" s="2"/>
      <c r="W1451" s="2"/>
      <c r="X1451" s="2"/>
      <c r="Y1451" s="2"/>
      <c r="Z1451" s="2"/>
    </row>
    <row r="1452" spans="1:26" ht="13.8" x14ac:dyDescent="0.3">
      <c r="A1452" s="2"/>
      <c r="B1452" s="2"/>
      <c r="C1452" s="10"/>
      <c r="D1452" s="10"/>
      <c r="E1452" s="10"/>
      <c r="F1452" s="10"/>
      <c r="G1452" s="69"/>
      <c r="H1452" s="69"/>
      <c r="I1452" s="69"/>
      <c r="J1452" s="70"/>
      <c r="K1452" s="69"/>
      <c r="L1452" s="69"/>
      <c r="M1452" s="69"/>
      <c r="N1452" s="69"/>
      <c r="O1452" s="69"/>
      <c r="P1452" s="2"/>
      <c r="Q1452" s="2"/>
      <c r="R1452" s="32"/>
      <c r="S1452" s="32"/>
      <c r="T1452" s="32"/>
      <c r="U1452" s="32"/>
      <c r="V1452" s="2"/>
      <c r="W1452" s="2"/>
      <c r="X1452" s="2"/>
      <c r="Y1452" s="2"/>
      <c r="Z1452" s="2"/>
    </row>
    <row r="1453" spans="1:26" ht="13.8" x14ac:dyDescent="0.3">
      <c r="A1453" s="2"/>
      <c r="B1453" s="2"/>
      <c r="C1453" s="10"/>
      <c r="D1453" s="10"/>
      <c r="E1453" s="10"/>
      <c r="F1453" s="10"/>
      <c r="G1453" s="69"/>
      <c r="H1453" s="69"/>
      <c r="I1453" s="69"/>
      <c r="J1453" s="70"/>
      <c r="K1453" s="69"/>
      <c r="L1453" s="69"/>
      <c r="M1453" s="69"/>
      <c r="N1453" s="69"/>
      <c r="O1453" s="69"/>
      <c r="P1453" s="2"/>
      <c r="Q1453" s="2"/>
      <c r="R1453" s="32"/>
      <c r="S1453" s="32"/>
      <c r="T1453" s="32"/>
      <c r="U1453" s="32"/>
      <c r="V1453" s="2"/>
      <c r="W1453" s="2"/>
      <c r="X1453" s="2"/>
      <c r="Y1453" s="2"/>
      <c r="Z1453" s="2"/>
    </row>
    <row r="1454" spans="1:26" ht="13.8" x14ac:dyDescent="0.3">
      <c r="A1454" s="2"/>
      <c r="B1454" s="2"/>
      <c r="C1454" s="10"/>
      <c r="D1454" s="10"/>
      <c r="E1454" s="10"/>
      <c r="F1454" s="10"/>
      <c r="G1454" s="69"/>
      <c r="H1454" s="69"/>
      <c r="I1454" s="69"/>
      <c r="J1454" s="70"/>
      <c r="K1454" s="69"/>
      <c r="L1454" s="69"/>
      <c r="M1454" s="69"/>
      <c r="N1454" s="69"/>
      <c r="O1454" s="69"/>
      <c r="P1454" s="2"/>
      <c r="Q1454" s="2"/>
      <c r="R1454" s="32"/>
      <c r="S1454" s="32"/>
      <c r="T1454" s="32"/>
      <c r="U1454" s="32"/>
      <c r="V1454" s="2"/>
      <c r="W1454" s="2"/>
      <c r="X1454" s="2"/>
      <c r="Y1454" s="2"/>
      <c r="Z1454" s="2"/>
    </row>
    <row r="1455" spans="1:26" ht="13.8" x14ac:dyDescent="0.3">
      <c r="A1455" s="2"/>
      <c r="B1455" s="2"/>
      <c r="C1455" s="10"/>
      <c r="D1455" s="10"/>
      <c r="E1455" s="10"/>
      <c r="F1455" s="10"/>
      <c r="G1455" s="69"/>
      <c r="H1455" s="69"/>
      <c r="I1455" s="69"/>
      <c r="J1455" s="70"/>
      <c r="K1455" s="69"/>
      <c r="L1455" s="69"/>
      <c r="M1455" s="69"/>
      <c r="N1455" s="69"/>
      <c r="O1455" s="69"/>
      <c r="P1455" s="2"/>
      <c r="Q1455" s="2"/>
      <c r="R1455" s="32"/>
      <c r="S1455" s="32"/>
      <c r="T1455" s="32"/>
      <c r="U1455" s="32"/>
      <c r="V1455" s="2"/>
      <c r="W1455" s="2"/>
      <c r="X1455" s="2"/>
      <c r="Y1455" s="2"/>
      <c r="Z1455" s="2"/>
    </row>
    <row r="1456" spans="1:26" ht="13.8" x14ac:dyDescent="0.3">
      <c r="A1456" s="2"/>
      <c r="B1456" s="2"/>
      <c r="C1456" s="10"/>
      <c r="D1456" s="10"/>
      <c r="E1456" s="10"/>
      <c r="F1456" s="10"/>
      <c r="G1456" s="69"/>
      <c r="H1456" s="69"/>
      <c r="I1456" s="69"/>
      <c r="J1456" s="70"/>
      <c r="K1456" s="69"/>
      <c r="L1456" s="69"/>
      <c r="M1456" s="69"/>
      <c r="N1456" s="69"/>
      <c r="O1456" s="69"/>
      <c r="P1456" s="2"/>
      <c r="Q1456" s="2"/>
      <c r="R1456" s="32"/>
      <c r="S1456" s="32"/>
      <c r="T1456" s="32"/>
      <c r="U1456" s="32"/>
      <c r="V1456" s="2"/>
      <c r="W1456" s="2"/>
      <c r="X1456" s="2"/>
      <c r="Y1456" s="2"/>
      <c r="Z1456" s="2"/>
    </row>
    <row r="1457" spans="1:26" ht="13.8" x14ac:dyDescent="0.3">
      <c r="A1457" s="2"/>
      <c r="B1457" s="2"/>
      <c r="C1457" s="10"/>
      <c r="D1457" s="10"/>
      <c r="E1457" s="10"/>
      <c r="F1457" s="10"/>
      <c r="G1457" s="69"/>
      <c r="H1457" s="69"/>
      <c r="I1457" s="69"/>
      <c r="J1457" s="70"/>
      <c r="K1457" s="69"/>
      <c r="L1457" s="69"/>
      <c r="M1457" s="69"/>
      <c r="N1457" s="69"/>
      <c r="O1457" s="69"/>
      <c r="P1457" s="2"/>
      <c r="Q1457" s="2"/>
      <c r="R1457" s="32"/>
      <c r="S1457" s="32"/>
      <c r="T1457" s="32"/>
      <c r="U1457" s="32"/>
      <c r="V1457" s="2"/>
      <c r="W1457" s="2"/>
      <c r="X1457" s="2"/>
      <c r="Y1457" s="2"/>
      <c r="Z1457" s="2"/>
    </row>
    <row r="1458" spans="1:26" ht="13.8" x14ac:dyDescent="0.3">
      <c r="A1458" s="2"/>
      <c r="B1458" s="2"/>
      <c r="C1458" s="10"/>
      <c r="D1458" s="10"/>
      <c r="E1458" s="10"/>
      <c r="F1458" s="10"/>
      <c r="G1458" s="69"/>
      <c r="H1458" s="69"/>
      <c r="I1458" s="69"/>
      <c r="J1458" s="70"/>
      <c r="K1458" s="69"/>
      <c r="L1458" s="69"/>
      <c r="M1458" s="69"/>
      <c r="N1458" s="69"/>
      <c r="O1458" s="69"/>
      <c r="P1458" s="2"/>
      <c r="Q1458" s="2"/>
      <c r="R1458" s="32"/>
      <c r="S1458" s="32"/>
      <c r="T1458" s="32"/>
      <c r="U1458" s="32"/>
      <c r="V1458" s="2"/>
      <c r="W1458" s="2"/>
      <c r="X1458" s="2"/>
      <c r="Y1458" s="2"/>
      <c r="Z1458" s="2"/>
    </row>
    <row r="1459" spans="1:26" ht="13.8" x14ac:dyDescent="0.3">
      <c r="A1459" s="2"/>
      <c r="B1459" s="2"/>
      <c r="C1459" s="10"/>
      <c r="D1459" s="10"/>
      <c r="E1459" s="10"/>
      <c r="F1459" s="10"/>
      <c r="G1459" s="69"/>
      <c r="H1459" s="69"/>
      <c r="I1459" s="69"/>
      <c r="J1459" s="70"/>
      <c r="K1459" s="69"/>
      <c r="L1459" s="69"/>
      <c r="M1459" s="69"/>
      <c r="N1459" s="69"/>
      <c r="O1459" s="69"/>
      <c r="P1459" s="2"/>
      <c r="Q1459" s="2"/>
      <c r="R1459" s="32"/>
      <c r="S1459" s="32"/>
      <c r="T1459" s="32"/>
      <c r="U1459" s="32"/>
      <c r="V1459" s="2"/>
      <c r="W1459" s="2"/>
      <c r="X1459" s="2"/>
      <c r="Y1459" s="2"/>
      <c r="Z1459" s="2"/>
    </row>
    <row r="1460" spans="1:26" ht="13.8" x14ac:dyDescent="0.3">
      <c r="A1460" s="2"/>
      <c r="B1460" s="2"/>
      <c r="C1460" s="10"/>
      <c r="D1460" s="10"/>
      <c r="E1460" s="10"/>
      <c r="F1460" s="10"/>
      <c r="G1460" s="69"/>
      <c r="H1460" s="69"/>
      <c r="I1460" s="69"/>
      <c r="J1460" s="70"/>
      <c r="K1460" s="69"/>
      <c r="L1460" s="69"/>
      <c r="M1460" s="69"/>
      <c r="N1460" s="69"/>
      <c r="O1460" s="69"/>
      <c r="P1460" s="2"/>
      <c r="Q1460" s="2"/>
      <c r="R1460" s="32"/>
      <c r="S1460" s="32"/>
      <c r="T1460" s="32"/>
      <c r="U1460" s="32"/>
      <c r="V1460" s="2"/>
      <c r="W1460" s="2"/>
      <c r="X1460" s="2"/>
      <c r="Y1460" s="2"/>
      <c r="Z1460" s="2"/>
    </row>
    <row r="1461" spans="1:26" ht="13.8" x14ac:dyDescent="0.3">
      <c r="A1461" s="2"/>
      <c r="B1461" s="2"/>
      <c r="C1461" s="10"/>
      <c r="D1461" s="10"/>
      <c r="E1461" s="10"/>
      <c r="F1461" s="10"/>
      <c r="G1461" s="69"/>
      <c r="H1461" s="69"/>
      <c r="I1461" s="69"/>
      <c r="J1461" s="70"/>
      <c r="K1461" s="69"/>
      <c r="L1461" s="69"/>
      <c r="M1461" s="69"/>
      <c r="N1461" s="69"/>
      <c r="O1461" s="69"/>
      <c r="P1461" s="2"/>
      <c r="Q1461" s="2"/>
      <c r="R1461" s="32"/>
      <c r="S1461" s="32"/>
      <c r="T1461" s="32"/>
      <c r="U1461" s="32"/>
      <c r="V1461" s="2"/>
      <c r="W1461" s="2"/>
      <c r="X1461" s="2"/>
      <c r="Y1461" s="2"/>
      <c r="Z1461" s="2"/>
    </row>
    <row r="1462" spans="1:26" ht="13.8" x14ac:dyDescent="0.3">
      <c r="A1462" s="2"/>
      <c r="B1462" s="2"/>
      <c r="C1462" s="10"/>
      <c r="D1462" s="10"/>
      <c r="E1462" s="10"/>
      <c r="F1462" s="10"/>
      <c r="G1462" s="69"/>
      <c r="H1462" s="69"/>
      <c r="I1462" s="69"/>
      <c r="J1462" s="70"/>
      <c r="K1462" s="69"/>
      <c r="L1462" s="69"/>
      <c r="M1462" s="69"/>
      <c r="N1462" s="69"/>
      <c r="O1462" s="69"/>
      <c r="P1462" s="2"/>
      <c r="Q1462" s="2"/>
      <c r="R1462" s="32"/>
      <c r="S1462" s="32"/>
      <c r="T1462" s="32"/>
      <c r="U1462" s="32"/>
      <c r="V1462" s="2"/>
      <c r="W1462" s="2"/>
      <c r="X1462" s="2"/>
      <c r="Y1462" s="2"/>
      <c r="Z1462" s="2"/>
    </row>
    <row r="1463" spans="1:26" ht="13.8" x14ac:dyDescent="0.3">
      <c r="A1463" s="2"/>
      <c r="B1463" s="2"/>
      <c r="C1463" s="10"/>
      <c r="D1463" s="10"/>
      <c r="E1463" s="10"/>
      <c r="F1463" s="10"/>
      <c r="G1463" s="69"/>
      <c r="H1463" s="69"/>
      <c r="I1463" s="69"/>
      <c r="J1463" s="70"/>
      <c r="K1463" s="69"/>
      <c r="L1463" s="69"/>
      <c r="M1463" s="69"/>
      <c r="N1463" s="69"/>
      <c r="O1463" s="69"/>
      <c r="P1463" s="2"/>
      <c r="Q1463" s="2"/>
      <c r="R1463" s="32"/>
      <c r="S1463" s="32"/>
      <c r="T1463" s="32"/>
      <c r="U1463" s="32"/>
      <c r="V1463" s="2"/>
      <c r="W1463" s="2"/>
      <c r="X1463" s="2"/>
      <c r="Y1463" s="2"/>
      <c r="Z1463" s="2"/>
    </row>
    <row r="1464" spans="1:26" ht="13.8" x14ac:dyDescent="0.3">
      <c r="A1464" s="2"/>
      <c r="B1464" s="2"/>
      <c r="C1464" s="10"/>
      <c r="D1464" s="10"/>
      <c r="E1464" s="10"/>
      <c r="F1464" s="10"/>
      <c r="G1464" s="69"/>
      <c r="H1464" s="69"/>
      <c r="I1464" s="69"/>
      <c r="J1464" s="70"/>
      <c r="K1464" s="69"/>
      <c r="L1464" s="69"/>
      <c r="M1464" s="69"/>
      <c r="N1464" s="69"/>
      <c r="O1464" s="69"/>
      <c r="P1464" s="2"/>
      <c r="Q1464" s="2"/>
      <c r="R1464" s="32"/>
      <c r="S1464" s="32"/>
      <c r="T1464" s="32"/>
      <c r="U1464" s="32"/>
      <c r="V1464" s="2"/>
      <c r="W1464" s="2"/>
      <c r="X1464" s="2"/>
      <c r="Y1464" s="2"/>
      <c r="Z1464" s="2"/>
    </row>
    <row r="1465" spans="1:26" ht="13.8" x14ac:dyDescent="0.3">
      <c r="A1465" s="2"/>
      <c r="B1465" s="2"/>
      <c r="C1465" s="10"/>
      <c r="D1465" s="10"/>
      <c r="E1465" s="10"/>
      <c r="F1465" s="10"/>
      <c r="G1465" s="69"/>
      <c r="H1465" s="69"/>
      <c r="I1465" s="69"/>
      <c r="J1465" s="70"/>
      <c r="K1465" s="69"/>
      <c r="L1465" s="69"/>
      <c r="M1465" s="69"/>
      <c r="N1465" s="69"/>
      <c r="O1465" s="69"/>
      <c r="P1465" s="2"/>
      <c r="Q1465" s="2"/>
      <c r="R1465" s="32"/>
      <c r="S1465" s="32"/>
      <c r="T1465" s="32"/>
      <c r="U1465" s="32"/>
      <c r="V1465" s="2"/>
      <c r="W1465" s="2"/>
      <c r="X1465" s="2"/>
      <c r="Y1465" s="2"/>
      <c r="Z1465" s="2"/>
    </row>
    <row r="1466" spans="1:26" ht="13.8" x14ac:dyDescent="0.3">
      <c r="A1466" s="2"/>
      <c r="B1466" s="2"/>
      <c r="C1466" s="10"/>
      <c r="D1466" s="10"/>
      <c r="E1466" s="10"/>
      <c r="F1466" s="10"/>
      <c r="G1466" s="69"/>
      <c r="H1466" s="69"/>
      <c r="I1466" s="69"/>
      <c r="J1466" s="70"/>
      <c r="K1466" s="69"/>
      <c r="L1466" s="69"/>
      <c r="M1466" s="69"/>
      <c r="N1466" s="69"/>
      <c r="O1466" s="69"/>
      <c r="P1466" s="2"/>
      <c r="Q1466" s="2"/>
      <c r="R1466" s="32"/>
      <c r="S1466" s="32"/>
      <c r="T1466" s="32"/>
      <c r="U1466" s="32"/>
      <c r="V1466" s="2"/>
      <c r="W1466" s="2"/>
      <c r="X1466" s="2"/>
      <c r="Y1466" s="2"/>
      <c r="Z1466" s="2"/>
    </row>
    <row r="1467" spans="1:26" ht="13.8" x14ac:dyDescent="0.3">
      <c r="A1467" s="2"/>
      <c r="B1467" s="2"/>
      <c r="C1467" s="10"/>
      <c r="D1467" s="10"/>
      <c r="E1467" s="10"/>
      <c r="F1467" s="10"/>
      <c r="G1467" s="69"/>
      <c r="H1467" s="69"/>
      <c r="I1467" s="69"/>
      <c r="J1467" s="70"/>
      <c r="K1467" s="69"/>
      <c r="L1467" s="69"/>
      <c r="M1467" s="69"/>
      <c r="N1467" s="69"/>
      <c r="O1467" s="69"/>
      <c r="P1467" s="2"/>
      <c r="Q1467" s="2"/>
      <c r="R1467" s="32"/>
      <c r="S1467" s="32"/>
      <c r="T1467" s="32"/>
      <c r="U1467" s="32"/>
      <c r="V1467" s="2"/>
      <c r="W1467" s="2"/>
      <c r="X1467" s="2"/>
      <c r="Y1467" s="2"/>
      <c r="Z1467" s="2"/>
    </row>
    <row r="1468" spans="1:26" ht="13.8" x14ac:dyDescent="0.3">
      <c r="A1468" s="2"/>
      <c r="B1468" s="2"/>
      <c r="C1468" s="10"/>
      <c r="D1468" s="10"/>
      <c r="E1468" s="10"/>
      <c r="F1468" s="10"/>
      <c r="G1468" s="69"/>
      <c r="H1468" s="69"/>
      <c r="I1468" s="69"/>
      <c r="J1468" s="70"/>
      <c r="K1468" s="69"/>
      <c r="L1468" s="69"/>
      <c r="M1468" s="69"/>
      <c r="N1468" s="69"/>
      <c r="O1468" s="69"/>
      <c r="P1468" s="2"/>
      <c r="Q1468" s="2"/>
      <c r="R1468" s="32"/>
      <c r="S1468" s="32"/>
      <c r="T1468" s="32"/>
      <c r="U1468" s="32"/>
      <c r="V1468" s="2"/>
      <c r="W1468" s="2"/>
      <c r="X1468" s="2"/>
      <c r="Y1468" s="2"/>
      <c r="Z1468" s="2"/>
    </row>
    <row r="1469" spans="1:26" ht="13.8" x14ac:dyDescent="0.3">
      <c r="A1469" s="2"/>
      <c r="B1469" s="2"/>
      <c r="C1469" s="10"/>
      <c r="D1469" s="10"/>
      <c r="E1469" s="10"/>
      <c r="F1469" s="10"/>
      <c r="G1469" s="69"/>
      <c r="H1469" s="69"/>
      <c r="I1469" s="69"/>
      <c r="J1469" s="70"/>
      <c r="K1469" s="69"/>
      <c r="L1469" s="69"/>
      <c r="M1469" s="69"/>
      <c r="N1469" s="69"/>
      <c r="O1469" s="69"/>
      <c r="P1469" s="2"/>
      <c r="Q1469" s="2"/>
      <c r="R1469" s="32"/>
      <c r="S1469" s="32"/>
      <c r="T1469" s="32"/>
      <c r="U1469" s="32"/>
      <c r="V1469" s="2"/>
      <c r="W1469" s="2"/>
      <c r="X1469" s="2"/>
      <c r="Y1469" s="2"/>
      <c r="Z1469" s="2"/>
    </row>
    <row r="1470" spans="1:26" ht="13.8" x14ac:dyDescent="0.3">
      <c r="A1470" s="2"/>
      <c r="B1470" s="2"/>
      <c r="C1470" s="10"/>
      <c r="D1470" s="10"/>
      <c r="E1470" s="10"/>
      <c r="F1470" s="10"/>
      <c r="G1470" s="69"/>
      <c r="H1470" s="69"/>
      <c r="I1470" s="69"/>
      <c r="J1470" s="70"/>
      <c r="K1470" s="69"/>
      <c r="L1470" s="69"/>
      <c r="M1470" s="69"/>
      <c r="N1470" s="69"/>
      <c r="O1470" s="69"/>
      <c r="P1470" s="2"/>
      <c r="Q1470" s="2"/>
      <c r="R1470" s="32"/>
      <c r="S1470" s="32"/>
      <c r="T1470" s="32"/>
      <c r="U1470" s="32"/>
      <c r="V1470" s="2"/>
      <c r="W1470" s="2"/>
      <c r="X1470" s="2"/>
      <c r="Y1470" s="2"/>
      <c r="Z1470" s="2"/>
    </row>
    <row r="1471" spans="1:26" ht="13.8" x14ac:dyDescent="0.3">
      <c r="A1471" s="2"/>
      <c r="B1471" s="2"/>
      <c r="C1471" s="10"/>
      <c r="D1471" s="10"/>
      <c r="E1471" s="10"/>
      <c r="F1471" s="10"/>
      <c r="G1471" s="69"/>
      <c r="H1471" s="69"/>
      <c r="I1471" s="69"/>
      <c r="J1471" s="70"/>
      <c r="K1471" s="69"/>
      <c r="L1471" s="69"/>
      <c r="M1471" s="69"/>
      <c r="N1471" s="69"/>
      <c r="O1471" s="69"/>
      <c r="P1471" s="2"/>
      <c r="Q1471" s="2"/>
      <c r="R1471" s="32"/>
      <c r="S1471" s="32"/>
      <c r="T1471" s="32"/>
      <c r="U1471" s="32"/>
      <c r="V1471" s="2"/>
      <c r="W1471" s="2"/>
      <c r="X1471" s="2"/>
      <c r="Y1471" s="2"/>
      <c r="Z1471" s="2"/>
    </row>
    <row r="1472" spans="1:26" ht="13.8" x14ac:dyDescent="0.3">
      <c r="A1472" s="2"/>
      <c r="B1472" s="2"/>
      <c r="C1472" s="10"/>
      <c r="D1472" s="10"/>
      <c r="E1472" s="10"/>
      <c r="F1472" s="10"/>
      <c r="G1472" s="69"/>
      <c r="H1472" s="69"/>
      <c r="I1472" s="69"/>
      <c r="J1472" s="70"/>
      <c r="K1472" s="69"/>
      <c r="L1472" s="69"/>
      <c r="M1472" s="69"/>
      <c r="N1472" s="69"/>
      <c r="O1472" s="69"/>
      <c r="P1472" s="2"/>
      <c r="Q1472" s="2"/>
      <c r="R1472" s="32"/>
      <c r="S1472" s="32"/>
      <c r="T1472" s="32"/>
      <c r="U1472" s="32"/>
      <c r="V1472" s="2"/>
      <c r="W1472" s="2"/>
      <c r="X1472" s="2"/>
      <c r="Y1472" s="2"/>
      <c r="Z1472" s="2"/>
    </row>
    <row r="1473" spans="1:26" ht="13.8" x14ac:dyDescent="0.3">
      <c r="A1473" s="2"/>
      <c r="B1473" s="2"/>
      <c r="C1473" s="10"/>
      <c r="D1473" s="10"/>
      <c r="E1473" s="10"/>
      <c r="F1473" s="10"/>
      <c r="G1473" s="69"/>
      <c r="H1473" s="69"/>
      <c r="I1473" s="69"/>
      <c r="J1473" s="70"/>
      <c r="K1473" s="69"/>
      <c r="L1473" s="69"/>
      <c r="M1473" s="69"/>
      <c r="N1473" s="69"/>
      <c r="O1473" s="69"/>
      <c r="P1473" s="2"/>
      <c r="Q1473" s="2"/>
      <c r="R1473" s="32"/>
      <c r="S1473" s="32"/>
      <c r="T1473" s="32"/>
      <c r="U1473" s="32"/>
      <c r="V1473" s="2"/>
      <c r="W1473" s="2"/>
      <c r="X1473" s="2"/>
      <c r="Y1473" s="2"/>
      <c r="Z1473" s="2"/>
    </row>
    <row r="1474" spans="1:26" ht="13.8" x14ac:dyDescent="0.3">
      <c r="A1474" s="2"/>
      <c r="B1474" s="2"/>
      <c r="C1474" s="10"/>
      <c r="D1474" s="10"/>
      <c r="E1474" s="10"/>
      <c r="F1474" s="10"/>
      <c r="G1474" s="69"/>
      <c r="H1474" s="69"/>
      <c r="I1474" s="69"/>
      <c r="J1474" s="70"/>
      <c r="K1474" s="69"/>
      <c r="L1474" s="69"/>
      <c r="M1474" s="69"/>
      <c r="N1474" s="69"/>
      <c r="O1474" s="69"/>
      <c r="P1474" s="2"/>
      <c r="Q1474" s="2"/>
      <c r="R1474" s="32"/>
      <c r="S1474" s="32"/>
      <c r="T1474" s="32"/>
      <c r="U1474" s="32"/>
      <c r="V1474" s="2"/>
      <c r="W1474" s="2"/>
      <c r="X1474" s="2"/>
      <c r="Y1474" s="2"/>
      <c r="Z1474" s="2"/>
    </row>
    <row r="1475" spans="1:26" ht="13.8" x14ac:dyDescent="0.3">
      <c r="A1475" s="2"/>
      <c r="B1475" s="2"/>
      <c r="C1475" s="10"/>
      <c r="D1475" s="10"/>
      <c r="E1475" s="10"/>
      <c r="F1475" s="10"/>
      <c r="G1475" s="69"/>
      <c r="H1475" s="69"/>
      <c r="I1475" s="69"/>
      <c r="J1475" s="70"/>
      <c r="K1475" s="69"/>
      <c r="L1475" s="69"/>
      <c r="M1475" s="69"/>
      <c r="N1475" s="69"/>
      <c r="O1475" s="69"/>
      <c r="P1475" s="2"/>
      <c r="Q1475" s="2"/>
      <c r="R1475" s="32"/>
      <c r="S1475" s="32"/>
      <c r="T1475" s="32"/>
      <c r="U1475" s="32"/>
      <c r="V1475" s="2"/>
      <c r="W1475" s="2"/>
      <c r="X1475" s="2"/>
      <c r="Y1475" s="2"/>
      <c r="Z1475" s="2"/>
    </row>
    <row r="1476" spans="1:26" ht="13.8" x14ac:dyDescent="0.3">
      <c r="A1476" s="2"/>
      <c r="B1476" s="2"/>
      <c r="C1476" s="10"/>
      <c r="D1476" s="10"/>
      <c r="E1476" s="10"/>
      <c r="F1476" s="10"/>
      <c r="G1476" s="69"/>
      <c r="H1476" s="69"/>
      <c r="I1476" s="69"/>
      <c r="J1476" s="70"/>
      <c r="K1476" s="69"/>
      <c r="L1476" s="69"/>
      <c r="M1476" s="69"/>
      <c r="N1476" s="69"/>
      <c r="O1476" s="69"/>
      <c r="P1476" s="2"/>
      <c r="Q1476" s="2"/>
      <c r="R1476" s="32"/>
      <c r="S1476" s="32"/>
      <c r="T1476" s="32"/>
      <c r="U1476" s="32"/>
      <c r="V1476" s="2"/>
      <c r="W1476" s="2"/>
      <c r="X1476" s="2"/>
      <c r="Y1476" s="2"/>
      <c r="Z1476" s="2"/>
    </row>
    <row r="1477" spans="1:26" ht="13.8" x14ac:dyDescent="0.3">
      <c r="A1477" s="2"/>
      <c r="B1477" s="2"/>
      <c r="C1477" s="10"/>
      <c r="D1477" s="10"/>
      <c r="E1477" s="10"/>
      <c r="F1477" s="10"/>
      <c r="G1477" s="69"/>
      <c r="H1477" s="69"/>
      <c r="I1477" s="69"/>
      <c r="J1477" s="70"/>
      <c r="K1477" s="69"/>
      <c r="L1477" s="69"/>
      <c r="M1477" s="69"/>
      <c r="N1477" s="69"/>
      <c r="O1477" s="69"/>
      <c r="P1477" s="2"/>
      <c r="Q1477" s="2"/>
      <c r="R1477" s="32"/>
      <c r="S1477" s="32"/>
      <c r="T1477" s="32"/>
      <c r="U1477" s="32"/>
      <c r="V1477" s="2"/>
      <c r="W1477" s="2"/>
      <c r="X1477" s="2"/>
      <c r="Y1477" s="2"/>
      <c r="Z1477" s="2"/>
    </row>
    <row r="1478" spans="1:26" ht="13.8" x14ac:dyDescent="0.3">
      <c r="A1478" s="2"/>
      <c r="B1478" s="2"/>
      <c r="C1478" s="10"/>
      <c r="D1478" s="10"/>
      <c r="E1478" s="10"/>
      <c r="F1478" s="10"/>
      <c r="G1478" s="69"/>
      <c r="H1478" s="69"/>
      <c r="I1478" s="69"/>
      <c r="J1478" s="70"/>
      <c r="K1478" s="69"/>
      <c r="L1478" s="69"/>
      <c r="M1478" s="69"/>
      <c r="N1478" s="69"/>
      <c r="O1478" s="69"/>
      <c r="P1478" s="2"/>
      <c r="Q1478" s="2"/>
      <c r="R1478" s="32"/>
      <c r="S1478" s="32"/>
      <c r="T1478" s="32"/>
      <c r="U1478" s="32"/>
      <c r="V1478" s="2"/>
      <c r="W1478" s="2"/>
      <c r="X1478" s="2"/>
      <c r="Y1478" s="2"/>
      <c r="Z1478" s="2"/>
    </row>
    <row r="1479" spans="1:26" ht="13.8" x14ac:dyDescent="0.3">
      <c r="A1479" s="2"/>
      <c r="B1479" s="2"/>
      <c r="C1479" s="10"/>
      <c r="D1479" s="10"/>
      <c r="E1479" s="10"/>
      <c r="F1479" s="10"/>
      <c r="G1479" s="69"/>
      <c r="H1479" s="69"/>
      <c r="I1479" s="69"/>
      <c r="J1479" s="70"/>
      <c r="K1479" s="69"/>
      <c r="L1479" s="69"/>
      <c r="M1479" s="69"/>
      <c r="N1479" s="69"/>
      <c r="O1479" s="69"/>
      <c r="P1479" s="2"/>
      <c r="Q1479" s="2"/>
      <c r="R1479" s="32"/>
      <c r="S1479" s="32"/>
      <c r="T1479" s="32"/>
      <c r="U1479" s="32"/>
      <c r="V1479" s="2"/>
      <c r="W1479" s="2"/>
      <c r="X1479" s="2"/>
      <c r="Y1479" s="2"/>
      <c r="Z1479" s="2"/>
    </row>
    <row r="1480" spans="1:26" ht="13.8" x14ac:dyDescent="0.3">
      <c r="A1480" s="2"/>
      <c r="B1480" s="2"/>
      <c r="C1480" s="10"/>
      <c r="D1480" s="10"/>
      <c r="E1480" s="10"/>
      <c r="F1480" s="10"/>
      <c r="G1480" s="69"/>
      <c r="H1480" s="69"/>
      <c r="I1480" s="69"/>
      <c r="J1480" s="70"/>
      <c r="K1480" s="69"/>
      <c r="L1480" s="69"/>
      <c r="M1480" s="69"/>
      <c r="N1480" s="69"/>
      <c r="O1480" s="69"/>
      <c r="P1480" s="2"/>
      <c r="Q1480" s="2"/>
      <c r="R1480" s="32"/>
      <c r="S1480" s="32"/>
      <c r="T1480" s="32"/>
      <c r="U1480" s="32"/>
      <c r="V1480" s="2"/>
      <c r="W1480" s="2"/>
      <c r="X1480" s="2"/>
      <c r="Y1480" s="2"/>
      <c r="Z1480" s="2"/>
    </row>
    <row r="1481" spans="1:26" ht="13.8" x14ac:dyDescent="0.3">
      <c r="A1481" s="2"/>
      <c r="B1481" s="2"/>
      <c r="C1481" s="10"/>
      <c r="D1481" s="10"/>
      <c r="E1481" s="10"/>
      <c r="F1481" s="10"/>
      <c r="G1481" s="69"/>
      <c r="H1481" s="69"/>
      <c r="I1481" s="69"/>
      <c r="J1481" s="70"/>
      <c r="K1481" s="69"/>
      <c r="L1481" s="69"/>
      <c r="M1481" s="69"/>
      <c r="N1481" s="69"/>
      <c r="O1481" s="69"/>
      <c r="P1481" s="2"/>
      <c r="Q1481" s="2"/>
      <c r="R1481" s="32"/>
      <c r="S1481" s="32"/>
      <c r="T1481" s="32"/>
      <c r="U1481" s="32"/>
      <c r="V1481" s="2"/>
      <c r="W1481" s="2"/>
      <c r="X1481" s="2"/>
      <c r="Y1481" s="2"/>
      <c r="Z1481" s="2"/>
    </row>
    <row r="1482" spans="1:26" ht="13.8" x14ac:dyDescent="0.3">
      <c r="A1482" s="2"/>
      <c r="B1482" s="2"/>
      <c r="C1482" s="10"/>
      <c r="D1482" s="10"/>
      <c r="E1482" s="10"/>
      <c r="F1482" s="10"/>
      <c r="G1482" s="69"/>
      <c r="H1482" s="69"/>
      <c r="I1482" s="69"/>
      <c r="J1482" s="70"/>
      <c r="K1482" s="69"/>
      <c r="L1482" s="69"/>
      <c r="M1482" s="69"/>
      <c r="N1482" s="69"/>
      <c r="O1482" s="69"/>
      <c r="P1482" s="2"/>
      <c r="Q1482" s="2"/>
      <c r="R1482" s="32"/>
      <c r="S1482" s="32"/>
      <c r="T1482" s="32"/>
      <c r="U1482" s="32"/>
      <c r="V1482" s="2"/>
      <c r="W1482" s="2"/>
      <c r="X1482" s="2"/>
      <c r="Y1482" s="2"/>
      <c r="Z1482" s="2"/>
    </row>
    <row r="1483" spans="1:26" ht="13.8" x14ac:dyDescent="0.3">
      <c r="A1483" s="2"/>
      <c r="B1483" s="2"/>
      <c r="C1483" s="10"/>
      <c r="D1483" s="10"/>
      <c r="E1483" s="10"/>
      <c r="F1483" s="10"/>
      <c r="G1483" s="69"/>
      <c r="H1483" s="69"/>
      <c r="I1483" s="69"/>
      <c r="J1483" s="70"/>
      <c r="K1483" s="69"/>
      <c r="L1483" s="69"/>
      <c r="M1483" s="69"/>
      <c r="N1483" s="69"/>
      <c r="O1483" s="69"/>
      <c r="P1483" s="2"/>
      <c r="Q1483" s="2"/>
      <c r="R1483" s="32"/>
      <c r="S1483" s="32"/>
      <c r="T1483" s="32"/>
      <c r="U1483" s="32"/>
      <c r="V1483" s="2"/>
      <c r="W1483" s="2"/>
      <c r="X1483" s="2"/>
      <c r="Y1483" s="2"/>
      <c r="Z1483" s="2"/>
    </row>
    <row r="1484" spans="1:26" ht="13.8" x14ac:dyDescent="0.3">
      <c r="A1484" s="2"/>
      <c r="B1484" s="2"/>
      <c r="C1484" s="10"/>
      <c r="D1484" s="10"/>
      <c r="E1484" s="10"/>
      <c r="F1484" s="10"/>
      <c r="G1484" s="69"/>
      <c r="H1484" s="69"/>
      <c r="I1484" s="69"/>
      <c r="J1484" s="70"/>
      <c r="K1484" s="69"/>
      <c r="L1484" s="69"/>
      <c r="M1484" s="69"/>
      <c r="N1484" s="69"/>
      <c r="O1484" s="69"/>
      <c r="P1484" s="2"/>
      <c r="Q1484" s="2"/>
      <c r="R1484" s="32"/>
      <c r="S1484" s="32"/>
      <c r="T1484" s="32"/>
      <c r="U1484" s="32"/>
      <c r="V1484" s="2"/>
      <c r="W1484" s="2"/>
      <c r="X1484" s="2"/>
      <c r="Y1484" s="2"/>
      <c r="Z1484" s="2"/>
    </row>
    <row r="1485" spans="1:26" ht="13.8" x14ac:dyDescent="0.3">
      <c r="A1485" s="2"/>
      <c r="B1485" s="2"/>
      <c r="C1485" s="10"/>
      <c r="D1485" s="10"/>
      <c r="E1485" s="10"/>
      <c r="F1485" s="10"/>
      <c r="G1485" s="69"/>
      <c r="H1485" s="69"/>
      <c r="I1485" s="69"/>
      <c r="J1485" s="70"/>
      <c r="K1485" s="69"/>
      <c r="L1485" s="69"/>
      <c r="M1485" s="69"/>
      <c r="N1485" s="69"/>
      <c r="O1485" s="69"/>
      <c r="P1485" s="2"/>
      <c r="Q1485" s="2"/>
      <c r="R1485" s="32"/>
      <c r="S1485" s="32"/>
      <c r="T1485" s="32"/>
      <c r="U1485" s="32"/>
      <c r="V1485" s="2"/>
      <c r="W1485" s="2"/>
      <c r="X1485" s="2"/>
      <c r="Y1485" s="2"/>
      <c r="Z1485" s="2"/>
    </row>
    <row r="1486" spans="1:26" ht="13.8" x14ac:dyDescent="0.3">
      <c r="A1486" s="2"/>
      <c r="B1486" s="2"/>
      <c r="C1486" s="10"/>
      <c r="D1486" s="10"/>
      <c r="E1486" s="10"/>
      <c r="F1486" s="10"/>
      <c r="G1486" s="69"/>
      <c r="H1486" s="69"/>
      <c r="I1486" s="69"/>
      <c r="J1486" s="70"/>
      <c r="K1486" s="69"/>
      <c r="L1486" s="69"/>
      <c r="M1486" s="69"/>
      <c r="N1486" s="69"/>
      <c r="O1486" s="69"/>
      <c r="P1486" s="2"/>
      <c r="Q1486" s="2"/>
      <c r="R1486" s="32"/>
      <c r="S1486" s="32"/>
      <c r="T1486" s="32"/>
      <c r="U1486" s="32"/>
      <c r="V1486" s="2"/>
      <c r="W1486" s="2"/>
      <c r="X1486" s="2"/>
      <c r="Y1486" s="2"/>
      <c r="Z1486" s="2"/>
    </row>
    <row r="1487" spans="1:26" ht="13.8" x14ac:dyDescent="0.3">
      <c r="A1487" s="2"/>
      <c r="B1487" s="2"/>
      <c r="C1487" s="10"/>
      <c r="D1487" s="10"/>
      <c r="E1487" s="10"/>
      <c r="F1487" s="10"/>
      <c r="G1487" s="69"/>
      <c r="H1487" s="69"/>
      <c r="I1487" s="69"/>
      <c r="J1487" s="70"/>
      <c r="K1487" s="69"/>
      <c r="L1487" s="69"/>
      <c r="M1487" s="69"/>
      <c r="N1487" s="69"/>
      <c r="O1487" s="69"/>
      <c r="P1487" s="2"/>
      <c r="Q1487" s="2"/>
      <c r="R1487" s="32"/>
      <c r="S1487" s="32"/>
      <c r="T1487" s="32"/>
      <c r="U1487" s="32"/>
      <c r="V1487" s="2"/>
      <c r="W1487" s="2"/>
      <c r="X1487" s="2"/>
      <c r="Y1487" s="2"/>
      <c r="Z1487" s="2"/>
    </row>
    <row r="1488" spans="1:26" ht="13.8" x14ac:dyDescent="0.3">
      <c r="A1488" s="2"/>
      <c r="B1488" s="2"/>
      <c r="C1488" s="10"/>
      <c r="D1488" s="10"/>
      <c r="E1488" s="10"/>
      <c r="F1488" s="10"/>
      <c r="G1488" s="69"/>
      <c r="H1488" s="69"/>
      <c r="I1488" s="69"/>
      <c r="J1488" s="70"/>
      <c r="K1488" s="69"/>
      <c r="L1488" s="69"/>
      <c r="M1488" s="69"/>
      <c r="N1488" s="69"/>
      <c r="O1488" s="69"/>
      <c r="P1488" s="2"/>
      <c r="Q1488" s="2"/>
      <c r="R1488" s="32"/>
      <c r="S1488" s="32"/>
      <c r="T1488" s="32"/>
      <c r="U1488" s="32"/>
      <c r="V1488" s="2"/>
      <c r="W1488" s="2"/>
      <c r="X1488" s="2"/>
      <c r="Y1488" s="2"/>
      <c r="Z1488" s="2"/>
    </row>
    <row r="1489" spans="1:26" ht="13.8" x14ac:dyDescent="0.3">
      <c r="A1489" s="2"/>
      <c r="B1489" s="2"/>
      <c r="C1489" s="10"/>
      <c r="D1489" s="10"/>
      <c r="E1489" s="10"/>
      <c r="F1489" s="10"/>
      <c r="G1489" s="69"/>
      <c r="H1489" s="69"/>
      <c r="I1489" s="69"/>
      <c r="J1489" s="70"/>
      <c r="K1489" s="69"/>
      <c r="L1489" s="69"/>
      <c r="M1489" s="69"/>
      <c r="N1489" s="69"/>
      <c r="O1489" s="69"/>
      <c r="P1489" s="2"/>
      <c r="Q1489" s="2"/>
      <c r="R1489" s="32"/>
      <c r="S1489" s="32"/>
      <c r="T1489" s="32"/>
      <c r="U1489" s="32"/>
      <c r="V1489" s="2"/>
      <c r="W1489" s="2"/>
      <c r="X1489" s="2"/>
      <c r="Y1489" s="2"/>
      <c r="Z1489" s="2"/>
    </row>
    <row r="1490" spans="1:26" ht="13.8" x14ac:dyDescent="0.3">
      <c r="A1490" s="2"/>
      <c r="B1490" s="2"/>
      <c r="C1490" s="10"/>
      <c r="D1490" s="10"/>
      <c r="E1490" s="10"/>
      <c r="F1490" s="10"/>
      <c r="G1490" s="69"/>
      <c r="H1490" s="69"/>
      <c r="I1490" s="69"/>
      <c r="J1490" s="70"/>
      <c r="K1490" s="69"/>
      <c r="L1490" s="69"/>
      <c r="M1490" s="69"/>
      <c r="N1490" s="69"/>
      <c r="O1490" s="69"/>
      <c r="P1490" s="2"/>
      <c r="Q1490" s="2"/>
      <c r="R1490" s="32"/>
      <c r="S1490" s="32"/>
      <c r="T1490" s="32"/>
      <c r="U1490" s="32"/>
      <c r="V1490" s="2"/>
      <c r="W1490" s="2"/>
      <c r="X1490" s="2"/>
      <c r="Y1490" s="2"/>
      <c r="Z1490" s="2"/>
    </row>
    <row r="1491" spans="1:26" ht="13.8" x14ac:dyDescent="0.3">
      <c r="A1491" s="2"/>
      <c r="B1491" s="2"/>
      <c r="C1491" s="10"/>
      <c r="D1491" s="10"/>
      <c r="E1491" s="10"/>
      <c r="F1491" s="10"/>
      <c r="G1491" s="69"/>
      <c r="H1491" s="69"/>
      <c r="I1491" s="69"/>
      <c r="J1491" s="70"/>
      <c r="K1491" s="69"/>
      <c r="L1491" s="69"/>
      <c r="M1491" s="69"/>
      <c r="N1491" s="69"/>
      <c r="O1491" s="69"/>
      <c r="P1491" s="2"/>
      <c r="Q1491" s="2"/>
      <c r="R1491" s="32"/>
      <c r="S1491" s="32"/>
      <c r="T1491" s="32"/>
      <c r="U1491" s="32"/>
      <c r="V1491" s="2"/>
      <c r="W1491" s="2"/>
      <c r="X1491" s="2"/>
      <c r="Y1491" s="2"/>
      <c r="Z1491" s="2"/>
    </row>
    <row r="1492" spans="1:26" ht="13.8" x14ac:dyDescent="0.3">
      <c r="A1492" s="2"/>
      <c r="B1492" s="2"/>
      <c r="C1492" s="10"/>
      <c r="D1492" s="10"/>
      <c r="E1492" s="10"/>
      <c r="F1492" s="10"/>
      <c r="G1492" s="69"/>
      <c r="H1492" s="69"/>
      <c r="I1492" s="69"/>
      <c r="J1492" s="70"/>
      <c r="K1492" s="69"/>
      <c r="L1492" s="69"/>
      <c r="M1492" s="69"/>
      <c r="N1492" s="69"/>
      <c r="O1492" s="69"/>
      <c r="P1492" s="2"/>
      <c r="Q1492" s="2"/>
      <c r="R1492" s="32"/>
      <c r="S1492" s="32"/>
      <c r="T1492" s="32"/>
      <c r="U1492" s="32"/>
      <c r="V1492" s="2"/>
      <c r="W1492" s="2"/>
      <c r="X1492" s="2"/>
      <c r="Y1492" s="2"/>
      <c r="Z1492" s="2"/>
    </row>
    <row r="1493" spans="1:26" ht="13.8" x14ac:dyDescent="0.3">
      <c r="A1493" s="2"/>
      <c r="B1493" s="2"/>
      <c r="C1493" s="10"/>
      <c r="D1493" s="10"/>
      <c r="E1493" s="10"/>
      <c r="F1493" s="10"/>
      <c r="G1493" s="69"/>
      <c r="H1493" s="69"/>
      <c r="I1493" s="69"/>
      <c r="J1493" s="70"/>
      <c r="K1493" s="69"/>
      <c r="L1493" s="69"/>
      <c r="M1493" s="69"/>
      <c r="N1493" s="69"/>
      <c r="O1493" s="69"/>
      <c r="P1493" s="2"/>
      <c r="Q1493" s="2"/>
      <c r="R1493" s="32"/>
      <c r="S1493" s="32"/>
      <c r="T1493" s="32"/>
      <c r="U1493" s="32"/>
      <c r="V1493" s="2"/>
      <c r="W1493" s="2"/>
      <c r="X1493" s="2"/>
      <c r="Y1493" s="2"/>
      <c r="Z1493" s="2"/>
    </row>
    <row r="1494" spans="1:26" ht="13.8" x14ac:dyDescent="0.3">
      <c r="A1494" s="2"/>
      <c r="B1494" s="2"/>
      <c r="C1494" s="10"/>
      <c r="D1494" s="10"/>
      <c r="E1494" s="10"/>
      <c r="F1494" s="10"/>
      <c r="G1494" s="69"/>
      <c r="H1494" s="69"/>
      <c r="I1494" s="69"/>
      <c r="J1494" s="70"/>
      <c r="K1494" s="69"/>
      <c r="L1494" s="69"/>
      <c r="M1494" s="69"/>
      <c r="N1494" s="69"/>
      <c r="O1494" s="69"/>
      <c r="P1494" s="2"/>
      <c r="Q1494" s="2"/>
      <c r="R1494" s="32"/>
      <c r="S1494" s="32"/>
      <c r="T1494" s="32"/>
      <c r="U1494" s="32"/>
      <c r="V1494" s="2"/>
      <c r="W1494" s="2"/>
      <c r="X1494" s="2"/>
      <c r="Y1494" s="2"/>
      <c r="Z1494" s="2"/>
    </row>
    <row r="1495" spans="1:26" ht="13.8" x14ac:dyDescent="0.3">
      <c r="A1495" s="2"/>
      <c r="B1495" s="2"/>
      <c r="C1495" s="10"/>
      <c r="D1495" s="10"/>
      <c r="E1495" s="10"/>
      <c r="F1495" s="10"/>
      <c r="G1495" s="69"/>
      <c r="H1495" s="69"/>
      <c r="I1495" s="69"/>
      <c r="J1495" s="70"/>
      <c r="K1495" s="69"/>
      <c r="L1495" s="69"/>
      <c r="M1495" s="69"/>
      <c r="N1495" s="69"/>
      <c r="O1495" s="69"/>
      <c r="P1495" s="2"/>
      <c r="Q1495" s="2"/>
      <c r="R1495" s="32"/>
      <c r="S1495" s="32"/>
      <c r="T1495" s="32"/>
      <c r="U1495" s="32"/>
      <c r="V1495" s="2"/>
      <c r="W1495" s="2"/>
      <c r="X1495" s="2"/>
      <c r="Y1495" s="2"/>
      <c r="Z1495" s="2"/>
    </row>
    <row r="1496" spans="1:26" ht="13.8" x14ac:dyDescent="0.3">
      <c r="A1496" s="2"/>
      <c r="B1496" s="2"/>
      <c r="C1496" s="10"/>
      <c r="D1496" s="10"/>
      <c r="E1496" s="10"/>
      <c r="F1496" s="10"/>
      <c r="G1496" s="69"/>
      <c r="H1496" s="69"/>
      <c r="I1496" s="69"/>
      <c r="J1496" s="70"/>
      <c r="K1496" s="69"/>
      <c r="L1496" s="69"/>
      <c r="M1496" s="69"/>
      <c r="N1496" s="69"/>
      <c r="O1496" s="69"/>
      <c r="P1496" s="2"/>
      <c r="Q1496" s="2"/>
      <c r="R1496" s="32"/>
      <c r="S1496" s="32"/>
      <c r="T1496" s="32"/>
      <c r="U1496" s="32"/>
      <c r="V1496" s="2"/>
      <c r="W1496" s="2"/>
      <c r="X1496" s="2"/>
      <c r="Y1496" s="2"/>
      <c r="Z1496" s="2"/>
    </row>
    <row r="1497" spans="1:26" ht="13.8" x14ac:dyDescent="0.3">
      <c r="A1497" s="2"/>
      <c r="B1497" s="2"/>
      <c r="C1497" s="10"/>
      <c r="D1497" s="10"/>
      <c r="E1497" s="10"/>
      <c r="F1497" s="10"/>
      <c r="G1497" s="69"/>
      <c r="H1497" s="69"/>
      <c r="I1497" s="69"/>
      <c r="J1497" s="70"/>
      <c r="K1497" s="69"/>
      <c r="L1497" s="69"/>
      <c r="M1497" s="69"/>
      <c r="N1497" s="69"/>
      <c r="O1497" s="69"/>
      <c r="P1497" s="2"/>
      <c r="Q1497" s="2"/>
      <c r="R1497" s="32"/>
      <c r="S1497" s="32"/>
      <c r="T1497" s="32"/>
      <c r="U1497" s="32"/>
      <c r="V1497" s="2"/>
      <c r="W1497" s="2"/>
      <c r="X1497" s="2"/>
      <c r="Y1497" s="2"/>
      <c r="Z1497" s="2"/>
    </row>
    <row r="1498" spans="1:26" ht="13.8" x14ac:dyDescent="0.3">
      <c r="A1498" s="2"/>
      <c r="B1498" s="2"/>
      <c r="C1498" s="10"/>
      <c r="D1498" s="10"/>
      <c r="E1498" s="10"/>
      <c r="F1498" s="10"/>
      <c r="G1498" s="69"/>
      <c r="H1498" s="69"/>
      <c r="I1498" s="69"/>
      <c r="J1498" s="70"/>
      <c r="K1498" s="69"/>
      <c r="L1498" s="69"/>
      <c r="M1498" s="69"/>
      <c r="N1498" s="69"/>
      <c r="O1498" s="69"/>
      <c r="P1498" s="2"/>
      <c r="Q1498" s="2"/>
      <c r="R1498" s="32"/>
      <c r="S1498" s="32"/>
      <c r="T1498" s="32"/>
      <c r="U1498" s="32"/>
      <c r="V1498" s="2"/>
      <c r="W1498" s="2"/>
      <c r="X1498" s="2"/>
      <c r="Y1498" s="2"/>
      <c r="Z1498" s="2"/>
    </row>
    <row r="1499" spans="1:26" ht="13.8" x14ac:dyDescent="0.3">
      <c r="A1499" s="2"/>
      <c r="B1499" s="2"/>
      <c r="C1499" s="10"/>
      <c r="D1499" s="10"/>
      <c r="E1499" s="10"/>
      <c r="F1499" s="10"/>
      <c r="G1499" s="69"/>
      <c r="H1499" s="69"/>
      <c r="I1499" s="69"/>
      <c r="J1499" s="70"/>
      <c r="K1499" s="69"/>
      <c r="L1499" s="69"/>
      <c r="M1499" s="69"/>
      <c r="N1499" s="69"/>
      <c r="O1499" s="69"/>
      <c r="P1499" s="2"/>
      <c r="Q1499" s="2"/>
      <c r="R1499" s="32"/>
      <c r="S1499" s="32"/>
      <c r="T1499" s="32"/>
      <c r="U1499" s="32"/>
      <c r="V1499" s="2"/>
      <c r="W1499" s="2"/>
      <c r="X1499" s="2"/>
      <c r="Y1499" s="2"/>
      <c r="Z1499" s="2"/>
    </row>
    <row r="1500" spans="1:26" ht="13.8" x14ac:dyDescent="0.3">
      <c r="A1500" s="2"/>
      <c r="B1500" s="2"/>
      <c r="C1500" s="10"/>
      <c r="D1500" s="10"/>
      <c r="E1500" s="10"/>
      <c r="F1500" s="10"/>
      <c r="G1500" s="69"/>
      <c r="H1500" s="69"/>
      <c r="I1500" s="69"/>
      <c r="J1500" s="70"/>
      <c r="K1500" s="69"/>
      <c r="L1500" s="69"/>
      <c r="M1500" s="69"/>
      <c r="N1500" s="69"/>
      <c r="O1500" s="69"/>
      <c r="P1500" s="2"/>
      <c r="Q1500" s="2"/>
      <c r="R1500" s="32"/>
      <c r="S1500" s="32"/>
      <c r="T1500" s="32"/>
      <c r="U1500" s="32"/>
      <c r="V1500" s="2"/>
      <c r="W1500" s="2"/>
      <c r="X1500" s="2"/>
      <c r="Y1500" s="2"/>
      <c r="Z1500" s="2"/>
    </row>
    <row r="1501" spans="1:26" ht="13.8" x14ac:dyDescent="0.3">
      <c r="A1501" s="2"/>
      <c r="B1501" s="2"/>
      <c r="C1501" s="10"/>
      <c r="D1501" s="10"/>
      <c r="E1501" s="10"/>
      <c r="F1501" s="10"/>
      <c r="G1501" s="69"/>
      <c r="H1501" s="69"/>
      <c r="I1501" s="69"/>
      <c r="J1501" s="70"/>
      <c r="K1501" s="69"/>
      <c r="L1501" s="69"/>
      <c r="M1501" s="69"/>
      <c r="N1501" s="69"/>
      <c r="O1501" s="69"/>
      <c r="P1501" s="2"/>
      <c r="Q1501" s="2"/>
      <c r="R1501" s="32"/>
      <c r="S1501" s="32"/>
      <c r="T1501" s="32"/>
      <c r="U1501" s="32"/>
      <c r="V1501" s="2"/>
      <c r="W1501" s="2"/>
      <c r="X1501" s="2"/>
      <c r="Y1501" s="2"/>
      <c r="Z1501" s="2"/>
    </row>
    <row r="1502" spans="1:26" ht="13.8" x14ac:dyDescent="0.3">
      <c r="A1502" s="2"/>
      <c r="B1502" s="2"/>
      <c r="C1502" s="10"/>
      <c r="D1502" s="10"/>
      <c r="E1502" s="10"/>
      <c r="F1502" s="10"/>
      <c r="G1502" s="69"/>
      <c r="H1502" s="69"/>
      <c r="I1502" s="69"/>
      <c r="J1502" s="70"/>
      <c r="K1502" s="69"/>
      <c r="L1502" s="69">
        <f>SUM(L2:L1500)</f>
        <v>2473.8660268215021</v>
      </c>
      <c r="M1502" s="69"/>
      <c r="N1502" s="69"/>
      <c r="O1502" s="69"/>
      <c r="P1502" s="2"/>
      <c r="Q1502" s="2"/>
      <c r="R1502" s="32"/>
      <c r="S1502" s="32"/>
      <c r="T1502" s="32"/>
      <c r="U1502" s="32"/>
      <c r="V1502" s="2"/>
      <c r="W1502" s="2"/>
      <c r="X1502" s="2"/>
      <c r="Y1502" s="2"/>
      <c r="Z1502" s="2"/>
    </row>
    <row r="1503" spans="1:26" ht="13.8" x14ac:dyDescent="0.3">
      <c r="A1503" s="2"/>
      <c r="B1503" s="2"/>
      <c r="C1503" s="10"/>
      <c r="D1503" s="10"/>
      <c r="E1503" s="10"/>
      <c r="F1503" s="10"/>
      <c r="G1503" s="69"/>
      <c r="H1503" s="69"/>
      <c r="I1503" s="69"/>
      <c r="J1503" s="70"/>
      <c r="K1503" s="69"/>
      <c r="L1503" s="69"/>
      <c r="M1503" s="69"/>
      <c r="N1503" s="69"/>
      <c r="O1503" s="69"/>
      <c r="P1503" s="2"/>
      <c r="Q1503" s="2"/>
      <c r="R1503" s="32"/>
      <c r="S1503" s="32"/>
      <c r="T1503" s="32"/>
      <c r="U1503" s="32"/>
      <c r="V1503" s="2"/>
      <c r="W1503" s="2"/>
      <c r="X1503" s="2"/>
      <c r="Y1503" s="2"/>
      <c r="Z1503" s="2"/>
    </row>
    <row r="1504" spans="1:26" ht="13.8" x14ac:dyDescent="0.3">
      <c r="A1504" s="2"/>
      <c r="B1504" s="2"/>
      <c r="C1504" s="10"/>
      <c r="D1504" s="10"/>
      <c r="E1504" s="10"/>
      <c r="F1504" s="10"/>
      <c r="G1504" s="69"/>
      <c r="H1504" s="69"/>
      <c r="I1504" s="69"/>
      <c r="J1504" s="70"/>
      <c r="K1504" s="69"/>
      <c r="L1504" s="69"/>
      <c r="M1504" s="69"/>
      <c r="N1504" s="69"/>
      <c r="O1504" s="69"/>
      <c r="P1504" s="2"/>
      <c r="Q1504" s="2"/>
      <c r="R1504" s="32"/>
      <c r="S1504" s="32"/>
      <c r="T1504" s="32"/>
      <c r="U1504" s="32"/>
      <c r="V1504" s="2"/>
      <c r="W1504" s="2"/>
      <c r="X1504" s="2"/>
      <c r="Y1504" s="2"/>
      <c r="Z1504" s="2"/>
    </row>
    <row r="1505" spans="1:26" ht="13.8" x14ac:dyDescent="0.3">
      <c r="A1505" s="2"/>
      <c r="B1505" s="2"/>
      <c r="C1505" s="10"/>
      <c r="D1505" s="10"/>
      <c r="E1505" s="10"/>
      <c r="F1505" s="10"/>
      <c r="G1505" s="69"/>
      <c r="H1505" s="69"/>
      <c r="I1505" s="69"/>
      <c r="J1505" s="70"/>
      <c r="K1505" s="69"/>
      <c r="L1505" s="69"/>
      <c r="M1505" s="69"/>
      <c r="N1505" s="69"/>
      <c r="O1505" s="69"/>
      <c r="P1505" s="2"/>
      <c r="Q1505" s="2"/>
      <c r="R1505" s="32"/>
      <c r="S1505" s="32"/>
      <c r="T1505" s="32"/>
      <c r="U1505" s="32"/>
      <c r="V1505" s="2"/>
      <c r="W1505" s="2"/>
      <c r="X1505" s="2"/>
      <c r="Y1505" s="2"/>
      <c r="Z1505" s="2"/>
    </row>
    <row r="1506" spans="1:26" ht="13.8" x14ac:dyDescent="0.3">
      <c r="A1506" s="2"/>
      <c r="B1506" s="2"/>
      <c r="C1506" s="10"/>
      <c r="D1506" s="10"/>
      <c r="E1506" s="10"/>
      <c r="F1506" s="10"/>
      <c r="G1506" s="69"/>
      <c r="H1506" s="69"/>
      <c r="I1506" s="69"/>
      <c r="J1506" s="70"/>
      <c r="K1506" s="69"/>
      <c r="L1506" s="69"/>
      <c r="M1506" s="69"/>
      <c r="N1506" s="69"/>
      <c r="O1506" s="69"/>
      <c r="P1506" s="2"/>
      <c r="Q1506" s="2"/>
      <c r="R1506" s="32"/>
      <c r="S1506" s="32"/>
      <c r="T1506" s="32"/>
      <c r="U1506" s="32"/>
      <c r="V1506" s="2"/>
      <c r="W1506" s="2"/>
      <c r="X1506" s="2"/>
      <c r="Y1506" s="2"/>
      <c r="Z1506" s="2"/>
    </row>
    <row r="1507" spans="1:26" ht="13.8" x14ac:dyDescent="0.3">
      <c r="A1507" s="2"/>
      <c r="B1507" s="2"/>
      <c r="C1507" s="10"/>
      <c r="D1507" s="10"/>
      <c r="E1507" s="10"/>
      <c r="F1507" s="10"/>
      <c r="G1507" s="69"/>
      <c r="H1507" s="69"/>
      <c r="I1507" s="69"/>
      <c r="J1507" s="70"/>
      <c r="K1507" s="69"/>
      <c r="L1507" s="69"/>
      <c r="M1507" s="69"/>
      <c r="N1507" s="69"/>
      <c r="O1507" s="69"/>
      <c r="P1507" s="2"/>
      <c r="Q1507" s="2"/>
      <c r="R1507" s="32"/>
      <c r="S1507" s="32"/>
      <c r="T1507" s="32"/>
      <c r="U1507" s="32"/>
      <c r="V1507" s="2"/>
      <c r="W1507" s="2"/>
      <c r="X1507" s="2"/>
      <c r="Y1507" s="2"/>
      <c r="Z1507" s="2"/>
    </row>
    <row r="1508" spans="1:26" ht="13.8" x14ac:dyDescent="0.3">
      <c r="A1508" s="2"/>
      <c r="B1508" s="2"/>
      <c r="C1508" s="10"/>
      <c r="D1508" s="10"/>
      <c r="E1508" s="10"/>
      <c r="F1508" s="10"/>
      <c r="G1508" s="69"/>
      <c r="H1508" s="69"/>
      <c r="I1508" s="69"/>
      <c r="J1508" s="70"/>
      <c r="K1508" s="69"/>
      <c r="L1508" s="69"/>
      <c r="M1508" s="69"/>
      <c r="N1508" s="69"/>
      <c r="O1508" s="69"/>
      <c r="P1508" s="2"/>
      <c r="Q1508" s="2"/>
      <c r="R1508" s="32"/>
      <c r="S1508" s="32"/>
      <c r="T1508" s="32"/>
      <c r="U1508" s="32"/>
      <c r="V1508" s="2"/>
      <c r="W1508" s="2"/>
      <c r="X1508" s="2"/>
      <c r="Y1508" s="2"/>
      <c r="Z1508" s="2"/>
    </row>
    <row r="1509" spans="1:26" ht="13.8" x14ac:dyDescent="0.3">
      <c r="A1509" s="2"/>
      <c r="B1509" s="2"/>
      <c r="C1509" s="10"/>
      <c r="D1509" s="10"/>
      <c r="E1509" s="10"/>
      <c r="F1509" s="10"/>
      <c r="G1509" s="69"/>
      <c r="H1509" s="69"/>
      <c r="I1509" s="69"/>
      <c r="J1509" s="70"/>
      <c r="K1509" s="69"/>
      <c r="L1509" s="69"/>
      <c r="M1509" s="69"/>
      <c r="N1509" s="69"/>
      <c r="O1509" s="69"/>
      <c r="P1509" s="2"/>
      <c r="Q1509" s="2"/>
      <c r="R1509" s="32"/>
      <c r="S1509" s="32"/>
      <c r="T1509" s="32"/>
      <c r="U1509" s="32"/>
      <c r="V1509" s="2"/>
      <c r="W1509" s="2"/>
      <c r="X1509" s="2"/>
      <c r="Y1509" s="2"/>
      <c r="Z1509" s="2"/>
    </row>
    <row r="1510" spans="1:26" ht="13.8" x14ac:dyDescent="0.3">
      <c r="A1510" s="2"/>
      <c r="B1510" s="2"/>
      <c r="C1510" s="10"/>
      <c r="D1510" s="10"/>
      <c r="E1510" s="10"/>
      <c r="F1510" s="10"/>
      <c r="G1510" s="69"/>
      <c r="H1510" s="69"/>
      <c r="I1510" s="69"/>
      <c r="J1510" s="70"/>
      <c r="K1510" s="69"/>
      <c r="L1510" s="69"/>
      <c r="M1510" s="69"/>
      <c r="N1510" s="69"/>
      <c r="O1510" s="69"/>
      <c r="P1510" s="2"/>
      <c r="Q1510" s="2"/>
      <c r="R1510" s="32"/>
      <c r="S1510" s="32"/>
      <c r="T1510" s="32"/>
      <c r="U1510" s="32"/>
      <c r="V1510" s="2"/>
      <c r="W1510" s="2"/>
      <c r="X1510" s="2"/>
      <c r="Y1510" s="2"/>
      <c r="Z1510" s="2"/>
    </row>
    <row r="1511" spans="1:26" ht="13.8" x14ac:dyDescent="0.3">
      <c r="A1511" s="2"/>
      <c r="B1511" s="2"/>
      <c r="C1511" s="10"/>
      <c r="D1511" s="10"/>
      <c r="E1511" s="10"/>
      <c r="F1511" s="10"/>
      <c r="G1511" s="69"/>
      <c r="H1511" s="69"/>
      <c r="I1511" s="69"/>
      <c r="J1511" s="70"/>
      <c r="K1511" s="69"/>
      <c r="L1511" s="69"/>
      <c r="M1511" s="69"/>
      <c r="N1511" s="69"/>
      <c r="O1511" s="69"/>
      <c r="P1511" s="2"/>
      <c r="Q1511" s="2"/>
      <c r="R1511" s="32"/>
      <c r="S1511" s="32"/>
      <c r="T1511" s="32"/>
      <c r="U1511" s="32"/>
      <c r="V1511" s="2"/>
      <c r="W1511" s="2"/>
      <c r="X1511" s="2"/>
      <c r="Y1511" s="2"/>
      <c r="Z1511" s="2"/>
    </row>
    <row r="1512" spans="1:26" ht="13.8" x14ac:dyDescent="0.3">
      <c r="A1512" s="2"/>
      <c r="B1512" s="2"/>
      <c r="C1512" s="10"/>
      <c r="D1512" s="10"/>
      <c r="E1512" s="10"/>
      <c r="F1512" s="10"/>
      <c r="G1512" s="69"/>
      <c r="H1512" s="69"/>
      <c r="I1512" s="69"/>
      <c r="J1512" s="70"/>
      <c r="K1512" s="69"/>
      <c r="L1512" s="69"/>
      <c r="M1512" s="69"/>
      <c r="N1512" s="69"/>
      <c r="O1512" s="69"/>
      <c r="P1512" s="2"/>
      <c r="Q1512" s="2"/>
      <c r="R1512" s="32"/>
      <c r="S1512" s="32"/>
      <c r="T1512" s="32"/>
      <c r="U1512" s="32"/>
      <c r="V1512" s="2"/>
      <c r="W1512" s="2"/>
      <c r="X1512" s="2"/>
      <c r="Y1512" s="2"/>
      <c r="Z1512" s="2"/>
    </row>
    <row r="1513" spans="1:26" ht="13.8" x14ac:dyDescent="0.3">
      <c r="A1513" s="2"/>
      <c r="B1513" s="2"/>
      <c r="C1513" s="10"/>
      <c r="D1513" s="10"/>
      <c r="E1513" s="10"/>
      <c r="F1513" s="10"/>
      <c r="G1513" s="69"/>
      <c r="H1513" s="69"/>
      <c r="I1513" s="69"/>
      <c r="J1513" s="70"/>
      <c r="K1513" s="69"/>
      <c r="L1513" s="69"/>
      <c r="M1513" s="69"/>
      <c r="N1513" s="69"/>
      <c r="O1513" s="69"/>
      <c r="P1513" s="2"/>
      <c r="Q1513" s="2"/>
      <c r="R1513" s="32"/>
      <c r="S1513" s="32"/>
      <c r="T1513" s="32"/>
      <c r="U1513" s="32"/>
      <c r="V1513" s="2"/>
      <c r="W1513" s="2"/>
      <c r="X1513" s="2"/>
      <c r="Y1513" s="2"/>
      <c r="Z1513" s="2"/>
    </row>
    <row r="1514" spans="1:26" ht="13.8" x14ac:dyDescent="0.3">
      <c r="A1514" s="2"/>
      <c r="B1514" s="2"/>
      <c r="C1514" s="10"/>
      <c r="D1514" s="10"/>
      <c r="E1514" s="10"/>
      <c r="F1514" s="10"/>
      <c r="G1514" s="69"/>
      <c r="H1514" s="69"/>
      <c r="I1514" s="69"/>
      <c r="J1514" s="70"/>
      <c r="K1514" s="69"/>
      <c r="L1514" s="69"/>
      <c r="M1514" s="69"/>
      <c r="N1514" s="69"/>
      <c r="O1514" s="69"/>
      <c r="P1514" s="2"/>
      <c r="Q1514" s="2"/>
      <c r="R1514" s="32"/>
      <c r="S1514" s="32"/>
      <c r="T1514" s="32"/>
      <c r="U1514" s="32"/>
      <c r="V1514" s="2"/>
      <c r="W1514" s="2"/>
      <c r="X1514" s="2"/>
      <c r="Y1514" s="2"/>
      <c r="Z1514" s="2"/>
    </row>
    <row r="1515" spans="1:26" ht="13.8" x14ac:dyDescent="0.3">
      <c r="A1515" s="2"/>
      <c r="B1515" s="2"/>
      <c r="C1515" s="10"/>
      <c r="D1515" s="10"/>
      <c r="E1515" s="10"/>
      <c r="F1515" s="10"/>
      <c r="G1515" s="69"/>
      <c r="H1515" s="69"/>
      <c r="I1515" s="69"/>
      <c r="J1515" s="70"/>
      <c r="K1515" s="69"/>
      <c r="L1515" s="69"/>
      <c r="M1515" s="69"/>
      <c r="N1515" s="69"/>
      <c r="O1515" s="69"/>
      <c r="P1515" s="2"/>
      <c r="Q1515" s="2"/>
      <c r="R1515" s="32"/>
      <c r="S1515" s="32"/>
      <c r="T1515" s="32"/>
      <c r="U1515" s="32"/>
      <c r="V1515" s="2"/>
      <c r="W1515" s="2"/>
      <c r="X1515" s="2"/>
      <c r="Y1515" s="2"/>
      <c r="Z1515" s="2"/>
    </row>
    <row r="1516" spans="1:26" ht="13.8" x14ac:dyDescent="0.3">
      <c r="A1516" s="2"/>
      <c r="B1516" s="2"/>
      <c r="C1516" s="10"/>
      <c r="D1516" s="10"/>
      <c r="E1516" s="10"/>
      <c r="F1516" s="10"/>
      <c r="G1516" s="69"/>
      <c r="H1516" s="69"/>
      <c r="I1516" s="69"/>
      <c r="J1516" s="70"/>
      <c r="K1516" s="69"/>
      <c r="L1516" s="69"/>
      <c r="M1516" s="69"/>
      <c r="N1516" s="69"/>
      <c r="O1516" s="69"/>
      <c r="P1516" s="2"/>
      <c r="Q1516" s="2"/>
      <c r="R1516" s="32"/>
      <c r="S1516" s="32"/>
      <c r="T1516" s="32"/>
      <c r="U1516" s="32"/>
      <c r="V1516" s="2"/>
      <c r="W1516" s="2"/>
      <c r="X1516" s="2"/>
      <c r="Y1516" s="2"/>
      <c r="Z1516" s="2"/>
    </row>
    <row r="1517" spans="1:26" ht="13.8" x14ac:dyDescent="0.3">
      <c r="A1517" s="2"/>
      <c r="B1517" s="2"/>
      <c r="C1517" s="10"/>
      <c r="D1517" s="10"/>
      <c r="E1517" s="10"/>
      <c r="F1517" s="10"/>
      <c r="G1517" s="69"/>
      <c r="H1517" s="69"/>
      <c r="I1517" s="69"/>
      <c r="J1517" s="70"/>
      <c r="K1517" s="69"/>
      <c r="L1517" s="69"/>
      <c r="M1517" s="69"/>
      <c r="N1517" s="69"/>
      <c r="O1517" s="69"/>
      <c r="P1517" s="2"/>
      <c r="Q1517" s="2"/>
      <c r="R1517" s="32"/>
      <c r="S1517" s="32"/>
      <c r="T1517" s="32"/>
      <c r="U1517" s="32"/>
      <c r="V1517" s="2"/>
      <c r="W1517" s="2"/>
      <c r="X1517" s="2"/>
      <c r="Y1517" s="2"/>
      <c r="Z1517" s="2"/>
    </row>
    <row r="1518" spans="1:26" ht="13.8" x14ac:dyDescent="0.3">
      <c r="A1518" s="2"/>
      <c r="B1518" s="2"/>
      <c r="C1518" s="10"/>
      <c r="D1518" s="10"/>
      <c r="E1518" s="10"/>
      <c r="F1518" s="10"/>
      <c r="G1518" s="69"/>
      <c r="H1518" s="69"/>
      <c r="I1518" s="69"/>
      <c r="J1518" s="70"/>
      <c r="K1518" s="69"/>
      <c r="L1518" s="69"/>
      <c r="M1518" s="69"/>
      <c r="N1518" s="69"/>
      <c r="O1518" s="69"/>
      <c r="P1518" s="2"/>
      <c r="Q1518" s="2"/>
      <c r="R1518" s="32"/>
      <c r="S1518" s="32"/>
      <c r="T1518" s="32"/>
      <c r="U1518" s="32"/>
      <c r="V1518" s="2"/>
      <c r="W1518" s="2"/>
      <c r="X1518" s="2"/>
      <c r="Y1518" s="2"/>
      <c r="Z1518" s="2"/>
    </row>
    <row r="1519" spans="1:26" ht="13.8" x14ac:dyDescent="0.3">
      <c r="A1519" s="2"/>
      <c r="B1519" s="2"/>
      <c r="C1519" s="10"/>
      <c r="D1519" s="10"/>
      <c r="E1519" s="10"/>
      <c r="F1519" s="10"/>
      <c r="G1519" s="69"/>
      <c r="H1519" s="69"/>
      <c r="I1519" s="69"/>
      <c r="J1519" s="70"/>
      <c r="K1519" s="69"/>
      <c r="L1519" s="69"/>
      <c r="M1519" s="69"/>
      <c r="N1519" s="69"/>
      <c r="O1519" s="69"/>
      <c r="P1519" s="2"/>
      <c r="Q1519" s="2"/>
      <c r="R1519" s="32"/>
      <c r="S1519" s="32"/>
      <c r="T1519" s="32"/>
      <c r="U1519" s="32"/>
      <c r="V1519" s="2"/>
      <c r="W1519" s="2"/>
      <c r="X1519" s="2"/>
      <c r="Y1519" s="2"/>
      <c r="Z1519" s="2"/>
    </row>
    <row r="1520" spans="1:26" ht="13.8" x14ac:dyDescent="0.3">
      <c r="A1520" s="2"/>
      <c r="B1520" s="2"/>
      <c r="C1520" s="10"/>
      <c r="D1520" s="10"/>
      <c r="E1520" s="10"/>
      <c r="F1520" s="10"/>
      <c r="G1520" s="69"/>
      <c r="H1520" s="69"/>
      <c r="I1520" s="69"/>
      <c r="J1520" s="70"/>
      <c r="K1520" s="69"/>
      <c r="L1520" s="69"/>
      <c r="M1520" s="69"/>
      <c r="N1520" s="69"/>
      <c r="O1520" s="69"/>
      <c r="P1520" s="2"/>
      <c r="Q1520" s="2"/>
      <c r="R1520" s="32"/>
      <c r="S1520" s="32"/>
      <c r="T1520" s="32"/>
      <c r="U1520" s="32"/>
      <c r="V1520" s="2"/>
      <c r="W1520" s="2"/>
      <c r="X1520" s="2"/>
      <c r="Y1520" s="2"/>
      <c r="Z1520" s="2"/>
    </row>
    <row r="1521" spans="1:26" ht="13.8" x14ac:dyDescent="0.3">
      <c r="A1521" s="2"/>
      <c r="B1521" s="2"/>
      <c r="C1521" s="10"/>
      <c r="D1521" s="10"/>
      <c r="E1521" s="10"/>
      <c r="F1521" s="10"/>
      <c r="G1521" s="69"/>
      <c r="H1521" s="69"/>
      <c r="I1521" s="69"/>
      <c r="J1521" s="70"/>
      <c r="K1521" s="69"/>
      <c r="L1521" s="69"/>
      <c r="M1521" s="69"/>
      <c r="N1521" s="69"/>
      <c r="O1521" s="69"/>
      <c r="P1521" s="2"/>
      <c r="Q1521" s="2"/>
      <c r="R1521" s="32"/>
      <c r="S1521" s="32"/>
      <c r="T1521" s="32"/>
      <c r="U1521" s="32"/>
      <c r="V1521" s="2"/>
      <c r="W1521" s="2"/>
      <c r="X1521" s="2"/>
      <c r="Y1521" s="2"/>
      <c r="Z1521" s="2"/>
    </row>
    <row r="1522" spans="1:26" ht="13.8" x14ac:dyDescent="0.3">
      <c r="A1522" s="2"/>
      <c r="B1522" s="2"/>
      <c r="C1522" s="10"/>
      <c r="D1522" s="10"/>
      <c r="E1522" s="10"/>
      <c r="F1522" s="10"/>
      <c r="G1522" s="69"/>
      <c r="H1522" s="69"/>
      <c r="I1522" s="69"/>
      <c r="J1522" s="70"/>
      <c r="K1522" s="69"/>
      <c r="L1522" s="69"/>
      <c r="M1522" s="69"/>
      <c r="N1522" s="69"/>
      <c r="O1522" s="69"/>
      <c r="P1522" s="2"/>
      <c r="Q1522" s="2"/>
      <c r="R1522" s="32"/>
      <c r="S1522" s="32"/>
      <c r="T1522" s="32"/>
      <c r="U1522" s="32"/>
      <c r="V1522" s="2"/>
      <c r="W1522" s="2"/>
      <c r="X1522" s="2"/>
      <c r="Y1522" s="2"/>
      <c r="Z1522" s="2"/>
    </row>
    <row r="1523" spans="1:26" ht="13.8" x14ac:dyDescent="0.3">
      <c r="A1523" s="2"/>
      <c r="B1523" s="2"/>
      <c r="C1523" s="10"/>
      <c r="D1523" s="10"/>
      <c r="E1523" s="10"/>
      <c r="F1523" s="10"/>
      <c r="G1523" s="69"/>
      <c r="H1523" s="69"/>
      <c r="I1523" s="69"/>
      <c r="J1523" s="70"/>
      <c r="K1523" s="69"/>
      <c r="L1523" s="69"/>
      <c r="M1523" s="69"/>
      <c r="N1523" s="69"/>
      <c r="O1523" s="69"/>
      <c r="P1523" s="2"/>
      <c r="Q1523" s="2"/>
      <c r="R1523" s="32"/>
      <c r="S1523" s="32"/>
      <c r="T1523" s="32"/>
      <c r="U1523" s="32"/>
      <c r="V1523" s="2"/>
      <c r="W1523" s="2"/>
      <c r="X1523" s="2"/>
      <c r="Y1523" s="2"/>
      <c r="Z1523" s="2"/>
    </row>
    <row r="1524" spans="1:26" ht="13.8" x14ac:dyDescent="0.3">
      <c r="A1524" s="2"/>
      <c r="B1524" s="2"/>
      <c r="C1524" s="10"/>
      <c r="D1524" s="10"/>
      <c r="E1524" s="10"/>
      <c r="F1524" s="10"/>
      <c r="G1524" s="69"/>
      <c r="H1524" s="69"/>
      <c r="I1524" s="69"/>
      <c r="J1524" s="70"/>
      <c r="K1524" s="69"/>
      <c r="L1524" s="69"/>
      <c r="M1524" s="69"/>
      <c r="N1524" s="69"/>
      <c r="O1524" s="69"/>
      <c r="P1524" s="2"/>
      <c r="Q1524" s="2"/>
      <c r="R1524" s="32"/>
      <c r="S1524" s="32"/>
      <c r="T1524" s="32"/>
      <c r="U1524" s="32"/>
      <c r="V1524" s="2"/>
      <c r="W1524" s="2"/>
      <c r="X1524" s="2"/>
      <c r="Y1524" s="2"/>
      <c r="Z1524" s="2"/>
    </row>
    <row r="1525" spans="1:26" ht="13.8" x14ac:dyDescent="0.3">
      <c r="A1525" s="2"/>
      <c r="B1525" s="2"/>
      <c r="C1525" s="10"/>
      <c r="D1525" s="10"/>
      <c r="E1525" s="10"/>
      <c r="F1525" s="10"/>
      <c r="G1525" s="69"/>
      <c r="H1525" s="69"/>
      <c r="I1525" s="69"/>
      <c r="J1525" s="70"/>
      <c r="K1525" s="69"/>
      <c r="L1525" s="69"/>
      <c r="M1525" s="69"/>
      <c r="N1525" s="69"/>
      <c r="O1525" s="69"/>
      <c r="P1525" s="2"/>
      <c r="Q1525" s="2"/>
      <c r="R1525" s="32"/>
      <c r="S1525" s="32"/>
      <c r="T1525" s="32"/>
      <c r="U1525" s="32"/>
      <c r="V1525" s="2"/>
      <c r="W1525" s="2"/>
      <c r="X1525" s="2"/>
      <c r="Y1525" s="2"/>
      <c r="Z1525" s="2"/>
    </row>
    <row r="1526" spans="1:26" ht="13.8" x14ac:dyDescent="0.3">
      <c r="A1526" s="2"/>
      <c r="B1526" s="2"/>
      <c r="C1526" s="10"/>
      <c r="D1526" s="10"/>
      <c r="E1526" s="10"/>
      <c r="F1526" s="10"/>
      <c r="G1526" s="69"/>
      <c r="H1526" s="69"/>
      <c r="I1526" s="69"/>
      <c r="J1526" s="70"/>
      <c r="K1526" s="69"/>
      <c r="L1526" s="69"/>
      <c r="M1526" s="69"/>
      <c r="N1526" s="69"/>
      <c r="O1526" s="69"/>
      <c r="P1526" s="2"/>
      <c r="Q1526" s="2"/>
      <c r="R1526" s="32"/>
      <c r="S1526" s="32"/>
      <c r="T1526" s="32"/>
      <c r="U1526" s="32"/>
      <c r="V1526" s="2"/>
      <c r="W1526" s="2"/>
      <c r="X1526" s="2"/>
      <c r="Y1526" s="2"/>
      <c r="Z1526" s="2"/>
    </row>
    <row r="1527" spans="1:26" ht="13.8" x14ac:dyDescent="0.3">
      <c r="A1527" s="2"/>
      <c r="B1527" s="2"/>
      <c r="C1527" s="10"/>
      <c r="D1527" s="10"/>
      <c r="E1527" s="10"/>
      <c r="F1527" s="10"/>
      <c r="G1527" s="69"/>
      <c r="H1527" s="69"/>
      <c r="I1527" s="69"/>
      <c r="J1527" s="70"/>
      <c r="K1527" s="69"/>
      <c r="L1527" s="69"/>
      <c r="M1527" s="69"/>
      <c r="N1527" s="69"/>
      <c r="O1527" s="69"/>
      <c r="P1527" s="2"/>
      <c r="Q1527" s="2"/>
      <c r="R1527" s="32"/>
      <c r="S1527" s="32"/>
      <c r="T1527" s="32"/>
      <c r="U1527" s="32"/>
      <c r="V1527" s="2"/>
      <c r="W1527" s="2"/>
      <c r="X1527" s="2"/>
      <c r="Y1527" s="2"/>
      <c r="Z1527" s="2"/>
    </row>
    <row r="1528" spans="1:26" ht="13.8" x14ac:dyDescent="0.3">
      <c r="A1528" s="2"/>
      <c r="B1528" s="2"/>
      <c r="C1528" s="10"/>
      <c r="D1528" s="10"/>
      <c r="E1528" s="10"/>
      <c r="F1528" s="10"/>
      <c r="G1528" s="69"/>
      <c r="H1528" s="69"/>
      <c r="I1528" s="69"/>
      <c r="J1528" s="70"/>
      <c r="K1528" s="69"/>
      <c r="L1528" s="69"/>
      <c r="M1528" s="69"/>
      <c r="N1528" s="69"/>
      <c r="O1528" s="69"/>
      <c r="P1528" s="2"/>
      <c r="Q1528" s="2"/>
      <c r="R1528" s="32"/>
      <c r="S1528" s="32"/>
      <c r="T1528" s="32"/>
      <c r="U1528" s="32"/>
      <c r="V1528" s="2"/>
      <c r="W1528" s="2"/>
      <c r="X1528" s="2"/>
      <c r="Y1528" s="2"/>
      <c r="Z1528" s="2"/>
    </row>
    <row r="1529" spans="1:26" ht="13.8" x14ac:dyDescent="0.3">
      <c r="A1529" s="2"/>
      <c r="B1529" s="2"/>
      <c r="C1529" s="10"/>
      <c r="D1529" s="10"/>
      <c r="E1529" s="10"/>
      <c r="F1529" s="10"/>
      <c r="G1529" s="69"/>
      <c r="H1529" s="69"/>
      <c r="I1529" s="69"/>
      <c r="J1529" s="70"/>
      <c r="K1529" s="69"/>
      <c r="L1529" s="69"/>
      <c r="M1529" s="69"/>
      <c r="N1529" s="69"/>
      <c r="O1529" s="69"/>
      <c r="P1529" s="2"/>
      <c r="Q1529" s="2"/>
      <c r="R1529" s="32"/>
      <c r="S1529" s="32"/>
      <c r="T1529" s="32"/>
      <c r="U1529" s="32"/>
      <c r="V1529" s="2"/>
      <c r="W1529" s="2"/>
      <c r="X1529" s="2"/>
      <c r="Y1529" s="2"/>
      <c r="Z1529" s="2"/>
    </row>
    <row r="1530" spans="1:26" ht="13.8" x14ac:dyDescent="0.3">
      <c r="A1530" s="2"/>
      <c r="B1530" s="2"/>
      <c r="C1530" s="10"/>
      <c r="D1530" s="10"/>
      <c r="E1530" s="10"/>
      <c r="F1530" s="10"/>
      <c r="G1530" s="69"/>
      <c r="H1530" s="69"/>
      <c r="I1530" s="69"/>
      <c r="J1530" s="70"/>
      <c r="K1530" s="69"/>
      <c r="L1530" s="69"/>
      <c r="M1530" s="69"/>
      <c r="N1530" s="69"/>
      <c r="O1530" s="69"/>
      <c r="P1530" s="2"/>
      <c r="Q1530" s="2"/>
      <c r="R1530" s="32"/>
      <c r="S1530" s="32"/>
      <c r="T1530" s="32"/>
      <c r="U1530" s="32"/>
      <c r="V1530" s="2"/>
      <c r="W1530" s="2"/>
      <c r="X1530" s="2"/>
      <c r="Y1530" s="2"/>
      <c r="Z1530" s="2"/>
    </row>
    <row r="1531" spans="1:26" ht="13.8" x14ac:dyDescent="0.3">
      <c r="A1531" s="2"/>
      <c r="B1531" s="2"/>
      <c r="C1531" s="10"/>
      <c r="D1531" s="10"/>
      <c r="E1531" s="10"/>
      <c r="F1531" s="10"/>
      <c r="G1531" s="69"/>
      <c r="H1531" s="69"/>
      <c r="I1531" s="69"/>
      <c r="J1531" s="70"/>
      <c r="K1531" s="69"/>
      <c r="L1531" s="69"/>
      <c r="M1531" s="69"/>
      <c r="N1531" s="69"/>
      <c r="O1531" s="69"/>
      <c r="P1531" s="2"/>
      <c r="Q1531" s="2"/>
      <c r="R1531" s="32"/>
      <c r="S1531" s="32"/>
      <c r="T1531" s="32"/>
      <c r="U1531" s="32"/>
      <c r="V1531" s="2"/>
      <c r="W1531" s="2"/>
      <c r="X1531" s="2"/>
      <c r="Y1531" s="2"/>
      <c r="Z1531" s="2"/>
    </row>
    <row r="1532" spans="1:26" ht="13.8" x14ac:dyDescent="0.3">
      <c r="A1532" s="2"/>
      <c r="B1532" s="2"/>
      <c r="C1532" s="10"/>
      <c r="D1532" s="10"/>
      <c r="E1532" s="10"/>
      <c r="F1532" s="10"/>
      <c r="G1532" s="69"/>
      <c r="H1532" s="69"/>
      <c r="I1532" s="69"/>
      <c r="J1532" s="70"/>
      <c r="K1532" s="69"/>
      <c r="L1532" s="69"/>
      <c r="M1532" s="69"/>
      <c r="N1532" s="69"/>
      <c r="O1532" s="69"/>
      <c r="P1532" s="2"/>
      <c r="Q1532" s="2"/>
      <c r="R1532" s="32"/>
      <c r="S1532" s="32"/>
      <c r="T1532" s="32"/>
      <c r="U1532" s="32"/>
      <c r="V1532" s="2"/>
      <c r="W1532" s="2"/>
      <c r="X1532" s="2"/>
      <c r="Y1532" s="2"/>
      <c r="Z1532" s="2"/>
    </row>
    <row r="1533" spans="1:26" ht="13.8" x14ac:dyDescent="0.3">
      <c r="A1533" s="2"/>
      <c r="B1533" s="2"/>
      <c r="C1533" s="10"/>
      <c r="D1533" s="10"/>
      <c r="E1533" s="10"/>
      <c r="F1533" s="10"/>
      <c r="G1533" s="69"/>
      <c r="H1533" s="69"/>
      <c r="I1533" s="69"/>
      <c r="J1533" s="70"/>
      <c r="K1533" s="69"/>
      <c r="L1533" s="69"/>
      <c r="M1533" s="69"/>
      <c r="N1533" s="69"/>
      <c r="O1533" s="69"/>
      <c r="P1533" s="2"/>
      <c r="Q1533" s="2"/>
      <c r="R1533" s="32"/>
      <c r="S1533" s="32"/>
      <c r="T1533" s="32"/>
      <c r="U1533" s="32"/>
      <c r="V1533" s="2"/>
      <c r="W1533" s="2"/>
      <c r="X1533" s="2"/>
      <c r="Y1533" s="2"/>
      <c r="Z1533" s="2"/>
    </row>
    <row r="1534" spans="1:26" ht="13.8" x14ac:dyDescent="0.3">
      <c r="A1534" s="2"/>
      <c r="B1534" s="2"/>
      <c r="C1534" s="10"/>
      <c r="D1534" s="10"/>
      <c r="E1534" s="10"/>
      <c r="F1534" s="10"/>
      <c r="G1534" s="69"/>
      <c r="H1534" s="69"/>
      <c r="I1534" s="69"/>
      <c r="J1534" s="70"/>
      <c r="K1534" s="69"/>
      <c r="L1534" s="69"/>
      <c r="M1534" s="69"/>
      <c r="N1534" s="69"/>
      <c r="O1534" s="69"/>
      <c r="P1534" s="2"/>
      <c r="Q1534" s="2"/>
      <c r="R1534" s="32"/>
      <c r="S1534" s="32"/>
      <c r="T1534" s="32"/>
      <c r="U1534" s="32"/>
      <c r="V1534" s="2"/>
      <c r="W1534" s="2"/>
      <c r="X1534" s="2"/>
      <c r="Y1534" s="2"/>
      <c r="Z1534" s="2"/>
    </row>
    <row r="1535" spans="1:26" ht="13.8" x14ac:dyDescent="0.3">
      <c r="A1535" s="2"/>
      <c r="B1535" s="2"/>
      <c r="C1535" s="10"/>
      <c r="D1535" s="10"/>
      <c r="E1535" s="10"/>
      <c r="F1535" s="10"/>
      <c r="G1535" s="69"/>
      <c r="H1535" s="69"/>
      <c r="I1535" s="69"/>
      <c r="J1535" s="70"/>
      <c r="K1535" s="69"/>
      <c r="L1535" s="69"/>
      <c r="M1535" s="69"/>
      <c r="N1535" s="69"/>
      <c r="O1535" s="69"/>
      <c r="P1535" s="2"/>
      <c r="Q1535" s="2"/>
      <c r="R1535" s="32"/>
      <c r="S1535" s="32"/>
      <c r="T1535" s="32"/>
      <c r="U1535" s="32"/>
      <c r="V1535" s="2"/>
      <c r="W1535" s="2"/>
      <c r="X1535" s="2"/>
      <c r="Y1535" s="2"/>
      <c r="Z1535" s="2"/>
    </row>
    <row r="1536" spans="1:26" ht="13.8" x14ac:dyDescent="0.3">
      <c r="A1536" s="2"/>
      <c r="B1536" s="2"/>
      <c r="C1536" s="10"/>
      <c r="D1536" s="10"/>
      <c r="E1536" s="10"/>
      <c r="F1536" s="10"/>
      <c r="G1536" s="69"/>
      <c r="H1536" s="69"/>
      <c r="I1536" s="69"/>
      <c r="J1536" s="70"/>
      <c r="K1536" s="69"/>
      <c r="L1536" s="69"/>
      <c r="M1536" s="69"/>
      <c r="N1536" s="69"/>
      <c r="O1536" s="69"/>
      <c r="P1536" s="2"/>
      <c r="Q1536" s="2"/>
      <c r="R1536" s="32"/>
      <c r="S1536" s="32"/>
      <c r="T1536" s="32"/>
      <c r="U1536" s="32"/>
      <c r="V1536" s="2"/>
      <c r="W1536" s="2"/>
      <c r="X1536" s="2"/>
      <c r="Y1536" s="2"/>
      <c r="Z1536" s="2"/>
    </row>
    <row r="1537" spans="1:26" ht="13.8" x14ac:dyDescent="0.3">
      <c r="A1537" s="2"/>
      <c r="B1537" s="2"/>
      <c r="C1537" s="10"/>
      <c r="D1537" s="10"/>
      <c r="E1537" s="10"/>
      <c r="F1537" s="10"/>
      <c r="G1537" s="69"/>
      <c r="H1537" s="69"/>
      <c r="I1537" s="69"/>
      <c r="J1537" s="70"/>
      <c r="K1537" s="69"/>
      <c r="L1537" s="69"/>
      <c r="M1537" s="69"/>
      <c r="N1537" s="69"/>
      <c r="O1537" s="69"/>
      <c r="P1537" s="2"/>
      <c r="Q1537" s="2"/>
      <c r="R1537" s="32"/>
      <c r="S1537" s="32"/>
      <c r="T1537" s="32"/>
      <c r="U1537" s="32"/>
      <c r="V1537" s="2"/>
      <c r="W1537" s="2"/>
      <c r="X1537" s="2"/>
      <c r="Y1537" s="2"/>
      <c r="Z1537" s="2"/>
    </row>
    <row r="1538" spans="1:26" ht="13.8" x14ac:dyDescent="0.3">
      <c r="A1538" s="2"/>
      <c r="B1538" s="2"/>
      <c r="C1538" s="10"/>
      <c r="D1538" s="10"/>
      <c r="E1538" s="10"/>
      <c r="F1538" s="10"/>
      <c r="G1538" s="69"/>
      <c r="H1538" s="69"/>
      <c r="I1538" s="69"/>
      <c r="J1538" s="70"/>
      <c r="K1538" s="69"/>
      <c r="L1538" s="69"/>
      <c r="M1538" s="69"/>
      <c r="N1538" s="69"/>
      <c r="O1538" s="69"/>
      <c r="P1538" s="2"/>
      <c r="Q1538" s="2"/>
      <c r="R1538" s="32"/>
      <c r="S1538" s="32"/>
      <c r="T1538" s="32"/>
      <c r="U1538" s="32"/>
      <c r="V1538" s="2"/>
      <c r="W1538" s="2"/>
      <c r="X1538" s="2"/>
      <c r="Y1538" s="2"/>
      <c r="Z1538" s="2"/>
    </row>
    <row r="1539" spans="1:26" ht="13.8" x14ac:dyDescent="0.3">
      <c r="A1539" s="2"/>
      <c r="B1539" s="2"/>
      <c r="C1539" s="10"/>
      <c r="D1539" s="10"/>
      <c r="E1539" s="10"/>
      <c r="F1539" s="10"/>
      <c r="G1539" s="69"/>
      <c r="H1539" s="69"/>
      <c r="I1539" s="69"/>
      <c r="J1539" s="70"/>
      <c r="K1539" s="69"/>
      <c r="L1539" s="69"/>
      <c r="M1539" s="69"/>
      <c r="N1539" s="69"/>
      <c r="O1539" s="69"/>
      <c r="P1539" s="2"/>
      <c r="Q1539" s="2"/>
      <c r="R1539" s="32"/>
      <c r="S1539" s="32"/>
      <c r="T1539" s="32"/>
      <c r="U1539" s="32"/>
      <c r="V1539" s="2"/>
      <c r="W1539" s="2"/>
      <c r="X1539" s="2"/>
      <c r="Y1539" s="2"/>
      <c r="Z1539" s="2"/>
    </row>
    <row r="1540" spans="1:26" ht="13.8" x14ac:dyDescent="0.3">
      <c r="A1540" s="2"/>
      <c r="B1540" s="2"/>
      <c r="C1540" s="10"/>
      <c r="D1540" s="10"/>
      <c r="E1540" s="10"/>
      <c r="F1540" s="10"/>
      <c r="G1540" s="69"/>
      <c r="H1540" s="69"/>
      <c r="I1540" s="69"/>
      <c r="J1540" s="70"/>
      <c r="K1540" s="69"/>
      <c r="L1540" s="69"/>
      <c r="M1540" s="69"/>
      <c r="N1540" s="69"/>
      <c r="O1540" s="69"/>
      <c r="P1540" s="2"/>
      <c r="Q1540" s="2"/>
      <c r="R1540" s="32"/>
      <c r="S1540" s="32"/>
      <c r="T1540" s="32"/>
      <c r="U1540" s="32"/>
      <c r="V1540" s="2"/>
      <c r="W1540" s="2"/>
      <c r="X1540" s="2"/>
      <c r="Y1540" s="2"/>
      <c r="Z1540" s="2"/>
    </row>
    <row r="1541" spans="1:26" ht="13.8" x14ac:dyDescent="0.3">
      <c r="A1541" s="2"/>
      <c r="B1541" s="2"/>
      <c r="C1541" s="10"/>
      <c r="D1541" s="10"/>
      <c r="E1541" s="10"/>
      <c r="F1541" s="10"/>
      <c r="G1541" s="69"/>
      <c r="H1541" s="69"/>
      <c r="I1541" s="69"/>
      <c r="J1541" s="70"/>
      <c r="K1541" s="69"/>
      <c r="L1541" s="69"/>
      <c r="M1541" s="69"/>
      <c r="N1541" s="69"/>
      <c r="O1541" s="69"/>
      <c r="P1541" s="2"/>
      <c r="Q1541" s="2"/>
      <c r="R1541" s="32"/>
      <c r="S1541" s="32"/>
      <c r="T1541" s="32"/>
      <c r="U1541" s="32"/>
      <c r="V1541" s="2"/>
      <c r="W1541" s="2"/>
      <c r="X1541" s="2"/>
      <c r="Y1541" s="2"/>
      <c r="Z1541" s="2"/>
    </row>
    <row r="1542" spans="1:26" ht="13.8" x14ac:dyDescent="0.3">
      <c r="A1542" s="2"/>
      <c r="B1542" s="2"/>
      <c r="C1542" s="10"/>
      <c r="D1542" s="10"/>
      <c r="E1542" s="10"/>
      <c r="F1542" s="10"/>
      <c r="G1542" s="69"/>
      <c r="H1542" s="69"/>
      <c r="I1542" s="69"/>
      <c r="J1542" s="70"/>
      <c r="K1542" s="69"/>
      <c r="L1542" s="69"/>
      <c r="M1542" s="69"/>
      <c r="N1542" s="69"/>
      <c r="O1542" s="69"/>
      <c r="P1542" s="2"/>
      <c r="Q1542" s="2"/>
      <c r="R1542" s="32"/>
      <c r="S1542" s="32"/>
      <c r="T1542" s="32"/>
      <c r="U1542" s="32"/>
      <c r="V1542" s="2"/>
      <c r="W1542" s="2"/>
      <c r="X1542" s="2"/>
      <c r="Y1542" s="2"/>
      <c r="Z1542" s="2"/>
    </row>
    <row r="1543" spans="1:26" ht="13.8" x14ac:dyDescent="0.3">
      <c r="A1543" s="2"/>
      <c r="B1543" s="2"/>
      <c r="C1543" s="10"/>
      <c r="D1543" s="10"/>
      <c r="E1543" s="10"/>
      <c r="F1543" s="10"/>
      <c r="G1543" s="69"/>
      <c r="H1543" s="69"/>
      <c r="I1543" s="69"/>
      <c r="J1543" s="70"/>
      <c r="K1543" s="69"/>
      <c r="L1543" s="69"/>
      <c r="M1543" s="69"/>
      <c r="N1543" s="69"/>
      <c r="O1543" s="69"/>
      <c r="P1543" s="2"/>
      <c r="Q1543" s="2"/>
      <c r="R1543" s="32"/>
      <c r="S1543" s="32"/>
      <c r="T1543" s="32"/>
      <c r="U1543" s="32"/>
      <c r="V1543" s="2"/>
      <c r="W1543" s="2"/>
      <c r="X1543" s="2"/>
      <c r="Y1543" s="2"/>
      <c r="Z1543" s="2"/>
    </row>
    <row r="1544" spans="1:26" ht="13.8" x14ac:dyDescent="0.3">
      <c r="A1544" s="2"/>
      <c r="B1544" s="2"/>
      <c r="C1544" s="10"/>
      <c r="D1544" s="10"/>
      <c r="E1544" s="10"/>
      <c r="F1544" s="10"/>
      <c r="G1544" s="69"/>
      <c r="H1544" s="69"/>
      <c r="I1544" s="69"/>
      <c r="J1544" s="70"/>
      <c r="K1544" s="69"/>
      <c r="L1544" s="69"/>
      <c r="M1544" s="69"/>
      <c r="N1544" s="69"/>
      <c r="O1544" s="69"/>
      <c r="P1544" s="2"/>
      <c r="Q1544" s="2"/>
      <c r="R1544" s="32"/>
      <c r="S1544" s="32"/>
      <c r="T1544" s="32"/>
      <c r="U1544" s="32"/>
      <c r="V1544" s="2"/>
      <c r="W1544" s="2"/>
      <c r="X1544" s="2"/>
      <c r="Y1544" s="2"/>
      <c r="Z1544" s="2"/>
    </row>
    <row r="1545" spans="1:26" ht="13.8" x14ac:dyDescent="0.3">
      <c r="A1545" s="2"/>
      <c r="B1545" s="2"/>
      <c r="C1545" s="10"/>
      <c r="D1545" s="10"/>
      <c r="E1545" s="10"/>
      <c r="F1545" s="10"/>
      <c r="G1545" s="69"/>
      <c r="H1545" s="69"/>
      <c r="I1545" s="69"/>
      <c r="J1545" s="70"/>
      <c r="K1545" s="69"/>
      <c r="L1545" s="69"/>
      <c r="M1545" s="69"/>
      <c r="N1545" s="69"/>
      <c r="O1545" s="69"/>
      <c r="P1545" s="2"/>
      <c r="Q1545" s="2"/>
      <c r="R1545" s="32"/>
      <c r="S1545" s="32"/>
      <c r="T1545" s="32"/>
      <c r="U1545" s="32"/>
      <c r="V1545" s="2"/>
      <c r="W1545" s="2"/>
      <c r="X1545" s="2"/>
      <c r="Y1545" s="2"/>
      <c r="Z1545" s="2"/>
    </row>
    <row r="1546" spans="1:26" ht="13.8" x14ac:dyDescent="0.3">
      <c r="A1546" s="2"/>
      <c r="B1546" s="2"/>
      <c r="C1546" s="10"/>
      <c r="D1546" s="10"/>
      <c r="E1546" s="10"/>
      <c r="F1546" s="10"/>
      <c r="G1546" s="69"/>
      <c r="H1546" s="69"/>
      <c r="I1546" s="69"/>
      <c r="J1546" s="70"/>
      <c r="K1546" s="69"/>
      <c r="L1546" s="69"/>
      <c r="M1546" s="69"/>
      <c r="N1546" s="69"/>
      <c r="O1546" s="69"/>
      <c r="P1546" s="2"/>
      <c r="Q1546" s="2"/>
      <c r="R1546" s="32"/>
      <c r="S1546" s="32"/>
      <c r="T1546" s="32"/>
      <c r="U1546" s="32"/>
      <c r="V1546" s="2"/>
      <c r="W1546" s="2"/>
      <c r="X1546" s="2"/>
      <c r="Y1546" s="2"/>
      <c r="Z1546" s="2"/>
    </row>
    <row r="1547" spans="1:26" ht="13.8" x14ac:dyDescent="0.3">
      <c r="A1547" s="2"/>
      <c r="B1547" s="2"/>
      <c r="C1547" s="10"/>
      <c r="D1547" s="10"/>
      <c r="E1547" s="10"/>
      <c r="F1547" s="10"/>
      <c r="G1547" s="69"/>
      <c r="H1547" s="69"/>
      <c r="I1547" s="69"/>
      <c r="J1547" s="70"/>
      <c r="K1547" s="69"/>
      <c r="L1547" s="69"/>
      <c r="M1547" s="69"/>
      <c r="N1547" s="69"/>
      <c r="O1547" s="69"/>
      <c r="P1547" s="2"/>
      <c r="Q1547" s="2"/>
      <c r="R1547" s="32"/>
      <c r="S1547" s="32"/>
      <c r="T1547" s="32"/>
      <c r="U1547" s="32"/>
      <c r="V1547" s="2"/>
      <c r="W1547" s="2"/>
      <c r="X1547" s="2"/>
      <c r="Y1547" s="2"/>
      <c r="Z1547" s="2"/>
    </row>
    <row r="1548" spans="1:26" ht="13.8" x14ac:dyDescent="0.3">
      <c r="A1548" s="2"/>
      <c r="B1548" s="2"/>
      <c r="C1548" s="10"/>
      <c r="D1548" s="10"/>
      <c r="E1548" s="10"/>
      <c r="F1548" s="10"/>
      <c r="G1548" s="69"/>
      <c r="H1548" s="69"/>
      <c r="I1548" s="69"/>
      <c r="J1548" s="70"/>
      <c r="K1548" s="69"/>
      <c r="L1548" s="69"/>
      <c r="M1548" s="69"/>
      <c r="N1548" s="69"/>
      <c r="O1548" s="69"/>
      <c r="P1548" s="2"/>
      <c r="Q1548" s="2"/>
      <c r="R1548" s="32"/>
      <c r="S1548" s="32"/>
      <c r="T1548" s="32"/>
      <c r="U1548" s="32"/>
      <c r="V1548" s="2"/>
      <c r="W1548" s="2"/>
      <c r="X1548" s="2"/>
      <c r="Y1548" s="2"/>
      <c r="Z1548" s="2"/>
    </row>
    <row r="1549" spans="1:26" ht="13.8" x14ac:dyDescent="0.3">
      <c r="A1549" s="2"/>
      <c r="B1549" s="2"/>
      <c r="C1549" s="10"/>
      <c r="D1549" s="10"/>
      <c r="E1549" s="10"/>
      <c r="F1549" s="10"/>
      <c r="G1549" s="69"/>
      <c r="H1549" s="69"/>
      <c r="I1549" s="69"/>
      <c r="J1549" s="70"/>
      <c r="K1549" s="69"/>
      <c r="L1549" s="69"/>
      <c r="M1549" s="69"/>
      <c r="N1549" s="69"/>
      <c r="O1549" s="69"/>
      <c r="P1549" s="2"/>
      <c r="Q1549" s="2"/>
      <c r="R1549" s="32"/>
      <c r="S1549" s="32"/>
      <c r="T1549" s="32"/>
      <c r="U1549" s="32"/>
      <c r="V1549" s="2"/>
      <c r="W1549" s="2"/>
      <c r="X1549" s="2"/>
      <c r="Y1549" s="2"/>
      <c r="Z1549" s="2"/>
    </row>
    <row r="1550" spans="1:26" ht="13.8" x14ac:dyDescent="0.3">
      <c r="A1550" s="2"/>
      <c r="B1550" s="2"/>
      <c r="C1550" s="10"/>
      <c r="D1550" s="10"/>
      <c r="E1550" s="10"/>
      <c r="F1550" s="10"/>
      <c r="G1550" s="69"/>
      <c r="H1550" s="69"/>
      <c r="I1550" s="69"/>
      <c r="J1550" s="70"/>
      <c r="K1550" s="69"/>
      <c r="L1550" s="69"/>
      <c r="M1550" s="69"/>
      <c r="N1550" s="69"/>
      <c r="O1550" s="69"/>
      <c r="P1550" s="2"/>
      <c r="Q1550" s="2"/>
      <c r="R1550" s="32"/>
      <c r="S1550" s="32"/>
      <c r="T1550" s="32"/>
      <c r="U1550" s="32"/>
      <c r="V1550" s="2"/>
      <c r="W1550" s="2"/>
      <c r="X1550" s="2"/>
      <c r="Y1550" s="2"/>
      <c r="Z1550" s="2"/>
    </row>
    <row r="1551" spans="1:26" ht="13.8" x14ac:dyDescent="0.3">
      <c r="A1551" s="2"/>
      <c r="B1551" s="2"/>
      <c r="C1551" s="10"/>
      <c r="D1551" s="10"/>
      <c r="E1551" s="10"/>
      <c r="F1551" s="10"/>
      <c r="G1551" s="69"/>
      <c r="H1551" s="69"/>
      <c r="I1551" s="69"/>
      <c r="J1551" s="70"/>
      <c r="K1551" s="69"/>
      <c r="L1551" s="69"/>
      <c r="M1551" s="69"/>
      <c r="N1551" s="69"/>
      <c r="O1551" s="69"/>
      <c r="P1551" s="2"/>
      <c r="Q1551" s="2"/>
      <c r="R1551" s="32"/>
      <c r="S1551" s="32"/>
      <c r="T1551" s="32"/>
      <c r="U1551" s="32"/>
      <c r="V1551" s="2"/>
      <c r="W1551" s="2"/>
      <c r="X1551" s="2"/>
      <c r="Y1551" s="2"/>
      <c r="Z1551" s="2"/>
    </row>
    <row r="1552" spans="1:26" ht="13.8" x14ac:dyDescent="0.3">
      <c r="A1552" s="2"/>
      <c r="B1552" s="2"/>
      <c r="C1552" s="10"/>
      <c r="D1552" s="10"/>
      <c r="E1552" s="10"/>
      <c r="F1552" s="10"/>
      <c r="G1552" s="69"/>
      <c r="H1552" s="69"/>
      <c r="I1552" s="69"/>
      <c r="J1552" s="70"/>
      <c r="K1552" s="69"/>
      <c r="L1552" s="69"/>
      <c r="M1552" s="69"/>
      <c r="N1552" s="69"/>
      <c r="O1552" s="69"/>
      <c r="P1552" s="2"/>
      <c r="Q1552" s="2"/>
      <c r="R1552" s="32"/>
      <c r="S1552" s="32"/>
      <c r="T1552" s="32"/>
      <c r="U1552" s="32"/>
      <c r="V1552" s="2"/>
      <c r="W1552" s="2"/>
      <c r="X1552" s="2"/>
      <c r="Y1552" s="2"/>
      <c r="Z1552" s="2"/>
    </row>
    <row r="1553" spans="1:26" ht="13.8" x14ac:dyDescent="0.3">
      <c r="A1553" s="2"/>
      <c r="B1553" s="2"/>
      <c r="C1553" s="10"/>
      <c r="D1553" s="10"/>
      <c r="E1553" s="10"/>
      <c r="F1553" s="10"/>
      <c r="G1553" s="69"/>
      <c r="H1553" s="69"/>
      <c r="I1553" s="69"/>
      <c r="J1553" s="70"/>
      <c r="K1553" s="69"/>
      <c r="L1553" s="69"/>
      <c r="M1553" s="69"/>
      <c r="N1553" s="69"/>
      <c r="O1553" s="69"/>
      <c r="P1553" s="2"/>
      <c r="Q1553" s="2"/>
      <c r="R1553" s="32"/>
      <c r="S1553" s="32"/>
      <c r="T1553" s="32"/>
      <c r="U1553" s="32"/>
      <c r="V1553" s="2"/>
      <c r="W1553" s="2"/>
      <c r="X1553" s="2"/>
      <c r="Y1553" s="2"/>
      <c r="Z1553" s="2"/>
    </row>
    <row r="1554" spans="1:26" ht="13.8" x14ac:dyDescent="0.3">
      <c r="A1554" s="2"/>
      <c r="B1554" s="2"/>
      <c r="C1554" s="10"/>
      <c r="D1554" s="10"/>
      <c r="E1554" s="10"/>
      <c r="F1554" s="10"/>
      <c r="G1554" s="69"/>
      <c r="H1554" s="69"/>
      <c r="I1554" s="69"/>
      <c r="J1554" s="70"/>
      <c r="K1554" s="69"/>
      <c r="L1554" s="69"/>
      <c r="M1554" s="69"/>
      <c r="N1554" s="69"/>
      <c r="O1554" s="69"/>
      <c r="P1554" s="2"/>
      <c r="Q1554" s="2"/>
      <c r="R1554" s="32"/>
      <c r="S1554" s="32"/>
      <c r="T1554" s="32"/>
      <c r="U1554" s="32"/>
      <c r="V1554" s="2"/>
      <c r="W1554" s="2"/>
      <c r="X1554" s="2"/>
      <c r="Y1554" s="2"/>
      <c r="Z1554" s="2"/>
    </row>
    <row r="1555" spans="1:26" ht="13.8" x14ac:dyDescent="0.3">
      <c r="A1555" s="2"/>
      <c r="B1555" s="2"/>
      <c r="C1555" s="10"/>
      <c r="D1555" s="10"/>
      <c r="E1555" s="10"/>
      <c r="F1555" s="10"/>
      <c r="G1555" s="69"/>
      <c r="H1555" s="69"/>
      <c r="I1555" s="69"/>
      <c r="J1555" s="70"/>
      <c r="K1555" s="69"/>
      <c r="L1555" s="69"/>
      <c r="M1555" s="69"/>
      <c r="N1555" s="69"/>
      <c r="O1555" s="69"/>
      <c r="P1555" s="2"/>
      <c r="Q1555" s="2"/>
      <c r="R1555" s="32"/>
      <c r="S1555" s="32"/>
      <c r="T1555" s="32"/>
      <c r="U1555" s="32"/>
      <c r="V1555" s="2"/>
      <c r="W1555" s="2"/>
      <c r="X1555" s="2"/>
      <c r="Y1555" s="2"/>
      <c r="Z1555" s="2"/>
    </row>
    <row r="1556" spans="1:26" ht="13.8" x14ac:dyDescent="0.3">
      <c r="A1556" s="2"/>
      <c r="B1556" s="2"/>
      <c r="C1556" s="10"/>
      <c r="D1556" s="10"/>
      <c r="E1556" s="10"/>
      <c r="F1556" s="10"/>
      <c r="G1556" s="69"/>
      <c r="H1556" s="69"/>
      <c r="I1556" s="69"/>
      <c r="J1556" s="70"/>
      <c r="K1556" s="69"/>
      <c r="L1556" s="69"/>
      <c r="M1556" s="69"/>
      <c r="N1556" s="69"/>
      <c r="O1556" s="69"/>
      <c r="P1556" s="2"/>
      <c r="Q1556" s="2"/>
      <c r="R1556" s="32"/>
      <c r="S1556" s="32"/>
      <c r="T1556" s="32"/>
      <c r="U1556" s="32"/>
      <c r="V1556" s="2"/>
      <c r="W1556" s="2"/>
      <c r="X1556" s="2"/>
      <c r="Y1556" s="2"/>
      <c r="Z1556" s="2"/>
    </row>
    <row r="1557" spans="1:26" ht="13.8" x14ac:dyDescent="0.3">
      <c r="A1557" s="2"/>
      <c r="B1557" s="2"/>
      <c r="C1557" s="10"/>
      <c r="D1557" s="10"/>
      <c r="E1557" s="10"/>
      <c r="F1557" s="10"/>
      <c r="G1557" s="69"/>
      <c r="H1557" s="69"/>
      <c r="I1557" s="69"/>
      <c r="J1557" s="70"/>
      <c r="K1557" s="69"/>
      <c r="L1557" s="69"/>
      <c r="M1557" s="69"/>
      <c r="N1557" s="69"/>
      <c r="O1557" s="69"/>
      <c r="P1557" s="2"/>
      <c r="Q1557" s="2"/>
      <c r="R1557" s="32"/>
      <c r="S1557" s="32"/>
      <c r="T1557" s="32"/>
      <c r="U1557" s="32"/>
      <c r="V1557" s="2"/>
      <c r="W1557" s="2"/>
      <c r="X1557" s="2"/>
      <c r="Y1557" s="2"/>
      <c r="Z1557" s="2"/>
    </row>
    <row r="1558" spans="1:26" ht="13.8" x14ac:dyDescent="0.3">
      <c r="A1558" s="2"/>
      <c r="B1558" s="2"/>
      <c r="C1558" s="10"/>
      <c r="D1558" s="10"/>
      <c r="E1558" s="10"/>
      <c r="F1558" s="10"/>
      <c r="G1558" s="69"/>
      <c r="H1558" s="69"/>
      <c r="I1558" s="69"/>
      <c r="J1558" s="70"/>
      <c r="K1558" s="69"/>
      <c r="L1558" s="69"/>
      <c r="M1558" s="69"/>
      <c r="N1558" s="69"/>
      <c r="O1558" s="69"/>
      <c r="P1558" s="2"/>
      <c r="Q1558" s="2"/>
      <c r="R1558" s="32"/>
      <c r="S1558" s="32"/>
      <c r="T1558" s="32"/>
      <c r="U1558" s="32"/>
      <c r="V1558" s="2"/>
      <c r="W1558" s="2"/>
      <c r="X1558" s="2"/>
      <c r="Y1558" s="2"/>
      <c r="Z1558" s="2"/>
    </row>
    <row r="1559" spans="1:26" ht="13.8" x14ac:dyDescent="0.3">
      <c r="A1559" s="2"/>
      <c r="B1559" s="2"/>
      <c r="C1559" s="10"/>
      <c r="D1559" s="10"/>
      <c r="E1559" s="10"/>
      <c r="F1559" s="10"/>
      <c r="G1559" s="69"/>
      <c r="H1559" s="69"/>
      <c r="I1559" s="69"/>
      <c r="J1559" s="70"/>
      <c r="K1559" s="69"/>
      <c r="L1559" s="69"/>
      <c r="M1559" s="69"/>
      <c r="N1559" s="69"/>
      <c r="O1559" s="69"/>
      <c r="P1559" s="2"/>
      <c r="Q1559" s="2"/>
      <c r="R1559" s="32"/>
      <c r="S1559" s="32"/>
      <c r="T1559" s="32"/>
      <c r="U1559" s="32"/>
      <c r="V1559" s="2"/>
      <c r="W1559" s="2"/>
      <c r="X1559" s="2"/>
      <c r="Y1559" s="2"/>
      <c r="Z1559" s="2"/>
    </row>
    <row r="1560" spans="1:26" ht="13.8" x14ac:dyDescent="0.3">
      <c r="A1560" s="2"/>
      <c r="B1560" s="2"/>
      <c r="C1560" s="10"/>
      <c r="D1560" s="10"/>
      <c r="E1560" s="10"/>
      <c r="F1560" s="10"/>
      <c r="G1560" s="69"/>
      <c r="H1560" s="69"/>
      <c r="I1560" s="69"/>
      <c r="J1560" s="70"/>
      <c r="K1560" s="69"/>
      <c r="L1560" s="69"/>
      <c r="M1560" s="69"/>
      <c r="N1560" s="69"/>
      <c r="O1560" s="69"/>
      <c r="P1560" s="2"/>
      <c r="Q1560" s="2"/>
      <c r="R1560" s="32"/>
      <c r="S1560" s="32"/>
      <c r="T1560" s="32"/>
      <c r="U1560" s="32"/>
      <c r="V1560" s="2"/>
      <c r="W1560" s="2"/>
      <c r="X1560" s="2"/>
      <c r="Y1560" s="2"/>
      <c r="Z1560" s="2"/>
    </row>
    <row r="1561" spans="1:26" ht="13.8" x14ac:dyDescent="0.3">
      <c r="A1561" s="2"/>
      <c r="B1561" s="2"/>
      <c r="C1561" s="10"/>
      <c r="D1561" s="10"/>
      <c r="E1561" s="10"/>
      <c r="F1561" s="10"/>
      <c r="G1561" s="69"/>
      <c r="H1561" s="69"/>
      <c r="I1561" s="69"/>
      <c r="J1561" s="70"/>
      <c r="K1561" s="69"/>
      <c r="L1561" s="69"/>
      <c r="M1561" s="69"/>
      <c r="N1561" s="69"/>
      <c r="O1561" s="69"/>
      <c r="P1561" s="2"/>
      <c r="Q1561" s="2"/>
      <c r="R1561" s="32"/>
      <c r="S1561" s="32"/>
      <c r="T1561" s="32"/>
      <c r="U1561" s="32"/>
      <c r="V1561" s="2"/>
      <c r="W1561" s="2"/>
      <c r="X1561" s="2"/>
      <c r="Y1561" s="2"/>
      <c r="Z1561" s="2"/>
    </row>
    <row r="1562" spans="1:26" ht="13.8" x14ac:dyDescent="0.3">
      <c r="A1562" s="2"/>
      <c r="B1562" s="2"/>
      <c r="C1562" s="10"/>
      <c r="D1562" s="10"/>
      <c r="E1562" s="10"/>
      <c r="F1562" s="10"/>
      <c r="G1562" s="69"/>
      <c r="H1562" s="69"/>
      <c r="I1562" s="69"/>
      <c r="J1562" s="70"/>
      <c r="K1562" s="69"/>
      <c r="L1562" s="69"/>
      <c r="M1562" s="69"/>
      <c r="N1562" s="69"/>
      <c r="O1562" s="69"/>
      <c r="P1562" s="2"/>
      <c r="Q1562" s="2"/>
      <c r="R1562" s="32"/>
      <c r="S1562" s="32"/>
      <c r="T1562" s="32"/>
      <c r="U1562" s="32"/>
      <c r="V1562" s="2"/>
      <c r="W1562" s="2"/>
      <c r="X1562" s="2"/>
      <c r="Y1562" s="2"/>
      <c r="Z1562" s="2"/>
    </row>
    <row r="1563" spans="1:26" ht="13.8" x14ac:dyDescent="0.3">
      <c r="A1563" s="2"/>
      <c r="B1563" s="2"/>
      <c r="C1563" s="10"/>
      <c r="D1563" s="10"/>
      <c r="E1563" s="10"/>
      <c r="F1563" s="10"/>
      <c r="G1563" s="69"/>
      <c r="H1563" s="69"/>
      <c r="I1563" s="69"/>
      <c r="J1563" s="70"/>
      <c r="K1563" s="69"/>
      <c r="L1563" s="69"/>
      <c r="M1563" s="69"/>
      <c r="N1563" s="69"/>
      <c r="O1563" s="69"/>
      <c r="P1563" s="2"/>
      <c r="Q1563" s="2"/>
      <c r="R1563" s="32"/>
      <c r="S1563" s="32"/>
      <c r="T1563" s="32"/>
      <c r="U1563" s="32"/>
      <c r="V1563" s="2"/>
      <c r="W1563" s="2"/>
      <c r="X1563" s="2"/>
      <c r="Y1563" s="2"/>
      <c r="Z1563" s="2"/>
    </row>
    <row r="1564" spans="1:26" ht="13.8" x14ac:dyDescent="0.3">
      <c r="A1564" s="2"/>
      <c r="B1564" s="2"/>
      <c r="C1564" s="10"/>
      <c r="D1564" s="10"/>
      <c r="E1564" s="10"/>
      <c r="F1564" s="10"/>
      <c r="G1564" s="69"/>
      <c r="H1564" s="69"/>
      <c r="I1564" s="69"/>
      <c r="J1564" s="70"/>
      <c r="K1564" s="69"/>
      <c r="L1564" s="69"/>
      <c r="M1564" s="69"/>
      <c r="N1564" s="69"/>
      <c r="O1564" s="69"/>
      <c r="P1564" s="2"/>
      <c r="Q1564" s="2"/>
      <c r="R1564" s="32"/>
      <c r="S1564" s="32"/>
      <c r="T1564" s="32"/>
      <c r="U1564" s="32"/>
      <c r="V1564" s="2"/>
      <c r="W1564" s="2"/>
      <c r="X1564" s="2"/>
      <c r="Y1564" s="2"/>
      <c r="Z1564" s="2"/>
    </row>
    <row r="1565" spans="1:26" ht="13.8" x14ac:dyDescent="0.3">
      <c r="A1565" s="2"/>
      <c r="B1565" s="2"/>
      <c r="C1565" s="10"/>
      <c r="D1565" s="10"/>
      <c r="E1565" s="10"/>
      <c r="F1565" s="10"/>
      <c r="G1565" s="69"/>
      <c r="H1565" s="69"/>
      <c r="I1565" s="69"/>
      <c r="J1565" s="70"/>
      <c r="K1565" s="69"/>
      <c r="L1565" s="69"/>
      <c r="M1565" s="69"/>
      <c r="N1565" s="69"/>
      <c r="O1565" s="69"/>
      <c r="P1565" s="2"/>
      <c r="Q1565" s="2"/>
      <c r="R1565" s="32"/>
      <c r="S1565" s="32"/>
      <c r="T1565" s="32"/>
      <c r="U1565" s="32"/>
      <c r="V1565" s="2"/>
      <c r="W1565" s="2"/>
      <c r="X1565" s="2"/>
      <c r="Y1565" s="2"/>
      <c r="Z1565" s="2"/>
    </row>
    <row r="1566" spans="1:26" ht="13.8" x14ac:dyDescent="0.3">
      <c r="A1566" s="2"/>
      <c r="B1566" s="2"/>
      <c r="C1566" s="10"/>
      <c r="D1566" s="10"/>
      <c r="E1566" s="10"/>
      <c r="F1566" s="10"/>
      <c r="G1566" s="69"/>
      <c r="H1566" s="69"/>
      <c r="I1566" s="69"/>
      <c r="J1566" s="70"/>
      <c r="K1566" s="69"/>
      <c r="L1566" s="69"/>
      <c r="M1566" s="69"/>
      <c r="N1566" s="69"/>
      <c r="O1566" s="69"/>
      <c r="P1566" s="2"/>
      <c r="Q1566" s="2"/>
      <c r="R1566" s="32"/>
      <c r="S1566" s="32"/>
      <c r="T1566" s="32"/>
      <c r="U1566" s="32"/>
      <c r="V1566" s="2"/>
      <c r="W1566" s="2"/>
      <c r="X1566" s="2"/>
      <c r="Y1566" s="2"/>
      <c r="Z1566" s="2"/>
    </row>
    <row r="1567" spans="1:26" ht="13.8" x14ac:dyDescent="0.3">
      <c r="A1567" s="2"/>
      <c r="B1567" s="2"/>
      <c r="C1567" s="10"/>
      <c r="D1567" s="10"/>
      <c r="E1567" s="10"/>
      <c r="F1567" s="10"/>
      <c r="G1567" s="69"/>
      <c r="H1567" s="69"/>
      <c r="I1567" s="69"/>
      <c r="J1567" s="70"/>
      <c r="K1567" s="69"/>
      <c r="L1567" s="69"/>
      <c r="M1567" s="69"/>
      <c r="N1567" s="69"/>
      <c r="O1567" s="69"/>
      <c r="P1567" s="2"/>
      <c r="Q1567" s="2"/>
      <c r="R1567" s="32"/>
      <c r="S1567" s="32"/>
      <c r="T1567" s="32"/>
      <c r="U1567" s="32"/>
      <c r="V1567" s="2"/>
      <c r="W1567" s="2"/>
      <c r="X1567" s="2"/>
      <c r="Y1567" s="2"/>
      <c r="Z1567" s="2"/>
    </row>
    <row r="1568" spans="1:26" ht="13.8" x14ac:dyDescent="0.3">
      <c r="A1568" s="2"/>
      <c r="B1568" s="2"/>
      <c r="C1568" s="10"/>
      <c r="D1568" s="10"/>
      <c r="E1568" s="10"/>
      <c r="F1568" s="10"/>
      <c r="G1568" s="69"/>
      <c r="H1568" s="69"/>
      <c r="I1568" s="69"/>
      <c r="J1568" s="70"/>
      <c r="K1568" s="69"/>
      <c r="L1568" s="69"/>
      <c r="M1568" s="69"/>
      <c r="N1568" s="69"/>
      <c r="O1568" s="69"/>
      <c r="P1568" s="2"/>
      <c r="Q1568" s="2"/>
      <c r="R1568" s="32"/>
      <c r="S1568" s="32"/>
      <c r="T1568" s="32"/>
      <c r="U1568" s="32"/>
      <c r="V1568" s="2"/>
      <c r="W1568" s="2"/>
      <c r="X1568" s="2"/>
      <c r="Y1568" s="2"/>
      <c r="Z1568" s="2"/>
    </row>
    <row r="1569" spans="1:26" ht="13.8" x14ac:dyDescent="0.3">
      <c r="A1569" s="2"/>
      <c r="B1569" s="2"/>
      <c r="C1569" s="10"/>
      <c r="D1569" s="10"/>
      <c r="E1569" s="10"/>
      <c r="F1569" s="10"/>
      <c r="G1569" s="69"/>
      <c r="H1569" s="69"/>
      <c r="I1569" s="69"/>
      <c r="J1569" s="70"/>
      <c r="K1569" s="69"/>
      <c r="L1569" s="69"/>
      <c r="M1569" s="69"/>
      <c r="N1569" s="69"/>
      <c r="O1569" s="69"/>
      <c r="P1569" s="2"/>
      <c r="Q1569" s="2"/>
      <c r="R1569" s="32"/>
      <c r="S1569" s="32"/>
      <c r="T1569" s="32"/>
      <c r="U1569" s="32"/>
      <c r="V1569" s="2"/>
      <c r="W1569" s="2"/>
      <c r="X1569" s="2"/>
      <c r="Y1569" s="2"/>
      <c r="Z1569" s="2"/>
    </row>
    <row r="1570" spans="1:26" ht="13.8" x14ac:dyDescent="0.3">
      <c r="A1570" s="2"/>
      <c r="B1570" s="2"/>
      <c r="C1570" s="10"/>
      <c r="D1570" s="10"/>
      <c r="E1570" s="10"/>
      <c r="F1570" s="10"/>
      <c r="G1570" s="69"/>
      <c r="H1570" s="69"/>
      <c r="I1570" s="69"/>
      <c r="J1570" s="70"/>
      <c r="K1570" s="69"/>
      <c r="L1570" s="69"/>
      <c r="M1570" s="69"/>
      <c r="N1570" s="69"/>
      <c r="O1570" s="69"/>
      <c r="P1570" s="2"/>
      <c r="Q1570" s="2"/>
      <c r="R1570" s="32"/>
      <c r="S1570" s="32"/>
      <c r="T1570" s="32"/>
      <c r="U1570" s="32"/>
      <c r="V1570" s="2"/>
      <c r="W1570" s="2"/>
      <c r="X1570" s="2"/>
      <c r="Y1570" s="2"/>
      <c r="Z1570" s="2"/>
    </row>
    <row r="1571" spans="1:26" ht="13.8" x14ac:dyDescent="0.3">
      <c r="A1571" s="2"/>
      <c r="B1571" s="2"/>
      <c r="C1571" s="10"/>
      <c r="D1571" s="10"/>
      <c r="E1571" s="10"/>
      <c r="F1571" s="10"/>
      <c r="G1571" s="69"/>
      <c r="H1571" s="69"/>
      <c r="I1571" s="69"/>
      <c r="J1571" s="70"/>
      <c r="K1571" s="69"/>
      <c r="L1571" s="69"/>
      <c r="M1571" s="69"/>
      <c r="N1571" s="69"/>
      <c r="O1571" s="69"/>
      <c r="P1571" s="2"/>
      <c r="Q1571" s="2"/>
      <c r="R1571" s="32"/>
      <c r="S1571" s="32"/>
      <c r="T1571" s="32"/>
      <c r="U1571" s="32"/>
      <c r="V1571" s="2"/>
      <c r="W1571" s="2"/>
      <c r="X1571" s="2"/>
      <c r="Y1571" s="2"/>
      <c r="Z1571" s="2"/>
    </row>
    <row r="1572" spans="1:26" ht="13.8" x14ac:dyDescent="0.3">
      <c r="A1572" s="2"/>
      <c r="B1572" s="2"/>
      <c r="C1572" s="10"/>
      <c r="D1572" s="10"/>
      <c r="E1572" s="10"/>
      <c r="F1572" s="10"/>
      <c r="G1572" s="69"/>
      <c r="H1572" s="69"/>
      <c r="I1572" s="69"/>
      <c r="J1572" s="70"/>
      <c r="K1572" s="69"/>
      <c r="L1572" s="69"/>
      <c r="M1572" s="69"/>
      <c r="N1572" s="69"/>
      <c r="O1572" s="69"/>
      <c r="P1572" s="2"/>
      <c r="Q1572" s="2"/>
      <c r="R1572" s="32"/>
      <c r="S1572" s="32"/>
      <c r="T1572" s="32"/>
      <c r="U1572" s="32"/>
      <c r="V1572" s="2"/>
      <c r="W1572" s="2"/>
      <c r="X1572" s="2"/>
      <c r="Y1572" s="2"/>
      <c r="Z1572" s="2"/>
    </row>
    <row r="1573" spans="1:26" ht="13.8" x14ac:dyDescent="0.3">
      <c r="A1573" s="2"/>
      <c r="B1573" s="2"/>
      <c r="C1573" s="10"/>
      <c r="D1573" s="10"/>
      <c r="E1573" s="10"/>
      <c r="F1573" s="10"/>
      <c r="G1573" s="69"/>
      <c r="H1573" s="69"/>
      <c r="I1573" s="69"/>
      <c r="J1573" s="70"/>
      <c r="K1573" s="69"/>
      <c r="L1573" s="69"/>
      <c r="M1573" s="69"/>
      <c r="N1573" s="69"/>
      <c r="O1573" s="69"/>
      <c r="P1573" s="2"/>
      <c r="Q1573" s="2"/>
      <c r="R1573" s="32"/>
      <c r="S1573" s="32"/>
      <c r="T1573" s="32"/>
      <c r="U1573" s="32"/>
      <c r="V1573" s="2"/>
      <c r="W1573" s="2"/>
      <c r="X1573" s="2"/>
      <c r="Y1573" s="2"/>
      <c r="Z1573" s="2"/>
    </row>
    <row r="1574" spans="1:26" ht="13.8" x14ac:dyDescent="0.3">
      <c r="A1574" s="2"/>
      <c r="B1574" s="2"/>
      <c r="C1574" s="10"/>
      <c r="D1574" s="10"/>
      <c r="E1574" s="10"/>
      <c r="F1574" s="10"/>
      <c r="G1574" s="69"/>
      <c r="H1574" s="69"/>
      <c r="I1574" s="69"/>
      <c r="J1574" s="70"/>
      <c r="K1574" s="69"/>
      <c r="L1574" s="69"/>
      <c r="M1574" s="69"/>
      <c r="N1574" s="69"/>
      <c r="O1574" s="69"/>
      <c r="P1574" s="2"/>
      <c r="Q1574" s="2"/>
      <c r="R1574" s="32"/>
      <c r="S1574" s="32"/>
      <c r="T1574" s="32"/>
      <c r="U1574" s="32"/>
      <c r="V1574" s="2"/>
      <c r="W1574" s="2"/>
      <c r="X1574" s="2"/>
      <c r="Y1574" s="2"/>
      <c r="Z1574" s="2"/>
    </row>
    <row r="1575" spans="1:26" ht="13.8" x14ac:dyDescent="0.3">
      <c r="A1575" s="2"/>
      <c r="B1575" s="2"/>
      <c r="C1575" s="10"/>
      <c r="D1575" s="10"/>
      <c r="E1575" s="10"/>
      <c r="F1575" s="10"/>
      <c r="G1575" s="69"/>
      <c r="H1575" s="69"/>
      <c r="I1575" s="69"/>
      <c r="J1575" s="70"/>
      <c r="K1575" s="69"/>
      <c r="L1575" s="69"/>
      <c r="M1575" s="69"/>
      <c r="N1575" s="69"/>
      <c r="O1575" s="69"/>
      <c r="P1575" s="2"/>
      <c r="Q1575" s="2"/>
      <c r="R1575" s="32"/>
      <c r="S1575" s="32"/>
      <c r="T1575" s="32"/>
      <c r="U1575" s="32"/>
      <c r="V1575" s="2"/>
      <c r="W1575" s="2"/>
      <c r="X1575" s="2"/>
      <c r="Y1575" s="2"/>
      <c r="Z1575" s="2"/>
    </row>
    <row r="1576" spans="1:26" ht="13.8" x14ac:dyDescent="0.3">
      <c r="A1576" s="2"/>
      <c r="B1576" s="2"/>
      <c r="C1576" s="10"/>
      <c r="D1576" s="10"/>
      <c r="E1576" s="10"/>
      <c r="F1576" s="10"/>
      <c r="G1576" s="69"/>
      <c r="H1576" s="69"/>
      <c r="I1576" s="69"/>
      <c r="J1576" s="70"/>
      <c r="K1576" s="69"/>
      <c r="L1576" s="69"/>
      <c r="M1576" s="69"/>
      <c r="N1576" s="69"/>
      <c r="O1576" s="69"/>
      <c r="P1576" s="2"/>
      <c r="Q1576" s="2"/>
      <c r="R1576" s="32"/>
      <c r="S1576" s="32"/>
      <c r="T1576" s="32"/>
      <c r="U1576" s="32"/>
      <c r="V1576" s="2"/>
      <c r="W1576" s="2"/>
      <c r="X1576" s="2"/>
      <c r="Y1576" s="2"/>
      <c r="Z1576" s="2"/>
    </row>
    <row r="1577" spans="1:26" ht="13.8" x14ac:dyDescent="0.3">
      <c r="A1577" s="2"/>
      <c r="B1577" s="2"/>
      <c r="C1577" s="10"/>
      <c r="D1577" s="10"/>
      <c r="E1577" s="10"/>
      <c r="F1577" s="10"/>
      <c r="G1577" s="69"/>
      <c r="H1577" s="69"/>
      <c r="I1577" s="69"/>
      <c r="J1577" s="70"/>
      <c r="K1577" s="69"/>
      <c r="L1577" s="69"/>
      <c r="M1577" s="69"/>
      <c r="N1577" s="69"/>
      <c r="O1577" s="69"/>
      <c r="P1577" s="2"/>
      <c r="Q1577" s="2"/>
      <c r="R1577" s="32"/>
      <c r="S1577" s="32"/>
      <c r="T1577" s="32"/>
      <c r="U1577" s="32"/>
      <c r="V1577" s="2"/>
      <c r="W1577" s="2"/>
      <c r="X1577" s="2"/>
      <c r="Y1577" s="2"/>
      <c r="Z1577" s="2"/>
    </row>
    <row r="1578" spans="1:26" ht="13.8" x14ac:dyDescent="0.3">
      <c r="A1578" s="2"/>
      <c r="B1578" s="2"/>
      <c r="C1578" s="10"/>
      <c r="D1578" s="10"/>
      <c r="E1578" s="10"/>
      <c r="F1578" s="10"/>
      <c r="G1578" s="69"/>
      <c r="H1578" s="69"/>
      <c r="I1578" s="69"/>
      <c r="J1578" s="70"/>
      <c r="K1578" s="69"/>
      <c r="L1578" s="69"/>
      <c r="M1578" s="69"/>
      <c r="N1578" s="69"/>
      <c r="O1578" s="69"/>
      <c r="P1578" s="2"/>
      <c r="Q1578" s="2"/>
      <c r="R1578" s="32"/>
      <c r="S1578" s="32"/>
      <c r="T1578" s="32"/>
      <c r="U1578" s="32"/>
      <c r="V1578" s="2"/>
      <c r="W1578" s="2"/>
      <c r="X1578" s="2"/>
      <c r="Y1578" s="2"/>
      <c r="Z1578" s="2"/>
    </row>
    <row r="1579" spans="1:26" ht="13.8" x14ac:dyDescent="0.3">
      <c r="A1579" s="2"/>
      <c r="B1579" s="2"/>
      <c r="C1579" s="10"/>
      <c r="D1579" s="10"/>
      <c r="E1579" s="10"/>
      <c r="F1579" s="10"/>
      <c r="G1579" s="69"/>
      <c r="H1579" s="69"/>
      <c r="I1579" s="69"/>
      <c r="J1579" s="70"/>
      <c r="K1579" s="69"/>
      <c r="L1579" s="69"/>
      <c r="M1579" s="69"/>
      <c r="N1579" s="69"/>
      <c r="O1579" s="69"/>
      <c r="P1579" s="2"/>
      <c r="Q1579" s="2"/>
      <c r="R1579" s="32"/>
      <c r="S1579" s="32"/>
      <c r="T1579" s="32"/>
      <c r="U1579" s="32"/>
      <c r="V1579" s="2"/>
      <c r="W1579" s="2"/>
      <c r="X1579" s="2"/>
      <c r="Y1579" s="2"/>
      <c r="Z1579" s="2"/>
    </row>
    <row r="1580" spans="1:26" ht="13.8" x14ac:dyDescent="0.3">
      <c r="A1580" s="2"/>
      <c r="B1580" s="2"/>
      <c r="C1580" s="10"/>
      <c r="D1580" s="10"/>
      <c r="E1580" s="10"/>
      <c r="F1580" s="10"/>
      <c r="G1580" s="69"/>
      <c r="H1580" s="69"/>
      <c r="I1580" s="69"/>
      <c r="J1580" s="70"/>
      <c r="K1580" s="69"/>
      <c r="L1580" s="69"/>
      <c r="M1580" s="69"/>
      <c r="N1580" s="69"/>
      <c r="O1580" s="69"/>
      <c r="P1580" s="2"/>
      <c r="Q1580" s="2"/>
      <c r="R1580" s="32"/>
      <c r="S1580" s="32"/>
      <c r="T1580" s="32"/>
      <c r="U1580" s="32"/>
      <c r="V1580" s="2"/>
      <c r="W1580" s="2"/>
      <c r="X1580" s="2"/>
      <c r="Y1580" s="2"/>
      <c r="Z1580" s="2"/>
    </row>
    <row r="1581" spans="1:26" ht="13.8" x14ac:dyDescent="0.3">
      <c r="A1581" s="2"/>
      <c r="B1581" s="2"/>
      <c r="C1581" s="10"/>
      <c r="D1581" s="10"/>
      <c r="E1581" s="10"/>
      <c r="F1581" s="10"/>
      <c r="G1581" s="69"/>
      <c r="H1581" s="69"/>
      <c r="I1581" s="69"/>
      <c r="J1581" s="70"/>
      <c r="K1581" s="69"/>
      <c r="L1581" s="69"/>
      <c r="M1581" s="69"/>
      <c r="N1581" s="69"/>
      <c r="O1581" s="69"/>
      <c r="P1581" s="2"/>
      <c r="Q1581" s="2"/>
      <c r="R1581" s="32"/>
      <c r="S1581" s="32"/>
      <c r="T1581" s="32"/>
      <c r="U1581" s="32"/>
      <c r="V1581" s="2"/>
      <c r="W1581" s="2"/>
      <c r="X1581" s="2"/>
      <c r="Y1581" s="2"/>
      <c r="Z1581" s="2"/>
    </row>
    <row r="1582" spans="1:26" ht="13.8" x14ac:dyDescent="0.3">
      <c r="A1582" s="2"/>
      <c r="B1582" s="2"/>
      <c r="C1582" s="10"/>
      <c r="D1582" s="10"/>
      <c r="E1582" s="10"/>
      <c r="F1582" s="10"/>
      <c r="G1582" s="69"/>
      <c r="H1582" s="69"/>
      <c r="I1582" s="69"/>
      <c r="J1582" s="70"/>
      <c r="K1582" s="69"/>
      <c r="L1582" s="69"/>
      <c r="M1582" s="69"/>
      <c r="N1582" s="69"/>
      <c r="O1582" s="69"/>
      <c r="P1582" s="2"/>
      <c r="Q1582" s="2"/>
      <c r="R1582" s="32"/>
      <c r="S1582" s="32"/>
      <c r="T1582" s="32"/>
      <c r="U1582" s="32"/>
      <c r="V1582" s="2"/>
      <c r="W1582" s="2"/>
      <c r="X1582" s="2"/>
      <c r="Y1582" s="2"/>
      <c r="Z1582" s="2"/>
    </row>
    <row r="1583" spans="1:26" ht="13.8" x14ac:dyDescent="0.3">
      <c r="A1583" s="2"/>
      <c r="B1583" s="2"/>
      <c r="C1583" s="10"/>
      <c r="D1583" s="10"/>
      <c r="E1583" s="10"/>
      <c r="F1583" s="10"/>
      <c r="G1583" s="69"/>
      <c r="H1583" s="69"/>
      <c r="I1583" s="69"/>
      <c r="J1583" s="70"/>
      <c r="K1583" s="69"/>
      <c r="L1583" s="69"/>
      <c r="M1583" s="69"/>
      <c r="N1583" s="69"/>
      <c r="O1583" s="69"/>
      <c r="P1583" s="2"/>
      <c r="Q1583" s="2"/>
      <c r="R1583" s="32"/>
      <c r="S1583" s="32"/>
      <c r="T1583" s="32"/>
      <c r="U1583" s="32"/>
      <c r="V1583" s="2"/>
      <c r="W1583" s="2"/>
      <c r="X1583" s="2"/>
      <c r="Y1583" s="2"/>
      <c r="Z1583" s="2"/>
    </row>
    <row r="1584" spans="1:26" ht="13.8" x14ac:dyDescent="0.3">
      <c r="A1584" s="2"/>
      <c r="B1584" s="2"/>
      <c r="C1584" s="10"/>
      <c r="D1584" s="10"/>
      <c r="E1584" s="10"/>
      <c r="F1584" s="10"/>
      <c r="G1584" s="69"/>
      <c r="H1584" s="69"/>
      <c r="I1584" s="69"/>
      <c r="J1584" s="70"/>
      <c r="K1584" s="69"/>
      <c r="L1584" s="69"/>
      <c r="M1584" s="69"/>
      <c r="N1584" s="69"/>
      <c r="O1584" s="69"/>
      <c r="P1584" s="2"/>
      <c r="Q1584" s="2"/>
      <c r="R1584" s="32"/>
      <c r="S1584" s="32"/>
      <c r="T1584" s="32"/>
      <c r="U1584" s="32"/>
      <c r="V1584" s="2"/>
      <c r="W1584" s="2"/>
      <c r="X1584" s="2"/>
      <c r="Y1584" s="2"/>
      <c r="Z1584" s="2"/>
    </row>
    <row r="1585" spans="1:26" ht="13.8" x14ac:dyDescent="0.3">
      <c r="A1585" s="2"/>
      <c r="B1585" s="2"/>
      <c r="C1585" s="10"/>
      <c r="D1585" s="10"/>
      <c r="E1585" s="10"/>
      <c r="F1585" s="10"/>
      <c r="G1585" s="69"/>
      <c r="H1585" s="69"/>
      <c r="I1585" s="69"/>
      <c r="J1585" s="70"/>
      <c r="K1585" s="69"/>
      <c r="L1585" s="69"/>
      <c r="M1585" s="69"/>
      <c r="N1585" s="69"/>
      <c r="O1585" s="69"/>
      <c r="P1585" s="2"/>
      <c r="Q1585" s="2"/>
      <c r="R1585" s="32"/>
      <c r="S1585" s="32"/>
      <c r="T1585" s="32"/>
      <c r="U1585" s="32"/>
      <c r="V1585" s="2"/>
      <c r="W1585" s="2"/>
      <c r="X1585" s="2"/>
      <c r="Y1585" s="2"/>
      <c r="Z1585" s="2"/>
    </row>
    <row r="1586" spans="1:26" ht="13.8" x14ac:dyDescent="0.3">
      <c r="A1586" s="2"/>
      <c r="B1586" s="2"/>
      <c r="C1586" s="10"/>
      <c r="D1586" s="10"/>
      <c r="E1586" s="10"/>
      <c r="F1586" s="10"/>
      <c r="G1586" s="69"/>
      <c r="H1586" s="69"/>
      <c r="I1586" s="69"/>
      <c r="J1586" s="70"/>
      <c r="K1586" s="69"/>
      <c r="L1586" s="69"/>
      <c r="M1586" s="69"/>
      <c r="N1586" s="69"/>
      <c r="O1586" s="69"/>
      <c r="P1586" s="2"/>
      <c r="Q1586" s="2"/>
      <c r="R1586" s="32"/>
      <c r="S1586" s="32"/>
      <c r="T1586" s="32"/>
      <c r="U1586" s="32"/>
      <c r="V1586" s="2"/>
      <c r="W1586" s="2"/>
      <c r="X1586" s="2"/>
      <c r="Y1586" s="2"/>
      <c r="Z1586" s="2"/>
    </row>
    <row r="1587" spans="1:26" ht="13.8" x14ac:dyDescent="0.3">
      <c r="A1587" s="2"/>
      <c r="B1587" s="2"/>
      <c r="C1587" s="10"/>
      <c r="D1587" s="10"/>
      <c r="E1587" s="10"/>
      <c r="F1587" s="10"/>
      <c r="G1587" s="69"/>
      <c r="H1587" s="69"/>
      <c r="I1587" s="69"/>
      <c r="J1587" s="70"/>
      <c r="K1587" s="69"/>
      <c r="L1587" s="69"/>
      <c r="M1587" s="69"/>
      <c r="N1587" s="69"/>
      <c r="O1587" s="69"/>
      <c r="P1587" s="2"/>
      <c r="Q1587" s="2"/>
      <c r="R1587" s="32"/>
      <c r="S1587" s="32"/>
      <c r="T1587" s="32"/>
      <c r="U1587" s="32"/>
      <c r="V1587" s="2"/>
      <c r="W1587" s="2"/>
      <c r="X1587" s="2"/>
      <c r="Y1587" s="2"/>
      <c r="Z1587" s="2"/>
    </row>
    <row r="1588" spans="1:26" ht="13.8" x14ac:dyDescent="0.3">
      <c r="A1588" s="2"/>
      <c r="B1588" s="2"/>
      <c r="C1588" s="10"/>
      <c r="D1588" s="10"/>
      <c r="E1588" s="10"/>
      <c r="F1588" s="10"/>
      <c r="G1588" s="69"/>
      <c r="H1588" s="69"/>
      <c r="I1588" s="69"/>
      <c r="J1588" s="70"/>
      <c r="K1588" s="69"/>
      <c r="L1588" s="69"/>
      <c r="M1588" s="69"/>
      <c r="N1588" s="69"/>
      <c r="O1588" s="69"/>
      <c r="P1588" s="2"/>
      <c r="Q1588" s="2"/>
      <c r="R1588" s="32"/>
      <c r="S1588" s="32"/>
      <c r="T1588" s="32"/>
      <c r="U1588" s="32"/>
      <c r="V1588" s="2"/>
      <c r="W1588" s="2"/>
      <c r="X1588" s="2"/>
      <c r="Y1588" s="2"/>
      <c r="Z1588" s="2"/>
    </row>
    <row r="1589" spans="1:26" ht="13.8" x14ac:dyDescent="0.3">
      <c r="A1589" s="2"/>
      <c r="B1589" s="2"/>
      <c r="C1589" s="10"/>
      <c r="D1589" s="10"/>
      <c r="E1589" s="10"/>
      <c r="F1589" s="10"/>
      <c r="G1589" s="69"/>
      <c r="H1589" s="69"/>
      <c r="I1589" s="69"/>
      <c r="J1589" s="70"/>
      <c r="K1589" s="69"/>
      <c r="L1589" s="69"/>
      <c r="M1589" s="69"/>
      <c r="N1589" s="69"/>
      <c r="O1589" s="69"/>
      <c r="P1589" s="2"/>
      <c r="Q1589" s="2"/>
      <c r="R1589" s="32"/>
      <c r="S1589" s="32"/>
      <c r="T1589" s="32"/>
      <c r="U1589" s="32"/>
      <c r="V1589" s="2"/>
      <c r="W1589" s="2"/>
      <c r="X1589" s="2"/>
      <c r="Y1589" s="2"/>
      <c r="Z1589" s="2"/>
    </row>
    <row r="1590" spans="1:26" ht="13.8" x14ac:dyDescent="0.3">
      <c r="A1590" s="2"/>
      <c r="B1590" s="2"/>
      <c r="C1590" s="10"/>
      <c r="D1590" s="10"/>
      <c r="E1590" s="10"/>
      <c r="F1590" s="10"/>
      <c r="G1590" s="69"/>
      <c r="H1590" s="69"/>
      <c r="I1590" s="69"/>
      <c r="J1590" s="70"/>
      <c r="K1590" s="69"/>
      <c r="L1590" s="69"/>
      <c r="M1590" s="69"/>
      <c r="N1590" s="69"/>
      <c r="O1590" s="69"/>
      <c r="P1590" s="2"/>
      <c r="Q1590" s="2"/>
      <c r="R1590" s="32"/>
      <c r="S1590" s="32"/>
      <c r="T1590" s="32"/>
      <c r="U1590" s="32"/>
      <c r="V1590" s="2"/>
      <c r="W1590" s="2"/>
      <c r="X1590" s="2"/>
      <c r="Y1590" s="2"/>
      <c r="Z1590" s="2"/>
    </row>
    <row r="1591" spans="1:26" ht="13.8" x14ac:dyDescent="0.3">
      <c r="A1591" s="2"/>
      <c r="B1591" s="2"/>
      <c r="C1591" s="10"/>
      <c r="D1591" s="10"/>
      <c r="E1591" s="10"/>
      <c r="F1591" s="10"/>
      <c r="G1591" s="69"/>
      <c r="H1591" s="69"/>
      <c r="I1591" s="69"/>
      <c r="J1591" s="70"/>
      <c r="K1591" s="69"/>
      <c r="L1591" s="69"/>
      <c r="M1591" s="69"/>
      <c r="N1591" s="69"/>
      <c r="O1591" s="69"/>
      <c r="P1591" s="2"/>
      <c r="Q1591" s="2"/>
      <c r="R1591" s="32"/>
      <c r="S1591" s="32"/>
      <c r="T1591" s="32"/>
      <c r="U1591" s="32"/>
      <c r="V1591" s="2"/>
      <c r="W1591" s="2"/>
      <c r="X1591" s="2"/>
      <c r="Y1591" s="2"/>
      <c r="Z1591" s="2"/>
    </row>
    <row r="1592" spans="1:26" ht="13.8" x14ac:dyDescent="0.3">
      <c r="A1592" s="2"/>
      <c r="B1592" s="2"/>
      <c r="C1592" s="10"/>
      <c r="D1592" s="10"/>
      <c r="E1592" s="10"/>
      <c r="F1592" s="10"/>
      <c r="G1592" s="69"/>
      <c r="H1592" s="69"/>
      <c r="I1592" s="69"/>
      <c r="J1592" s="70"/>
      <c r="K1592" s="69"/>
      <c r="L1592" s="69"/>
      <c r="M1592" s="69"/>
      <c r="N1592" s="69"/>
      <c r="O1592" s="69"/>
      <c r="P1592" s="2"/>
      <c r="Q1592" s="2"/>
      <c r="R1592" s="32"/>
      <c r="S1592" s="32"/>
      <c r="T1592" s="32"/>
      <c r="U1592" s="32"/>
      <c r="V1592" s="2"/>
      <c r="W1592" s="2"/>
      <c r="X1592" s="2"/>
      <c r="Y1592" s="2"/>
      <c r="Z1592" s="2"/>
    </row>
    <row r="1593" spans="1:26" ht="13.8" x14ac:dyDescent="0.3">
      <c r="A1593" s="2"/>
      <c r="B1593" s="2"/>
      <c r="C1593" s="10"/>
      <c r="D1593" s="10"/>
      <c r="E1593" s="10"/>
      <c r="F1593" s="10"/>
      <c r="G1593" s="69"/>
      <c r="H1593" s="69"/>
      <c r="I1593" s="69"/>
      <c r="J1593" s="70"/>
      <c r="K1593" s="69"/>
      <c r="L1593" s="69"/>
      <c r="M1593" s="69"/>
      <c r="N1593" s="69"/>
      <c r="O1593" s="69"/>
      <c r="P1593" s="2"/>
      <c r="Q1593" s="2"/>
      <c r="R1593" s="32"/>
      <c r="S1593" s="32"/>
      <c r="T1593" s="32"/>
      <c r="U1593" s="32"/>
      <c r="V1593" s="2"/>
      <c r="W1593" s="2"/>
      <c r="X1593" s="2"/>
      <c r="Y1593" s="2"/>
      <c r="Z1593" s="2"/>
    </row>
    <row r="1594" spans="1:26" ht="13.8" x14ac:dyDescent="0.3">
      <c r="A1594" s="2"/>
      <c r="B1594" s="2"/>
      <c r="C1594" s="10"/>
      <c r="D1594" s="10"/>
      <c r="E1594" s="10"/>
      <c r="F1594" s="10"/>
      <c r="G1594" s="69"/>
      <c r="H1594" s="69"/>
      <c r="I1594" s="69"/>
      <c r="J1594" s="70"/>
      <c r="K1594" s="69"/>
      <c r="L1594" s="69"/>
      <c r="M1594" s="69"/>
      <c r="N1594" s="69"/>
      <c r="O1594" s="69"/>
      <c r="P1594" s="2"/>
      <c r="Q1594" s="2"/>
      <c r="R1594" s="32"/>
      <c r="S1594" s="32"/>
      <c r="T1594" s="32"/>
      <c r="U1594" s="32"/>
      <c r="V1594" s="2"/>
      <c r="W1594" s="2"/>
      <c r="X1594" s="2"/>
      <c r="Y1594" s="2"/>
      <c r="Z1594" s="2"/>
    </row>
    <row r="1595" spans="1:26" ht="13.8" x14ac:dyDescent="0.3">
      <c r="A1595" s="2"/>
      <c r="B1595" s="2"/>
      <c r="C1595" s="10"/>
      <c r="D1595" s="10"/>
      <c r="E1595" s="10"/>
      <c r="F1595" s="10"/>
      <c r="G1595" s="69"/>
      <c r="H1595" s="69"/>
      <c r="I1595" s="69"/>
      <c r="J1595" s="70"/>
      <c r="K1595" s="69"/>
      <c r="L1595" s="69"/>
      <c r="M1595" s="69"/>
      <c r="N1595" s="69"/>
      <c r="O1595" s="69"/>
      <c r="P1595" s="2"/>
      <c r="Q1595" s="2"/>
      <c r="R1595" s="32"/>
      <c r="S1595" s="32"/>
      <c r="T1595" s="32"/>
      <c r="U1595" s="32"/>
      <c r="V1595" s="2"/>
      <c r="W1595" s="2"/>
      <c r="X1595" s="2"/>
      <c r="Y1595" s="2"/>
      <c r="Z1595" s="2"/>
    </row>
    <row r="1596" spans="1:26" ht="13.8" x14ac:dyDescent="0.3">
      <c r="A1596" s="2"/>
      <c r="B1596" s="2"/>
      <c r="C1596" s="10"/>
      <c r="D1596" s="10"/>
      <c r="E1596" s="10"/>
      <c r="F1596" s="10"/>
      <c r="G1596" s="69"/>
      <c r="H1596" s="69"/>
      <c r="I1596" s="69"/>
      <c r="J1596" s="70"/>
      <c r="K1596" s="69"/>
      <c r="L1596" s="69"/>
      <c r="M1596" s="69"/>
      <c r="N1596" s="69"/>
      <c r="O1596" s="69"/>
      <c r="P1596" s="2"/>
      <c r="Q1596" s="2"/>
      <c r="R1596" s="32"/>
      <c r="S1596" s="32"/>
      <c r="T1596" s="32"/>
      <c r="U1596" s="32"/>
      <c r="V1596" s="2"/>
      <c r="W1596" s="2"/>
      <c r="X1596" s="2"/>
      <c r="Y1596" s="2"/>
      <c r="Z1596" s="2"/>
    </row>
    <row r="1597" spans="1:26" ht="13.8" x14ac:dyDescent="0.3">
      <c r="A1597" s="2"/>
      <c r="B1597" s="2"/>
      <c r="C1597" s="10"/>
      <c r="D1597" s="10"/>
      <c r="E1597" s="10"/>
      <c r="F1597" s="10"/>
      <c r="G1597" s="69"/>
      <c r="H1597" s="69"/>
      <c r="I1597" s="69"/>
      <c r="J1597" s="70"/>
      <c r="K1597" s="69"/>
      <c r="L1597" s="69"/>
      <c r="M1597" s="69"/>
      <c r="N1597" s="69"/>
      <c r="O1597" s="69"/>
      <c r="P1597" s="2"/>
      <c r="Q1597" s="2"/>
      <c r="R1597" s="32"/>
      <c r="S1597" s="32"/>
      <c r="T1597" s="32"/>
      <c r="U1597" s="32"/>
      <c r="V1597" s="2"/>
      <c r="W1597" s="2"/>
      <c r="X1597" s="2"/>
      <c r="Y1597" s="2"/>
      <c r="Z1597" s="2"/>
    </row>
    <row r="1598" spans="1:26" ht="13.8" x14ac:dyDescent="0.3">
      <c r="A1598" s="2"/>
      <c r="B1598" s="2"/>
      <c r="C1598" s="10"/>
      <c r="D1598" s="10"/>
      <c r="E1598" s="10"/>
      <c r="F1598" s="10"/>
      <c r="G1598" s="69"/>
      <c r="H1598" s="69"/>
      <c r="I1598" s="69"/>
      <c r="J1598" s="70"/>
      <c r="K1598" s="69"/>
      <c r="L1598" s="69"/>
      <c r="M1598" s="69"/>
      <c r="N1598" s="69"/>
      <c r="O1598" s="69"/>
      <c r="P1598" s="2"/>
      <c r="Q1598" s="2"/>
      <c r="R1598" s="32"/>
      <c r="S1598" s="32"/>
      <c r="T1598" s="32"/>
      <c r="U1598" s="32"/>
      <c r="V1598" s="2"/>
      <c r="W1598" s="2"/>
      <c r="X1598" s="2"/>
      <c r="Y1598" s="2"/>
      <c r="Z1598" s="2"/>
    </row>
    <row r="1599" spans="1:26" ht="13.8" x14ac:dyDescent="0.3">
      <c r="A1599" s="2"/>
      <c r="B1599" s="2"/>
      <c r="C1599" s="10"/>
      <c r="D1599" s="10"/>
      <c r="E1599" s="10"/>
      <c r="F1599" s="10"/>
      <c r="G1599" s="69"/>
      <c r="H1599" s="69"/>
      <c r="I1599" s="69"/>
      <c r="J1599" s="70"/>
      <c r="K1599" s="69"/>
      <c r="L1599" s="69"/>
      <c r="M1599" s="69"/>
      <c r="N1599" s="69"/>
      <c r="O1599" s="69"/>
      <c r="P1599" s="2"/>
      <c r="Q1599" s="2"/>
      <c r="R1599" s="32"/>
      <c r="S1599" s="32"/>
      <c r="T1599" s="32"/>
      <c r="U1599" s="32"/>
      <c r="V1599" s="2"/>
      <c r="W1599" s="2"/>
      <c r="X1599" s="2"/>
      <c r="Y1599" s="2"/>
      <c r="Z1599" s="2"/>
    </row>
    <row r="1600" spans="1:26" ht="13.8" x14ac:dyDescent="0.3">
      <c r="A1600" s="2"/>
      <c r="B1600" s="2"/>
      <c r="C1600" s="10"/>
      <c r="D1600" s="10"/>
      <c r="E1600" s="10"/>
      <c r="F1600" s="10"/>
      <c r="G1600" s="69"/>
      <c r="H1600" s="69"/>
      <c r="I1600" s="69"/>
      <c r="J1600" s="70"/>
      <c r="K1600" s="69"/>
      <c r="L1600" s="69"/>
      <c r="M1600" s="69"/>
      <c r="N1600" s="69"/>
      <c r="O1600" s="69"/>
      <c r="P1600" s="2"/>
      <c r="Q1600" s="2"/>
      <c r="R1600" s="32"/>
      <c r="S1600" s="32"/>
      <c r="T1600" s="32"/>
      <c r="U1600" s="32"/>
      <c r="V1600" s="2"/>
      <c r="W1600" s="2"/>
      <c r="X1600" s="2"/>
      <c r="Y1600" s="2"/>
      <c r="Z1600" s="2"/>
    </row>
    <row r="1601" spans="1:26" ht="13.8" x14ac:dyDescent="0.3">
      <c r="A1601" s="2"/>
      <c r="B1601" s="2"/>
      <c r="C1601" s="10"/>
      <c r="D1601" s="10"/>
      <c r="E1601" s="10"/>
      <c r="F1601" s="10"/>
      <c r="G1601" s="69"/>
      <c r="H1601" s="69"/>
      <c r="I1601" s="69"/>
      <c r="J1601" s="70"/>
      <c r="K1601" s="69"/>
      <c r="L1601" s="69"/>
      <c r="M1601" s="69"/>
      <c r="N1601" s="69"/>
      <c r="O1601" s="69"/>
      <c r="P1601" s="2"/>
      <c r="Q1601" s="2"/>
      <c r="R1601" s="32"/>
      <c r="S1601" s="32"/>
      <c r="T1601" s="32"/>
      <c r="U1601" s="32"/>
      <c r="V1601" s="2"/>
      <c r="W1601" s="2"/>
      <c r="X1601" s="2"/>
      <c r="Y1601" s="2"/>
      <c r="Z1601" s="2"/>
    </row>
    <row r="1602" spans="1:26" ht="13.8" x14ac:dyDescent="0.3">
      <c r="A1602" s="2"/>
      <c r="B1602" s="2"/>
      <c r="C1602" s="10"/>
      <c r="D1602" s="10"/>
      <c r="E1602" s="10"/>
      <c r="F1602" s="10"/>
      <c r="G1602" s="69"/>
      <c r="H1602" s="69"/>
      <c r="I1602" s="69"/>
      <c r="J1602" s="70"/>
      <c r="K1602" s="69"/>
      <c r="L1602" s="69"/>
      <c r="M1602" s="69"/>
      <c r="N1602" s="69"/>
      <c r="O1602" s="69"/>
      <c r="P1602" s="2"/>
      <c r="Q1602" s="2"/>
      <c r="R1602" s="32"/>
      <c r="S1602" s="32"/>
      <c r="T1602" s="32"/>
      <c r="U1602" s="32"/>
      <c r="V1602" s="2"/>
      <c r="W1602" s="2"/>
      <c r="X1602" s="2"/>
      <c r="Y1602" s="2"/>
      <c r="Z1602" s="2"/>
    </row>
    <row r="1603" spans="1:26" ht="13.8" x14ac:dyDescent="0.3">
      <c r="A1603" s="2"/>
      <c r="B1603" s="2"/>
      <c r="C1603" s="10"/>
      <c r="D1603" s="10"/>
      <c r="E1603" s="10"/>
      <c r="F1603" s="10"/>
      <c r="G1603" s="69"/>
      <c r="H1603" s="69"/>
      <c r="I1603" s="69"/>
      <c r="J1603" s="70"/>
      <c r="K1603" s="69"/>
      <c r="L1603" s="69"/>
      <c r="M1603" s="69"/>
      <c r="N1603" s="69"/>
      <c r="O1603" s="69"/>
      <c r="P1603" s="2"/>
      <c r="Q1603" s="2"/>
      <c r="R1603" s="32"/>
      <c r="S1603" s="32"/>
      <c r="T1603" s="32"/>
      <c r="U1603" s="32"/>
      <c r="V1603" s="2"/>
      <c r="W1603" s="2"/>
      <c r="X1603" s="2"/>
      <c r="Y1603" s="2"/>
      <c r="Z1603" s="2"/>
    </row>
    <row r="1604" spans="1:26" ht="13.8" x14ac:dyDescent="0.3">
      <c r="A1604" s="2"/>
      <c r="B1604" s="2"/>
      <c r="C1604" s="10"/>
      <c r="D1604" s="10"/>
      <c r="E1604" s="10"/>
      <c r="F1604" s="10"/>
      <c r="G1604" s="69"/>
      <c r="H1604" s="69"/>
      <c r="I1604" s="69"/>
      <c r="J1604" s="70"/>
      <c r="K1604" s="69"/>
      <c r="L1604" s="69"/>
      <c r="M1604" s="69"/>
      <c r="N1604" s="69"/>
      <c r="O1604" s="69"/>
      <c r="P1604" s="2"/>
      <c r="Q1604" s="2"/>
      <c r="R1604" s="32"/>
      <c r="S1604" s="32"/>
      <c r="T1604" s="32"/>
      <c r="U1604" s="32"/>
      <c r="V1604" s="2"/>
      <c r="W1604" s="2"/>
      <c r="X1604" s="2"/>
      <c r="Y1604" s="2"/>
      <c r="Z1604" s="2"/>
    </row>
    <row r="1605" spans="1:26" ht="13.8" x14ac:dyDescent="0.3">
      <c r="A1605" s="2"/>
      <c r="B1605" s="2"/>
      <c r="C1605" s="10"/>
      <c r="D1605" s="10"/>
      <c r="E1605" s="10"/>
      <c r="F1605" s="10"/>
      <c r="G1605" s="69"/>
      <c r="H1605" s="69"/>
      <c r="I1605" s="69"/>
      <c r="J1605" s="70"/>
      <c r="K1605" s="69"/>
      <c r="L1605" s="69"/>
      <c r="M1605" s="69"/>
      <c r="N1605" s="69"/>
      <c r="O1605" s="69"/>
      <c r="P1605" s="2"/>
      <c r="Q1605" s="2"/>
      <c r="R1605" s="32"/>
      <c r="S1605" s="32"/>
      <c r="T1605" s="32"/>
      <c r="U1605" s="32"/>
      <c r="V1605" s="2"/>
      <c r="W1605" s="2"/>
      <c r="X1605" s="2"/>
      <c r="Y1605" s="2"/>
      <c r="Z1605" s="2"/>
    </row>
    <row r="1606" spans="1:26" ht="13.8" x14ac:dyDescent="0.3">
      <c r="A1606" s="2"/>
      <c r="B1606" s="2"/>
      <c r="C1606" s="10"/>
      <c r="D1606" s="10"/>
      <c r="E1606" s="10"/>
      <c r="F1606" s="10"/>
      <c r="G1606" s="69"/>
      <c r="H1606" s="69"/>
      <c r="I1606" s="69"/>
      <c r="J1606" s="70"/>
      <c r="K1606" s="69"/>
      <c r="L1606" s="69"/>
      <c r="M1606" s="69"/>
      <c r="N1606" s="69"/>
      <c r="O1606" s="69"/>
      <c r="P1606" s="2"/>
      <c r="Q1606" s="2"/>
      <c r="R1606" s="32"/>
      <c r="S1606" s="32"/>
      <c r="T1606" s="32"/>
      <c r="U1606" s="32"/>
      <c r="V1606" s="2"/>
      <c r="W1606" s="2"/>
      <c r="X1606" s="2"/>
      <c r="Y1606" s="2"/>
      <c r="Z1606" s="2"/>
    </row>
    <row r="1607" spans="1:26" ht="13.8" x14ac:dyDescent="0.3">
      <c r="A1607" s="2"/>
      <c r="B1607" s="2"/>
      <c r="C1607" s="10"/>
      <c r="D1607" s="10"/>
      <c r="E1607" s="10"/>
      <c r="F1607" s="10"/>
      <c r="G1607" s="69"/>
      <c r="H1607" s="69"/>
      <c r="I1607" s="69"/>
      <c r="J1607" s="70"/>
      <c r="K1607" s="69"/>
      <c r="L1607" s="69"/>
      <c r="M1607" s="69"/>
      <c r="N1607" s="69"/>
      <c r="O1607" s="69"/>
      <c r="P1607" s="2"/>
      <c r="Q1607" s="2"/>
      <c r="R1607" s="32"/>
      <c r="S1607" s="32"/>
      <c r="T1607" s="32"/>
      <c r="U1607" s="32"/>
      <c r="V1607" s="2"/>
      <c r="W1607" s="2"/>
      <c r="X1607" s="2"/>
      <c r="Y1607" s="2"/>
      <c r="Z1607" s="2"/>
    </row>
    <row r="1608" spans="1:26" ht="13.8" x14ac:dyDescent="0.3">
      <c r="A1608" s="2"/>
      <c r="B1608" s="2"/>
      <c r="C1608" s="10"/>
      <c r="D1608" s="10"/>
      <c r="E1608" s="10"/>
      <c r="F1608" s="10"/>
      <c r="G1608" s="69"/>
      <c r="H1608" s="69"/>
      <c r="I1608" s="69"/>
      <c r="J1608" s="70"/>
      <c r="K1608" s="69"/>
      <c r="L1608" s="69"/>
      <c r="M1608" s="69"/>
      <c r="N1608" s="69"/>
      <c r="O1608" s="69"/>
      <c r="P1608" s="2"/>
      <c r="Q1608" s="2"/>
      <c r="R1608" s="32"/>
      <c r="S1608" s="32"/>
      <c r="T1608" s="32"/>
      <c r="U1608" s="32"/>
      <c r="V1608" s="2"/>
      <c r="W1608" s="2"/>
      <c r="X1608" s="2"/>
      <c r="Y1608" s="2"/>
      <c r="Z1608" s="2"/>
    </row>
    <row r="1609" spans="1:26" ht="13.8" x14ac:dyDescent="0.3">
      <c r="A1609" s="2"/>
      <c r="B1609" s="2"/>
      <c r="C1609" s="10"/>
      <c r="D1609" s="10"/>
      <c r="E1609" s="10"/>
      <c r="F1609" s="10"/>
      <c r="G1609" s="69"/>
      <c r="H1609" s="69"/>
      <c r="I1609" s="69"/>
      <c r="J1609" s="70"/>
      <c r="K1609" s="69"/>
      <c r="L1609" s="69"/>
      <c r="M1609" s="69"/>
      <c r="N1609" s="69"/>
      <c r="O1609" s="69"/>
      <c r="P1609" s="2"/>
      <c r="Q1609" s="2"/>
      <c r="R1609" s="32"/>
      <c r="S1609" s="32"/>
      <c r="T1609" s="32"/>
      <c r="U1609" s="32"/>
      <c r="V1609" s="2"/>
      <c r="W1609" s="2"/>
      <c r="X1609" s="2"/>
      <c r="Y1609" s="2"/>
      <c r="Z1609" s="2"/>
    </row>
    <row r="1610" spans="1:26" ht="13.8" x14ac:dyDescent="0.3">
      <c r="A1610" s="2"/>
      <c r="B1610" s="2"/>
      <c r="C1610" s="10"/>
      <c r="D1610" s="10"/>
      <c r="E1610" s="10"/>
      <c r="F1610" s="10"/>
      <c r="G1610" s="69"/>
      <c r="H1610" s="69"/>
      <c r="I1610" s="69"/>
      <c r="J1610" s="70"/>
      <c r="K1610" s="69"/>
      <c r="L1610" s="69"/>
      <c r="M1610" s="69"/>
      <c r="N1610" s="69"/>
      <c r="O1610" s="69"/>
      <c r="P1610" s="2"/>
      <c r="Q1610" s="2"/>
      <c r="R1610" s="32"/>
      <c r="S1610" s="32"/>
      <c r="T1610" s="32"/>
      <c r="U1610" s="32"/>
      <c r="V1610" s="2"/>
      <c r="W1610" s="2"/>
      <c r="X1610" s="2"/>
      <c r="Y1610" s="2"/>
      <c r="Z1610" s="2"/>
    </row>
    <row r="1611" spans="1:26" ht="13.8" x14ac:dyDescent="0.3">
      <c r="A1611" s="2"/>
      <c r="B1611" s="2"/>
      <c r="C1611" s="10"/>
      <c r="D1611" s="10"/>
      <c r="E1611" s="10"/>
      <c r="F1611" s="10"/>
      <c r="G1611" s="69"/>
      <c r="H1611" s="69"/>
      <c r="I1611" s="69"/>
      <c r="J1611" s="70"/>
      <c r="K1611" s="69"/>
      <c r="L1611" s="69"/>
      <c r="M1611" s="69"/>
      <c r="N1611" s="69"/>
      <c r="O1611" s="69"/>
      <c r="P1611" s="2"/>
      <c r="Q1611" s="2"/>
      <c r="R1611" s="32"/>
      <c r="S1611" s="32"/>
      <c r="T1611" s="32"/>
      <c r="U1611" s="32"/>
      <c r="V1611" s="2"/>
      <c r="W1611" s="2"/>
      <c r="X1611" s="2"/>
      <c r="Y1611" s="2"/>
      <c r="Z1611" s="2"/>
    </row>
    <row r="1612" spans="1:26" ht="13.8" x14ac:dyDescent="0.3">
      <c r="A1612" s="2"/>
      <c r="B1612" s="2"/>
      <c r="C1612" s="10"/>
      <c r="D1612" s="10"/>
      <c r="E1612" s="10"/>
      <c r="F1612" s="10"/>
      <c r="G1612" s="69"/>
      <c r="H1612" s="69"/>
      <c r="I1612" s="69"/>
      <c r="J1612" s="70"/>
      <c r="K1612" s="69"/>
      <c r="L1612" s="69"/>
      <c r="M1612" s="69"/>
      <c r="N1612" s="69"/>
      <c r="O1612" s="69"/>
      <c r="P1612" s="2"/>
      <c r="Q1612" s="2"/>
      <c r="R1612" s="32"/>
      <c r="S1612" s="32"/>
      <c r="T1612" s="32"/>
      <c r="U1612" s="32"/>
      <c r="V1612" s="2"/>
      <c r="W1612" s="2"/>
      <c r="X1612" s="2"/>
      <c r="Y1612" s="2"/>
      <c r="Z1612" s="2"/>
    </row>
    <row r="1613" spans="1:26" ht="13.8" x14ac:dyDescent="0.3">
      <c r="A1613" s="2"/>
      <c r="B1613" s="2"/>
      <c r="C1613" s="10"/>
      <c r="D1613" s="10"/>
      <c r="E1613" s="10"/>
      <c r="F1613" s="10"/>
      <c r="G1613" s="69"/>
      <c r="H1613" s="69"/>
      <c r="I1613" s="69"/>
      <c r="J1613" s="70"/>
      <c r="K1613" s="69"/>
      <c r="L1613" s="69"/>
      <c r="M1613" s="69"/>
      <c r="N1613" s="69"/>
      <c r="O1613" s="69"/>
      <c r="P1613" s="2"/>
      <c r="Q1613" s="2"/>
      <c r="R1613" s="32"/>
      <c r="S1613" s="32"/>
      <c r="T1613" s="32"/>
      <c r="U1613" s="32"/>
      <c r="V1613" s="2"/>
      <c r="W1613" s="2"/>
      <c r="X1613" s="2"/>
      <c r="Y1613" s="2"/>
      <c r="Z1613" s="2"/>
    </row>
    <row r="1614" spans="1:26" ht="13.8" x14ac:dyDescent="0.3">
      <c r="A1614" s="2"/>
      <c r="B1614" s="2"/>
      <c r="C1614" s="10"/>
      <c r="D1614" s="10"/>
      <c r="E1614" s="10"/>
      <c r="F1614" s="10"/>
      <c r="G1614" s="69"/>
      <c r="H1614" s="69"/>
      <c r="I1614" s="69"/>
      <c r="J1614" s="70"/>
      <c r="K1614" s="69"/>
      <c r="L1614" s="69"/>
      <c r="M1614" s="69"/>
      <c r="N1614" s="69"/>
      <c r="O1614" s="69"/>
      <c r="P1614" s="2"/>
      <c r="Q1614" s="2"/>
      <c r="R1614" s="32"/>
      <c r="S1614" s="32"/>
      <c r="T1614" s="32"/>
      <c r="U1614" s="32"/>
      <c r="V1614" s="2"/>
      <c r="W1614" s="2"/>
      <c r="X1614" s="2"/>
      <c r="Y1614" s="2"/>
      <c r="Z1614" s="2"/>
    </row>
    <row r="1615" spans="1:26" ht="13.8" x14ac:dyDescent="0.3">
      <c r="A1615" s="2"/>
      <c r="B1615" s="2"/>
      <c r="C1615" s="10"/>
      <c r="D1615" s="10"/>
      <c r="E1615" s="10"/>
      <c r="F1615" s="10"/>
      <c r="G1615" s="69"/>
      <c r="H1615" s="69"/>
      <c r="I1615" s="69"/>
      <c r="J1615" s="70"/>
      <c r="K1615" s="69"/>
      <c r="L1615" s="69"/>
      <c r="M1615" s="69"/>
      <c r="N1615" s="69"/>
      <c r="O1615" s="69"/>
      <c r="P1615" s="2"/>
      <c r="Q1615" s="2"/>
      <c r="R1615" s="32"/>
      <c r="S1615" s="32"/>
      <c r="T1615" s="32"/>
      <c r="U1615" s="32"/>
      <c r="V1615" s="2"/>
      <c r="W1615" s="2"/>
      <c r="X1615" s="2"/>
      <c r="Y1615" s="2"/>
      <c r="Z1615" s="2"/>
    </row>
    <row r="1616" spans="1:26" ht="13.8" x14ac:dyDescent="0.3">
      <c r="A1616" s="2"/>
      <c r="B1616" s="2"/>
      <c r="C1616" s="10"/>
      <c r="D1616" s="10"/>
      <c r="E1616" s="10"/>
      <c r="F1616" s="10"/>
      <c r="G1616" s="69"/>
      <c r="H1616" s="69"/>
      <c r="I1616" s="69"/>
      <c r="J1616" s="70"/>
      <c r="K1616" s="69"/>
      <c r="L1616" s="69"/>
      <c r="M1616" s="69"/>
      <c r="N1616" s="69"/>
      <c r="O1616" s="69"/>
      <c r="P1616" s="2"/>
      <c r="Q1616" s="2"/>
      <c r="R1616" s="32"/>
      <c r="S1616" s="32"/>
      <c r="T1616" s="32"/>
      <c r="U1616" s="32"/>
      <c r="V1616" s="2"/>
      <c r="W1616" s="2"/>
      <c r="X1616" s="2"/>
      <c r="Y1616" s="2"/>
      <c r="Z1616" s="2"/>
    </row>
    <row r="1617" spans="1:26" ht="13.8" x14ac:dyDescent="0.3">
      <c r="A1617" s="2"/>
      <c r="B1617" s="2"/>
      <c r="C1617" s="10"/>
      <c r="D1617" s="10"/>
      <c r="E1617" s="10"/>
      <c r="F1617" s="10"/>
      <c r="G1617" s="69"/>
      <c r="H1617" s="69"/>
      <c r="I1617" s="69"/>
      <c r="J1617" s="70"/>
      <c r="K1617" s="69"/>
      <c r="L1617" s="69"/>
      <c r="M1617" s="69"/>
      <c r="N1617" s="69"/>
      <c r="O1617" s="69"/>
      <c r="P1617" s="2"/>
      <c r="Q1617" s="2"/>
      <c r="R1617" s="32"/>
      <c r="S1617" s="32"/>
      <c r="T1617" s="32"/>
      <c r="U1617" s="32"/>
      <c r="V1617" s="2"/>
      <c r="W1617" s="2"/>
      <c r="X1617" s="2"/>
      <c r="Y1617" s="2"/>
      <c r="Z1617" s="2"/>
    </row>
    <row r="1618" spans="1:26" ht="13.8" x14ac:dyDescent="0.3">
      <c r="A1618" s="2"/>
      <c r="B1618" s="2"/>
      <c r="C1618" s="10"/>
      <c r="D1618" s="10"/>
      <c r="E1618" s="10"/>
      <c r="F1618" s="10"/>
      <c r="G1618" s="69"/>
      <c r="H1618" s="69"/>
      <c r="I1618" s="69"/>
      <c r="J1618" s="70"/>
      <c r="K1618" s="69"/>
      <c r="L1618" s="69"/>
      <c r="M1618" s="69"/>
      <c r="N1618" s="69"/>
      <c r="O1618" s="69"/>
      <c r="P1618" s="2"/>
      <c r="Q1618" s="2"/>
      <c r="R1618" s="32"/>
      <c r="S1618" s="32"/>
      <c r="T1618" s="32"/>
      <c r="U1618" s="32"/>
      <c r="V1618" s="2"/>
      <c r="W1618" s="2"/>
      <c r="X1618" s="2"/>
      <c r="Y1618" s="2"/>
      <c r="Z1618" s="2"/>
    </row>
    <row r="1619" spans="1:26" ht="13.8" x14ac:dyDescent="0.3">
      <c r="A1619" s="2"/>
      <c r="B1619" s="2"/>
      <c r="C1619" s="10"/>
      <c r="D1619" s="10"/>
      <c r="E1619" s="10"/>
      <c r="F1619" s="10"/>
      <c r="G1619" s="69"/>
      <c r="H1619" s="69"/>
      <c r="I1619" s="69"/>
      <c r="J1619" s="70"/>
      <c r="K1619" s="69"/>
      <c r="L1619" s="69"/>
      <c r="M1619" s="69"/>
      <c r="N1619" s="69"/>
      <c r="O1619" s="69"/>
      <c r="P1619" s="2"/>
      <c r="Q1619" s="2"/>
      <c r="R1619" s="32"/>
      <c r="S1619" s="32"/>
      <c r="T1619" s="32"/>
      <c r="U1619" s="32"/>
      <c r="V1619" s="2"/>
      <c r="W1619" s="2"/>
      <c r="X1619" s="2"/>
      <c r="Y1619" s="2"/>
      <c r="Z1619" s="2"/>
    </row>
    <row r="1620" spans="1:26" ht="13.8" x14ac:dyDescent="0.3">
      <c r="A1620" s="2"/>
      <c r="B1620" s="2"/>
      <c r="C1620" s="10"/>
      <c r="D1620" s="10"/>
      <c r="E1620" s="10"/>
      <c r="F1620" s="10"/>
      <c r="G1620" s="69"/>
      <c r="H1620" s="69"/>
      <c r="I1620" s="69"/>
      <c r="J1620" s="70"/>
      <c r="K1620" s="69"/>
      <c r="L1620" s="69"/>
      <c r="M1620" s="69"/>
      <c r="N1620" s="69"/>
      <c r="O1620" s="69"/>
      <c r="P1620" s="2"/>
      <c r="Q1620" s="2"/>
      <c r="R1620" s="32"/>
      <c r="S1620" s="32"/>
      <c r="T1620" s="32"/>
      <c r="U1620" s="32"/>
      <c r="V1620" s="2"/>
      <c r="W1620" s="2"/>
      <c r="X1620" s="2"/>
      <c r="Y1620" s="2"/>
      <c r="Z1620" s="2"/>
    </row>
    <row r="1621" spans="1:26" ht="13.8" x14ac:dyDescent="0.3">
      <c r="A1621" s="2"/>
      <c r="B1621" s="2"/>
      <c r="C1621" s="10"/>
      <c r="D1621" s="10"/>
      <c r="E1621" s="10"/>
      <c r="F1621" s="10"/>
      <c r="G1621" s="69"/>
      <c r="H1621" s="69"/>
      <c r="I1621" s="69"/>
      <c r="J1621" s="70"/>
      <c r="K1621" s="69"/>
      <c r="L1621" s="69"/>
      <c r="M1621" s="69"/>
      <c r="N1621" s="69"/>
      <c r="O1621" s="69"/>
      <c r="P1621" s="2"/>
      <c r="Q1621" s="2"/>
      <c r="R1621" s="32"/>
      <c r="S1621" s="32"/>
      <c r="T1621" s="32"/>
      <c r="U1621" s="32"/>
      <c r="V1621" s="2"/>
      <c r="W1621" s="2"/>
      <c r="X1621" s="2"/>
      <c r="Y1621" s="2"/>
      <c r="Z1621" s="2"/>
    </row>
    <row r="1622" spans="1:26" ht="13.8" x14ac:dyDescent="0.3">
      <c r="A1622" s="2"/>
      <c r="B1622" s="2"/>
      <c r="C1622" s="10"/>
      <c r="D1622" s="10"/>
      <c r="E1622" s="10"/>
      <c r="F1622" s="10"/>
      <c r="G1622" s="69"/>
      <c r="H1622" s="69"/>
      <c r="I1622" s="69"/>
      <c r="J1622" s="70"/>
      <c r="K1622" s="69"/>
      <c r="L1622" s="69"/>
      <c r="M1622" s="69"/>
      <c r="N1622" s="69"/>
      <c r="O1622" s="69"/>
      <c r="P1622" s="2"/>
      <c r="Q1622" s="2"/>
      <c r="R1622" s="32"/>
      <c r="S1622" s="32"/>
      <c r="T1622" s="32"/>
      <c r="U1622" s="32"/>
      <c r="V1622" s="2"/>
      <c r="W1622" s="2"/>
      <c r="X1622" s="2"/>
      <c r="Y1622" s="2"/>
      <c r="Z1622" s="2"/>
    </row>
    <row r="1623" spans="1:26" ht="13.8" x14ac:dyDescent="0.3">
      <c r="A1623" s="2"/>
      <c r="B1623" s="2"/>
      <c r="C1623" s="10"/>
      <c r="D1623" s="10"/>
      <c r="E1623" s="10"/>
      <c r="F1623" s="10"/>
      <c r="G1623" s="69"/>
      <c r="H1623" s="69"/>
      <c r="I1623" s="69"/>
      <c r="J1623" s="70"/>
      <c r="K1623" s="69"/>
      <c r="L1623" s="69"/>
      <c r="M1623" s="69"/>
      <c r="N1623" s="69"/>
      <c r="O1623" s="69"/>
      <c r="P1623" s="2"/>
      <c r="Q1623" s="2"/>
      <c r="R1623" s="32"/>
      <c r="S1623" s="32"/>
      <c r="T1623" s="32"/>
      <c r="U1623" s="32"/>
      <c r="V1623" s="2"/>
      <c r="W1623" s="2"/>
      <c r="X1623" s="2"/>
      <c r="Y1623" s="2"/>
      <c r="Z1623" s="2"/>
    </row>
    <row r="1624" spans="1:26" ht="13.8" x14ac:dyDescent="0.3">
      <c r="A1624" s="2"/>
      <c r="B1624" s="2"/>
      <c r="C1624" s="10"/>
      <c r="D1624" s="10"/>
      <c r="E1624" s="10"/>
      <c r="F1624" s="10"/>
      <c r="G1624" s="69"/>
      <c r="H1624" s="69"/>
      <c r="I1624" s="69"/>
      <c r="J1624" s="70"/>
      <c r="K1624" s="69"/>
      <c r="L1624" s="69"/>
      <c r="M1624" s="69"/>
      <c r="N1624" s="69"/>
      <c r="O1624" s="69"/>
      <c r="P1624" s="2"/>
      <c r="Q1624" s="2"/>
      <c r="R1624" s="32"/>
      <c r="S1624" s="32"/>
      <c r="T1624" s="32"/>
      <c r="U1624" s="32"/>
      <c r="V1624" s="2"/>
      <c r="W1624" s="2"/>
      <c r="X1624" s="2"/>
      <c r="Y1624" s="2"/>
      <c r="Z1624" s="2"/>
    </row>
    <row r="1625" spans="1:26" ht="13.8" x14ac:dyDescent="0.3">
      <c r="A1625" s="2"/>
      <c r="B1625" s="2"/>
      <c r="C1625" s="10"/>
      <c r="D1625" s="10"/>
      <c r="E1625" s="10"/>
      <c r="F1625" s="10"/>
      <c r="G1625" s="69"/>
      <c r="H1625" s="69"/>
      <c r="I1625" s="69"/>
      <c r="J1625" s="70"/>
      <c r="K1625" s="69"/>
      <c r="L1625" s="69"/>
      <c r="M1625" s="69"/>
      <c r="N1625" s="69"/>
      <c r="O1625" s="69"/>
      <c r="P1625" s="2"/>
      <c r="Q1625" s="2"/>
      <c r="R1625" s="32"/>
      <c r="S1625" s="32"/>
      <c r="T1625" s="32"/>
      <c r="U1625" s="32"/>
      <c r="V1625" s="2"/>
      <c r="W1625" s="2"/>
      <c r="X1625" s="2"/>
      <c r="Y1625" s="2"/>
      <c r="Z1625" s="2"/>
    </row>
    <row r="1626" spans="1:26" ht="13.8" x14ac:dyDescent="0.3">
      <c r="A1626" s="2"/>
      <c r="B1626" s="2"/>
      <c r="C1626" s="10"/>
      <c r="D1626" s="10"/>
      <c r="E1626" s="10"/>
      <c r="F1626" s="10"/>
      <c r="G1626" s="69"/>
      <c r="H1626" s="69"/>
      <c r="I1626" s="69"/>
      <c r="J1626" s="70"/>
      <c r="K1626" s="69"/>
      <c r="L1626" s="69"/>
      <c r="M1626" s="69"/>
      <c r="N1626" s="69"/>
      <c r="O1626" s="69"/>
      <c r="P1626" s="2"/>
      <c r="Q1626" s="2"/>
      <c r="R1626" s="32"/>
      <c r="S1626" s="32"/>
      <c r="T1626" s="32"/>
      <c r="U1626" s="32"/>
      <c r="V1626" s="2"/>
      <c r="W1626" s="2"/>
      <c r="X1626" s="2"/>
      <c r="Y1626" s="2"/>
      <c r="Z1626" s="2"/>
    </row>
    <row r="1627" spans="1:26" ht="13.8" x14ac:dyDescent="0.3">
      <c r="A1627" s="2"/>
      <c r="B1627" s="2"/>
      <c r="C1627" s="10"/>
      <c r="D1627" s="10"/>
      <c r="E1627" s="10"/>
      <c r="F1627" s="10"/>
      <c r="G1627" s="69"/>
      <c r="H1627" s="69"/>
      <c r="I1627" s="69"/>
      <c r="J1627" s="70"/>
      <c r="K1627" s="69"/>
      <c r="L1627" s="69"/>
      <c r="M1627" s="69"/>
      <c r="N1627" s="69"/>
      <c r="O1627" s="69"/>
      <c r="P1627" s="2"/>
      <c r="Q1627" s="2"/>
      <c r="R1627" s="32"/>
      <c r="S1627" s="32"/>
      <c r="T1627" s="32"/>
      <c r="U1627" s="32"/>
      <c r="V1627" s="2"/>
      <c r="W1627" s="2"/>
      <c r="X1627" s="2"/>
      <c r="Y1627" s="2"/>
      <c r="Z1627" s="2"/>
    </row>
    <row r="1628" spans="1:26" ht="13.8" x14ac:dyDescent="0.3">
      <c r="A1628" s="2"/>
      <c r="B1628" s="2"/>
      <c r="C1628" s="10"/>
      <c r="D1628" s="10"/>
      <c r="E1628" s="10"/>
      <c r="F1628" s="10"/>
      <c r="G1628" s="69"/>
      <c r="H1628" s="69"/>
      <c r="I1628" s="69"/>
      <c r="J1628" s="70"/>
      <c r="K1628" s="69"/>
      <c r="L1628" s="69"/>
      <c r="M1628" s="69"/>
      <c r="N1628" s="69"/>
      <c r="O1628" s="69"/>
      <c r="P1628" s="2"/>
      <c r="Q1628" s="2"/>
      <c r="R1628" s="32"/>
      <c r="S1628" s="32"/>
      <c r="T1628" s="32"/>
      <c r="U1628" s="32"/>
      <c r="V1628" s="2"/>
      <c r="W1628" s="2"/>
      <c r="X1628" s="2"/>
      <c r="Y1628" s="2"/>
      <c r="Z1628" s="2"/>
    </row>
    <row r="1629" spans="1:26" ht="13.8" x14ac:dyDescent="0.3">
      <c r="A1629" s="2"/>
      <c r="B1629" s="2"/>
      <c r="C1629" s="10"/>
      <c r="D1629" s="10"/>
      <c r="E1629" s="10"/>
      <c r="F1629" s="10"/>
      <c r="G1629" s="69"/>
      <c r="H1629" s="69"/>
      <c r="I1629" s="69"/>
      <c r="J1629" s="70"/>
      <c r="K1629" s="69"/>
      <c r="L1629" s="69"/>
      <c r="M1629" s="69"/>
      <c r="N1629" s="69"/>
      <c r="O1629" s="69"/>
      <c r="P1629" s="2"/>
      <c r="Q1629" s="2"/>
      <c r="R1629" s="32"/>
      <c r="S1629" s="32"/>
      <c r="T1629" s="32"/>
      <c r="U1629" s="32"/>
      <c r="V1629" s="2"/>
      <c r="W1629" s="2"/>
      <c r="X1629" s="2"/>
      <c r="Y1629" s="2"/>
      <c r="Z1629" s="2"/>
    </row>
    <row r="1630" spans="1:26" ht="13.8" x14ac:dyDescent="0.3">
      <c r="A1630" s="2"/>
      <c r="B1630" s="2"/>
      <c r="C1630" s="10"/>
      <c r="D1630" s="10"/>
      <c r="E1630" s="10"/>
      <c r="F1630" s="10"/>
      <c r="G1630" s="69"/>
      <c r="H1630" s="69"/>
      <c r="I1630" s="69"/>
      <c r="J1630" s="70"/>
      <c r="K1630" s="69"/>
      <c r="L1630" s="69"/>
      <c r="M1630" s="69"/>
      <c r="N1630" s="69"/>
      <c r="O1630" s="69"/>
      <c r="P1630" s="2"/>
      <c r="Q1630" s="2"/>
      <c r="R1630" s="32"/>
      <c r="S1630" s="32"/>
      <c r="T1630" s="32"/>
      <c r="U1630" s="32"/>
      <c r="V1630" s="2"/>
      <c r="W1630" s="2"/>
      <c r="X1630" s="2"/>
      <c r="Y1630" s="2"/>
      <c r="Z1630" s="2"/>
    </row>
    <row r="1631" spans="1:26" ht="13.8" x14ac:dyDescent="0.3">
      <c r="A1631" s="2"/>
      <c r="B1631" s="2"/>
      <c r="C1631" s="10"/>
      <c r="D1631" s="10"/>
      <c r="E1631" s="10"/>
      <c r="F1631" s="10"/>
      <c r="G1631" s="69"/>
      <c r="H1631" s="69"/>
      <c r="I1631" s="69"/>
      <c r="J1631" s="70"/>
      <c r="K1631" s="69"/>
      <c r="L1631" s="69"/>
      <c r="M1631" s="69"/>
      <c r="N1631" s="69"/>
      <c r="O1631" s="69"/>
      <c r="P1631" s="2"/>
      <c r="Q1631" s="2"/>
      <c r="R1631" s="32"/>
      <c r="S1631" s="32"/>
      <c r="T1631" s="32"/>
      <c r="U1631" s="32"/>
      <c r="V1631" s="2"/>
      <c r="W1631" s="2"/>
      <c r="X1631" s="2"/>
      <c r="Y1631" s="2"/>
      <c r="Z1631" s="2"/>
    </row>
    <row r="1632" spans="1:26" ht="13.8" x14ac:dyDescent="0.3">
      <c r="A1632" s="2"/>
      <c r="B1632" s="2"/>
      <c r="C1632" s="10"/>
      <c r="D1632" s="10"/>
      <c r="E1632" s="10"/>
      <c r="F1632" s="10"/>
      <c r="G1632" s="69"/>
      <c r="H1632" s="69"/>
      <c r="I1632" s="69"/>
      <c r="J1632" s="70"/>
      <c r="K1632" s="69"/>
      <c r="L1632" s="69"/>
      <c r="M1632" s="69"/>
      <c r="N1632" s="69"/>
      <c r="O1632" s="69"/>
      <c r="P1632" s="2"/>
      <c r="Q1632" s="2"/>
      <c r="R1632" s="32"/>
      <c r="S1632" s="32"/>
      <c r="T1632" s="32"/>
      <c r="U1632" s="32"/>
      <c r="V1632" s="2"/>
      <c r="W1632" s="2"/>
      <c r="X1632" s="2"/>
      <c r="Y1632" s="2"/>
      <c r="Z1632" s="2"/>
    </row>
    <row r="1633" spans="1:26" ht="13.8" x14ac:dyDescent="0.3">
      <c r="A1633" s="2"/>
      <c r="B1633" s="2"/>
      <c r="C1633" s="10"/>
      <c r="D1633" s="10"/>
      <c r="E1633" s="10"/>
      <c r="F1633" s="10"/>
      <c r="G1633" s="69"/>
      <c r="H1633" s="69"/>
      <c r="I1633" s="69"/>
      <c r="J1633" s="70"/>
      <c r="K1633" s="69"/>
      <c r="L1633" s="69"/>
      <c r="M1633" s="69"/>
      <c r="N1633" s="69"/>
      <c r="O1633" s="69"/>
      <c r="P1633" s="2"/>
      <c r="Q1633" s="2"/>
      <c r="R1633" s="32"/>
      <c r="S1633" s="32"/>
      <c r="T1633" s="32"/>
      <c r="U1633" s="32"/>
      <c r="V1633" s="2"/>
      <c r="W1633" s="2"/>
      <c r="X1633" s="2"/>
      <c r="Y1633" s="2"/>
      <c r="Z1633" s="2"/>
    </row>
    <row r="1634" spans="1:26" ht="13.8" x14ac:dyDescent="0.3">
      <c r="A1634" s="2"/>
      <c r="B1634" s="2"/>
      <c r="C1634" s="10"/>
      <c r="D1634" s="10"/>
      <c r="E1634" s="10"/>
      <c r="F1634" s="10"/>
      <c r="G1634" s="69"/>
      <c r="H1634" s="69"/>
      <c r="I1634" s="69"/>
      <c r="J1634" s="70"/>
      <c r="K1634" s="69"/>
      <c r="L1634" s="69"/>
      <c r="M1634" s="69"/>
      <c r="N1634" s="69"/>
      <c r="O1634" s="69"/>
      <c r="P1634" s="2"/>
      <c r="Q1634" s="2"/>
      <c r="R1634" s="32"/>
      <c r="S1634" s="32"/>
      <c r="T1634" s="32"/>
      <c r="U1634" s="32"/>
      <c r="V1634" s="2"/>
      <c r="W1634" s="2"/>
      <c r="X1634" s="2"/>
      <c r="Y1634" s="2"/>
      <c r="Z1634" s="2"/>
    </row>
    <row r="1635" spans="1:26" ht="13.8" x14ac:dyDescent="0.3">
      <c r="A1635" s="2"/>
      <c r="B1635" s="2"/>
      <c r="C1635" s="10"/>
      <c r="D1635" s="10"/>
      <c r="E1635" s="10"/>
      <c r="F1635" s="10"/>
      <c r="G1635" s="69"/>
      <c r="H1635" s="69"/>
      <c r="I1635" s="69"/>
      <c r="J1635" s="70"/>
      <c r="K1635" s="69"/>
      <c r="L1635" s="69"/>
      <c r="M1635" s="69"/>
      <c r="N1635" s="69"/>
      <c r="O1635" s="69"/>
      <c r="P1635" s="2"/>
      <c r="Q1635" s="2"/>
      <c r="R1635" s="32"/>
      <c r="S1635" s="32"/>
      <c r="T1635" s="32"/>
      <c r="U1635" s="32"/>
      <c r="V1635" s="2"/>
      <c r="W1635" s="2"/>
      <c r="X1635" s="2"/>
      <c r="Y1635" s="2"/>
      <c r="Z1635" s="2"/>
    </row>
    <row r="1636" spans="1:26" ht="13.8" x14ac:dyDescent="0.3">
      <c r="A1636" s="2"/>
      <c r="B1636" s="2"/>
      <c r="C1636" s="10"/>
      <c r="D1636" s="10"/>
      <c r="E1636" s="10"/>
      <c r="F1636" s="10"/>
      <c r="G1636" s="69"/>
      <c r="H1636" s="69"/>
      <c r="I1636" s="69"/>
      <c r="J1636" s="70"/>
      <c r="K1636" s="69"/>
      <c r="L1636" s="69"/>
      <c r="M1636" s="69"/>
      <c r="N1636" s="69"/>
      <c r="O1636" s="69"/>
      <c r="P1636" s="2"/>
      <c r="Q1636" s="2"/>
      <c r="R1636" s="32"/>
      <c r="S1636" s="32"/>
      <c r="T1636" s="32"/>
      <c r="U1636" s="32"/>
      <c r="V1636" s="2"/>
      <c r="W1636" s="2"/>
      <c r="X1636" s="2"/>
      <c r="Y1636" s="2"/>
      <c r="Z1636" s="2"/>
    </row>
    <row r="1637" spans="1:26" ht="13.8" x14ac:dyDescent="0.3">
      <c r="A1637" s="2"/>
      <c r="B1637" s="2"/>
      <c r="C1637" s="10"/>
      <c r="D1637" s="10"/>
      <c r="E1637" s="10"/>
      <c r="F1637" s="10"/>
      <c r="G1637" s="69"/>
      <c r="H1637" s="69"/>
      <c r="I1637" s="69"/>
      <c r="J1637" s="70"/>
      <c r="K1637" s="69"/>
      <c r="L1637" s="69"/>
      <c r="M1637" s="69"/>
      <c r="N1637" s="69"/>
      <c r="O1637" s="69"/>
      <c r="P1637" s="2"/>
      <c r="Q1637" s="2"/>
      <c r="R1637" s="32"/>
      <c r="S1637" s="32"/>
      <c r="T1637" s="32"/>
      <c r="U1637" s="32"/>
      <c r="V1637" s="2"/>
      <c r="W1637" s="2"/>
      <c r="X1637" s="2"/>
      <c r="Y1637" s="2"/>
      <c r="Z1637" s="2"/>
    </row>
    <row r="1638" spans="1:26" ht="13.8" x14ac:dyDescent="0.3">
      <c r="A1638" s="2"/>
      <c r="B1638" s="2"/>
      <c r="C1638" s="10"/>
      <c r="D1638" s="10"/>
      <c r="E1638" s="10"/>
      <c r="F1638" s="10"/>
      <c r="G1638" s="69"/>
      <c r="H1638" s="69"/>
      <c r="I1638" s="69"/>
      <c r="J1638" s="70"/>
      <c r="K1638" s="69"/>
      <c r="L1638" s="69"/>
      <c r="M1638" s="69"/>
      <c r="N1638" s="69"/>
      <c r="O1638" s="69"/>
      <c r="P1638" s="2"/>
      <c r="Q1638" s="2"/>
      <c r="R1638" s="32"/>
      <c r="S1638" s="32"/>
      <c r="T1638" s="32"/>
      <c r="U1638" s="32"/>
      <c r="V1638" s="2"/>
      <c r="W1638" s="2"/>
      <c r="X1638" s="2"/>
      <c r="Y1638" s="2"/>
      <c r="Z1638" s="2"/>
    </row>
    <row r="1639" spans="1:26" ht="13.8" x14ac:dyDescent="0.3">
      <c r="A1639" s="2"/>
      <c r="B1639" s="2"/>
      <c r="C1639" s="10"/>
      <c r="D1639" s="10"/>
      <c r="E1639" s="10"/>
      <c r="F1639" s="10"/>
      <c r="G1639" s="69"/>
      <c r="H1639" s="69"/>
      <c r="I1639" s="69"/>
      <c r="J1639" s="70"/>
      <c r="K1639" s="69"/>
      <c r="L1639" s="69"/>
      <c r="M1639" s="69"/>
      <c r="N1639" s="69"/>
      <c r="O1639" s="69"/>
      <c r="P1639" s="2"/>
      <c r="Q1639" s="2"/>
      <c r="R1639" s="32"/>
      <c r="S1639" s="32"/>
      <c r="T1639" s="32"/>
      <c r="U1639" s="32"/>
      <c r="V1639" s="2"/>
      <c r="W1639" s="2"/>
      <c r="X1639" s="2"/>
      <c r="Y1639" s="2"/>
      <c r="Z1639" s="2"/>
    </row>
    <row r="1640" spans="1:26" ht="13.8" x14ac:dyDescent="0.3">
      <c r="A1640" s="2"/>
      <c r="B1640" s="2"/>
      <c r="C1640" s="10"/>
      <c r="D1640" s="10"/>
      <c r="E1640" s="10"/>
      <c r="F1640" s="10"/>
      <c r="G1640" s="69"/>
      <c r="H1640" s="69"/>
      <c r="I1640" s="69"/>
      <c r="J1640" s="70"/>
      <c r="K1640" s="69"/>
      <c r="L1640" s="69"/>
      <c r="M1640" s="69"/>
      <c r="N1640" s="69"/>
      <c r="O1640" s="69"/>
      <c r="P1640" s="2"/>
      <c r="Q1640" s="2"/>
      <c r="R1640" s="32"/>
      <c r="S1640" s="32"/>
      <c r="T1640" s="32"/>
      <c r="U1640" s="32"/>
      <c r="V1640" s="2"/>
      <c r="W1640" s="2"/>
      <c r="X1640" s="2"/>
      <c r="Y1640" s="2"/>
      <c r="Z1640" s="2"/>
    </row>
    <row r="1641" spans="1:26" ht="13.8" x14ac:dyDescent="0.3">
      <c r="A1641" s="2"/>
      <c r="B1641" s="2"/>
      <c r="C1641" s="10"/>
      <c r="D1641" s="10"/>
      <c r="E1641" s="10"/>
      <c r="F1641" s="10"/>
      <c r="G1641" s="69"/>
      <c r="H1641" s="69"/>
      <c r="I1641" s="69"/>
      <c r="J1641" s="70"/>
      <c r="K1641" s="69"/>
      <c r="L1641" s="69"/>
      <c r="M1641" s="69"/>
      <c r="N1641" s="69"/>
      <c r="O1641" s="69"/>
      <c r="P1641" s="2"/>
      <c r="Q1641" s="2"/>
      <c r="R1641" s="32"/>
      <c r="S1641" s="32"/>
      <c r="T1641" s="32"/>
      <c r="U1641" s="32"/>
      <c r="V1641" s="2"/>
      <c r="W1641" s="2"/>
      <c r="X1641" s="2"/>
      <c r="Y1641" s="2"/>
      <c r="Z1641" s="2"/>
    </row>
    <row r="1642" spans="1:26" ht="13.8" x14ac:dyDescent="0.3">
      <c r="A1642" s="2"/>
      <c r="B1642" s="2"/>
      <c r="C1642" s="10"/>
      <c r="D1642" s="10"/>
      <c r="E1642" s="10"/>
      <c r="F1642" s="10"/>
      <c r="G1642" s="69"/>
      <c r="H1642" s="69"/>
      <c r="I1642" s="69"/>
      <c r="J1642" s="70"/>
      <c r="K1642" s="69"/>
      <c r="L1642" s="69"/>
      <c r="M1642" s="69"/>
      <c r="N1642" s="69"/>
      <c r="O1642" s="69"/>
      <c r="P1642" s="2"/>
      <c r="Q1642" s="2"/>
      <c r="R1642" s="32"/>
      <c r="S1642" s="32"/>
      <c r="T1642" s="32"/>
      <c r="U1642" s="32"/>
      <c r="V1642" s="2"/>
      <c r="W1642" s="2"/>
      <c r="X1642" s="2"/>
      <c r="Y1642" s="2"/>
      <c r="Z1642" s="2"/>
    </row>
    <row r="1643" spans="1:26" ht="13.8" x14ac:dyDescent="0.3">
      <c r="A1643" s="2"/>
      <c r="B1643" s="2"/>
      <c r="C1643" s="10"/>
      <c r="D1643" s="10"/>
      <c r="E1643" s="10"/>
      <c r="F1643" s="10"/>
      <c r="G1643" s="69"/>
      <c r="H1643" s="69"/>
      <c r="I1643" s="69"/>
      <c r="J1643" s="70"/>
      <c r="K1643" s="69"/>
      <c r="L1643" s="69"/>
      <c r="M1643" s="69"/>
      <c r="N1643" s="69"/>
      <c r="O1643" s="69"/>
      <c r="P1643" s="2"/>
      <c r="Q1643" s="2"/>
      <c r="R1643" s="32"/>
      <c r="S1643" s="32"/>
      <c r="T1643" s="32"/>
      <c r="U1643" s="32"/>
      <c r="V1643" s="2"/>
      <c r="W1643" s="2"/>
      <c r="X1643" s="2"/>
      <c r="Y1643" s="2"/>
      <c r="Z1643" s="2"/>
    </row>
    <row r="1644" spans="1:26" ht="13.8" x14ac:dyDescent="0.3">
      <c r="A1644" s="2"/>
      <c r="B1644" s="2"/>
      <c r="C1644" s="10"/>
      <c r="D1644" s="10"/>
      <c r="E1644" s="10"/>
      <c r="F1644" s="10"/>
      <c r="G1644" s="69"/>
      <c r="H1644" s="69"/>
      <c r="I1644" s="69"/>
      <c r="J1644" s="70"/>
      <c r="K1644" s="69"/>
      <c r="L1644" s="69"/>
      <c r="M1644" s="69"/>
      <c r="N1644" s="69"/>
      <c r="O1644" s="69"/>
      <c r="P1644" s="2"/>
      <c r="Q1644" s="2"/>
      <c r="R1644" s="32"/>
      <c r="S1644" s="32"/>
      <c r="T1644" s="32"/>
      <c r="U1644" s="32"/>
      <c r="V1644" s="2"/>
      <c r="W1644" s="2"/>
      <c r="X1644" s="2"/>
      <c r="Y1644" s="2"/>
      <c r="Z1644" s="2"/>
    </row>
    <row r="1645" spans="1:26" ht="13.8" x14ac:dyDescent="0.3">
      <c r="A1645" s="2"/>
      <c r="B1645" s="2"/>
      <c r="C1645" s="10"/>
      <c r="D1645" s="10"/>
      <c r="E1645" s="10"/>
      <c r="F1645" s="10"/>
      <c r="G1645" s="69"/>
      <c r="H1645" s="69"/>
      <c r="I1645" s="69"/>
      <c r="J1645" s="70"/>
      <c r="K1645" s="69"/>
      <c r="L1645" s="69"/>
      <c r="M1645" s="69"/>
      <c r="N1645" s="69"/>
      <c r="O1645" s="69"/>
      <c r="P1645" s="2"/>
      <c r="Q1645" s="2"/>
      <c r="R1645" s="32"/>
      <c r="S1645" s="32"/>
      <c r="T1645" s="32"/>
      <c r="U1645" s="32"/>
      <c r="V1645" s="2"/>
      <c r="W1645" s="2"/>
      <c r="X1645" s="2"/>
      <c r="Y1645" s="2"/>
      <c r="Z1645" s="2"/>
    </row>
    <row r="1646" spans="1:26" ht="13.8" x14ac:dyDescent="0.3">
      <c r="A1646" s="2"/>
      <c r="B1646" s="2"/>
      <c r="C1646" s="10"/>
      <c r="D1646" s="10"/>
      <c r="E1646" s="10"/>
      <c r="F1646" s="10"/>
      <c r="G1646" s="69"/>
      <c r="H1646" s="69"/>
      <c r="I1646" s="69"/>
      <c r="J1646" s="70"/>
      <c r="K1646" s="69"/>
      <c r="L1646" s="69"/>
      <c r="M1646" s="69"/>
      <c r="N1646" s="69"/>
      <c r="O1646" s="69"/>
      <c r="P1646" s="2"/>
      <c r="Q1646" s="2"/>
      <c r="R1646" s="32"/>
      <c r="S1646" s="32"/>
      <c r="T1646" s="32"/>
      <c r="U1646" s="32"/>
      <c r="V1646" s="2"/>
      <c r="W1646" s="2"/>
      <c r="X1646" s="2"/>
      <c r="Y1646" s="2"/>
      <c r="Z1646" s="2"/>
    </row>
    <row r="1647" spans="1:26" ht="13.8" x14ac:dyDescent="0.3">
      <c r="A1647" s="2"/>
      <c r="B1647" s="2"/>
      <c r="C1647" s="10"/>
      <c r="D1647" s="10"/>
      <c r="E1647" s="10"/>
      <c r="F1647" s="10"/>
      <c r="G1647" s="69"/>
      <c r="H1647" s="69"/>
      <c r="I1647" s="69"/>
      <c r="J1647" s="70"/>
      <c r="K1647" s="69"/>
      <c r="L1647" s="69"/>
      <c r="M1647" s="69"/>
      <c r="N1647" s="69"/>
      <c r="O1647" s="69"/>
      <c r="P1647" s="2"/>
      <c r="Q1647" s="2"/>
      <c r="R1647" s="32"/>
      <c r="S1647" s="32"/>
      <c r="T1647" s="32"/>
      <c r="U1647" s="32"/>
      <c r="V1647" s="2"/>
      <c r="W1647" s="2"/>
      <c r="X1647" s="2"/>
      <c r="Y1647" s="2"/>
      <c r="Z1647" s="2"/>
    </row>
    <row r="1648" spans="1:26" ht="13.8" x14ac:dyDescent="0.3">
      <c r="A1648" s="2"/>
      <c r="B1648" s="2"/>
      <c r="C1648" s="10"/>
      <c r="D1648" s="10"/>
      <c r="E1648" s="10"/>
      <c r="F1648" s="10"/>
      <c r="G1648" s="69"/>
      <c r="H1648" s="69"/>
      <c r="I1648" s="69"/>
      <c r="J1648" s="70"/>
      <c r="K1648" s="69"/>
      <c r="L1648" s="69"/>
      <c r="M1648" s="69"/>
      <c r="N1648" s="69"/>
      <c r="O1648" s="69"/>
      <c r="P1648" s="2"/>
      <c r="Q1648" s="2"/>
      <c r="R1648" s="32"/>
      <c r="S1648" s="32"/>
      <c r="T1648" s="32"/>
      <c r="U1648" s="32"/>
      <c r="V1648" s="2"/>
      <c r="W1648" s="2"/>
      <c r="X1648" s="2"/>
      <c r="Y1648" s="2"/>
      <c r="Z1648" s="2"/>
    </row>
    <row r="1649" spans="1:26" ht="13.8" x14ac:dyDescent="0.3">
      <c r="A1649" s="2"/>
      <c r="B1649" s="2"/>
      <c r="C1649" s="10"/>
      <c r="D1649" s="10"/>
      <c r="E1649" s="10"/>
      <c r="F1649" s="10"/>
      <c r="G1649" s="69"/>
      <c r="H1649" s="69"/>
      <c r="I1649" s="69"/>
      <c r="J1649" s="70"/>
      <c r="K1649" s="69"/>
      <c r="L1649" s="69"/>
      <c r="M1649" s="69"/>
      <c r="N1649" s="69"/>
      <c r="O1649" s="69"/>
      <c r="P1649" s="2"/>
      <c r="Q1649" s="2"/>
      <c r="R1649" s="32"/>
      <c r="S1649" s="32"/>
      <c r="T1649" s="32"/>
      <c r="U1649" s="32"/>
      <c r="V1649" s="2"/>
      <c r="W1649" s="2"/>
      <c r="X1649" s="2"/>
      <c r="Y1649" s="2"/>
      <c r="Z1649" s="2"/>
    </row>
    <row r="1650" spans="1:26" ht="13.8" x14ac:dyDescent="0.3">
      <c r="A1650" s="2"/>
      <c r="B1650" s="2"/>
      <c r="C1650" s="10"/>
      <c r="D1650" s="10"/>
      <c r="E1650" s="10"/>
      <c r="F1650" s="10"/>
      <c r="G1650" s="69"/>
      <c r="H1650" s="69"/>
      <c r="I1650" s="69"/>
      <c r="J1650" s="70"/>
      <c r="K1650" s="69"/>
      <c r="L1650" s="69"/>
      <c r="M1650" s="69"/>
      <c r="N1650" s="69"/>
      <c r="O1650" s="69"/>
      <c r="P1650" s="2"/>
      <c r="Q1650" s="2"/>
      <c r="R1650" s="32"/>
      <c r="S1650" s="32"/>
      <c r="T1650" s="32"/>
      <c r="U1650" s="32"/>
      <c r="V1650" s="2"/>
      <c r="W1650" s="2"/>
      <c r="X1650" s="2"/>
      <c r="Y1650" s="2"/>
      <c r="Z1650" s="2"/>
    </row>
    <row r="1651" spans="1:26" ht="13.8" x14ac:dyDescent="0.3">
      <c r="A1651" s="2"/>
      <c r="B1651" s="2"/>
      <c r="C1651" s="10"/>
      <c r="D1651" s="10"/>
      <c r="E1651" s="10"/>
      <c r="F1651" s="10"/>
      <c r="G1651" s="69"/>
      <c r="H1651" s="69"/>
      <c r="I1651" s="69"/>
      <c r="J1651" s="70"/>
      <c r="K1651" s="69"/>
      <c r="L1651" s="69"/>
      <c r="M1651" s="69"/>
      <c r="N1651" s="69"/>
      <c r="O1651" s="69"/>
      <c r="P1651" s="2"/>
      <c r="Q1651" s="2"/>
      <c r="R1651" s="32"/>
      <c r="S1651" s="32"/>
      <c r="T1651" s="32"/>
      <c r="U1651" s="32"/>
      <c r="V1651" s="2"/>
      <c r="W1651" s="2"/>
      <c r="X1651" s="2"/>
      <c r="Y1651" s="2"/>
      <c r="Z1651" s="2"/>
    </row>
    <row r="1652" spans="1:26" ht="13.8" x14ac:dyDescent="0.3">
      <c r="A1652" s="2"/>
      <c r="B1652" s="2"/>
      <c r="C1652" s="10"/>
      <c r="D1652" s="10"/>
      <c r="E1652" s="10"/>
      <c r="F1652" s="10"/>
      <c r="G1652" s="69"/>
      <c r="H1652" s="69"/>
      <c r="I1652" s="69"/>
      <c r="J1652" s="70"/>
      <c r="K1652" s="69"/>
      <c r="L1652" s="69"/>
      <c r="M1652" s="69"/>
      <c r="N1652" s="69"/>
      <c r="O1652" s="69"/>
      <c r="P1652" s="2"/>
      <c r="Q1652" s="2"/>
      <c r="R1652" s="32"/>
      <c r="S1652" s="32"/>
      <c r="T1652" s="32"/>
      <c r="U1652" s="32"/>
      <c r="V1652" s="2"/>
      <c r="W1652" s="2"/>
      <c r="X1652" s="2"/>
      <c r="Y1652" s="2"/>
      <c r="Z1652" s="2"/>
    </row>
    <row r="1653" spans="1:26" ht="13.8" x14ac:dyDescent="0.3">
      <c r="A1653" s="2"/>
      <c r="B1653" s="2"/>
      <c r="C1653" s="10"/>
      <c r="D1653" s="10"/>
      <c r="E1653" s="10"/>
      <c r="F1653" s="10"/>
      <c r="G1653" s="69"/>
      <c r="H1653" s="69"/>
      <c r="I1653" s="69"/>
      <c r="J1653" s="70"/>
      <c r="K1653" s="69"/>
      <c r="L1653" s="69"/>
      <c r="M1653" s="69"/>
      <c r="N1653" s="69"/>
      <c r="O1653" s="69"/>
      <c r="P1653" s="2"/>
      <c r="Q1653" s="2"/>
      <c r="R1653" s="32"/>
      <c r="S1653" s="32"/>
      <c r="T1653" s="32"/>
      <c r="U1653" s="32"/>
      <c r="V1653" s="2"/>
      <c r="W1653" s="2"/>
      <c r="X1653" s="2"/>
      <c r="Y1653" s="2"/>
      <c r="Z1653" s="2"/>
    </row>
    <row r="1654" spans="1:26" ht="13.8" x14ac:dyDescent="0.3">
      <c r="A1654" s="2"/>
      <c r="B1654" s="2"/>
      <c r="C1654" s="10"/>
      <c r="D1654" s="10"/>
      <c r="E1654" s="10"/>
      <c r="F1654" s="10"/>
      <c r="G1654" s="69"/>
      <c r="H1654" s="69"/>
      <c r="I1654" s="69"/>
      <c r="J1654" s="70"/>
      <c r="K1654" s="69"/>
      <c r="L1654" s="69"/>
      <c r="M1654" s="69"/>
      <c r="N1654" s="69"/>
      <c r="O1654" s="69"/>
      <c r="P1654" s="2"/>
      <c r="Q1654" s="2"/>
      <c r="R1654" s="32"/>
      <c r="S1654" s="32"/>
      <c r="T1654" s="32"/>
      <c r="U1654" s="32"/>
      <c r="V1654" s="2"/>
      <c r="W1654" s="2"/>
      <c r="X1654" s="2"/>
      <c r="Y1654" s="2"/>
      <c r="Z1654" s="2"/>
    </row>
    <row r="1655" spans="1:26" ht="13.8" x14ac:dyDescent="0.3">
      <c r="A1655" s="2"/>
      <c r="B1655" s="2"/>
      <c r="C1655" s="10"/>
      <c r="D1655" s="10"/>
      <c r="E1655" s="10"/>
      <c r="F1655" s="10"/>
      <c r="G1655" s="69"/>
      <c r="H1655" s="69"/>
      <c r="I1655" s="69"/>
      <c r="J1655" s="70"/>
      <c r="K1655" s="69"/>
      <c r="L1655" s="69"/>
      <c r="M1655" s="69"/>
      <c r="N1655" s="69"/>
      <c r="O1655" s="69"/>
      <c r="P1655" s="2"/>
      <c r="Q1655" s="2"/>
      <c r="R1655" s="32"/>
      <c r="S1655" s="32"/>
      <c r="T1655" s="32"/>
      <c r="U1655" s="32"/>
      <c r="V1655" s="2"/>
      <c r="W1655" s="2"/>
      <c r="X1655" s="2"/>
      <c r="Y1655" s="2"/>
      <c r="Z1655" s="2"/>
    </row>
    <row r="1656" spans="1:26" ht="13.8" x14ac:dyDescent="0.3">
      <c r="A1656" s="2"/>
      <c r="B1656" s="2"/>
      <c r="C1656" s="10"/>
      <c r="D1656" s="10"/>
      <c r="E1656" s="10"/>
      <c r="F1656" s="10"/>
      <c r="G1656" s="69"/>
      <c r="H1656" s="69"/>
      <c r="I1656" s="69"/>
      <c r="J1656" s="70"/>
      <c r="K1656" s="69"/>
      <c r="L1656" s="69"/>
      <c r="M1656" s="69"/>
      <c r="N1656" s="69"/>
      <c r="O1656" s="69"/>
      <c r="P1656" s="2"/>
      <c r="Q1656" s="2"/>
      <c r="R1656" s="32"/>
      <c r="S1656" s="32"/>
      <c r="T1656" s="32"/>
      <c r="U1656" s="32"/>
      <c r="V1656" s="2"/>
      <c r="W1656" s="2"/>
      <c r="X1656" s="2"/>
      <c r="Y1656" s="2"/>
      <c r="Z1656" s="2"/>
    </row>
    <row r="1657" spans="1:26" ht="13.8" x14ac:dyDescent="0.3">
      <c r="A1657" s="2"/>
      <c r="B1657" s="2"/>
      <c r="C1657" s="10"/>
      <c r="D1657" s="10"/>
      <c r="E1657" s="10"/>
      <c r="F1657" s="10"/>
      <c r="G1657" s="69"/>
      <c r="H1657" s="69"/>
      <c r="I1657" s="69"/>
      <c r="J1657" s="70"/>
      <c r="K1657" s="69"/>
      <c r="L1657" s="69"/>
      <c r="M1657" s="69"/>
      <c r="N1657" s="69"/>
      <c r="O1657" s="69"/>
      <c r="P1657" s="2"/>
      <c r="Q1657" s="2"/>
      <c r="R1657" s="32"/>
      <c r="S1657" s="32"/>
      <c r="T1657" s="32"/>
      <c r="U1657" s="32"/>
      <c r="V1657" s="2"/>
      <c r="W1657" s="2"/>
      <c r="X1657" s="2"/>
      <c r="Y1657" s="2"/>
      <c r="Z1657" s="2"/>
    </row>
    <row r="1658" spans="1:26" ht="13.8" x14ac:dyDescent="0.3">
      <c r="A1658" s="2"/>
      <c r="B1658" s="2"/>
      <c r="C1658" s="10"/>
      <c r="D1658" s="10"/>
      <c r="E1658" s="10"/>
      <c r="F1658" s="10"/>
      <c r="G1658" s="69"/>
      <c r="H1658" s="69"/>
      <c r="I1658" s="69"/>
      <c r="J1658" s="70"/>
      <c r="K1658" s="69"/>
      <c r="L1658" s="69"/>
      <c r="M1658" s="69"/>
      <c r="N1658" s="69"/>
      <c r="O1658" s="69"/>
      <c r="P1658" s="2"/>
      <c r="Q1658" s="2"/>
      <c r="R1658" s="32"/>
      <c r="S1658" s="32"/>
      <c r="T1658" s="32"/>
      <c r="U1658" s="32"/>
      <c r="V1658" s="2"/>
      <c r="W1658" s="2"/>
      <c r="X1658" s="2"/>
      <c r="Y1658" s="2"/>
      <c r="Z1658" s="2"/>
    </row>
    <row r="1659" spans="1:26" ht="13.8" x14ac:dyDescent="0.3">
      <c r="A1659" s="2"/>
      <c r="B1659" s="2"/>
      <c r="C1659" s="10"/>
      <c r="D1659" s="10"/>
      <c r="E1659" s="10"/>
      <c r="F1659" s="10"/>
      <c r="G1659" s="69"/>
      <c r="H1659" s="69"/>
      <c r="I1659" s="69"/>
      <c r="J1659" s="70"/>
      <c r="K1659" s="69"/>
      <c r="L1659" s="69"/>
      <c r="M1659" s="69"/>
      <c r="N1659" s="69"/>
      <c r="O1659" s="69"/>
      <c r="P1659" s="2"/>
      <c r="Q1659" s="2"/>
      <c r="R1659" s="32"/>
      <c r="S1659" s="32"/>
      <c r="T1659" s="32"/>
      <c r="U1659" s="32"/>
      <c r="V1659" s="2"/>
      <c r="W1659" s="2"/>
      <c r="X1659" s="2"/>
      <c r="Y1659" s="2"/>
      <c r="Z1659" s="2"/>
    </row>
    <row r="1660" spans="1:26" ht="13.8" x14ac:dyDescent="0.3">
      <c r="A1660" s="2"/>
      <c r="B1660" s="2"/>
      <c r="C1660" s="10"/>
      <c r="D1660" s="10"/>
      <c r="E1660" s="10"/>
      <c r="F1660" s="10"/>
      <c r="G1660" s="69"/>
      <c r="H1660" s="69"/>
      <c r="I1660" s="69"/>
      <c r="J1660" s="70"/>
      <c r="K1660" s="69"/>
      <c r="L1660" s="69"/>
      <c r="M1660" s="69"/>
      <c r="N1660" s="69"/>
      <c r="O1660" s="69"/>
      <c r="P1660" s="2"/>
      <c r="Q1660" s="2"/>
      <c r="R1660" s="32"/>
      <c r="S1660" s="32"/>
      <c r="T1660" s="32"/>
      <c r="U1660" s="32"/>
      <c r="V1660" s="2"/>
      <c r="W1660" s="2"/>
      <c r="X1660" s="2"/>
      <c r="Y1660" s="2"/>
      <c r="Z1660" s="2"/>
    </row>
    <row r="1661" spans="1:26" ht="13.8" x14ac:dyDescent="0.3">
      <c r="A1661" s="2"/>
      <c r="B1661" s="2"/>
      <c r="C1661" s="10"/>
      <c r="D1661" s="10"/>
      <c r="E1661" s="10"/>
      <c r="F1661" s="10"/>
      <c r="G1661" s="69"/>
      <c r="H1661" s="69"/>
      <c r="I1661" s="69"/>
      <c r="J1661" s="70"/>
      <c r="K1661" s="69"/>
      <c r="L1661" s="69"/>
      <c r="M1661" s="69"/>
      <c r="N1661" s="69"/>
      <c r="O1661" s="69"/>
      <c r="P1661" s="2"/>
      <c r="Q1661" s="2"/>
      <c r="R1661" s="32"/>
      <c r="S1661" s="32"/>
      <c r="T1661" s="32"/>
      <c r="U1661" s="32"/>
      <c r="V1661" s="2"/>
      <c r="W1661" s="2"/>
      <c r="X1661" s="2"/>
      <c r="Y1661" s="2"/>
      <c r="Z1661" s="2"/>
    </row>
    <row r="1662" spans="1:26" ht="13.8" x14ac:dyDescent="0.3">
      <c r="A1662" s="2"/>
      <c r="B1662" s="2"/>
      <c r="C1662" s="10"/>
      <c r="D1662" s="10"/>
      <c r="E1662" s="10"/>
      <c r="F1662" s="10"/>
      <c r="G1662" s="69"/>
      <c r="H1662" s="69"/>
      <c r="I1662" s="69"/>
      <c r="J1662" s="70"/>
      <c r="K1662" s="69"/>
      <c r="L1662" s="69"/>
      <c r="M1662" s="69"/>
      <c r="N1662" s="69"/>
      <c r="O1662" s="69"/>
      <c r="P1662" s="2"/>
      <c r="Q1662" s="2"/>
      <c r="R1662" s="32"/>
      <c r="S1662" s="32"/>
      <c r="T1662" s="32"/>
      <c r="U1662" s="32"/>
      <c r="V1662" s="2"/>
      <c r="W1662" s="2"/>
      <c r="X1662" s="2"/>
      <c r="Y1662" s="2"/>
      <c r="Z1662" s="2"/>
    </row>
    <row r="1663" spans="1:26" ht="13.8" x14ac:dyDescent="0.3">
      <c r="A1663" s="2"/>
      <c r="B1663" s="2"/>
      <c r="C1663" s="10"/>
      <c r="D1663" s="10"/>
      <c r="E1663" s="10"/>
      <c r="F1663" s="10"/>
      <c r="G1663" s="69"/>
      <c r="H1663" s="69"/>
      <c r="I1663" s="69"/>
      <c r="J1663" s="70"/>
      <c r="K1663" s="69"/>
      <c r="L1663" s="69"/>
      <c r="M1663" s="69"/>
      <c r="N1663" s="69"/>
      <c r="O1663" s="69"/>
      <c r="P1663" s="2"/>
      <c r="Q1663" s="2"/>
      <c r="R1663" s="32"/>
      <c r="S1663" s="32"/>
      <c r="T1663" s="32"/>
      <c r="U1663" s="32"/>
      <c r="V1663" s="2"/>
      <c r="W1663" s="2"/>
      <c r="X1663" s="2"/>
      <c r="Y1663" s="2"/>
      <c r="Z1663" s="2"/>
    </row>
    <row r="1664" spans="1:26" ht="13.8" x14ac:dyDescent="0.3">
      <c r="A1664" s="2"/>
      <c r="B1664" s="2"/>
      <c r="C1664" s="10"/>
      <c r="D1664" s="10"/>
      <c r="E1664" s="10"/>
      <c r="F1664" s="10"/>
      <c r="G1664" s="69"/>
      <c r="H1664" s="69"/>
      <c r="I1664" s="69"/>
      <c r="J1664" s="70"/>
      <c r="K1664" s="69"/>
      <c r="L1664" s="69"/>
      <c r="M1664" s="69"/>
      <c r="N1664" s="69"/>
      <c r="O1664" s="69"/>
      <c r="P1664" s="2"/>
      <c r="Q1664" s="2"/>
      <c r="R1664" s="32"/>
      <c r="S1664" s="32"/>
      <c r="T1664" s="32"/>
      <c r="U1664" s="32"/>
      <c r="V1664" s="2"/>
      <c r="W1664" s="2"/>
      <c r="X1664" s="2"/>
      <c r="Y1664" s="2"/>
      <c r="Z1664" s="2"/>
    </row>
    <row r="1665" spans="1:26" ht="13.8" x14ac:dyDescent="0.3">
      <c r="A1665" s="2"/>
      <c r="B1665" s="2"/>
      <c r="C1665" s="10"/>
      <c r="D1665" s="10"/>
      <c r="E1665" s="10"/>
      <c r="F1665" s="10"/>
      <c r="G1665" s="69"/>
      <c r="H1665" s="69"/>
      <c r="I1665" s="69"/>
      <c r="J1665" s="70"/>
      <c r="K1665" s="69"/>
      <c r="L1665" s="69"/>
      <c r="M1665" s="69"/>
      <c r="N1665" s="69"/>
      <c r="O1665" s="69"/>
      <c r="P1665" s="2"/>
      <c r="Q1665" s="2"/>
      <c r="R1665" s="32"/>
      <c r="S1665" s="32"/>
      <c r="T1665" s="32"/>
      <c r="U1665" s="32"/>
      <c r="V1665" s="2"/>
      <c r="W1665" s="2"/>
      <c r="X1665" s="2"/>
      <c r="Y1665" s="2"/>
      <c r="Z1665" s="2"/>
    </row>
    <row r="1666" spans="1:26" ht="13.8" x14ac:dyDescent="0.3">
      <c r="A1666" s="2"/>
      <c r="B1666" s="2"/>
      <c r="C1666" s="10"/>
      <c r="D1666" s="10"/>
      <c r="E1666" s="10"/>
      <c r="F1666" s="10"/>
      <c r="G1666" s="69"/>
      <c r="H1666" s="69"/>
      <c r="I1666" s="69"/>
      <c r="J1666" s="70"/>
      <c r="K1666" s="69"/>
      <c r="L1666" s="69"/>
      <c r="M1666" s="69"/>
      <c r="N1666" s="69"/>
      <c r="O1666" s="69"/>
      <c r="P1666" s="2"/>
      <c r="Q1666" s="2"/>
      <c r="R1666" s="32"/>
      <c r="S1666" s="32"/>
      <c r="T1666" s="32"/>
      <c r="U1666" s="32"/>
      <c r="V1666" s="2"/>
      <c r="W1666" s="2"/>
      <c r="X1666" s="2"/>
      <c r="Y1666" s="2"/>
      <c r="Z1666" s="2"/>
    </row>
    <row r="1667" spans="1:26" ht="13.8" x14ac:dyDescent="0.3">
      <c r="A1667" s="2"/>
      <c r="B1667" s="2"/>
      <c r="C1667" s="10"/>
      <c r="D1667" s="10"/>
      <c r="E1667" s="10"/>
      <c r="F1667" s="10"/>
      <c r="G1667" s="69"/>
      <c r="H1667" s="69"/>
      <c r="I1667" s="69"/>
      <c r="J1667" s="70"/>
      <c r="K1667" s="69"/>
      <c r="L1667" s="69"/>
      <c r="M1667" s="69"/>
      <c r="N1667" s="69"/>
      <c r="O1667" s="69"/>
      <c r="P1667" s="2"/>
      <c r="Q1667" s="2"/>
      <c r="R1667" s="32"/>
      <c r="S1667" s="32"/>
      <c r="T1667" s="32"/>
      <c r="U1667" s="32"/>
      <c r="V1667" s="2"/>
      <c r="W1667" s="2"/>
      <c r="X1667" s="2"/>
      <c r="Y1667" s="2"/>
      <c r="Z1667" s="2"/>
    </row>
    <row r="1668" spans="1:26" ht="13.8" x14ac:dyDescent="0.3">
      <c r="A1668" s="2"/>
      <c r="B1668" s="2"/>
      <c r="C1668" s="10"/>
      <c r="D1668" s="10"/>
      <c r="E1668" s="10"/>
      <c r="F1668" s="10"/>
      <c r="G1668" s="69"/>
      <c r="H1668" s="69"/>
      <c r="I1668" s="69"/>
      <c r="J1668" s="70"/>
      <c r="K1668" s="69"/>
      <c r="L1668" s="69"/>
      <c r="M1668" s="69"/>
      <c r="N1668" s="69"/>
      <c r="O1668" s="69"/>
      <c r="P1668" s="2"/>
      <c r="Q1668" s="2"/>
      <c r="R1668" s="32"/>
      <c r="S1668" s="32"/>
      <c r="T1668" s="32"/>
      <c r="U1668" s="32"/>
      <c r="V1668" s="2"/>
      <c r="W1668" s="2"/>
      <c r="X1668" s="2"/>
      <c r="Y1668" s="2"/>
      <c r="Z1668" s="2"/>
    </row>
    <row r="1669" spans="1:26" ht="13.8" x14ac:dyDescent="0.3">
      <c r="A1669" s="2"/>
      <c r="B1669" s="2"/>
      <c r="C1669" s="10"/>
      <c r="D1669" s="10"/>
      <c r="E1669" s="10"/>
      <c r="F1669" s="10"/>
      <c r="G1669" s="69"/>
      <c r="H1669" s="69"/>
      <c r="I1669" s="69"/>
      <c r="J1669" s="70"/>
      <c r="K1669" s="69"/>
      <c r="L1669" s="69"/>
      <c r="M1669" s="69"/>
      <c r="N1669" s="69"/>
      <c r="O1669" s="69"/>
      <c r="P1669" s="2"/>
      <c r="Q1669" s="2"/>
      <c r="R1669" s="32"/>
      <c r="S1669" s="32"/>
      <c r="T1669" s="32"/>
      <c r="U1669" s="32"/>
      <c r="V1669" s="2"/>
      <c r="W1669" s="2"/>
      <c r="X1669" s="2"/>
      <c r="Y1669" s="2"/>
      <c r="Z1669" s="2"/>
    </row>
    <row r="1670" spans="1:26" ht="13.8" x14ac:dyDescent="0.3">
      <c r="A1670" s="2"/>
      <c r="B1670" s="2"/>
      <c r="C1670" s="10"/>
      <c r="D1670" s="10"/>
      <c r="E1670" s="10"/>
      <c r="F1670" s="10"/>
      <c r="G1670" s="69"/>
      <c r="H1670" s="69"/>
      <c r="I1670" s="69"/>
      <c r="J1670" s="70"/>
      <c r="K1670" s="69"/>
      <c r="L1670" s="69"/>
      <c r="M1670" s="69"/>
      <c r="N1670" s="69"/>
      <c r="O1670" s="69"/>
      <c r="P1670" s="2"/>
      <c r="Q1670" s="2"/>
      <c r="R1670" s="32"/>
      <c r="S1670" s="32"/>
      <c r="T1670" s="32"/>
      <c r="U1670" s="32"/>
      <c r="V1670" s="2"/>
      <c r="W1670" s="2"/>
      <c r="X1670" s="2"/>
      <c r="Y1670" s="2"/>
      <c r="Z1670" s="2"/>
    </row>
    <row r="1671" spans="1:26" ht="13.8" x14ac:dyDescent="0.3">
      <c r="A1671" s="2"/>
      <c r="B1671" s="2"/>
      <c r="C1671" s="10"/>
      <c r="D1671" s="10"/>
      <c r="E1671" s="10"/>
      <c r="F1671" s="10"/>
      <c r="G1671" s="69"/>
      <c r="H1671" s="69"/>
      <c r="I1671" s="69"/>
      <c r="J1671" s="70"/>
      <c r="K1671" s="69"/>
      <c r="L1671" s="69"/>
      <c r="M1671" s="69"/>
      <c r="N1671" s="69"/>
      <c r="O1671" s="69"/>
      <c r="P1671" s="2"/>
      <c r="Q1671" s="2"/>
      <c r="R1671" s="32"/>
      <c r="S1671" s="32"/>
      <c r="T1671" s="32"/>
      <c r="U1671" s="32"/>
      <c r="V1671" s="2"/>
      <c r="W1671" s="2"/>
      <c r="X1671" s="2"/>
      <c r="Y1671" s="2"/>
      <c r="Z1671" s="2"/>
    </row>
    <row r="1672" spans="1:26" ht="13.8" x14ac:dyDescent="0.3">
      <c r="A1672" s="2"/>
      <c r="B1672" s="2"/>
      <c r="C1672" s="10"/>
      <c r="D1672" s="10"/>
      <c r="E1672" s="10"/>
      <c r="F1672" s="10"/>
      <c r="G1672" s="69"/>
      <c r="H1672" s="69"/>
      <c r="I1672" s="69"/>
      <c r="J1672" s="70"/>
      <c r="K1672" s="69"/>
      <c r="L1672" s="69"/>
      <c r="M1672" s="69"/>
      <c r="N1672" s="69"/>
      <c r="O1672" s="69"/>
      <c r="P1672" s="2"/>
      <c r="Q1672" s="2"/>
      <c r="R1672" s="32"/>
      <c r="S1672" s="32"/>
      <c r="T1672" s="32"/>
      <c r="U1672" s="32"/>
      <c r="V1672" s="2"/>
      <c r="W1672" s="2"/>
      <c r="X1672" s="2"/>
      <c r="Y1672" s="2"/>
      <c r="Z1672" s="2"/>
    </row>
    <row r="1673" spans="1:26" ht="13.8" x14ac:dyDescent="0.3">
      <c r="A1673" s="2"/>
      <c r="B1673" s="2"/>
      <c r="C1673" s="10"/>
      <c r="D1673" s="10"/>
      <c r="E1673" s="10"/>
      <c r="F1673" s="10"/>
      <c r="G1673" s="69"/>
      <c r="H1673" s="69"/>
      <c r="I1673" s="69"/>
      <c r="J1673" s="70"/>
      <c r="K1673" s="69"/>
      <c r="L1673" s="69"/>
      <c r="M1673" s="69"/>
      <c r="N1673" s="69"/>
      <c r="O1673" s="69"/>
      <c r="P1673" s="2"/>
      <c r="Q1673" s="2"/>
      <c r="R1673" s="32"/>
      <c r="S1673" s="32"/>
      <c r="T1673" s="32"/>
      <c r="U1673" s="32"/>
      <c r="V1673" s="2"/>
      <c r="W1673" s="2"/>
      <c r="X1673" s="2"/>
      <c r="Y1673" s="2"/>
      <c r="Z1673" s="2"/>
    </row>
    <row r="1674" spans="1:26" ht="13.8" x14ac:dyDescent="0.3">
      <c r="A1674" s="2"/>
      <c r="B1674" s="2"/>
      <c r="C1674" s="10"/>
      <c r="D1674" s="10"/>
      <c r="E1674" s="10"/>
      <c r="F1674" s="10"/>
      <c r="G1674" s="69"/>
      <c r="H1674" s="69"/>
      <c r="I1674" s="69"/>
      <c r="J1674" s="70"/>
      <c r="K1674" s="69"/>
      <c r="L1674" s="69"/>
      <c r="M1674" s="69"/>
      <c r="N1674" s="69"/>
      <c r="O1674" s="69"/>
      <c r="P1674" s="2"/>
      <c r="Q1674" s="2"/>
      <c r="R1674" s="32"/>
      <c r="S1674" s="32"/>
      <c r="T1674" s="32"/>
      <c r="U1674" s="32"/>
      <c r="V1674" s="2"/>
      <c r="W1674" s="2"/>
      <c r="X1674" s="2"/>
      <c r="Y1674" s="2"/>
      <c r="Z1674" s="2"/>
    </row>
    <row r="1675" spans="1:26" ht="13.8" x14ac:dyDescent="0.3">
      <c r="A1675" s="2"/>
      <c r="B1675" s="2"/>
      <c r="C1675" s="10"/>
      <c r="D1675" s="10"/>
      <c r="E1675" s="10"/>
      <c r="F1675" s="10"/>
      <c r="G1675" s="69"/>
      <c r="H1675" s="69"/>
      <c r="I1675" s="69"/>
      <c r="J1675" s="70"/>
      <c r="K1675" s="69"/>
      <c r="L1675" s="69"/>
      <c r="M1675" s="69"/>
      <c r="N1675" s="69"/>
      <c r="O1675" s="69"/>
      <c r="P1675" s="2"/>
      <c r="Q1675" s="2"/>
      <c r="R1675" s="32"/>
      <c r="S1675" s="32"/>
      <c r="T1675" s="32"/>
      <c r="U1675" s="32"/>
      <c r="V1675" s="2"/>
      <c r="W1675" s="2"/>
      <c r="X1675" s="2"/>
      <c r="Y1675" s="2"/>
      <c r="Z1675" s="2"/>
    </row>
    <row r="1676" spans="1:26" ht="13.8" x14ac:dyDescent="0.3">
      <c r="A1676" s="2"/>
      <c r="B1676" s="2"/>
      <c r="C1676" s="10"/>
      <c r="D1676" s="10"/>
      <c r="E1676" s="10"/>
      <c r="F1676" s="10"/>
      <c r="G1676" s="69"/>
      <c r="H1676" s="69"/>
      <c r="I1676" s="69"/>
      <c r="J1676" s="70"/>
      <c r="K1676" s="69"/>
      <c r="L1676" s="69"/>
      <c r="M1676" s="69"/>
      <c r="N1676" s="69"/>
      <c r="O1676" s="69"/>
      <c r="P1676" s="2"/>
      <c r="Q1676" s="2"/>
      <c r="R1676" s="32"/>
      <c r="S1676" s="32"/>
      <c r="T1676" s="32"/>
      <c r="U1676" s="32"/>
      <c r="V1676" s="2"/>
      <c r="W1676" s="2"/>
      <c r="X1676" s="2"/>
      <c r="Y1676" s="2"/>
      <c r="Z1676" s="2"/>
    </row>
    <row r="1677" spans="1:26" ht="13.8" x14ac:dyDescent="0.3">
      <c r="A1677" s="2"/>
      <c r="B1677" s="2"/>
      <c r="C1677" s="10"/>
      <c r="D1677" s="10"/>
      <c r="E1677" s="10"/>
      <c r="F1677" s="10"/>
      <c r="G1677" s="69"/>
      <c r="H1677" s="69"/>
      <c r="I1677" s="69"/>
      <c r="J1677" s="70"/>
      <c r="K1677" s="69"/>
      <c r="L1677" s="69"/>
      <c r="M1677" s="69"/>
      <c r="N1677" s="69"/>
      <c r="O1677" s="69"/>
      <c r="P1677" s="2"/>
      <c r="Q1677" s="2"/>
      <c r="R1677" s="32"/>
      <c r="S1677" s="32"/>
      <c r="T1677" s="32"/>
      <c r="U1677" s="32"/>
      <c r="V1677" s="2"/>
      <c r="W1677" s="2"/>
      <c r="X1677" s="2"/>
      <c r="Y1677" s="2"/>
      <c r="Z1677" s="2"/>
    </row>
    <row r="1678" spans="1:26" ht="13.8" x14ac:dyDescent="0.3">
      <c r="A1678" s="2"/>
      <c r="B1678" s="2"/>
      <c r="C1678" s="10"/>
      <c r="D1678" s="10"/>
      <c r="E1678" s="10"/>
      <c r="F1678" s="10"/>
      <c r="G1678" s="69"/>
      <c r="H1678" s="69"/>
      <c r="I1678" s="69"/>
      <c r="J1678" s="70"/>
      <c r="K1678" s="69"/>
      <c r="L1678" s="69"/>
      <c r="M1678" s="69"/>
      <c r="N1678" s="69"/>
      <c r="O1678" s="69"/>
      <c r="P1678" s="2"/>
      <c r="Q1678" s="2"/>
      <c r="R1678" s="32"/>
      <c r="S1678" s="32"/>
      <c r="T1678" s="32"/>
      <c r="U1678" s="32"/>
      <c r="V1678" s="2"/>
      <c r="W1678" s="2"/>
      <c r="X1678" s="2"/>
      <c r="Y1678" s="2"/>
      <c r="Z1678" s="2"/>
    </row>
    <row r="1679" spans="1:26" ht="13.8" x14ac:dyDescent="0.3">
      <c r="A1679" s="2"/>
      <c r="B1679" s="2"/>
      <c r="C1679" s="10"/>
      <c r="D1679" s="10"/>
      <c r="E1679" s="10"/>
      <c r="F1679" s="10"/>
      <c r="G1679" s="69"/>
      <c r="H1679" s="69"/>
      <c r="I1679" s="69"/>
      <c r="J1679" s="70"/>
      <c r="K1679" s="69"/>
      <c r="L1679" s="69"/>
      <c r="M1679" s="69"/>
      <c r="N1679" s="69"/>
      <c r="O1679" s="69"/>
      <c r="P1679" s="2"/>
      <c r="Q1679" s="2"/>
      <c r="R1679" s="32"/>
      <c r="S1679" s="32"/>
      <c r="T1679" s="32"/>
      <c r="U1679" s="32"/>
      <c r="V1679" s="2"/>
      <c r="W1679" s="2"/>
      <c r="X1679" s="2"/>
      <c r="Y1679" s="2"/>
      <c r="Z1679" s="2"/>
    </row>
    <row r="1680" spans="1:26" ht="13.8" x14ac:dyDescent="0.3">
      <c r="A1680" s="2"/>
      <c r="B1680" s="2"/>
      <c r="C1680" s="10"/>
      <c r="D1680" s="10"/>
      <c r="E1680" s="10"/>
      <c r="F1680" s="10"/>
      <c r="G1680" s="69"/>
      <c r="H1680" s="69"/>
      <c r="I1680" s="69"/>
      <c r="J1680" s="70"/>
      <c r="K1680" s="69"/>
      <c r="L1680" s="69"/>
      <c r="M1680" s="69"/>
      <c r="N1680" s="69"/>
      <c r="O1680" s="69"/>
      <c r="P1680" s="2"/>
      <c r="Q1680" s="2"/>
      <c r="R1680" s="32"/>
      <c r="S1680" s="32"/>
      <c r="T1680" s="32"/>
      <c r="U1680" s="32"/>
      <c r="V1680" s="2"/>
      <c r="W1680" s="2"/>
      <c r="X1680" s="2"/>
      <c r="Y1680" s="2"/>
      <c r="Z1680" s="2"/>
    </row>
    <row r="1681" spans="1:26" ht="13.8" x14ac:dyDescent="0.3">
      <c r="A1681" s="2"/>
      <c r="B1681" s="2"/>
      <c r="C1681" s="10"/>
      <c r="D1681" s="10"/>
      <c r="E1681" s="10"/>
      <c r="F1681" s="10"/>
      <c r="G1681" s="69"/>
      <c r="H1681" s="69"/>
      <c r="I1681" s="69"/>
      <c r="J1681" s="70"/>
      <c r="K1681" s="69"/>
      <c r="L1681" s="69"/>
      <c r="M1681" s="69"/>
      <c r="N1681" s="69"/>
      <c r="O1681" s="69"/>
      <c r="P1681" s="2"/>
      <c r="Q1681" s="2"/>
      <c r="R1681" s="32"/>
      <c r="S1681" s="32"/>
      <c r="T1681" s="32"/>
      <c r="U1681" s="32"/>
      <c r="V1681" s="2"/>
      <c r="W1681" s="2"/>
      <c r="X1681" s="2"/>
      <c r="Y1681" s="2"/>
      <c r="Z1681" s="2"/>
    </row>
    <row r="1682" spans="1:26" ht="13.8" x14ac:dyDescent="0.3">
      <c r="A1682" s="2"/>
      <c r="B1682" s="2"/>
      <c r="C1682" s="10"/>
      <c r="D1682" s="10"/>
      <c r="E1682" s="10"/>
      <c r="F1682" s="10"/>
      <c r="G1682" s="69"/>
      <c r="H1682" s="69"/>
      <c r="I1682" s="69"/>
      <c r="J1682" s="70"/>
      <c r="K1682" s="69"/>
      <c r="L1682" s="69"/>
      <c r="M1682" s="69"/>
      <c r="N1682" s="69"/>
      <c r="O1682" s="69"/>
      <c r="P1682" s="2"/>
      <c r="Q1682" s="2"/>
      <c r="R1682" s="32"/>
      <c r="S1682" s="32"/>
      <c r="T1682" s="32"/>
      <c r="U1682" s="32"/>
      <c r="V1682" s="2"/>
      <c r="W1682" s="2"/>
      <c r="X1682" s="2"/>
      <c r="Y1682" s="2"/>
      <c r="Z1682" s="2"/>
    </row>
    <row r="1683" spans="1:26" ht="13.8" x14ac:dyDescent="0.3">
      <c r="A1683" s="2"/>
      <c r="B1683" s="2"/>
      <c r="C1683" s="10"/>
      <c r="D1683" s="10"/>
      <c r="E1683" s="10"/>
      <c r="F1683" s="10"/>
      <c r="G1683" s="69"/>
      <c r="H1683" s="69"/>
      <c r="I1683" s="69"/>
      <c r="J1683" s="70"/>
      <c r="K1683" s="69"/>
      <c r="L1683" s="69"/>
      <c r="M1683" s="69"/>
      <c r="N1683" s="69"/>
      <c r="O1683" s="69"/>
      <c r="P1683" s="2"/>
      <c r="Q1683" s="2"/>
      <c r="R1683" s="32"/>
      <c r="S1683" s="32"/>
      <c r="T1683" s="32"/>
      <c r="U1683" s="32"/>
      <c r="V1683" s="2"/>
      <c r="W1683" s="2"/>
      <c r="X1683" s="2"/>
      <c r="Y1683" s="2"/>
      <c r="Z1683" s="2"/>
    </row>
    <row r="1684" spans="1:26" ht="13.8" x14ac:dyDescent="0.3">
      <c r="A1684" s="2"/>
      <c r="B1684" s="2"/>
      <c r="C1684" s="10"/>
      <c r="D1684" s="10"/>
      <c r="E1684" s="10"/>
      <c r="F1684" s="10"/>
      <c r="G1684" s="69"/>
      <c r="H1684" s="69"/>
      <c r="I1684" s="69"/>
      <c r="J1684" s="70"/>
      <c r="K1684" s="69"/>
      <c r="L1684" s="69"/>
      <c r="M1684" s="69"/>
      <c r="N1684" s="69"/>
      <c r="O1684" s="69"/>
      <c r="P1684" s="2"/>
      <c r="Q1684" s="2"/>
      <c r="R1684" s="32"/>
      <c r="S1684" s="32"/>
      <c r="T1684" s="32"/>
      <c r="U1684" s="32"/>
      <c r="V1684" s="2"/>
      <c r="W1684" s="2"/>
      <c r="X1684" s="2"/>
      <c r="Y1684" s="2"/>
      <c r="Z1684" s="2"/>
    </row>
    <row r="1685" spans="1:26" ht="13.8" x14ac:dyDescent="0.3">
      <c r="A1685" s="2"/>
      <c r="B1685" s="2"/>
      <c r="C1685" s="10"/>
      <c r="D1685" s="10"/>
      <c r="E1685" s="10"/>
      <c r="F1685" s="10"/>
      <c r="G1685" s="69"/>
      <c r="H1685" s="69"/>
      <c r="I1685" s="69"/>
      <c r="J1685" s="70"/>
      <c r="K1685" s="69"/>
      <c r="L1685" s="69"/>
      <c r="M1685" s="69"/>
      <c r="N1685" s="69"/>
      <c r="O1685" s="69"/>
      <c r="P1685" s="2"/>
      <c r="Q1685" s="2"/>
      <c r="R1685" s="32"/>
      <c r="S1685" s="32"/>
      <c r="T1685" s="32"/>
      <c r="U1685" s="32"/>
      <c r="V1685" s="2"/>
      <c r="W1685" s="2"/>
      <c r="X1685" s="2"/>
      <c r="Y1685" s="2"/>
      <c r="Z1685" s="2"/>
    </row>
    <row r="1686" spans="1:26" ht="13.8" x14ac:dyDescent="0.3">
      <c r="A1686" s="2"/>
      <c r="B1686" s="2"/>
      <c r="C1686" s="10"/>
      <c r="D1686" s="10"/>
      <c r="E1686" s="10"/>
      <c r="F1686" s="10"/>
      <c r="G1686" s="69"/>
      <c r="H1686" s="69"/>
      <c r="I1686" s="69"/>
      <c r="J1686" s="70"/>
      <c r="K1686" s="69"/>
      <c r="L1686" s="69"/>
      <c r="M1686" s="69"/>
      <c r="N1686" s="69"/>
      <c r="O1686" s="69"/>
      <c r="P1686" s="2"/>
      <c r="Q1686" s="2"/>
      <c r="R1686" s="32"/>
      <c r="S1686" s="32"/>
      <c r="T1686" s="32"/>
      <c r="U1686" s="32"/>
      <c r="V1686" s="2"/>
      <c r="W1686" s="2"/>
      <c r="X1686" s="2"/>
      <c r="Y1686" s="2"/>
      <c r="Z1686" s="2"/>
    </row>
    <row r="1687" spans="1:26" ht="13.8" x14ac:dyDescent="0.3">
      <c r="A1687" s="2"/>
      <c r="B1687" s="2"/>
      <c r="C1687" s="10"/>
      <c r="D1687" s="10"/>
      <c r="E1687" s="10"/>
      <c r="F1687" s="10"/>
      <c r="G1687" s="69"/>
      <c r="H1687" s="69"/>
      <c r="I1687" s="69"/>
      <c r="J1687" s="70"/>
      <c r="K1687" s="69"/>
      <c r="L1687" s="69"/>
      <c r="M1687" s="69"/>
      <c r="N1687" s="69"/>
      <c r="O1687" s="69"/>
      <c r="P1687" s="2"/>
      <c r="Q1687" s="2"/>
      <c r="R1687" s="32"/>
      <c r="S1687" s="32"/>
      <c r="T1687" s="32"/>
      <c r="U1687" s="32"/>
      <c r="V1687" s="2"/>
      <c r="W1687" s="2"/>
      <c r="X1687" s="2"/>
      <c r="Y1687" s="2"/>
      <c r="Z1687" s="2"/>
    </row>
    <row r="1688" spans="1:26" ht="13.8" x14ac:dyDescent="0.3">
      <c r="A1688" s="2"/>
      <c r="B1688" s="2"/>
      <c r="C1688" s="10"/>
      <c r="D1688" s="10"/>
      <c r="E1688" s="10"/>
      <c r="F1688" s="10"/>
      <c r="G1688" s="69"/>
      <c r="H1688" s="69"/>
      <c r="I1688" s="69"/>
      <c r="J1688" s="70"/>
      <c r="K1688" s="69"/>
      <c r="L1688" s="69"/>
      <c r="M1688" s="69"/>
      <c r="N1688" s="69"/>
      <c r="O1688" s="69"/>
      <c r="P1688" s="2"/>
      <c r="Q1688" s="2"/>
      <c r="R1688" s="32"/>
      <c r="S1688" s="32"/>
      <c r="T1688" s="32"/>
      <c r="U1688" s="32"/>
      <c r="V1688" s="2"/>
      <c r="W1688" s="2"/>
      <c r="X1688" s="2"/>
      <c r="Y1688" s="2"/>
      <c r="Z1688" s="2"/>
    </row>
    <row r="1689" spans="1:26" ht="13.8" x14ac:dyDescent="0.3">
      <c r="A1689" s="2"/>
      <c r="B1689" s="2"/>
      <c r="C1689" s="10"/>
      <c r="D1689" s="10"/>
      <c r="E1689" s="10"/>
      <c r="F1689" s="10"/>
      <c r="G1689" s="69"/>
      <c r="H1689" s="69"/>
      <c r="I1689" s="69"/>
      <c r="J1689" s="70"/>
      <c r="K1689" s="69"/>
      <c r="L1689" s="69"/>
      <c r="M1689" s="69"/>
      <c r="N1689" s="69"/>
      <c r="O1689" s="69"/>
      <c r="P1689" s="2"/>
      <c r="Q1689" s="2"/>
      <c r="R1689" s="32"/>
      <c r="S1689" s="32"/>
      <c r="T1689" s="32"/>
      <c r="U1689" s="32"/>
      <c r="V1689" s="2"/>
      <c r="W1689" s="2"/>
      <c r="X1689" s="2"/>
      <c r="Y1689" s="2"/>
      <c r="Z1689" s="2"/>
    </row>
    <row r="1690" spans="1:26" ht="13.8" x14ac:dyDescent="0.3">
      <c r="A1690" s="2"/>
      <c r="B1690" s="2"/>
      <c r="C1690" s="10"/>
      <c r="D1690" s="10"/>
      <c r="E1690" s="10"/>
      <c r="F1690" s="10"/>
      <c r="G1690" s="69"/>
      <c r="H1690" s="69"/>
      <c r="I1690" s="69"/>
      <c r="J1690" s="70"/>
      <c r="K1690" s="69"/>
      <c r="L1690" s="69"/>
      <c r="M1690" s="69"/>
      <c r="N1690" s="69"/>
      <c r="O1690" s="69"/>
      <c r="P1690" s="2"/>
      <c r="Q1690" s="2"/>
      <c r="R1690" s="32"/>
      <c r="S1690" s="32"/>
      <c r="T1690" s="32"/>
      <c r="U1690" s="32"/>
      <c r="V1690" s="2"/>
      <c r="W1690" s="2"/>
      <c r="X1690" s="2"/>
      <c r="Y1690" s="2"/>
      <c r="Z1690" s="2"/>
    </row>
    <row r="1691" spans="1:26" ht="13.8" x14ac:dyDescent="0.3">
      <c r="A1691" s="2"/>
      <c r="B1691" s="2"/>
      <c r="C1691" s="10"/>
      <c r="D1691" s="10"/>
      <c r="E1691" s="10"/>
      <c r="F1691" s="10"/>
      <c r="G1691" s="69"/>
      <c r="H1691" s="69"/>
      <c r="I1691" s="69"/>
      <c r="J1691" s="70"/>
      <c r="K1691" s="69"/>
      <c r="L1691" s="69"/>
      <c r="M1691" s="69"/>
      <c r="N1691" s="69"/>
      <c r="O1691" s="69"/>
      <c r="P1691" s="2"/>
      <c r="Q1691" s="2"/>
      <c r="R1691" s="32"/>
      <c r="S1691" s="32"/>
      <c r="T1691" s="32"/>
      <c r="U1691" s="32"/>
      <c r="V1691" s="2"/>
      <c r="W1691" s="2"/>
      <c r="X1691" s="2"/>
      <c r="Y1691" s="2"/>
      <c r="Z1691" s="2"/>
    </row>
    <row r="1692" spans="1:26" ht="13.8" x14ac:dyDescent="0.3">
      <c r="A1692" s="2"/>
      <c r="B1692" s="2"/>
      <c r="C1692" s="10"/>
      <c r="D1692" s="10"/>
      <c r="E1692" s="10"/>
      <c r="F1692" s="10"/>
      <c r="G1692" s="69"/>
      <c r="H1692" s="69"/>
      <c r="I1692" s="69"/>
      <c r="J1692" s="70"/>
      <c r="K1692" s="69"/>
      <c r="L1692" s="69"/>
      <c r="M1692" s="69"/>
      <c r="N1692" s="69"/>
      <c r="O1692" s="69"/>
      <c r="P1692" s="2"/>
      <c r="Q1692" s="2"/>
      <c r="R1692" s="32"/>
      <c r="S1692" s="32"/>
      <c r="T1692" s="32"/>
      <c r="U1692" s="32"/>
      <c r="V1692" s="2"/>
      <c r="W1692" s="2"/>
      <c r="X1692" s="2"/>
      <c r="Y1692" s="2"/>
      <c r="Z1692" s="2"/>
    </row>
    <row r="1693" spans="1:26" ht="13.8" x14ac:dyDescent="0.3">
      <c r="A1693" s="2"/>
      <c r="B1693" s="2"/>
      <c r="C1693" s="10"/>
      <c r="D1693" s="10"/>
      <c r="E1693" s="10"/>
      <c r="F1693" s="10"/>
      <c r="G1693" s="69"/>
      <c r="H1693" s="69"/>
      <c r="I1693" s="69"/>
      <c r="J1693" s="70"/>
      <c r="K1693" s="69"/>
      <c r="L1693" s="69"/>
      <c r="M1693" s="69"/>
      <c r="N1693" s="69"/>
      <c r="O1693" s="69"/>
      <c r="P1693" s="2"/>
      <c r="Q1693" s="2"/>
      <c r="R1693" s="32"/>
      <c r="S1693" s="32"/>
      <c r="T1693" s="32"/>
      <c r="U1693" s="32"/>
      <c r="V1693" s="2"/>
      <c r="W1693" s="2"/>
      <c r="X1693" s="2"/>
      <c r="Y1693" s="2"/>
      <c r="Z1693" s="2"/>
    </row>
    <row r="1694" spans="1:26" ht="13.8" x14ac:dyDescent="0.3">
      <c r="A1694" s="2"/>
      <c r="B1694" s="2"/>
      <c r="C1694" s="10"/>
      <c r="D1694" s="10"/>
      <c r="E1694" s="10"/>
      <c r="F1694" s="10"/>
      <c r="G1694" s="69"/>
      <c r="H1694" s="69"/>
      <c r="I1694" s="69"/>
      <c r="J1694" s="70"/>
      <c r="K1694" s="69"/>
      <c r="L1694" s="69"/>
      <c r="M1694" s="69"/>
      <c r="N1694" s="69"/>
      <c r="O1694" s="69"/>
      <c r="P1694" s="2"/>
      <c r="Q1694" s="2"/>
      <c r="R1694" s="32"/>
      <c r="S1694" s="32"/>
      <c r="T1694" s="32"/>
      <c r="U1694" s="32"/>
      <c r="V1694" s="2"/>
      <c r="W1694" s="2"/>
      <c r="X1694" s="2"/>
      <c r="Y1694" s="2"/>
      <c r="Z1694" s="2"/>
    </row>
    <row r="1695" spans="1:26" ht="13.8" x14ac:dyDescent="0.3">
      <c r="A1695" s="2"/>
      <c r="B1695" s="2"/>
      <c r="C1695" s="10"/>
      <c r="D1695" s="10"/>
      <c r="E1695" s="10"/>
      <c r="F1695" s="10"/>
      <c r="G1695" s="69"/>
      <c r="H1695" s="69"/>
      <c r="I1695" s="69"/>
      <c r="J1695" s="70"/>
      <c r="K1695" s="69"/>
      <c r="L1695" s="69"/>
      <c r="M1695" s="69"/>
      <c r="N1695" s="69"/>
      <c r="O1695" s="69"/>
      <c r="P1695" s="2"/>
      <c r="Q1695" s="2"/>
      <c r="R1695" s="32"/>
      <c r="S1695" s="32"/>
      <c r="T1695" s="32"/>
      <c r="U1695" s="32"/>
      <c r="V1695" s="2"/>
      <c r="W1695" s="2"/>
      <c r="X1695" s="2"/>
      <c r="Y1695" s="2"/>
      <c r="Z1695" s="2"/>
    </row>
    <row r="1696" spans="1:26" ht="13.8" x14ac:dyDescent="0.3">
      <c r="A1696" s="2"/>
      <c r="B1696" s="2"/>
      <c r="C1696" s="10"/>
      <c r="D1696" s="10"/>
      <c r="E1696" s="10"/>
      <c r="F1696" s="10"/>
      <c r="G1696" s="69"/>
      <c r="H1696" s="69"/>
      <c r="I1696" s="69"/>
      <c r="J1696" s="70"/>
      <c r="K1696" s="69"/>
      <c r="L1696" s="69"/>
      <c r="M1696" s="69"/>
      <c r="N1696" s="69"/>
      <c r="O1696" s="69"/>
      <c r="P1696" s="2"/>
      <c r="Q1696" s="2"/>
      <c r="R1696" s="32"/>
      <c r="S1696" s="32"/>
      <c r="T1696" s="32"/>
      <c r="U1696" s="32"/>
      <c r="V1696" s="2"/>
      <c r="W1696" s="2"/>
      <c r="X1696" s="2"/>
      <c r="Y1696" s="2"/>
      <c r="Z1696" s="2"/>
    </row>
    <row r="1697" spans="1:26" ht="13.8" x14ac:dyDescent="0.3">
      <c r="A1697" s="2"/>
      <c r="B1697" s="2"/>
      <c r="C1697" s="10"/>
      <c r="D1697" s="10"/>
      <c r="E1697" s="10"/>
      <c r="F1697" s="10"/>
      <c r="G1697" s="69"/>
      <c r="H1697" s="69"/>
      <c r="I1697" s="69"/>
      <c r="J1697" s="70"/>
      <c r="K1697" s="69"/>
      <c r="L1697" s="69"/>
      <c r="M1697" s="69"/>
      <c r="N1697" s="69"/>
      <c r="O1697" s="69"/>
      <c r="P1697" s="2"/>
      <c r="Q1697" s="2"/>
      <c r="R1697" s="32"/>
      <c r="S1697" s="32"/>
      <c r="T1697" s="32"/>
      <c r="U1697" s="32"/>
      <c r="V1697" s="2"/>
      <c r="W1697" s="2"/>
      <c r="X1697" s="2"/>
      <c r="Y1697" s="2"/>
      <c r="Z1697" s="2"/>
    </row>
    <row r="1698" spans="1:26" ht="13.8" x14ac:dyDescent="0.3">
      <c r="A1698" s="2"/>
      <c r="B1698" s="2"/>
      <c r="C1698" s="10"/>
      <c r="D1698" s="10"/>
      <c r="E1698" s="10"/>
      <c r="F1698" s="10"/>
      <c r="G1698" s="69"/>
      <c r="H1698" s="69"/>
      <c r="I1698" s="69"/>
      <c r="J1698" s="70"/>
      <c r="K1698" s="69"/>
      <c r="L1698" s="69"/>
      <c r="M1698" s="69"/>
      <c r="N1698" s="69"/>
      <c r="O1698" s="69"/>
      <c r="P1698" s="2"/>
      <c r="Q1698" s="2"/>
      <c r="R1698" s="32"/>
      <c r="S1698" s="32"/>
      <c r="T1698" s="32"/>
      <c r="U1698" s="32"/>
      <c r="V1698" s="2"/>
      <c r="W1698" s="2"/>
      <c r="X1698" s="2"/>
      <c r="Y1698" s="2"/>
      <c r="Z1698" s="2"/>
    </row>
    <row r="1699" spans="1:26" ht="13.8" x14ac:dyDescent="0.3">
      <c r="A1699" s="2"/>
      <c r="B1699" s="2"/>
      <c r="C1699" s="10"/>
      <c r="D1699" s="10"/>
      <c r="E1699" s="10"/>
      <c r="F1699" s="10"/>
      <c r="G1699" s="69"/>
      <c r="H1699" s="69"/>
      <c r="I1699" s="69"/>
      <c r="J1699" s="70"/>
      <c r="K1699" s="69"/>
      <c r="L1699" s="69"/>
      <c r="M1699" s="69"/>
      <c r="N1699" s="69"/>
      <c r="O1699" s="69"/>
      <c r="P1699" s="2"/>
      <c r="Q1699" s="2"/>
      <c r="R1699" s="32"/>
      <c r="S1699" s="32"/>
      <c r="T1699" s="32"/>
      <c r="U1699" s="32"/>
      <c r="V1699" s="2"/>
      <c r="W1699" s="2"/>
      <c r="X1699" s="2"/>
      <c r="Y1699" s="2"/>
      <c r="Z1699" s="2"/>
    </row>
    <row r="1700" spans="1:26" ht="13.8" x14ac:dyDescent="0.3">
      <c r="A1700" s="2"/>
      <c r="B1700" s="2"/>
      <c r="C1700" s="10"/>
      <c r="D1700" s="10"/>
      <c r="E1700" s="10"/>
      <c r="F1700" s="10"/>
      <c r="G1700" s="69"/>
      <c r="H1700" s="69"/>
      <c r="I1700" s="69"/>
      <c r="J1700" s="70"/>
      <c r="K1700" s="69"/>
      <c r="L1700" s="69"/>
      <c r="M1700" s="69"/>
      <c r="N1700" s="69"/>
      <c r="O1700" s="69"/>
      <c r="P1700" s="2"/>
      <c r="Q1700" s="2"/>
      <c r="R1700" s="32"/>
      <c r="S1700" s="32"/>
      <c r="T1700" s="32"/>
      <c r="U1700" s="32"/>
      <c r="V1700" s="2"/>
      <c r="W1700" s="2"/>
      <c r="X1700" s="2"/>
      <c r="Y1700" s="2"/>
      <c r="Z1700" s="2"/>
    </row>
    <row r="1701" spans="1:26" ht="13.8" x14ac:dyDescent="0.3">
      <c r="A1701" s="2"/>
      <c r="B1701" s="2"/>
      <c r="C1701" s="10"/>
      <c r="D1701" s="10"/>
      <c r="E1701" s="10"/>
      <c r="F1701" s="10"/>
      <c r="G1701" s="69"/>
      <c r="H1701" s="69"/>
      <c r="I1701" s="69"/>
      <c r="J1701" s="70"/>
      <c r="K1701" s="69"/>
      <c r="L1701" s="69"/>
      <c r="M1701" s="69"/>
      <c r="N1701" s="69"/>
      <c r="O1701" s="69"/>
      <c r="P1701" s="2"/>
      <c r="Q1701" s="2"/>
      <c r="R1701" s="32"/>
      <c r="S1701" s="32"/>
      <c r="T1701" s="32"/>
      <c r="U1701" s="32"/>
      <c r="V1701" s="2"/>
      <c r="W1701" s="2"/>
      <c r="X1701" s="2"/>
      <c r="Y1701" s="2"/>
      <c r="Z1701" s="2"/>
    </row>
    <row r="1702" spans="1:26" ht="13.8" x14ac:dyDescent="0.3">
      <c r="A1702" s="2"/>
      <c r="B1702" s="2"/>
      <c r="C1702" s="10"/>
      <c r="D1702" s="10"/>
      <c r="E1702" s="10"/>
      <c r="F1702" s="10"/>
      <c r="G1702" s="69"/>
      <c r="H1702" s="69"/>
      <c r="I1702" s="69"/>
      <c r="J1702" s="70"/>
      <c r="K1702" s="69"/>
      <c r="L1702" s="69"/>
      <c r="M1702" s="69"/>
      <c r="N1702" s="69"/>
      <c r="O1702" s="69"/>
      <c r="P1702" s="2"/>
      <c r="Q1702" s="2"/>
      <c r="R1702" s="32"/>
      <c r="S1702" s="32"/>
      <c r="T1702" s="32"/>
      <c r="U1702" s="32"/>
      <c r="V1702" s="2"/>
      <c r="W1702" s="2"/>
      <c r="X1702" s="2"/>
      <c r="Y1702" s="2"/>
      <c r="Z1702" s="2"/>
    </row>
    <row r="1703" spans="1:26" ht="13.8" x14ac:dyDescent="0.3">
      <c r="A1703" s="2"/>
      <c r="B1703" s="2"/>
      <c r="C1703" s="10"/>
      <c r="D1703" s="10"/>
      <c r="E1703" s="10"/>
      <c r="F1703" s="10"/>
      <c r="G1703" s="69"/>
      <c r="H1703" s="69"/>
      <c r="I1703" s="69"/>
      <c r="J1703" s="70"/>
      <c r="K1703" s="69"/>
      <c r="L1703" s="69"/>
      <c r="M1703" s="69"/>
      <c r="N1703" s="69"/>
      <c r="O1703" s="69"/>
      <c r="P1703" s="2"/>
      <c r="Q1703" s="2"/>
      <c r="R1703" s="32"/>
      <c r="S1703" s="32"/>
      <c r="T1703" s="32"/>
      <c r="U1703" s="32"/>
      <c r="V1703" s="2"/>
      <c r="W1703" s="2"/>
      <c r="X1703" s="2"/>
      <c r="Y1703" s="2"/>
      <c r="Z1703" s="2"/>
    </row>
    <row r="1704" spans="1:26" ht="13.8" x14ac:dyDescent="0.3">
      <c r="A1704" s="2"/>
      <c r="B1704" s="2"/>
      <c r="C1704" s="10"/>
      <c r="D1704" s="10"/>
      <c r="E1704" s="10"/>
      <c r="F1704" s="10"/>
      <c r="G1704" s="69"/>
      <c r="H1704" s="69"/>
      <c r="I1704" s="69"/>
      <c r="J1704" s="70"/>
      <c r="K1704" s="69"/>
      <c r="L1704" s="69"/>
      <c r="M1704" s="69"/>
      <c r="N1704" s="69"/>
      <c r="O1704" s="69"/>
      <c r="P1704" s="2"/>
      <c r="Q1704" s="2"/>
      <c r="R1704" s="32"/>
      <c r="S1704" s="32"/>
      <c r="T1704" s="32"/>
      <c r="U1704" s="32"/>
      <c r="V1704" s="2"/>
      <c r="W1704" s="2"/>
      <c r="X1704" s="2"/>
      <c r="Y1704" s="2"/>
      <c r="Z1704" s="2"/>
    </row>
    <row r="1705" spans="1:26" ht="13.8" x14ac:dyDescent="0.3">
      <c r="A1705" s="2"/>
      <c r="B1705" s="2"/>
      <c r="C1705" s="10"/>
      <c r="D1705" s="10"/>
      <c r="E1705" s="10"/>
      <c r="F1705" s="10"/>
      <c r="G1705" s="69"/>
      <c r="H1705" s="69"/>
      <c r="I1705" s="69"/>
      <c r="J1705" s="70"/>
      <c r="K1705" s="69"/>
      <c r="L1705" s="69"/>
      <c r="M1705" s="69"/>
      <c r="N1705" s="69"/>
      <c r="O1705" s="69"/>
      <c r="P1705" s="2"/>
      <c r="Q1705" s="2"/>
      <c r="R1705" s="32"/>
      <c r="S1705" s="32"/>
      <c r="T1705" s="32"/>
      <c r="U1705" s="32"/>
      <c r="V1705" s="2"/>
      <c r="W1705" s="2"/>
      <c r="X1705" s="2"/>
      <c r="Y1705" s="2"/>
      <c r="Z1705" s="2"/>
    </row>
    <row r="1706" spans="1:26" ht="13.8" x14ac:dyDescent="0.3">
      <c r="A1706" s="2"/>
      <c r="B1706" s="2"/>
      <c r="C1706" s="10"/>
      <c r="D1706" s="10"/>
      <c r="E1706" s="10"/>
      <c r="F1706" s="10"/>
      <c r="G1706" s="69"/>
      <c r="H1706" s="69"/>
      <c r="I1706" s="69"/>
      <c r="J1706" s="70"/>
      <c r="K1706" s="69"/>
      <c r="L1706" s="69"/>
      <c r="M1706" s="69"/>
      <c r="N1706" s="69"/>
      <c r="O1706" s="69"/>
      <c r="P1706" s="2"/>
      <c r="Q1706" s="2"/>
      <c r="R1706" s="32"/>
      <c r="S1706" s="32"/>
      <c r="T1706" s="32"/>
      <c r="U1706" s="32"/>
      <c r="V1706" s="2"/>
      <c r="W1706" s="2"/>
      <c r="X1706" s="2"/>
      <c r="Y1706" s="2"/>
      <c r="Z1706" s="2"/>
    </row>
    <row r="1707" spans="1:26" ht="13.8" x14ac:dyDescent="0.3">
      <c r="A1707" s="2"/>
      <c r="B1707" s="2"/>
      <c r="C1707" s="10"/>
      <c r="D1707" s="10"/>
      <c r="E1707" s="10"/>
      <c r="F1707" s="10"/>
      <c r="G1707" s="69"/>
      <c r="H1707" s="69"/>
      <c r="I1707" s="69"/>
      <c r="J1707" s="70"/>
      <c r="K1707" s="69"/>
      <c r="L1707" s="69"/>
      <c r="M1707" s="69"/>
      <c r="N1707" s="69"/>
      <c r="O1707" s="69"/>
      <c r="P1707" s="2"/>
      <c r="Q1707" s="2"/>
      <c r="R1707" s="32"/>
      <c r="S1707" s="32"/>
      <c r="T1707" s="32"/>
      <c r="U1707" s="32"/>
      <c r="V1707" s="2"/>
      <c r="W1707" s="2"/>
      <c r="X1707" s="2"/>
      <c r="Y1707" s="2"/>
      <c r="Z1707" s="2"/>
    </row>
    <row r="1708" spans="1:26" ht="13.8" x14ac:dyDescent="0.3">
      <c r="A1708" s="2"/>
      <c r="B1708" s="2"/>
      <c r="C1708" s="10"/>
      <c r="D1708" s="10"/>
      <c r="E1708" s="10"/>
      <c r="F1708" s="10"/>
      <c r="G1708" s="69"/>
      <c r="H1708" s="69"/>
      <c r="I1708" s="69"/>
      <c r="J1708" s="70"/>
      <c r="K1708" s="69"/>
      <c r="L1708" s="69"/>
      <c r="M1708" s="69"/>
      <c r="N1708" s="69"/>
      <c r="O1708" s="69"/>
      <c r="P1708" s="2"/>
      <c r="Q1708" s="2"/>
      <c r="R1708" s="32"/>
      <c r="S1708" s="32"/>
      <c r="T1708" s="32"/>
      <c r="U1708" s="32"/>
      <c r="V1708" s="2"/>
      <c r="W1708" s="2"/>
      <c r="X1708" s="2"/>
      <c r="Y1708" s="2"/>
      <c r="Z1708" s="2"/>
    </row>
    <row r="1709" spans="1:26" ht="13.8" x14ac:dyDescent="0.3">
      <c r="A1709" s="2"/>
      <c r="B1709" s="2"/>
      <c r="C1709" s="10"/>
      <c r="D1709" s="10"/>
      <c r="E1709" s="10"/>
      <c r="F1709" s="10"/>
      <c r="G1709" s="69"/>
      <c r="H1709" s="69"/>
      <c r="I1709" s="69"/>
      <c r="J1709" s="70"/>
      <c r="K1709" s="69"/>
      <c r="L1709" s="69"/>
      <c r="M1709" s="69"/>
      <c r="N1709" s="69"/>
      <c r="O1709" s="69"/>
      <c r="P1709" s="2"/>
      <c r="Q1709" s="2"/>
      <c r="R1709" s="32"/>
      <c r="S1709" s="32"/>
      <c r="T1709" s="32"/>
      <c r="U1709" s="32"/>
      <c r="V1709" s="2"/>
      <c r="W1709" s="2"/>
      <c r="X1709" s="2"/>
      <c r="Y1709" s="2"/>
      <c r="Z1709" s="2"/>
    </row>
    <row r="1710" spans="1:26" ht="13.8" x14ac:dyDescent="0.3">
      <c r="A1710" s="2"/>
      <c r="B1710" s="2"/>
      <c r="C1710" s="10"/>
      <c r="D1710" s="10"/>
      <c r="E1710" s="10"/>
      <c r="F1710" s="10"/>
      <c r="G1710" s="69"/>
      <c r="H1710" s="69"/>
      <c r="I1710" s="69"/>
      <c r="J1710" s="70"/>
      <c r="K1710" s="69"/>
      <c r="L1710" s="69"/>
      <c r="M1710" s="69"/>
      <c r="N1710" s="69"/>
      <c r="O1710" s="69"/>
      <c r="P1710" s="2"/>
      <c r="Q1710" s="2"/>
      <c r="R1710" s="32"/>
      <c r="S1710" s="32"/>
      <c r="T1710" s="32"/>
      <c r="U1710" s="32"/>
      <c r="V1710" s="2"/>
      <c r="W1710" s="2"/>
      <c r="X1710" s="2"/>
      <c r="Y1710" s="2"/>
      <c r="Z1710" s="2"/>
    </row>
    <row r="1711" spans="1:26" ht="13.8" x14ac:dyDescent="0.3">
      <c r="A1711" s="2"/>
      <c r="B1711" s="2"/>
      <c r="C1711" s="10"/>
      <c r="D1711" s="10"/>
      <c r="E1711" s="10"/>
      <c r="F1711" s="10"/>
      <c r="G1711" s="69"/>
      <c r="H1711" s="69"/>
      <c r="I1711" s="69"/>
      <c r="J1711" s="70"/>
      <c r="K1711" s="69"/>
      <c r="L1711" s="69"/>
      <c r="M1711" s="69"/>
      <c r="N1711" s="69"/>
      <c r="O1711" s="69"/>
      <c r="P1711" s="2"/>
      <c r="Q1711" s="2"/>
      <c r="R1711" s="32"/>
      <c r="S1711" s="32"/>
      <c r="T1711" s="32"/>
      <c r="U1711" s="32"/>
      <c r="V1711" s="2"/>
      <c r="W1711" s="2"/>
      <c r="X1711" s="2"/>
      <c r="Y1711" s="2"/>
      <c r="Z1711" s="2"/>
    </row>
    <row r="1712" spans="1:26" ht="13.8" x14ac:dyDescent="0.3">
      <c r="A1712" s="2"/>
      <c r="B1712" s="2"/>
      <c r="C1712" s="10"/>
      <c r="D1712" s="10"/>
      <c r="E1712" s="10"/>
      <c r="F1712" s="10"/>
      <c r="G1712" s="69"/>
      <c r="H1712" s="69"/>
      <c r="I1712" s="69"/>
      <c r="J1712" s="70"/>
      <c r="K1712" s="69"/>
      <c r="L1712" s="69"/>
      <c r="M1712" s="69"/>
      <c r="N1712" s="69"/>
      <c r="O1712" s="69"/>
      <c r="P1712" s="2"/>
      <c r="Q1712" s="2"/>
      <c r="R1712" s="32"/>
      <c r="S1712" s="32"/>
      <c r="T1712" s="32"/>
      <c r="U1712" s="32"/>
      <c r="V1712" s="2"/>
      <c r="W1712" s="2"/>
      <c r="X1712" s="2"/>
      <c r="Y1712" s="2"/>
      <c r="Z1712" s="2"/>
    </row>
    <row r="1713" spans="1:26" ht="13.8" x14ac:dyDescent="0.3">
      <c r="A1713" s="2"/>
      <c r="B1713" s="2"/>
      <c r="C1713" s="10"/>
      <c r="D1713" s="10"/>
      <c r="E1713" s="10"/>
      <c r="F1713" s="10"/>
      <c r="G1713" s="69"/>
      <c r="H1713" s="69"/>
      <c r="I1713" s="69"/>
      <c r="J1713" s="70"/>
      <c r="K1713" s="69"/>
      <c r="L1713" s="69"/>
      <c r="M1713" s="69"/>
      <c r="N1713" s="69"/>
      <c r="O1713" s="69"/>
      <c r="P1713" s="2"/>
      <c r="Q1713" s="2"/>
      <c r="R1713" s="32"/>
      <c r="S1713" s="32"/>
      <c r="T1713" s="32"/>
      <c r="U1713" s="32"/>
      <c r="V1713" s="2"/>
      <c r="W1713" s="2"/>
      <c r="X1713" s="2"/>
      <c r="Y1713" s="2"/>
      <c r="Z1713" s="2"/>
    </row>
    <row r="1714" spans="1:26" ht="13.8" x14ac:dyDescent="0.3">
      <c r="A1714" s="2"/>
      <c r="B1714" s="2"/>
      <c r="C1714" s="10"/>
      <c r="D1714" s="10"/>
      <c r="E1714" s="10"/>
      <c r="F1714" s="10"/>
      <c r="G1714" s="69"/>
      <c r="H1714" s="69"/>
      <c r="I1714" s="69"/>
      <c r="J1714" s="70"/>
      <c r="K1714" s="69"/>
      <c r="L1714" s="69"/>
      <c r="M1714" s="69"/>
      <c r="N1714" s="69"/>
      <c r="O1714" s="69"/>
      <c r="P1714" s="2"/>
      <c r="Q1714" s="2"/>
      <c r="R1714" s="32"/>
      <c r="S1714" s="32"/>
      <c r="T1714" s="32"/>
      <c r="U1714" s="32"/>
      <c r="V1714" s="2"/>
      <c r="W1714" s="2"/>
      <c r="X1714" s="2"/>
      <c r="Y1714" s="2"/>
      <c r="Z1714" s="2"/>
    </row>
    <row r="1715" spans="1:26" ht="13.8" x14ac:dyDescent="0.3">
      <c r="A1715" s="2"/>
      <c r="B1715" s="2"/>
      <c r="C1715" s="10"/>
      <c r="D1715" s="10"/>
      <c r="E1715" s="10"/>
      <c r="F1715" s="10"/>
      <c r="G1715" s="69"/>
      <c r="H1715" s="69"/>
      <c r="I1715" s="69"/>
      <c r="J1715" s="70"/>
      <c r="K1715" s="69"/>
      <c r="L1715" s="69"/>
      <c r="M1715" s="69"/>
      <c r="N1715" s="69"/>
      <c r="O1715" s="69"/>
      <c r="P1715" s="2"/>
      <c r="Q1715" s="2"/>
      <c r="R1715" s="32"/>
      <c r="S1715" s="32"/>
      <c r="T1715" s="32"/>
      <c r="U1715" s="32"/>
      <c r="V1715" s="2"/>
      <c r="W1715" s="2"/>
      <c r="X1715" s="2"/>
      <c r="Y1715" s="2"/>
      <c r="Z1715" s="2"/>
    </row>
    <row r="1716" spans="1:26" ht="13.8" x14ac:dyDescent="0.3">
      <c r="A1716" s="2"/>
      <c r="B1716" s="2"/>
      <c r="C1716" s="10"/>
      <c r="D1716" s="10"/>
      <c r="E1716" s="10"/>
      <c r="F1716" s="10"/>
      <c r="G1716" s="69"/>
      <c r="H1716" s="69"/>
      <c r="I1716" s="69"/>
      <c r="J1716" s="70"/>
      <c r="K1716" s="69"/>
      <c r="L1716" s="69"/>
      <c r="M1716" s="69"/>
      <c r="N1716" s="69"/>
      <c r="O1716" s="69"/>
      <c r="P1716" s="2"/>
      <c r="Q1716" s="2"/>
      <c r="R1716" s="32"/>
      <c r="S1716" s="32"/>
      <c r="T1716" s="32"/>
      <c r="U1716" s="32"/>
      <c r="V1716" s="2"/>
      <c r="W1716" s="2"/>
      <c r="X1716" s="2"/>
      <c r="Y1716" s="2"/>
      <c r="Z1716" s="2"/>
    </row>
    <row r="1717" spans="1:26" ht="13.8" x14ac:dyDescent="0.3">
      <c r="A1717" s="2"/>
      <c r="B1717" s="2"/>
      <c r="C1717" s="10"/>
      <c r="D1717" s="10"/>
      <c r="E1717" s="10"/>
      <c r="F1717" s="10"/>
      <c r="G1717" s="69"/>
      <c r="H1717" s="69"/>
      <c r="I1717" s="69"/>
      <c r="J1717" s="70"/>
      <c r="K1717" s="69"/>
      <c r="L1717" s="69"/>
      <c r="M1717" s="69"/>
      <c r="N1717" s="69"/>
      <c r="O1717" s="69"/>
      <c r="P1717" s="2"/>
      <c r="Q1717" s="2"/>
      <c r="R1717" s="32"/>
      <c r="S1717" s="32"/>
      <c r="T1717" s="32"/>
      <c r="U1717" s="32"/>
      <c r="V1717" s="2"/>
      <c r="W1717" s="2"/>
      <c r="X1717" s="2"/>
      <c r="Y1717" s="2"/>
      <c r="Z1717" s="2"/>
    </row>
    <row r="1718" spans="1:26" ht="13.8" x14ac:dyDescent="0.3">
      <c r="A1718" s="2"/>
      <c r="B1718" s="2"/>
      <c r="C1718" s="10"/>
      <c r="D1718" s="10"/>
      <c r="E1718" s="10"/>
      <c r="F1718" s="10"/>
      <c r="G1718" s="69"/>
      <c r="H1718" s="69"/>
      <c r="I1718" s="69"/>
      <c r="J1718" s="70"/>
      <c r="K1718" s="69"/>
      <c r="L1718" s="69"/>
      <c r="M1718" s="69"/>
      <c r="N1718" s="69"/>
      <c r="O1718" s="69"/>
      <c r="P1718" s="2"/>
      <c r="Q1718" s="2"/>
      <c r="R1718" s="32"/>
      <c r="S1718" s="32"/>
      <c r="T1718" s="32"/>
      <c r="U1718" s="32"/>
      <c r="V1718" s="2"/>
      <c r="W1718" s="2"/>
      <c r="X1718" s="2"/>
      <c r="Y1718" s="2"/>
      <c r="Z1718" s="2"/>
    </row>
    <row r="1719" spans="1:26" ht="13.8" x14ac:dyDescent="0.3">
      <c r="A1719" s="2"/>
      <c r="B1719" s="2"/>
      <c r="C1719" s="10"/>
      <c r="D1719" s="10"/>
      <c r="E1719" s="10"/>
      <c r="F1719" s="10"/>
      <c r="G1719" s="69"/>
      <c r="H1719" s="69"/>
      <c r="I1719" s="69"/>
      <c r="J1719" s="70"/>
      <c r="K1719" s="69"/>
      <c r="L1719" s="69"/>
      <c r="M1719" s="69"/>
      <c r="N1719" s="69"/>
      <c r="O1719" s="69"/>
      <c r="P1719" s="2"/>
      <c r="Q1719" s="2"/>
      <c r="R1719" s="32"/>
      <c r="S1719" s="32"/>
      <c r="T1719" s="32"/>
      <c r="U1719" s="32"/>
      <c r="V1719" s="2"/>
      <c r="W1719" s="2"/>
      <c r="X1719" s="2"/>
      <c r="Y1719" s="2"/>
      <c r="Z1719" s="2"/>
    </row>
    <row r="1720" spans="1:26" ht="13.8" x14ac:dyDescent="0.3">
      <c r="A1720" s="2"/>
      <c r="B1720" s="2"/>
      <c r="C1720" s="10"/>
      <c r="D1720" s="10"/>
      <c r="E1720" s="10"/>
      <c r="F1720" s="10"/>
      <c r="G1720" s="69"/>
      <c r="H1720" s="69"/>
      <c r="I1720" s="69"/>
      <c r="J1720" s="70"/>
      <c r="K1720" s="69"/>
      <c r="L1720" s="69"/>
      <c r="M1720" s="69"/>
      <c r="N1720" s="69"/>
      <c r="O1720" s="69"/>
      <c r="P1720" s="2"/>
      <c r="Q1720" s="2"/>
      <c r="R1720" s="32"/>
      <c r="S1720" s="32"/>
      <c r="T1720" s="32"/>
      <c r="U1720" s="32"/>
      <c r="V1720" s="2"/>
      <c r="W1720" s="2"/>
      <c r="X1720" s="2"/>
      <c r="Y1720" s="2"/>
      <c r="Z1720" s="2"/>
    </row>
    <row r="1721" spans="1:26" ht="13.8" x14ac:dyDescent="0.3">
      <c r="A1721" s="2"/>
      <c r="B1721" s="2"/>
      <c r="C1721" s="10"/>
      <c r="D1721" s="10"/>
      <c r="E1721" s="10"/>
      <c r="F1721" s="10"/>
      <c r="G1721" s="69"/>
      <c r="H1721" s="69"/>
      <c r="I1721" s="69"/>
      <c r="J1721" s="70"/>
      <c r="K1721" s="69"/>
      <c r="L1721" s="69"/>
      <c r="M1721" s="69"/>
      <c r="N1721" s="69"/>
      <c r="O1721" s="69"/>
      <c r="P1721" s="2"/>
      <c r="Q1721" s="2"/>
      <c r="R1721" s="32"/>
      <c r="S1721" s="32"/>
      <c r="T1721" s="32"/>
      <c r="U1721" s="32"/>
      <c r="V1721" s="2"/>
      <c r="W1721" s="2"/>
      <c r="X1721" s="2"/>
      <c r="Y1721" s="2"/>
      <c r="Z1721" s="2"/>
    </row>
    <row r="1722" spans="1:26" ht="13.8" x14ac:dyDescent="0.3">
      <c r="A1722" s="2"/>
      <c r="B1722" s="2"/>
      <c r="C1722" s="10"/>
      <c r="D1722" s="10"/>
      <c r="E1722" s="10"/>
      <c r="F1722" s="10"/>
      <c r="G1722" s="69"/>
      <c r="H1722" s="69"/>
      <c r="I1722" s="69"/>
      <c r="J1722" s="70"/>
      <c r="K1722" s="69"/>
      <c r="L1722" s="69"/>
      <c r="M1722" s="69"/>
      <c r="N1722" s="69"/>
      <c r="O1722" s="69"/>
      <c r="P1722" s="2"/>
      <c r="Q1722" s="2"/>
      <c r="R1722" s="32"/>
      <c r="S1722" s="32"/>
      <c r="T1722" s="32"/>
      <c r="U1722" s="32"/>
      <c r="V1722" s="2"/>
      <c r="W1722" s="2"/>
      <c r="X1722" s="2"/>
      <c r="Y1722" s="2"/>
      <c r="Z1722" s="2"/>
    </row>
    <row r="1723" spans="1:26" ht="13.8" x14ac:dyDescent="0.3">
      <c r="A1723" s="2"/>
      <c r="B1723" s="2"/>
      <c r="C1723" s="10"/>
      <c r="D1723" s="10"/>
      <c r="E1723" s="10"/>
      <c r="F1723" s="10"/>
      <c r="G1723" s="69"/>
      <c r="H1723" s="69"/>
      <c r="I1723" s="69"/>
      <c r="J1723" s="70"/>
      <c r="K1723" s="69"/>
      <c r="L1723" s="69"/>
      <c r="M1723" s="69"/>
      <c r="N1723" s="69"/>
      <c r="O1723" s="69"/>
      <c r="P1723" s="2"/>
      <c r="Q1723" s="2"/>
      <c r="R1723" s="32"/>
      <c r="S1723" s="32"/>
      <c r="T1723" s="32"/>
      <c r="U1723" s="32"/>
      <c r="V1723" s="2"/>
      <c r="W1723" s="2"/>
      <c r="X1723" s="2"/>
      <c r="Y1723" s="2"/>
      <c r="Z1723" s="2"/>
    </row>
    <row r="1724" spans="1:26" ht="13.8" x14ac:dyDescent="0.3">
      <c r="A1724" s="2"/>
      <c r="B1724" s="2"/>
      <c r="C1724" s="10"/>
      <c r="D1724" s="10"/>
      <c r="E1724" s="10"/>
      <c r="F1724" s="10"/>
      <c r="G1724" s="69"/>
      <c r="H1724" s="69"/>
      <c r="I1724" s="69"/>
      <c r="J1724" s="70"/>
      <c r="K1724" s="69"/>
      <c r="L1724" s="69"/>
      <c r="M1724" s="69"/>
      <c r="N1724" s="69"/>
      <c r="O1724" s="69"/>
      <c r="P1724" s="2"/>
      <c r="Q1724" s="2"/>
      <c r="R1724" s="32"/>
      <c r="S1724" s="32"/>
      <c r="T1724" s="32"/>
      <c r="U1724" s="32"/>
      <c r="V1724" s="2"/>
      <c r="W1724" s="2"/>
      <c r="X1724" s="2"/>
      <c r="Y1724" s="2"/>
      <c r="Z1724" s="2"/>
    </row>
    <row r="1725" spans="1:26" ht="13.8" x14ac:dyDescent="0.3">
      <c r="A1725" s="2"/>
      <c r="B1725" s="2"/>
      <c r="C1725" s="10"/>
      <c r="D1725" s="10"/>
      <c r="E1725" s="10"/>
      <c r="F1725" s="10"/>
      <c r="G1725" s="69"/>
      <c r="H1725" s="69"/>
      <c r="I1725" s="69"/>
      <c r="J1725" s="70"/>
      <c r="K1725" s="69"/>
      <c r="L1725" s="69"/>
      <c r="M1725" s="69"/>
      <c r="N1725" s="69"/>
      <c r="O1725" s="69"/>
      <c r="P1725" s="2"/>
      <c r="Q1725" s="2"/>
      <c r="R1725" s="32"/>
      <c r="S1725" s="32"/>
      <c r="T1725" s="32"/>
      <c r="U1725" s="32"/>
      <c r="V1725" s="2"/>
      <c r="W1725" s="2"/>
      <c r="X1725" s="2"/>
      <c r="Y1725" s="2"/>
      <c r="Z1725" s="2"/>
    </row>
    <row r="1726" spans="1:26" ht="13.8" x14ac:dyDescent="0.3">
      <c r="A1726" s="2"/>
      <c r="B1726" s="2"/>
      <c r="C1726" s="10"/>
      <c r="D1726" s="10"/>
      <c r="E1726" s="10"/>
      <c r="F1726" s="10"/>
      <c r="G1726" s="69"/>
      <c r="H1726" s="69"/>
      <c r="I1726" s="69"/>
      <c r="J1726" s="70"/>
      <c r="K1726" s="69"/>
      <c r="L1726" s="69"/>
      <c r="M1726" s="69"/>
      <c r="N1726" s="69"/>
      <c r="O1726" s="69"/>
      <c r="P1726" s="2"/>
      <c r="Q1726" s="2"/>
      <c r="R1726" s="32"/>
      <c r="S1726" s="32"/>
      <c r="T1726" s="32"/>
      <c r="U1726" s="32"/>
      <c r="V1726" s="2"/>
      <c r="W1726" s="2"/>
      <c r="X1726" s="2"/>
      <c r="Y1726" s="2"/>
      <c r="Z1726" s="2"/>
    </row>
    <row r="1727" spans="1:26" ht="13.8" x14ac:dyDescent="0.3">
      <c r="A1727" s="2"/>
      <c r="B1727" s="2"/>
      <c r="C1727" s="10"/>
      <c r="D1727" s="10"/>
      <c r="E1727" s="10"/>
      <c r="F1727" s="10"/>
      <c r="G1727" s="69"/>
      <c r="H1727" s="69"/>
      <c r="I1727" s="69"/>
      <c r="J1727" s="70"/>
      <c r="K1727" s="69"/>
      <c r="L1727" s="69"/>
      <c r="M1727" s="69"/>
      <c r="N1727" s="69"/>
      <c r="O1727" s="69"/>
      <c r="P1727" s="2"/>
      <c r="Q1727" s="2"/>
      <c r="R1727" s="32"/>
      <c r="S1727" s="32"/>
      <c r="T1727" s="32"/>
      <c r="U1727" s="32"/>
      <c r="V1727" s="2"/>
      <c r="W1727" s="2"/>
      <c r="X1727" s="2"/>
      <c r="Y1727" s="2"/>
      <c r="Z1727" s="2"/>
    </row>
    <row r="1728" spans="1:26" ht="13.8" x14ac:dyDescent="0.3">
      <c r="A1728" s="2"/>
      <c r="B1728" s="2"/>
      <c r="C1728" s="10"/>
      <c r="D1728" s="10"/>
      <c r="E1728" s="10"/>
      <c r="F1728" s="10"/>
      <c r="G1728" s="69"/>
      <c r="H1728" s="69"/>
      <c r="I1728" s="69"/>
      <c r="J1728" s="70"/>
      <c r="K1728" s="69"/>
      <c r="L1728" s="69"/>
      <c r="M1728" s="69"/>
      <c r="N1728" s="69"/>
      <c r="O1728" s="69"/>
      <c r="P1728" s="2"/>
      <c r="Q1728" s="2"/>
      <c r="R1728" s="32"/>
      <c r="S1728" s="32"/>
      <c r="T1728" s="32"/>
      <c r="U1728" s="32"/>
      <c r="V1728" s="2"/>
      <c r="W1728" s="2"/>
      <c r="X1728" s="2"/>
      <c r="Y1728" s="2"/>
      <c r="Z1728" s="2"/>
    </row>
    <row r="1729" spans="1:26" ht="13.8" x14ac:dyDescent="0.3">
      <c r="A1729" s="2"/>
      <c r="B1729" s="2"/>
      <c r="C1729" s="10"/>
      <c r="D1729" s="10"/>
      <c r="E1729" s="10"/>
      <c r="F1729" s="10"/>
      <c r="G1729" s="69"/>
      <c r="H1729" s="69"/>
      <c r="I1729" s="69"/>
      <c r="J1729" s="70"/>
      <c r="K1729" s="69"/>
      <c r="L1729" s="69"/>
      <c r="M1729" s="69"/>
      <c r="N1729" s="69"/>
      <c r="O1729" s="69"/>
      <c r="P1729" s="2"/>
      <c r="Q1729" s="2"/>
      <c r="R1729" s="32"/>
      <c r="S1729" s="32"/>
      <c r="T1729" s="32"/>
      <c r="U1729" s="32"/>
      <c r="V1729" s="2"/>
      <c r="W1729" s="2"/>
      <c r="X1729" s="2"/>
      <c r="Y1729" s="2"/>
      <c r="Z1729" s="2"/>
    </row>
    <row r="1730" spans="1:26" ht="13.8" x14ac:dyDescent="0.3">
      <c r="A1730" s="2"/>
      <c r="B1730" s="2"/>
      <c r="C1730" s="10"/>
      <c r="D1730" s="10"/>
      <c r="E1730" s="10"/>
      <c r="F1730" s="10"/>
      <c r="G1730" s="69"/>
      <c r="H1730" s="69"/>
      <c r="I1730" s="69"/>
      <c r="J1730" s="70"/>
      <c r="K1730" s="69"/>
      <c r="L1730" s="69"/>
      <c r="M1730" s="69"/>
      <c r="N1730" s="69"/>
      <c r="O1730" s="69"/>
      <c r="P1730" s="2"/>
      <c r="Q1730" s="2"/>
      <c r="R1730" s="32"/>
      <c r="S1730" s="32"/>
      <c r="T1730" s="32"/>
      <c r="U1730" s="32"/>
      <c r="V1730" s="2"/>
      <c r="W1730" s="2"/>
      <c r="X1730" s="2"/>
      <c r="Y1730" s="2"/>
      <c r="Z1730" s="2"/>
    </row>
    <row r="1731" spans="1:26" ht="13.8" x14ac:dyDescent="0.3">
      <c r="A1731" s="2"/>
      <c r="B1731" s="2"/>
      <c r="C1731" s="10"/>
      <c r="D1731" s="10"/>
      <c r="E1731" s="10"/>
      <c r="F1731" s="10"/>
      <c r="G1731" s="69"/>
      <c r="H1731" s="69"/>
      <c r="I1731" s="69"/>
      <c r="J1731" s="70"/>
      <c r="K1731" s="69"/>
      <c r="L1731" s="69"/>
      <c r="M1731" s="69"/>
      <c r="N1731" s="69"/>
      <c r="O1731" s="69"/>
      <c r="P1731" s="2"/>
      <c r="Q1731" s="2"/>
      <c r="R1731" s="32"/>
      <c r="S1731" s="32"/>
      <c r="T1731" s="32"/>
      <c r="U1731" s="32"/>
      <c r="V1731" s="2"/>
      <c r="W1731" s="2"/>
      <c r="X1731" s="2"/>
      <c r="Y1731" s="2"/>
      <c r="Z1731" s="2"/>
    </row>
    <row r="1732" spans="1:26" ht="13.8" x14ac:dyDescent="0.3">
      <c r="A1732" s="2"/>
      <c r="B1732" s="2"/>
      <c r="C1732" s="10"/>
      <c r="D1732" s="10"/>
      <c r="E1732" s="10"/>
      <c r="F1732" s="10"/>
      <c r="G1732" s="69"/>
      <c r="H1732" s="69"/>
      <c r="I1732" s="69"/>
      <c r="J1732" s="70"/>
      <c r="K1732" s="69"/>
      <c r="L1732" s="69"/>
      <c r="M1732" s="69"/>
      <c r="N1732" s="69"/>
      <c r="O1732" s="69"/>
      <c r="P1732" s="2"/>
      <c r="Q1732" s="2"/>
      <c r="R1732" s="32"/>
      <c r="S1732" s="32"/>
      <c r="T1732" s="32"/>
      <c r="U1732" s="32"/>
      <c r="V1732" s="2"/>
      <c r="W1732" s="2"/>
      <c r="X1732" s="2"/>
      <c r="Y1732" s="2"/>
      <c r="Z1732" s="2"/>
    </row>
    <row r="1733" spans="1:26" ht="13.8" x14ac:dyDescent="0.3">
      <c r="A1733" s="2"/>
      <c r="B1733" s="2"/>
      <c r="C1733" s="10"/>
      <c r="D1733" s="10"/>
      <c r="E1733" s="10"/>
      <c r="F1733" s="10"/>
      <c r="G1733" s="69"/>
      <c r="H1733" s="69"/>
      <c r="I1733" s="69"/>
      <c r="J1733" s="70"/>
      <c r="K1733" s="69"/>
      <c r="L1733" s="69"/>
      <c r="M1733" s="69"/>
      <c r="N1733" s="69"/>
      <c r="O1733" s="69"/>
      <c r="P1733" s="2"/>
      <c r="Q1733" s="2"/>
      <c r="R1733" s="32"/>
      <c r="S1733" s="32"/>
      <c r="T1733" s="32"/>
      <c r="U1733" s="32"/>
      <c r="V1733" s="2"/>
      <c r="W1733" s="2"/>
      <c r="X1733" s="2"/>
      <c r="Y1733" s="2"/>
      <c r="Z1733" s="2"/>
    </row>
    <row r="1734" spans="1:26" ht="13.8" x14ac:dyDescent="0.3">
      <c r="A1734" s="2"/>
      <c r="B1734" s="2"/>
      <c r="C1734" s="10"/>
      <c r="D1734" s="10"/>
      <c r="E1734" s="10"/>
      <c r="F1734" s="10"/>
      <c r="G1734" s="69"/>
      <c r="H1734" s="69"/>
      <c r="I1734" s="69"/>
      <c r="J1734" s="70"/>
      <c r="K1734" s="69"/>
      <c r="L1734" s="69"/>
      <c r="M1734" s="69"/>
      <c r="N1734" s="69"/>
      <c r="O1734" s="69"/>
      <c r="P1734" s="2"/>
      <c r="Q1734" s="2"/>
      <c r="R1734" s="32"/>
      <c r="S1734" s="32"/>
      <c r="T1734" s="32"/>
      <c r="U1734" s="32"/>
      <c r="V1734" s="2"/>
      <c r="W1734" s="2"/>
      <c r="X1734" s="2"/>
      <c r="Y1734" s="2"/>
      <c r="Z1734" s="2"/>
    </row>
    <row r="1735" spans="1:26" ht="13.8" x14ac:dyDescent="0.3">
      <c r="A1735" s="2"/>
      <c r="B1735" s="2"/>
      <c r="C1735" s="10"/>
      <c r="D1735" s="10"/>
      <c r="E1735" s="10"/>
      <c r="F1735" s="10"/>
      <c r="G1735" s="69"/>
      <c r="H1735" s="69"/>
      <c r="I1735" s="69"/>
      <c r="J1735" s="70"/>
      <c r="K1735" s="69"/>
      <c r="L1735" s="69"/>
      <c r="M1735" s="69"/>
      <c r="N1735" s="69"/>
      <c r="O1735" s="69"/>
      <c r="P1735" s="2"/>
      <c r="Q1735" s="2"/>
      <c r="R1735" s="32"/>
      <c r="S1735" s="32"/>
      <c r="T1735" s="32"/>
      <c r="U1735" s="32"/>
      <c r="V1735" s="2"/>
      <c r="W1735" s="2"/>
      <c r="X1735" s="2"/>
      <c r="Y1735" s="2"/>
      <c r="Z1735" s="2"/>
    </row>
    <row r="1736" spans="1:26" ht="13.8" x14ac:dyDescent="0.3">
      <c r="A1736" s="2"/>
      <c r="B1736" s="2"/>
      <c r="C1736" s="10"/>
      <c r="D1736" s="10"/>
      <c r="E1736" s="10"/>
      <c r="F1736" s="10"/>
      <c r="G1736" s="69"/>
      <c r="H1736" s="69"/>
      <c r="I1736" s="69"/>
      <c r="J1736" s="70"/>
      <c r="K1736" s="69"/>
      <c r="L1736" s="69"/>
      <c r="M1736" s="69"/>
      <c r="N1736" s="69"/>
      <c r="O1736" s="69"/>
      <c r="P1736" s="2"/>
      <c r="Q1736" s="2"/>
      <c r="R1736" s="32"/>
      <c r="S1736" s="32"/>
      <c r="T1736" s="32"/>
      <c r="U1736" s="32"/>
      <c r="V1736" s="2"/>
      <c r="W1736" s="2"/>
      <c r="X1736" s="2"/>
      <c r="Y1736" s="2"/>
      <c r="Z1736" s="2"/>
    </row>
    <row r="1737" spans="1:26" ht="13.8" x14ac:dyDescent="0.3">
      <c r="A1737" s="2"/>
      <c r="B1737" s="2"/>
      <c r="C1737" s="10"/>
      <c r="D1737" s="10"/>
      <c r="E1737" s="10"/>
      <c r="F1737" s="10"/>
      <c r="G1737" s="69"/>
      <c r="H1737" s="69"/>
      <c r="I1737" s="69"/>
      <c r="J1737" s="70"/>
      <c r="K1737" s="69"/>
      <c r="L1737" s="69"/>
      <c r="M1737" s="69"/>
      <c r="N1737" s="69"/>
      <c r="O1737" s="69"/>
      <c r="P1737" s="2"/>
      <c r="Q1737" s="2"/>
      <c r="R1737" s="32"/>
      <c r="S1737" s="32"/>
      <c r="T1737" s="32"/>
      <c r="U1737" s="32"/>
      <c r="V1737" s="2"/>
      <c r="W1737" s="2"/>
      <c r="X1737" s="2"/>
      <c r="Y1737" s="2"/>
      <c r="Z1737" s="2"/>
    </row>
    <row r="1738" spans="1:26" ht="13.8" x14ac:dyDescent="0.3">
      <c r="A1738" s="2"/>
      <c r="B1738" s="2"/>
      <c r="C1738" s="10"/>
      <c r="D1738" s="10"/>
      <c r="E1738" s="10"/>
      <c r="F1738" s="10"/>
      <c r="G1738" s="69"/>
      <c r="H1738" s="69"/>
      <c r="I1738" s="69"/>
      <c r="J1738" s="70"/>
      <c r="K1738" s="69"/>
      <c r="L1738" s="69"/>
      <c r="M1738" s="69"/>
      <c r="N1738" s="69"/>
      <c r="O1738" s="69"/>
      <c r="P1738" s="2"/>
      <c r="Q1738" s="2"/>
      <c r="R1738" s="32"/>
      <c r="S1738" s="32"/>
      <c r="T1738" s="32"/>
      <c r="U1738" s="32"/>
      <c r="V1738" s="2"/>
      <c r="W1738" s="2"/>
      <c r="X1738" s="2"/>
      <c r="Y1738" s="2"/>
      <c r="Z1738" s="2"/>
    </row>
    <row r="1739" spans="1:26" ht="13.8" x14ac:dyDescent="0.3">
      <c r="A1739" s="2"/>
      <c r="B1739" s="2"/>
      <c r="C1739" s="10"/>
      <c r="D1739" s="10"/>
      <c r="E1739" s="10"/>
      <c r="F1739" s="10"/>
      <c r="G1739" s="69"/>
      <c r="H1739" s="69"/>
      <c r="I1739" s="69"/>
      <c r="J1739" s="70"/>
      <c r="K1739" s="69"/>
      <c r="L1739" s="69"/>
      <c r="M1739" s="69"/>
      <c r="N1739" s="69"/>
      <c r="O1739" s="69"/>
      <c r="P1739" s="2"/>
      <c r="Q1739" s="2"/>
      <c r="R1739" s="32"/>
      <c r="S1739" s="32"/>
      <c r="T1739" s="32"/>
      <c r="U1739" s="32"/>
      <c r="V1739" s="2"/>
      <c r="W1739" s="2"/>
      <c r="X1739" s="2"/>
      <c r="Y1739" s="2"/>
      <c r="Z1739" s="2"/>
    </row>
    <row r="1740" spans="1:26" ht="13.8" x14ac:dyDescent="0.3">
      <c r="A1740" s="2"/>
      <c r="B1740" s="2"/>
      <c r="C1740" s="10"/>
      <c r="D1740" s="10"/>
      <c r="E1740" s="10"/>
      <c r="F1740" s="10"/>
      <c r="G1740" s="69"/>
      <c r="H1740" s="69"/>
      <c r="I1740" s="69"/>
      <c r="J1740" s="70"/>
      <c r="K1740" s="69"/>
      <c r="L1740" s="69"/>
      <c r="M1740" s="69"/>
      <c r="N1740" s="69"/>
      <c r="O1740" s="69"/>
      <c r="P1740" s="2"/>
      <c r="Q1740" s="2"/>
      <c r="R1740" s="32"/>
      <c r="S1740" s="32"/>
      <c r="T1740" s="32"/>
      <c r="U1740" s="32"/>
      <c r="V1740" s="2"/>
      <c r="W1740" s="2"/>
      <c r="X1740" s="2"/>
      <c r="Y1740" s="2"/>
      <c r="Z1740" s="2"/>
    </row>
    <row r="1741" spans="1:26" ht="13.8" x14ac:dyDescent="0.3">
      <c r="A1741" s="2"/>
      <c r="B1741" s="2"/>
      <c r="C1741" s="10"/>
      <c r="D1741" s="10"/>
      <c r="E1741" s="10"/>
      <c r="F1741" s="10"/>
      <c r="G1741" s="69"/>
      <c r="H1741" s="69"/>
      <c r="I1741" s="69"/>
      <c r="J1741" s="70"/>
      <c r="K1741" s="69"/>
      <c r="L1741" s="69"/>
      <c r="M1741" s="69"/>
      <c r="N1741" s="69"/>
      <c r="O1741" s="69"/>
      <c r="P1741" s="2"/>
      <c r="Q1741" s="2"/>
      <c r="R1741" s="32"/>
      <c r="S1741" s="32"/>
      <c r="T1741" s="32"/>
      <c r="U1741" s="32"/>
      <c r="V1741" s="2"/>
      <c r="W1741" s="2"/>
      <c r="X1741" s="2"/>
      <c r="Y1741" s="2"/>
      <c r="Z1741" s="2"/>
    </row>
    <row r="1742" spans="1:26" ht="13.8" x14ac:dyDescent="0.3">
      <c r="A1742" s="2"/>
      <c r="B1742" s="2"/>
      <c r="C1742" s="10"/>
      <c r="D1742" s="10"/>
      <c r="E1742" s="10"/>
      <c r="F1742" s="10"/>
      <c r="G1742" s="69"/>
      <c r="H1742" s="69"/>
      <c r="I1742" s="69"/>
      <c r="J1742" s="70"/>
      <c r="K1742" s="69"/>
      <c r="L1742" s="69"/>
      <c r="M1742" s="69"/>
      <c r="N1742" s="69"/>
      <c r="O1742" s="69"/>
      <c r="P1742" s="2"/>
      <c r="Q1742" s="2"/>
      <c r="R1742" s="32"/>
      <c r="S1742" s="32"/>
      <c r="T1742" s="32"/>
      <c r="U1742" s="32"/>
      <c r="V1742" s="2"/>
      <c r="W1742" s="2"/>
      <c r="X1742" s="2"/>
      <c r="Y1742" s="2"/>
      <c r="Z1742" s="2"/>
    </row>
    <row r="1743" spans="1:26" ht="13.8" x14ac:dyDescent="0.3">
      <c r="A1743" s="2"/>
      <c r="B1743" s="2"/>
      <c r="C1743" s="10"/>
      <c r="D1743" s="10"/>
      <c r="E1743" s="10"/>
      <c r="F1743" s="10"/>
      <c r="G1743" s="69"/>
      <c r="H1743" s="69"/>
      <c r="I1743" s="69"/>
      <c r="J1743" s="70"/>
      <c r="K1743" s="69"/>
      <c r="L1743" s="69"/>
      <c r="M1743" s="69"/>
      <c r="N1743" s="69"/>
      <c r="O1743" s="69"/>
      <c r="P1743" s="2"/>
      <c r="Q1743" s="2"/>
      <c r="R1743" s="32"/>
      <c r="S1743" s="32"/>
      <c r="T1743" s="32"/>
      <c r="U1743" s="32"/>
      <c r="V1743" s="2"/>
      <c r="W1743" s="2"/>
      <c r="X1743" s="2"/>
      <c r="Y1743" s="2"/>
      <c r="Z1743" s="2"/>
    </row>
    <row r="1744" spans="1:26" ht="13.8" x14ac:dyDescent="0.3">
      <c r="A1744" s="2"/>
      <c r="B1744" s="2"/>
      <c r="C1744" s="10"/>
      <c r="D1744" s="10"/>
      <c r="E1744" s="10"/>
      <c r="F1744" s="10"/>
      <c r="G1744" s="69"/>
      <c r="H1744" s="69"/>
      <c r="I1744" s="69"/>
      <c r="J1744" s="70"/>
      <c r="K1744" s="69"/>
      <c r="L1744" s="69"/>
      <c r="M1744" s="69"/>
      <c r="N1744" s="69"/>
      <c r="O1744" s="69"/>
      <c r="P1744" s="2"/>
      <c r="Q1744" s="2"/>
      <c r="R1744" s="32"/>
      <c r="S1744" s="32"/>
      <c r="T1744" s="32"/>
      <c r="U1744" s="32"/>
      <c r="V1744" s="2"/>
      <c r="W1744" s="2"/>
      <c r="X1744" s="2"/>
      <c r="Y1744" s="2"/>
      <c r="Z1744" s="2"/>
    </row>
    <row r="1745" spans="1:26" ht="13.8" x14ac:dyDescent="0.3">
      <c r="A1745" s="2"/>
      <c r="B1745" s="2"/>
      <c r="C1745" s="10"/>
      <c r="D1745" s="10"/>
      <c r="E1745" s="10"/>
      <c r="F1745" s="10"/>
      <c r="G1745" s="69"/>
      <c r="H1745" s="69"/>
      <c r="I1745" s="69"/>
      <c r="J1745" s="70"/>
      <c r="K1745" s="69"/>
      <c r="L1745" s="69"/>
      <c r="M1745" s="69"/>
      <c r="N1745" s="69"/>
      <c r="O1745" s="69"/>
      <c r="P1745" s="2"/>
      <c r="Q1745" s="2"/>
      <c r="R1745" s="32"/>
      <c r="S1745" s="32"/>
      <c r="T1745" s="32"/>
      <c r="U1745" s="32"/>
      <c r="V1745" s="2"/>
      <c r="W1745" s="2"/>
      <c r="X1745" s="2"/>
      <c r="Y1745" s="2"/>
      <c r="Z1745" s="2"/>
    </row>
    <row r="1746" spans="1:26" ht="13.8" x14ac:dyDescent="0.3">
      <c r="A1746" s="2"/>
      <c r="B1746" s="2"/>
      <c r="C1746" s="10"/>
      <c r="D1746" s="10"/>
      <c r="E1746" s="10"/>
      <c r="F1746" s="10"/>
      <c r="G1746" s="69"/>
      <c r="H1746" s="69"/>
      <c r="I1746" s="69"/>
      <c r="J1746" s="70"/>
      <c r="K1746" s="69"/>
      <c r="L1746" s="69"/>
      <c r="M1746" s="69"/>
      <c r="N1746" s="69"/>
      <c r="O1746" s="69"/>
      <c r="P1746" s="2"/>
      <c r="Q1746" s="2"/>
      <c r="R1746" s="32"/>
      <c r="S1746" s="32"/>
      <c r="T1746" s="32"/>
      <c r="U1746" s="32"/>
      <c r="V1746" s="2"/>
      <c r="W1746" s="2"/>
      <c r="X1746" s="2"/>
      <c r="Y1746" s="2"/>
      <c r="Z1746" s="2"/>
    </row>
    <row r="1747" spans="1:26" ht="13.8" x14ac:dyDescent="0.3">
      <c r="A1747" s="2"/>
      <c r="B1747" s="2"/>
      <c r="C1747" s="10"/>
      <c r="D1747" s="10"/>
      <c r="E1747" s="10"/>
      <c r="F1747" s="10"/>
      <c r="G1747" s="69"/>
      <c r="H1747" s="69"/>
      <c r="I1747" s="69"/>
      <c r="J1747" s="70"/>
      <c r="K1747" s="69"/>
      <c r="L1747" s="69"/>
      <c r="M1747" s="69"/>
      <c r="N1747" s="69"/>
      <c r="O1747" s="69"/>
      <c r="P1747" s="2"/>
      <c r="Q1747" s="2"/>
      <c r="R1747" s="32"/>
      <c r="S1747" s="32"/>
      <c r="T1747" s="32"/>
      <c r="U1747" s="32"/>
      <c r="V1747" s="2"/>
      <c r="W1747" s="2"/>
      <c r="X1747" s="2"/>
      <c r="Y1747" s="2"/>
      <c r="Z1747" s="2"/>
    </row>
    <row r="1748" spans="1:26" ht="13.8" x14ac:dyDescent="0.3">
      <c r="A1748" s="2"/>
      <c r="B1748" s="2"/>
      <c r="C1748" s="10"/>
      <c r="D1748" s="10"/>
      <c r="E1748" s="10"/>
      <c r="F1748" s="10"/>
      <c r="G1748" s="69"/>
      <c r="H1748" s="69"/>
      <c r="I1748" s="69"/>
      <c r="J1748" s="70"/>
      <c r="K1748" s="69"/>
      <c r="L1748" s="69"/>
      <c r="M1748" s="69"/>
      <c r="N1748" s="69"/>
      <c r="O1748" s="69"/>
      <c r="P1748" s="2"/>
      <c r="Q1748" s="2"/>
      <c r="R1748" s="32"/>
      <c r="S1748" s="32"/>
      <c r="T1748" s="32"/>
      <c r="U1748" s="32"/>
      <c r="V1748" s="2"/>
      <c r="W1748" s="2"/>
      <c r="X1748" s="2"/>
      <c r="Y1748" s="2"/>
      <c r="Z1748" s="2"/>
    </row>
    <row r="1749" spans="1:26" ht="13.8" x14ac:dyDescent="0.3">
      <c r="A1749" s="2"/>
      <c r="B1749" s="2"/>
      <c r="C1749" s="10"/>
      <c r="D1749" s="10"/>
      <c r="E1749" s="10"/>
      <c r="F1749" s="10"/>
      <c r="G1749" s="69"/>
      <c r="H1749" s="69"/>
      <c r="I1749" s="69"/>
      <c r="J1749" s="70"/>
      <c r="K1749" s="69"/>
      <c r="L1749" s="69"/>
      <c r="M1749" s="69"/>
      <c r="N1749" s="69"/>
      <c r="O1749" s="69"/>
      <c r="P1749" s="2"/>
      <c r="Q1749" s="2"/>
      <c r="R1749" s="32"/>
      <c r="S1749" s="32"/>
      <c r="T1749" s="32"/>
      <c r="U1749" s="32"/>
      <c r="V1749" s="2"/>
      <c r="W1749" s="2"/>
      <c r="X1749" s="2"/>
      <c r="Y1749" s="2"/>
      <c r="Z1749" s="2"/>
    </row>
    <row r="1750" spans="1:26" ht="13.8" x14ac:dyDescent="0.3">
      <c r="A1750" s="2"/>
      <c r="B1750" s="2"/>
      <c r="C1750" s="10"/>
      <c r="D1750" s="10"/>
      <c r="E1750" s="10"/>
      <c r="F1750" s="10"/>
      <c r="G1750" s="69"/>
      <c r="H1750" s="69"/>
      <c r="I1750" s="69"/>
      <c r="J1750" s="70"/>
      <c r="K1750" s="69"/>
      <c r="L1750" s="69"/>
      <c r="M1750" s="69"/>
      <c r="N1750" s="69"/>
      <c r="O1750" s="69"/>
      <c r="P1750" s="2"/>
      <c r="Q1750" s="2"/>
      <c r="R1750" s="32"/>
      <c r="S1750" s="32"/>
      <c r="T1750" s="32"/>
      <c r="U1750" s="32"/>
      <c r="V1750" s="2"/>
      <c r="W1750" s="2"/>
      <c r="X1750" s="2"/>
      <c r="Y1750" s="2"/>
      <c r="Z1750" s="2"/>
    </row>
    <row r="1751" spans="1:26" ht="13.8" x14ac:dyDescent="0.3">
      <c r="A1751" s="2"/>
      <c r="B1751" s="2"/>
      <c r="C1751" s="10"/>
      <c r="D1751" s="10"/>
      <c r="E1751" s="10"/>
      <c r="F1751" s="10"/>
      <c r="G1751" s="69"/>
      <c r="H1751" s="69"/>
      <c r="I1751" s="69"/>
      <c r="J1751" s="70"/>
      <c r="K1751" s="69"/>
      <c r="L1751" s="69"/>
      <c r="M1751" s="69"/>
      <c r="N1751" s="69"/>
      <c r="O1751" s="69"/>
      <c r="P1751" s="2"/>
      <c r="Q1751" s="2"/>
      <c r="R1751" s="32"/>
      <c r="S1751" s="32"/>
      <c r="T1751" s="32"/>
      <c r="U1751" s="32"/>
      <c r="V1751" s="2"/>
      <c r="W1751" s="2"/>
      <c r="X1751" s="2"/>
      <c r="Y1751" s="2"/>
      <c r="Z1751" s="2"/>
    </row>
    <row r="1752" spans="1:26" ht="13.8" x14ac:dyDescent="0.3">
      <c r="A1752" s="2"/>
      <c r="B1752" s="2"/>
      <c r="C1752" s="10"/>
      <c r="D1752" s="10"/>
      <c r="E1752" s="10"/>
      <c r="F1752" s="10"/>
      <c r="G1752" s="69"/>
      <c r="H1752" s="69"/>
      <c r="I1752" s="69"/>
      <c r="J1752" s="70"/>
      <c r="K1752" s="69"/>
      <c r="L1752" s="69"/>
      <c r="M1752" s="69"/>
      <c r="N1752" s="69"/>
      <c r="O1752" s="69"/>
      <c r="P1752" s="2"/>
      <c r="Q1752" s="2"/>
      <c r="R1752" s="32"/>
      <c r="S1752" s="32"/>
      <c r="T1752" s="32"/>
      <c r="U1752" s="32"/>
      <c r="V1752" s="2"/>
      <c r="W1752" s="2"/>
      <c r="X1752" s="2"/>
      <c r="Y1752" s="2"/>
      <c r="Z1752" s="2"/>
    </row>
    <row r="1753" spans="1:26" ht="13.8" x14ac:dyDescent="0.3">
      <c r="A1753" s="2"/>
      <c r="B1753" s="2"/>
      <c r="C1753" s="10"/>
      <c r="D1753" s="10"/>
      <c r="E1753" s="10"/>
      <c r="F1753" s="10"/>
      <c r="G1753" s="69"/>
      <c r="H1753" s="69"/>
      <c r="I1753" s="69"/>
      <c r="J1753" s="70"/>
      <c r="K1753" s="69"/>
      <c r="L1753" s="69"/>
      <c r="M1753" s="69"/>
      <c r="N1753" s="69"/>
      <c r="O1753" s="69"/>
      <c r="P1753" s="2"/>
      <c r="Q1753" s="2"/>
      <c r="R1753" s="32"/>
      <c r="S1753" s="32"/>
      <c r="T1753" s="32"/>
      <c r="U1753" s="32"/>
      <c r="V1753" s="2"/>
      <c r="W1753" s="2"/>
      <c r="X1753" s="2"/>
      <c r="Y1753" s="2"/>
      <c r="Z1753" s="2"/>
    </row>
    <row r="1754" spans="1:26" ht="13.8" x14ac:dyDescent="0.3">
      <c r="A1754" s="2"/>
      <c r="B1754" s="2"/>
      <c r="C1754" s="10"/>
      <c r="D1754" s="10"/>
      <c r="E1754" s="10"/>
      <c r="F1754" s="10"/>
      <c r="G1754" s="69"/>
      <c r="H1754" s="69"/>
      <c r="I1754" s="69"/>
      <c r="J1754" s="70"/>
      <c r="K1754" s="69"/>
      <c r="L1754" s="69"/>
      <c r="M1754" s="69"/>
      <c r="N1754" s="69"/>
      <c r="O1754" s="69"/>
      <c r="P1754" s="2"/>
      <c r="Q1754" s="2"/>
      <c r="R1754" s="32"/>
      <c r="S1754" s="32"/>
      <c r="T1754" s="32"/>
      <c r="U1754" s="32"/>
      <c r="V1754" s="2"/>
      <c r="W1754" s="2"/>
      <c r="X1754" s="2"/>
      <c r="Y1754" s="2"/>
      <c r="Z1754" s="2"/>
    </row>
    <row r="1755" spans="1:26" ht="13.8" x14ac:dyDescent="0.3">
      <c r="A1755" s="2"/>
      <c r="B1755" s="2"/>
      <c r="C1755" s="10"/>
      <c r="D1755" s="10"/>
      <c r="E1755" s="10"/>
      <c r="F1755" s="10"/>
      <c r="G1755" s="69"/>
      <c r="H1755" s="69"/>
      <c r="I1755" s="69"/>
      <c r="J1755" s="70"/>
      <c r="K1755" s="69"/>
      <c r="L1755" s="69"/>
      <c r="M1755" s="69"/>
      <c r="N1755" s="69"/>
      <c r="O1755" s="69"/>
      <c r="P1755" s="2"/>
      <c r="Q1755" s="2"/>
      <c r="R1755" s="32"/>
      <c r="S1755" s="32"/>
      <c r="T1755" s="32"/>
      <c r="U1755" s="32"/>
      <c r="V1755" s="2"/>
      <c r="W1755" s="2"/>
      <c r="X1755" s="2"/>
      <c r="Y1755" s="2"/>
      <c r="Z1755" s="2"/>
    </row>
    <row r="1756" spans="1:26" ht="13.8" x14ac:dyDescent="0.3">
      <c r="A1756" s="2"/>
      <c r="B1756" s="2"/>
      <c r="C1756" s="10"/>
      <c r="D1756" s="10"/>
      <c r="E1756" s="10"/>
      <c r="F1756" s="10"/>
      <c r="G1756" s="69"/>
      <c r="H1756" s="69"/>
      <c r="I1756" s="69"/>
      <c r="J1756" s="70"/>
      <c r="K1756" s="69"/>
      <c r="L1756" s="69"/>
      <c r="M1756" s="69"/>
      <c r="N1756" s="69"/>
      <c r="O1756" s="69"/>
      <c r="P1756" s="2"/>
      <c r="Q1756" s="2"/>
      <c r="R1756" s="32"/>
      <c r="S1756" s="32"/>
      <c r="T1756" s="32"/>
      <c r="U1756" s="32"/>
      <c r="V1756" s="2"/>
      <c r="W1756" s="2"/>
      <c r="X1756" s="2"/>
      <c r="Y1756" s="2"/>
      <c r="Z1756" s="2"/>
    </row>
    <row r="1757" spans="1:26" ht="13.8" x14ac:dyDescent="0.3">
      <c r="A1757" s="2"/>
      <c r="B1757" s="2"/>
      <c r="C1757" s="10"/>
      <c r="D1757" s="10"/>
      <c r="E1757" s="10"/>
      <c r="F1757" s="10"/>
      <c r="G1757" s="69"/>
      <c r="H1757" s="69"/>
      <c r="I1757" s="69"/>
      <c r="J1757" s="70"/>
      <c r="K1757" s="69"/>
      <c r="L1757" s="69"/>
      <c r="M1757" s="69"/>
      <c r="N1757" s="69"/>
      <c r="O1757" s="69"/>
      <c r="P1757" s="2"/>
      <c r="Q1757" s="2"/>
      <c r="R1757" s="32"/>
      <c r="S1757" s="32"/>
      <c r="T1757" s="32"/>
      <c r="U1757" s="32"/>
      <c r="V1757" s="2"/>
      <c r="W1757" s="2"/>
      <c r="X1757" s="2"/>
      <c r="Y1757" s="2"/>
      <c r="Z1757" s="2"/>
    </row>
    <row r="1758" spans="1:26" ht="13.8" x14ac:dyDescent="0.3">
      <c r="A1758" s="2"/>
      <c r="B1758" s="2"/>
      <c r="C1758" s="10"/>
      <c r="D1758" s="10"/>
      <c r="E1758" s="10"/>
      <c r="F1758" s="10"/>
      <c r="G1758" s="69"/>
      <c r="H1758" s="69"/>
      <c r="I1758" s="69"/>
      <c r="J1758" s="70"/>
      <c r="K1758" s="69"/>
      <c r="L1758" s="69"/>
      <c r="M1758" s="69"/>
      <c r="N1758" s="69"/>
      <c r="O1758" s="69"/>
      <c r="P1758" s="2"/>
      <c r="Q1758" s="2"/>
      <c r="R1758" s="32"/>
      <c r="S1758" s="32"/>
      <c r="T1758" s="32"/>
      <c r="U1758" s="32"/>
      <c r="V1758" s="2"/>
      <c r="W1758" s="2"/>
      <c r="X1758" s="2"/>
      <c r="Y1758" s="2"/>
      <c r="Z1758" s="2"/>
    </row>
    <row r="1759" spans="1:26" ht="13.8" x14ac:dyDescent="0.3">
      <c r="A1759" s="2"/>
      <c r="B1759" s="2"/>
      <c r="C1759" s="10"/>
      <c r="D1759" s="10"/>
      <c r="E1759" s="10"/>
      <c r="F1759" s="10"/>
      <c r="G1759" s="69"/>
      <c r="H1759" s="69"/>
      <c r="I1759" s="69"/>
      <c r="J1759" s="70"/>
      <c r="K1759" s="69"/>
      <c r="L1759" s="69"/>
      <c r="M1759" s="69"/>
      <c r="N1759" s="69"/>
      <c r="O1759" s="69"/>
      <c r="P1759" s="2"/>
      <c r="Q1759" s="2"/>
      <c r="R1759" s="32"/>
      <c r="S1759" s="32"/>
      <c r="T1759" s="32"/>
      <c r="U1759" s="32"/>
      <c r="V1759" s="2"/>
      <c r="W1759" s="2"/>
      <c r="X1759" s="2"/>
      <c r="Y1759" s="2"/>
      <c r="Z1759" s="2"/>
    </row>
    <row r="1760" spans="1:26" ht="13.8" x14ac:dyDescent="0.3">
      <c r="A1760" s="2"/>
      <c r="B1760" s="2"/>
      <c r="C1760" s="10"/>
      <c r="D1760" s="10"/>
      <c r="E1760" s="10"/>
      <c r="F1760" s="10"/>
      <c r="G1760" s="69"/>
      <c r="H1760" s="69"/>
      <c r="I1760" s="69"/>
      <c r="J1760" s="70"/>
      <c r="K1760" s="69"/>
      <c r="L1760" s="69"/>
      <c r="M1760" s="69"/>
      <c r="N1760" s="69"/>
      <c r="O1760" s="69"/>
      <c r="P1760" s="2"/>
      <c r="Q1760" s="2"/>
      <c r="R1760" s="32"/>
      <c r="S1760" s="32"/>
      <c r="T1760" s="32"/>
      <c r="U1760" s="32"/>
      <c r="V1760" s="2"/>
      <c r="W1760" s="2"/>
      <c r="X1760" s="2"/>
      <c r="Y1760" s="2"/>
      <c r="Z1760" s="2"/>
    </row>
    <row r="1761" spans="1:26" ht="13.8" x14ac:dyDescent="0.3">
      <c r="A1761" s="2"/>
      <c r="B1761" s="2"/>
      <c r="C1761" s="10"/>
      <c r="D1761" s="10"/>
      <c r="E1761" s="10"/>
      <c r="F1761" s="10"/>
      <c r="G1761" s="69"/>
      <c r="H1761" s="69"/>
      <c r="I1761" s="69"/>
      <c r="J1761" s="70"/>
      <c r="K1761" s="69"/>
      <c r="L1761" s="69"/>
      <c r="M1761" s="69"/>
      <c r="N1761" s="69"/>
      <c r="O1761" s="69"/>
      <c r="P1761" s="2"/>
      <c r="Q1761" s="2"/>
      <c r="R1761" s="32"/>
      <c r="S1761" s="32"/>
      <c r="T1761" s="32"/>
      <c r="U1761" s="32"/>
      <c r="V1761" s="2"/>
      <c r="W1761" s="2"/>
      <c r="X1761" s="2"/>
      <c r="Y1761" s="2"/>
      <c r="Z1761" s="2"/>
    </row>
    <row r="1762" spans="1:26" ht="13.8" x14ac:dyDescent="0.3">
      <c r="A1762" s="2"/>
      <c r="B1762" s="2"/>
      <c r="C1762" s="10"/>
      <c r="D1762" s="10"/>
      <c r="E1762" s="10"/>
      <c r="F1762" s="10"/>
      <c r="G1762" s="69"/>
      <c r="H1762" s="69"/>
      <c r="I1762" s="69"/>
      <c r="J1762" s="70"/>
      <c r="K1762" s="69"/>
      <c r="L1762" s="69"/>
      <c r="M1762" s="69"/>
      <c r="N1762" s="69"/>
      <c r="O1762" s="69"/>
      <c r="P1762" s="2"/>
      <c r="Q1762" s="2"/>
      <c r="R1762" s="32"/>
      <c r="S1762" s="32"/>
      <c r="T1762" s="32"/>
      <c r="U1762" s="32"/>
      <c r="V1762" s="2"/>
      <c r="W1762" s="2"/>
      <c r="X1762" s="2"/>
      <c r="Y1762" s="2"/>
      <c r="Z1762" s="2"/>
    </row>
    <row r="1763" spans="1:26" ht="13.8" x14ac:dyDescent="0.3">
      <c r="A1763" s="2"/>
      <c r="B1763" s="2"/>
      <c r="C1763" s="10"/>
      <c r="D1763" s="10"/>
      <c r="E1763" s="10"/>
      <c r="F1763" s="10"/>
      <c r="G1763" s="69"/>
      <c r="H1763" s="69"/>
      <c r="I1763" s="69"/>
      <c r="J1763" s="70"/>
      <c r="K1763" s="69"/>
      <c r="L1763" s="69"/>
      <c r="M1763" s="69"/>
      <c r="N1763" s="69"/>
      <c r="O1763" s="69"/>
      <c r="P1763" s="2"/>
      <c r="Q1763" s="2"/>
      <c r="R1763" s="32"/>
      <c r="S1763" s="32"/>
      <c r="T1763" s="32"/>
      <c r="U1763" s="32"/>
      <c r="V1763" s="2"/>
      <c r="W1763" s="2"/>
      <c r="X1763" s="2"/>
      <c r="Y1763" s="2"/>
      <c r="Z1763" s="2"/>
    </row>
    <row r="1764" spans="1:26" ht="13.8" x14ac:dyDescent="0.3">
      <c r="A1764" s="2"/>
      <c r="B1764" s="2"/>
      <c r="C1764" s="10"/>
      <c r="D1764" s="10"/>
      <c r="E1764" s="10"/>
      <c r="F1764" s="10"/>
      <c r="G1764" s="69"/>
      <c r="H1764" s="69"/>
      <c r="I1764" s="69"/>
      <c r="J1764" s="70"/>
      <c r="K1764" s="69"/>
      <c r="L1764" s="69"/>
      <c r="M1764" s="69"/>
      <c r="N1764" s="69"/>
      <c r="O1764" s="69"/>
      <c r="P1764" s="2"/>
      <c r="Q1764" s="2"/>
      <c r="R1764" s="32"/>
      <c r="S1764" s="32"/>
      <c r="T1764" s="32"/>
      <c r="U1764" s="32"/>
      <c r="V1764" s="2"/>
      <c r="W1764" s="2"/>
      <c r="X1764" s="2"/>
      <c r="Y1764" s="2"/>
      <c r="Z1764" s="2"/>
    </row>
    <row r="1765" spans="1:26" ht="13.8" x14ac:dyDescent="0.3">
      <c r="A1765" s="2"/>
      <c r="B1765" s="2"/>
      <c r="C1765" s="10"/>
      <c r="D1765" s="10"/>
      <c r="E1765" s="10"/>
      <c r="F1765" s="10"/>
      <c r="G1765" s="69"/>
      <c r="H1765" s="69"/>
      <c r="I1765" s="69"/>
      <c r="J1765" s="70"/>
      <c r="K1765" s="69"/>
      <c r="L1765" s="69"/>
      <c r="M1765" s="69"/>
      <c r="N1765" s="69"/>
      <c r="O1765" s="69"/>
      <c r="P1765" s="2"/>
      <c r="Q1765" s="2"/>
      <c r="R1765" s="32"/>
      <c r="S1765" s="32"/>
      <c r="T1765" s="32"/>
      <c r="U1765" s="32"/>
      <c r="V1765" s="2"/>
      <c r="W1765" s="2"/>
      <c r="X1765" s="2"/>
      <c r="Y1765" s="2"/>
      <c r="Z1765" s="2"/>
    </row>
    <row r="1766" spans="1:26" ht="13.8" x14ac:dyDescent="0.3">
      <c r="A1766" s="2"/>
      <c r="B1766" s="2"/>
      <c r="C1766" s="10"/>
      <c r="D1766" s="10"/>
      <c r="E1766" s="10"/>
      <c r="F1766" s="10"/>
      <c r="G1766" s="69"/>
      <c r="H1766" s="69"/>
      <c r="I1766" s="69"/>
      <c r="J1766" s="70"/>
      <c r="K1766" s="69"/>
      <c r="L1766" s="69"/>
      <c r="M1766" s="69"/>
      <c r="N1766" s="69"/>
      <c r="O1766" s="69"/>
      <c r="P1766" s="2"/>
      <c r="Q1766" s="2"/>
      <c r="R1766" s="32"/>
      <c r="S1766" s="32"/>
      <c r="T1766" s="32"/>
      <c r="U1766" s="32"/>
      <c r="V1766" s="2"/>
      <c r="W1766" s="2"/>
      <c r="X1766" s="2"/>
      <c r="Y1766" s="2"/>
      <c r="Z1766" s="2"/>
    </row>
    <row r="1767" spans="1:26" ht="13.8" x14ac:dyDescent="0.3">
      <c r="A1767" s="2"/>
      <c r="B1767" s="2"/>
      <c r="C1767" s="10"/>
      <c r="D1767" s="10"/>
      <c r="E1767" s="10"/>
      <c r="F1767" s="10"/>
      <c r="G1767" s="69"/>
      <c r="H1767" s="69"/>
      <c r="I1767" s="69"/>
      <c r="J1767" s="70"/>
      <c r="K1767" s="69"/>
      <c r="L1767" s="69"/>
      <c r="M1767" s="69"/>
      <c r="N1767" s="69"/>
      <c r="O1767" s="69"/>
      <c r="P1767" s="2"/>
      <c r="Q1767" s="2"/>
      <c r="R1767" s="32"/>
      <c r="S1767" s="32"/>
      <c r="T1767" s="32"/>
      <c r="U1767" s="32"/>
      <c r="V1767" s="2"/>
      <c r="W1767" s="2"/>
      <c r="X1767" s="2"/>
      <c r="Y1767" s="2"/>
      <c r="Z1767" s="2"/>
    </row>
    <row r="1768" spans="1:26" ht="13.8" x14ac:dyDescent="0.3">
      <c r="A1768" s="2"/>
      <c r="B1768" s="2"/>
      <c r="C1768" s="10"/>
      <c r="D1768" s="10"/>
      <c r="E1768" s="10"/>
      <c r="F1768" s="10"/>
      <c r="G1768" s="69"/>
      <c r="H1768" s="69"/>
      <c r="I1768" s="69"/>
      <c r="J1768" s="70"/>
      <c r="K1768" s="69"/>
      <c r="L1768" s="69"/>
      <c r="M1768" s="69"/>
      <c r="N1768" s="69"/>
      <c r="O1768" s="69"/>
      <c r="P1768" s="2"/>
      <c r="Q1768" s="2"/>
      <c r="R1768" s="32"/>
      <c r="S1768" s="32"/>
      <c r="T1768" s="32"/>
      <c r="U1768" s="32"/>
      <c r="V1768" s="2"/>
      <c r="W1768" s="2"/>
      <c r="X1768" s="2"/>
      <c r="Y1768" s="2"/>
      <c r="Z1768" s="2"/>
    </row>
    <row r="1769" spans="1:26" ht="13.8" x14ac:dyDescent="0.3">
      <c r="A1769" s="2"/>
      <c r="B1769" s="2"/>
      <c r="C1769" s="10"/>
      <c r="D1769" s="10"/>
      <c r="E1769" s="10"/>
      <c r="F1769" s="10"/>
      <c r="G1769" s="69"/>
      <c r="H1769" s="69"/>
      <c r="I1769" s="69"/>
      <c r="J1769" s="70"/>
      <c r="K1769" s="69"/>
      <c r="L1769" s="69"/>
      <c r="M1769" s="69"/>
      <c r="N1769" s="69"/>
      <c r="O1769" s="69"/>
      <c r="P1769" s="2"/>
      <c r="Q1769" s="2"/>
      <c r="R1769" s="32"/>
      <c r="S1769" s="32"/>
      <c r="T1769" s="32"/>
      <c r="U1769" s="32"/>
      <c r="V1769" s="2"/>
      <c r="W1769" s="2"/>
      <c r="X1769" s="2"/>
      <c r="Y1769" s="2"/>
      <c r="Z1769" s="2"/>
    </row>
    <row r="1770" spans="1:26" ht="13.8" x14ac:dyDescent="0.3">
      <c r="A1770" s="2"/>
      <c r="B1770" s="2"/>
      <c r="C1770" s="10"/>
      <c r="D1770" s="10"/>
      <c r="E1770" s="10"/>
      <c r="F1770" s="10"/>
      <c r="G1770" s="69"/>
      <c r="H1770" s="69"/>
      <c r="I1770" s="69"/>
      <c r="J1770" s="70"/>
      <c r="K1770" s="69"/>
      <c r="L1770" s="69"/>
      <c r="M1770" s="69"/>
      <c r="N1770" s="69"/>
      <c r="O1770" s="69"/>
      <c r="P1770" s="2"/>
      <c r="Q1770" s="2"/>
      <c r="R1770" s="32"/>
      <c r="S1770" s="32"/>
      <c r="T1770" s="32"/>
      <c r="U1770" s="32"/>
      <c r="V1770" s="2"/>
      <c r="W1770" s="2"/>
      <c r="X1770" s="2"/>
      <c r="Y1770" s="2"/>
      <c r="Z1770" s="2"/>
    </row>
    <row r="1771" spans="1:26" ht="13.8" x14ac:dyDescent="0.3">
      <c r="A1771" s="2"/>
      <c r="B1771" s="2"/>
      <c r="C1771" s="10"/>
      <c r="D1771" s="10"/>
      <c r="E1771" s="10"/>
      <c r="F1771" s="10"/>
      <c r="G1771" s="69"/>
      <c r="H1771" s="69"/>
      <c r="I1771" s="69"/>
      <c r="J1771" s="70"/>
      <c r="K1771" s="69"/>
      <c r="L1771" s="69"/>
      <c r="M1771" s="69"/>
      <c r="N1771" s="69"/>
      <c r="O1771" s="69"/>
      <c r="P1771" s="2"/>
      <c r="Q1771" s="2"/>
      <c r="R1771" s="32"/>
      <c r="S1771" s="32"/>
      <c r="T1771" s="32"/>
      <c r="U1771" s="32"/>
      <c r="V1771" s="2"/>
      <c r="W1771" s="2"/>
      <c r="X1771" s="2"/>
      <c r="Y1771" s="2"/>
      <c r="Z1771" s="2"/>
    </row>
    <row r="1772" spans="1:26" ht="13.8" x14ac:dyDescent="0.3">
      <c r="A1772" s="2"/>
      <c r="B1772" s="2"/>
      <c r="C1772" s="10"/>
      <c r="D1772" s="10"/>
      <c r="E1772" s="10"/>
      <c r="F1772" s="10"/>
      <c r="G1772" s="69"/>
      <c r="H1772" s="69"/>
      <c r="I1772" s="69"/>
      <c r="J1772" s="70"/>
      <c r="K1772" s="69"/>
      <c r="L1772" s="69"/>
      <c r="M1772" s="69"/>
      <c r="N1772" s="69"/>
      <c r="O1772" s="69"/>
      <c r="P1772" s="2"/>
      <c r="Q1772" s="2"/>
      <c r="R1772" s="32"/>
      <c r="S1772" s="32"/>
      <c r="T1772" s="32"/>
      <c r="U1772" s="32"/>
      <c r="V1772" s="2"/>
      <c r="W1772" s="2"/>
      <c r="X1772" s="2"/>
      <c r="Y1772" s="2"/>
      <c r="Z1772" s="2"/>
    </row>
    <row r="1773" spans="1:26" ht="13.8" x14ac:dyDescent="0.3">
      <c r="A1773" s="2"/>
      <c r="B1773" s="2"/>
      <c r="C1773" s="10"/>
      <c r="D1773" s="10"/>
      <c r="E1773" s="10"/>
      <c r="F1773" s="10"/>
      <c r="G1773" s="69"/>
      <c r="H1773" s="69"/>
      <c r="I1773" s="69"/>
      <c r="J1773" s="70"/>
      <c r="K1773" s="69"/>
      <c r="L1773" s="69"/>
      <c r="M1773" s="69"/>
      <c r="N1773" s="69"/>
      <c r="O1773" s="69"/>
      <c r="P1773" s="2"/>
      <c r="Q1773" s="2"/>
      <c r="R1773" s="32"/>
      <c r="S1773" s="32"/>
      <c r="T1773" s="32"/>
      <c r="U1773" s="32"/>
      <c r="V1773" s="2"/>
      <c r="W1773" s="2"/>
      <c r="X1773" s="2"/>
      <c r="Y1773" s="2"/>
      <c r="Z1773" s="2"/>
    </row>
    <row r="1774" spans="1:26" ht="13.8" x14ac:dyDescent="0.3">
      <c r="A1774" s="2"/>
      <c r="B1774" s="2"/>
      <c r="C1774" s="10"/>
      <c r="D1774" s="10"/>
      <c r="E1774" s="10"/>
      <c r="F1774" s="10"/>
      <c r="G1774" s="69"/>
      <c r="H1774" s="69"/>
      <c r="I1774" s="69"/>
      <c r="J1774" s="70"/>
      <c r="K1774" s="69"/>
      <c r="L1774" s="69"/>
      <c r="M1774" s="69"/>
      <c r="N1774" s="69"/>
      <c r="O1774" s="69"/>
      <c r="P1774" s="2"/>
      <c r="Q1774" s="2"/>
      <c r="R1774" s="32"/>
      <c r="S1774" s="32"/>
      <c r="T1774" s="32"/>
      <c r="U1774" s="32"/>
      <c r="V1774" s="2"/>
      <c r="W1774" s="2"/>
      <c r="X1774" s="2"/>
      <c r="Y1774" s="2"/>
      <c r="Z1774" s="2"/>
    </row>
    <row r="1775" spans="1:26" ht="13.8" x14ac:dyDescent="0.3">
      <c r="A1775" s="2"/>
      <c r="B1775" s="2"/>
      <c r="C1775" s="10"/>
      <c r="D1775" s="10"/>
      <c r="E1775" s="10"/>
      <c r="F1775" s="10"/>
      <c r="G1775" s="69"/>
      <c r="H1775" s="69"/>
      <c r="I1775" s="69"/>
      <c r="J1775" s="70"/>
      <c r="K1775" s="69"/>
      <c r="L1775" s="69"/>
      <c r="M1775" s="69"/>
      <c r="N1775" s="69"/>
      <c r="O1775" s="69"/>
      <c r="P1775" s="2"/>
      <c r="Q1775" s="2"/>
      <c r="R1775" s="32"/>
      <c r="S1775" s="32"/>
      <c r="T1775" s="32"/>
      <c r="U1775" s="32"/>
      <c r="V1775" s="2"/>
      <c r="W1775" s="2"/>
      <c r="X1775" s="2"/>
      <c r="Y1775" s="2"/>
      <c r="Z1775" s="2"/>
    </row>
    <row r="1776" spans="1:26" ht="13.8" x14ac:dyDescent="0.3">
      <c r="A1776" s="2"/>
      <c r="B1776" s="2"/>
      <c r="C1776" s="10"/>
      <c r="D1776" s="10"/>
      <c r="E1776" s="10"/>
      <c r="F1776" s="10"/>
      <c r="G1776" s="69"/>
      <c r="H1776" s="69"/>
      <c r="I1776" s="69"/>
      <c r="J1776" s="70"/>
      <c r="K1776" s="69"/>
      <c r="L1776" s="69"/>
      <c r="M1776" s="69"/>
      <c r="N1776" s="69"/>
      <c r="O1776" s="69"/>
      <c r="P1776" s="2"/>
      <c r="Q1776" s="2"/>
      <c r="R1776" s="32"/>
      <c r="S1776" s="32"/>
      <c r="T1776" s="32"/>
      <c r="U1776" s="32"/>
      <c r="V1776" s="2"/>
      <c r="W1776" s="2"/>
      <c r="X1776" s="2"/>
      <c r="Y1776" s="2"/>
      <c r="Z1776" s="2"/>
    </row>
    <row r="1777" spans="1:26" ht="13.8" x14ac:dyDescent="0.3">
      <c r="A1777" s="2"/>
      <c r="B1777" s="2"/>
      <c r="C1777" s="10"/>
      <c r="D1777" s="10"/>
      <c r="E1777" s="10"/>
      <c r="F1777" s="10"/>
      <c r="G1777" s="69"/>
      <c r="H1777" s="69"/>
      <c r="I1777" s="69"/>
      <c r="J1777" s="70"/>
      <c r="K1777" s="69"/>
      <c r="L1777" s="69"/>
      <c r="M1777" s="69"/>
      <c r="N1777" s="69"/>
      <c r="O1777" s="69"/>
      <c r="P1777" s="2"/>
      <c r="Q1777" s="2"/>
      <c r="R1777" s="32"/>
      <c r="S1777" s="32"/>
      <c r="T1777" s="32"/>
      <c r="U1777" s="32"/>
      <c r="V1777" s="2"/>
      <c r="W1777" s="2"/>
      <c r="X1777" s="2"/>
      <c r="Y1777" s="2"/>
      <c r="Z1777" s="2"/>
    </row>
    <row r="1778" spans="1:26" ht="13.8" x14ac:dyDescent="0.3">
      <c r="A1778" s="2"/>
      <c r="B1778" s="2"/>
      <c r="C1778" s="10"/>
      <c r="D1778" s="10"/>
      <c r="E1778" s="10"/>
      <c r="F1778" s="10"/>
      <c r="G1778" s="69"/>
      <c r="H1778" s="69"/>
      <c r="I1778" s="69"/>
      <c r="J1778" s="70"/>
      <c r="K1778" s="69"/>
      <c r="L1778" s="69"/>
      <c r="M1778" s="69"/>
      <c r="N1778" s="69"/>
      <c r="O1778" s="69"/>
      <c r="P1778" s="2"/>
      <c r="Q1778" s="2"/>
      <c r="R1778" s="32"/>
      <c r="S1778" s="32"/>
      <c r="T1778" s="32"/>
      <c r="U1778" s="32"/>
      <c r="V1778" s="2"/>
      <c r="W1778" s="2"/>
      <c r="X1778" s="2"/>
      <c r="Y1778" s="2"/>
      <c r="Z1778" s="2"/>
    </row>
    <row r="1779" spans="1:26" ht="13.8" x14ac:dyDescent="0.3">
      <c r="A1779" s="2"/>
      <c r="B1779" s="2"/>
      <c r="C1779" s="10"/>
      <c r="D1779" s="10"/>
      <c r="E1779" s="10"/>
      <c r="F1779" s="10"/>
      <c r="G1779" s="69"/>
      <c r="H1779" s="69"/>
      <c r="I1779" s="69"/>
      <c r="J1779" s="70"/>
      <c r="K1779" s="69"/>
      <c r="L1779" s="69"/>
      <c r="M1779" s="69"/>
      <c r="N1779" s="69"/>
      <c r="O1779" s="69"/>
      <c r="P1779" s="2"/>
      <c r="Q1779" s="2"/>
      <c r="R1779" s="32"/>
      <c r="S1779" s="32"/>
      <c r="T1779" s="32"/>
      <c r="U1779" s="32"/>
      <c r="V1779" s="2"/>
      <c r="W1779" s="2"/>
      <c r="X1779" s="2"/>
      <c r="Y1779" s="2"/>
      <c r="Z1779" s="2"/>
    </row>
    <row r="1780" spans="1:26" ht="13.8" x14ac:dyDescent="0.3">
      <c r="A1780" s="2"/>
      <c r="B1780" s="2"/>
      <c r="C1780" s="10"/>
      <c r="D1780" s="10"/>
      <c r="E1780" s="10"/>
      <c r="F1780" s="10"/>
      <c r="G1780" s="69"/>
      <c r="H1780" s="69"/>
      <c r="I1780" s="69"/>
      <c r="J1780" s="70"/>
      <c r="K1780" s="69"/>
      <c r="L1780" s="69"/>
      <c r="M1780" s="69"/>
      <c r="N1780" s="69"/>
      <c r="O1780" s="69"/>
      <c r="P1780" s="2"/>
      <c r="Q1780" s="2"/>
      <c r="R1780" s="32"/>
      <c r="S1780" s="32"/>
      <c r="T1780" s="32"/>
      <c r="U1780" s="32"/>
      <c r="V1780" s="2"/>
      <c r="W1780" s="2"/>
      <c r="X1780" s="2"/>
      <c r="Y1780" s="2"/>
      <c r="Z1780" s="2"/>
    </row>
    <row r="1781" spans="1:26" ht="13.8" x14ac:dyDescent="0.3">
      <c r="A1781" s="2"/>
      <c r="B1781" s="2"/>
      <c r="C1781" s="10"/>
      <c r="D1781" s="10"/>
      <c r="E1781" s="10"/>
      <c r="F1781" s="10"/>
      <c r="G1781" s="69"/>
      <c r="H1781" s="69"/>
      <c r="I1781" s="69"/>
      <c r="J1781" s="70"/>
      <c r="K1781" s="69"/>
      <c r="L1781" s="69"/>
      <c r="M1781" s="69"/>
      <c r="N1781" s="69"/>
      <c r="O1781" s="69"/>
      <c r="P1781" s="2"/>
      <c r="Q1781" s="2"/>
      <c r="R1781" s="32"/>
      <c r="S1781" s="32"/>
      <c r="T1781" s="32"/>
      <c r="U1781" s="32"/>
      <c r="V1781" s="2"/>
      <c r="W1781" s="2"/>
      <c r="X1781" s="2"/>
      <c r="Y1781" s="2"/>
      <c r="Z1781" s="2"/>
    </row>
    <row r="1782" spans="1:26" ht="13.8" x14ac:dyDescent="0.3">
      <c r="A1782" s="2"/>
      <c r="B1782" s="2"/>
      <c r="C1782" s="10"/>
      <c r="D1782" s="10"/>
      <c r="E1782" s="10"/>
      <c r="F1782" s="10"/>
      <c r="G1782" s="69"/>
      <c r="H1782" s="69"/>
      <c r="I1782" s="69"/>
      <c r="J1782" s="70"/>
      <c r="K1782" s="69"/>
      <c r="L1782" s="69"/>
      <c r="M1782" s="69"/>
      <c r="N1782" s="69"/>
      <c r="O1782" s="69"/>
      <c r="P1782" s="2"/>
      <c r="Q1782" s="2"/>
      <c r="R1782" s="32"/>
      <c r="S1782" s="32"/>
      <c r="T1782" s="32"/>
      <c r="U1782" s="32"/>
      <c r="V1782" s="2"/>
      <c r="W1782" s="2"/>
      <c r="X1782" s="2"/>
      <c r="Y1782" s="2"/>
      <c r="Z1782" s="2"/>
    </row>
    <row r="1783" spans="1:26" ht="13.8" x14ac:dyDescent="0.3">
      <c r="A1783" s="2"/>
      <c r="B1783" s="2"/>
      <c r="C1783" s="10"/>
      <c r="D1783" s="10"/>
      <c r="E1783" s="10"/>
      <c r="F1783" s="10"/>
      <c r="G1783" s="69"/>
      <c r="H1783" s="69"/>
      <c r="I1783" s="69"/>
      <c r="J1783" s="70"/>
      <c r="K1783" s="69"/>
      <c r="L1783" s="69"/>
      <c r="M1783" s="69"/>
      <c r="N1783" s="69"/>
      <c r="O1783" s="69"/>
      <c r="P1783" s="2"/>
      <c r="Q1783" s="2"/>
      <c r="R1783" s="32"/>
      <c r="S1783" s="32"/>
      <c r="T1783" s="32"/>
      <c r="U1783" s="32"/>
      <c r="V1783" s="2"/>
      <c r="W1783" s="2"/>
      <c r="X1783" s="2"/>
      <c r="Y1783" s="2"/>
      <c r="Z1783" s="2"/>
    </row>
    <row r="1784" spans="1:26" ht="13.8" x14ac:dyDescent="0.3">
      <c r="A1784" s="2"/>
      <c r="B1784" s="2"/>
      <c r="C1784" s="10"/>
      <c r="D1784" s="10"/>
      <c r="E1784" s="10"/>
      <c r="F1784" s="10"/>
      <c r="G1784" s="69"/>
      <c r="H1784" s="69"/>
      <c r="I1784" s="69"/>
      <c r="J1784" s="70"/>
      <c r="K1784" s="69"/>
      <c r="L1784" s="69"/>
      <c r="M1784" s="69"/>
      <c r="N1784" s="69"/>
      <c r="O1784" s="69"/>
      <c r="P1784" s="2"/>
      <c r="Q1784" s="2"/>
      <c r="R1784" s="32"/>
      <c r="S1784" s="32"/>
      <c r="T1784" s="32"/>
      <c r="U1784" s="32"/>
      <c r="V1784" s="2"/>
      <c r="W1784" s="2"/>
      <c r="X1784" s="2"/>
      <c r="Y1784" s="2"/>
      <c r="Z1784" s="2"/>
    </row>
    <row r="1785" spans="1:26" ht="13.8" x14ac:dyDescent="0.3">
      <c r="A1785" s="2"/>
      <c r="B1785" s="2"/>
      <c r="C1785" s="10"/>
      <c r="D1785" s="10"/>
      <c r="E1785" s="10"/>
      <c r="F1785" s="10"/>
      <c r="G1785" s="69"/>
      <c r="H1785" s="69"/>
      <c r="I1785" s="69"/>
      <c r="J1785" s="70"/>
      <c r="K1785" s="69"/>
      <c r="L1785" s="69"/>
      <c r="M1785" s="69"/>
      <c r="N1785" s="69"/>
      <c r="O1785" s="69"/>
      <c r="P1785" s="2"/>
      <c r="Q1785" s="2"/>
      <c r="R1785" s="32"/>
      <c r="S1785" s="32"/>
      <c r="T1785" s="32"/>
      <c r="U1785" s="32"/>
      <c r="V1785" s="2"/>
      <c r="W1785" s="2"/>
      <c r="X1785" s="2"/>
      <c r="Y1785" s="2"/>
      <c r="Z1785" s="2"/>
    </row>
    <row r="1786" spans="1:26" ht="13.8" x14ac:dyDescent="0.3">
      <c r="A1786" s="2"/>
      <c r="B1786" s="2"/>
      <c r="C1786" s="10"/>
      <c r="D1786" s="10"/>
      <c r="E1786" s="10"/>
      <c r="F1786" s="10"/>
      <c r="G1786" s="69"/>
      <c r="H1786" s="69"/>
      <c r="I1786" s="69"/>
      <c r="J1786" s="70"/>
      <c r="K1786" s="69"/>
      <c r="L1786" s="69"/>
      <c r="M1786" s="69"/>
      <c r="N1786" s="69"/>
      <c r="O1786" s="69"/>
      <c r="P1786" s="2"/>
      <c r="Q1786" s="2"/>
      <c r="R1786" s="32"/>
      <c r="S1786" s="32"/>
      <c r="T1786" s="32"/>
      <c r="U1786" s="32"/>
      <c r="V1786" s="2"/>
      <c r="W1786" s="2"/>
      <c r="X1786" s="2"/>
      <c r="Y1786" s="2"/>
      <c r="Z1786" s="2"/>
    </row>
    <row r="1787" spans="1:26" ht="13.8" x14ac:dyDescent="0.3">
      <c r="A1787" s="2"/>
      <c r="B1787" s="2"/>
      <c r="C1787" s="10"/>
      <c r="D1787" s="10"/>
      <c r="E1787" s="10"/>
      <c r="F1787" s="10"/>
      <c r="G1787" s="69"/>
      <c r="H1787" s="69"/>
      <c r="I1787" s="69"/>
      <c r="J1787" s="70"/>
      <c r="K1787" s="69"/>
      <c r="L1787" s="69"/>
      <c r="M1787" s="69"/>
      <c r="N1787" s="69"/>
      <c r="O1787" s="69"/>
      <c r="P1787" s="2"/>
      <c r="Q1787" s="2"/>
      <c r="R1787" s="32"/>
      <c r="S1787" s="32"/>
      <c r="T1787" s="32"/>
      <c r="U1787" s="32"/>
      <c r="V1787" s="2"/>
      <c r="W1787" s="2"/>
      <c r="X1787" s="2"/>
      <c r="Y1787" s="2"/>
      <c r="Z1787" s="2"/>
    </row>
    <row r="1788" spans="1:26" ht="13.8" x14ac:dyDescent="0.3">
      <c r="A1788" s="2"/>
      <c r="B1788" s="2"/>
      <c r="C1788" s="10"/>
      <c r="D1788" s="10"/>
      <c r="E1788" s="10"/>
      <c r="F1788" s="10"/>
      <c r="G1788" s="69"/>
      <c r="H1788" s="69"/>
      <c r="I1788" s="69"/>
      <c r="J1788" s="70"/>
      <c r="K1788" s="69"/>
      <c r="L1788" s="69"/>
      <c r="M1788" s="69"/>
      <c r="N1788" s="69"/>
      <c r="O1788" s="69"/>
      <c r="P1788" s="2"/>
      <c r="Q1788" s="2"/>
      <c r="R1788" s="32"/>
      <c r="S1788" s="32"/>
      <c r="T1788" s="32"/>
      <c r="U1788" s="32"/>
      <c r="V1788" s="2"/>
      <c r="W1788" s="2"/>
      <c r="X1788" s="2"/>
      <c r="Y1788" s="2"/>
      <c r="Z1788" s="2"/>
    </row>
    <row r="1789" spans="1:26" ht="13.8" x14ac:dyDescent="0.3">
      <c r="A1789" s="2"/>
      <c r="B1789" s="2"/>
      <c r="C1789" s="10"/>
      <c r="D1789" s="10"/>
      <c r="E1789" s="10"/>
      <c r="F1789" s="10"/>
      <c r="G1789" s="69"/>
      <c r="H1789" s="69"/>
      <c r="I1789" s="69"/>
      <c r="J1789" s="70"/>
      <c r="K1789" s="69"/>
      <c r="L1789" s="69"/>
      <c r="M1789" s="69"/>
      <c r="N1789" s="69"/>
      <c r="O1789" s="69"/>
      <c r="P1789" s="2"/>
      <c r="Q1789" s="2"/>
      <c r="R1789" s="32"/>
      <c r="S1789" s="32"/>
      <c r="T1789" s="32"/>
      <c r="U1789" s="32"/>
      <c r="V1789" s="2"/>
      <c r="W1789" s="2"/>
      <c r="X1789" s="2"/>
      <c r="Y1789" s="2"/>
      <c r="Z1789" s="2"/>
    </row>
    <row r="1790" spans="1:26" ht="13.8" x14ac:dyDescent="0.3">
      <c r="A1790" s="2"/>
      <c r="B1790" s="2"/>
      <c r="C1790" s="10"/>
      <c r="D1790" s="10"/>
      <c r="E1790" s="10"/>
      <c r="F1790" s="10"/>
      <c r="G1790" s="69"/>
      <c r="H1790" s="69"/>
      <c r="I1790" s="69"/>
      <c r="J1790" s="70"/>
      <c r="K1790" s="69"/>
      <c r="L1790" s="69"/>
      <c r="M1790" s="69"/>
      <c r="N1790" s="69"/>
      <c r="O1790" s="69"/>
      <c r="P1790" s="2"/>
      <c r="Q1790" s="2"/>
      <c r="R1790" s="32"/>
      <c r="S1790" s="32"/>
      <c r="T1790" s="32"/>
      <c r="U1790" s="32"/>
      <c r="V1790" s="2"/>
      <c r="W1790" s="2"/>
      <c r="X1790" s="2"/>
      <c r="Y1790" s="2"/>
      <c r="Z1790" s="2"/>
    </row>
    <row r="1791" spans="1:26" ht="13.8" x14ac:dyDescent="0.3">
      <c r="A1791" s="2"/>
      <c r="B1791" s="2"/>
      <c r="C1791" s="10"/>
      <c r="D1791" s="10"/>
      <c r="E1791" s="10"/>
      <c r="F1791" s="10"/>
      <c r="G1791" s="69"/>
      <c r="H1791" s="69"/>
      <c r="I1791" s="69"/>
      <c r="J1791" s="70"/>
      <c r="K1791" s="69"/>
      <c r="L1791" s="69"/>
      <c r="M1791" s="69"/>
      <c r="N1791" s="69"/>
      <c r="O1791" s="69"/>
      <c r="P1791" s="2"/>
      <c r="Q1791" s="2"/>
      <c r="R1791" s="32"/>
      <c r="S1791" s="32"/>
      <c r="T1791" s="32"/>
      <c r="U1791" s="32"/>
      <c r="V1791" s="2"/>
      <c r="W1791" s="2"/>
      <c r="X1791" s="2"/>
      <c r="Y1791" s="2"/>
      <c r="Z1791" s="2"/>
    </row>
    <row r="1792" spans="1:26" ht="13.8" x14ac:dyDescent="0.3">
      <c r="A1792" s="2"/>
      <c r="B1792" s="2"/>
      <c r="C1792" s="10"/>
      <c r="D1792" s="10"/>
      <c r="E1792" s="10"/>
      <c r="F1792" s="10"/>
      <c r="G1792" s="69"/>
      <c r="H1792" s="69"/>
      <c r="I1792" s="69"/>
      <c r="J1792" s="70"/>
      <c r="K1792" s="69"/>
      <c r="L1792" s="69"/>
      <c r="M1792" s="69"/>
      <c r="N1792" s="69"/>
      <c r="O1792" s="69"/>
      <c r="P1792" s="2"/>
      <c r="Q1792" s="2"/>
      <c r="R1792" s="32"/>
      <c r="S1792" s="32"/>
      <c r="T1792" s="32"/>
      <c r="U1792" s="32"/>
      <c r="V1792" s="2"/>
      <c r="W1792" s="2"/>
      <c r="X1792" s="2"/>
      <c r="Y1792" s="2"/>
      <c r="Z1792" s="2"/>
    </row>
    <row r="1793" spans="1:26" ht="13.8" x14ac:dyDescent="0.3">
      <c r="A1793" s="2"/>
      <c r="B1793" s="2"/>
      <c r="C1793" s="10"/>
      <c r="D1793" s="10"/>
      <c r="E1793" s="10"/>
      <c r="F1793" s="10"/>
      <c r="G1793" s="69"/>
      <c r="H1793" s="69"/>
      <c r="I1793" s="69"/>
      <c r="J1793" s="70"/>
      <c r="K1793" s="69"/>
      <c r="L1793" s="69"/>
      <c r="M1793" s="69"/>
      <c r="N1793" s="69"/>
      <c r="O1793" s="69"/>
      <c r="P1793" s="2"/>
      <c r="Q1793" s="2"/>
      <c r="R1793" s="32"/>
      <c r="S1793" s="32"/>
      <c r="T1793" s="32"/>
      <c r="U1793" s="32"/>
      <c r="V1793" s="2"/>
      <c r="W1793" s="2"/>
      <c r="X1793" s="2"/>
      <c r="Y1793" s="2"/>
      <c r="Z1793" s="2"/>
    </row>
    <row r="1794" spans="1:26" ht="13.8" x14ac:dyDescent="0.3">
      <c r="A1794" s="2"/>
      <c r="B1794" s="2"/>
      <c r="C1794" s="10"/>
      <c r="D1794" s="10"/>
      <c r="E1794" s="10"/>
      <c r="F1794" s="10"/>
      <c r="G1794" s="69"/>
      <c r="H1794" s="69"/>
      <c r="I1794" s="69"/>
      <c r="J1794" s="70"/>
      <c r="K1794" s="69"/>
      <c r="L1794" s="69"/>
      <c r="M1794" s="69"/>
      <c r="N1794" s="69"/>
      <c r="O1794" s="69"/>
      <c r="P1794" s="2"/>
      <c r="Q1794" s="2"/>
      <c r="R1794" s="32"/>
      <c r="S1794" s="32"/>
      <c r="T1794" s="32"/>
      <c r="U1794" s="32"/>
      <c r="V1794" s="2"/>
      <c r="W1794" s="2"/>
      <c r="X1794" s="2"/>
      <c r="Y1794" s="2"/>
      <c r="Z1794" s="2"/>
    </row>
    <row r="1795" spans="1:26" ht="13.8" x14ac:dyDescent="0.3">
      <c r="A1795" s="2"/>
      <c r="B1795" s="2"/>
      <c r="C1795" s="10"/>
      <c r="D1795" s="10"/>
      <c r="E1795" s="10"/>
      <c r="F1795" s="10"/>
      <c r="G1795" s="69"/>
      <c r="H1795" s="69"/>
      <c r="I1795" s="69"/>
      <c r="J1795" s="70"/>
      <c r="K1795" s="69"/>
      <c r="L1795" s="69"/>
      <c r="M1795" s="69"/>
      <c r="N1795" s="69"/>
      <c r="O1795" s="69"/>
      <c r="P1795" s="2"/>
      <c r="Q1795" s="2"/>
      <c r="R1795" s="32"/>
      <c r="S1795" s="32"/>
      <c r="T1795" s="32"/>
      <c r="U1795" s="32"/>
      <c r="V1795" s="2"/>
      <c r="W1795" s="2"/>
      <c r="X1795" s="2"/>
      <c r="Y1795" s="2"/>
      <c r="Z1795" s="2"/>
    </row>
    <row r="1796" spans="1:26" ht="13.8" x14ac:dyDescent="0.3">
      <c r="A1796" s="2"/>
      <c r="B1796" s="2"/>
      <c r="C1796" s="10"/>
      <c r="D1796" s="10"/>
      <c r="E1796" s="10"/>
      <c r="F1796" s="10"/>
      <c r="G1796" s="69"/>
      <c r="H1796" s="69"/>
      <c r="I1796" s="69"/>
      <c r="J1796" s="70"/>
      <c r="K1796" s="69"/>
      <c r="L1796" s="69"/>
      <c r="M1796" s="69"/>
      <c r="N1796" s="69"/>
      <c r="O1796" s="69"/>
      <c r="P1796" s="2"/>
      <c r="Q1796" s="2"/>
      <c r="R1796" s="32"/>
      <c r="S1796" s="32"/>
      <c r="T1796" s="32"/>
      <c r="U1796" s="32"/>
      <c r="V1796" s="2"/>
      <c r="W1796" s="2"/>
      <c r="X1796" s="2"/>
      <c r="Y1796" s="2"/>
      <c r="Z1796" s="2"/>
    </row>
    <row r="1797" spans="1:26" ht="13.8" x14ac:dyDescent="0.3">
      <c r="A1797" s="2"/>
      <c r="B1797" s="2"/>
      <c r="C1797" s="10"/>
      <c r="D1797" s="10"/>
      <c r="E1797" s="10"/>
      <c r="F1797" s="10"/>
      <c r="G1797" s="69"/>
      <c r="H1797" s="69"/>
      <c r="I1797" s="69"/>
      <c r="J1797" s="70"/>
      <c r="K1797" s="69"/>
      <c r="L1797" s="69"/>
      <c r="M1797" s="69"/>
      <c r="N1797" s="69"/>
      <c r="O1797" s="69"/>
      <c r="P1797" s="2"/>
      <c r="Q1797" s="2"/>
      <c r="R1797" s="32"/>
      <c r="S1797" s="32"/>
      <c r="T1797" s="32"/>
      <c r="U1797" s="32"/>
      <c r="V1797" s="2"/>
      <c r="W1797" s="2"/>
      <c r="X1797" s="2"/>
      <c r="Y1797" s="2"/>
      <c r="Z1797" s="2"/>
    </row>
    <row r="1798" spans="1:26" ht="13.8" x14ac:dyDescent="0.3">
      <c r="A1798" s="2"/>
      <c r="B1798" s="2"/>
      <c r="C1798" s="10"/>
      <c r="D1798" s="10"/>
      <c r="E1798" s="10"/>
      <c r="F1798" s="10"/>
      <c r="G1798" s="69"/>
      <c r="H1798" s="69"/>
      <c r="I1798" s="69"/>
      <c r="J1798" s="70"/>
      <c r="K1798" s="69"/>
      <c r="L1798" s="69"/>
      <c r="M1798" s="69"/>
      <c r="N1798" s="69"/>
      <c r="O1798" s="69"/>
      <c r="P1798" s="2"/>
      <c r="Q1798" s="2"/>
      <c r="R1798" s="32"/>
      <c r="S1798" s="32"/>
      <c r="T1798" s="32"/>
      <c r="U1798" s="32"/>
      <c r="V1798" s="2"/>
      <c r="W1798" s="2"/>
      <c r="X1798" s="2"/>
      <c r="Y1798" s="2"/>
      <c r="Z1798" s="2"/>
    </row>
    <row r="1799" spans="1:26" ht="13.8" x14ac:dyDescent="0.3">
      <c r="A1799" s="2"/>
      <c r="B1799" s="2"/>
      <c r="C1799" s="10"/>
      <c r="D1799" s="10"/>
      <c r="E1799" s="10"/>
      <c r="F1799" s="10"/>
      <c r="G1799" s="69"/>
      <c r="H1799" s="69"/>
      <c r="I1799" s="69"/>
      <c r="J1799" s="70"/>
      <c r="K1799" s="69"/>
      <c r="L1799" s="69"/>
      <c r="M1799" s="69"/>
      <c r="N1799" s="69"/>
      <c r="O1799" s="69"/>
      <c r="P1799" s="2"/>
      <c r="Q1799" s="2"/>
      <c r="R1799" s="32"/>
      <c r="S1799" s="32"/>
      <c r="T1799" s="32"/>
      <c r="U1799" s="32"/>
      <c r="V1799" s="2"/>
      <c r="W1799" s="2"/>
      <c r="X1799" s="2"/>
      <c r="Y1799" s="2"/>
      <c r="Z1799" s="2"/>
    </row>
    <row r="1800" spans="1:26" ht="13.8" x14ac:dyDescent="0.3">
      <c r="A1800" s="2"/>
      <c r="B1800" s="2"/>
      <c r="C1800" s="10"/>
      <c r="D1800" s="10"/>
      <c r="E1800" s="10"/>
      <c r="F1800" s="10"/>
      <c r="G1800" s="69"/>
      <c r="H1800" s="69"/>
      <c r="I1800" s="69"/>
      <c r="J1800" s="70"/>
      <c r="K1800" s="69"/>
      <c r="L1800" s="69"/>
      <c r="M1800" s="69"/>
      <c r="N1800" s="69"/>
      <c r="O1800" s="69"/>
      <c r="P1800" s="2"/>
      <c r="Q1800" s="2"/>
      <c r="R1800" s="32"/>
      <c r="S1800" s="32"/>
      <c r="T1800" s="32"/>
      <c r="U1800" s="32"/>
      <c r="V1800" s="2"/>
      <c r="W1800" s="2"/>
      <c r="X1800" s="2"/>
      <c r="Y1800" s="2"/>
      <c r="Z1800" s="2"/>
    </row>
    <row r="1801" spans="1:26" ht="13.8" x14ac:dyDescent="0.3">
      <c r="A1801" s="2"/>
      <c r="B1801" s="2"/>
      <c r="C1801" s="10"/>
      <c r="D1801" s="10"/>
      <c r="E1801" s="10"/>
      <c r="F1801" s="10"/>
      <c r="G1801" s="69"/>
      <c r="H1801" s="69"/>
      <c r="I1801" s="69"/>
      <c r="J1801" s="70"/>
      <c r="K1801" s="69"/>
      <c r="L1801" s="69"/>
      <c r="M1801" s="69"/>
      <c r="N1801" s="69"/>
      <c r="O1801" s="69"/>
      <c r="P1801" s="2"/>
      <c r="Q1801" s="2"/>
      <c r="R1801" s="32"/>
      <c r="S1801" s="32"/>
      <c r="T1801" s="32"/>
      <c r="U1801" s="32"/>
      <c r="V1801" s="2"/>
      <c r="W1801" s="2"/>
      <c r="X1801" s="2"/>
      <c r="Y1801" s="2"/>
      <c r="Z1801" s="2"/>
    </row>
    <row r="1802" spans="1:26" ht="13.8" x14ac:dyDescent="0.3">
      <c r="A1802" s="2"/>
      <c r="B1802" s="2"/>
      <c r="C1802" s="10"/>
      <c r="D1802" s="10"/>
      <c r="E1802" s="10"/>
      <c r="F1802" s="10"/>
      <c r="G1802" s="69"/>
      <c r="H1802" s="69"/>
      <c r="I1802" s="69"/>
      <c r="J1802" s="70"/>
      <c r="K1802" s="69"/>
      <c r="L1802" s="69"/>
      <c r="M1802" s="69"/>
      <c r="N1802" s="69"/>
      <c r="O1802" s="69"/>
      <c r="P1802" s="2"/>
      <c r="Q1802" s="2"/>
      <c r="R1802" s="32"/>
      <c r="S1802" s="32"/>
      <c r="T1802" s="32"/>
      <c r="U1802" s="32"/>
      <c r="V1802" s="2"/>
      <c r="W1802" s="2"/>
      <c r="X1802" s="2"/>
      <c r="Y1802" s="2"/>
      <c r="Z1802" s="2"/>
    </row>
    <row r="1803" spans="1:26" ht="13.8" x14ac:dyDescent="0.3">
      <c r="A1803" s="2"/>
      <c r="B1803" s="2"/>
      <c r="C1803" s="10"/>
      <c r="D1803" s="10"/>
      <c r="E1803" s="10"/>
      <c r="F1803" s="10"/>
      <c r="G1803" s="69"/>
      <c r="H1803" s="69"/>
      <c r="I1803" s="69"/>
      <c r="J1803" s="70"/>
      <c r="K1803" s="69"/>
      <c r="L1803" s="69"/>
      <c r="M1803" s="69"/>
      <c r="N1803" s="69"/>
      <c r="O1803" s="69"/>
      <c r="P1803" s="2"/>
      <c r="Q1803" s="2"/>
      <c r="R1803" s="32"/>
      <c r="S1803" s="32"/>
      <c r="T1803" s="32"/>
      <c r="U1803" s="32"/>
      <c r="V1803" s="2"/>
      <c r="W1803" s="2"/>
      <c r="X1803" s="2"/>
      <c r="Y1803" s="2"/>
      <c r="Z1803" s="2"/>
    </row>
    <row r="1804" spans="1:26" ht="13.8" x14ac:dyDescent="0.3">
      <c r="A1804" s="2"/>
      <c r="B1804" s="2"/>
      <c r="C1804" s="10"/>
      <c r="D1804" s="10"/>
      <c r="E1804" s="10"/>
      <c r="F1804" s="10"/>
      <c r="G1804" s="69"/>
      <c r="H1804" s="69"/>
      <c r="I1804" s="69"/>
      <c r="J1804" s="70"/>
      <c r="K1804" s="69"/>
      <c r="L1804" s="69"/>
      <c r="M1804" s="69"/>
      <c r="N1804" s="69"/>
      <c r="O1804" s="69"/>
      <c r="P1804" s="2"/>
      <c r="Q1804" s="2"/>
      <c r="R1804" s="32"/>
      <c r="S1804" s="32"/>
      <c r="T1804" s="32"/>
      <c r="U1804" s="32"/>
      <c r="V1804" s="2"/>
      <c r="W1804" s="2"/>
      <c r="X1804" s="2"/>
      <c r="Y1804" s="2"/>
      <c r="Z1804" s="2"/>
    </row>
    <row r="1805" spans="1:26" ht="13.8" x14ac:dyDescent="0.3">
      <c r="A1805" s="2"/>
      <c r="B1805" s="2"/>
      <c r="C1805" s="10"/>
      <c r="D1805" s="10"/>
      <c r="E1805" s="10"/>
      <c r="F1805" s="10"/>
      <c r="G1805" s="69"/>
      <c r="H1805" s="69"/>
      <c r="I1805" s="69"/>
      <c r="J1805" s="70"/>
      <c r="K1805" s="69"/>
      <c r="L1805" s="69"/>
      <c r="M1805" s="69"/>
      <c r="N1805" s="69"/>
      <c r="O1805" s="69"/>
      <c r="P1805" s="2"/>
      <c r="Q1805" s="2"/>
      <c r="R1805" s="32"/>
      <c r="S1805" s="32"/>
      <c r="T1805" s="32"/>
      <c r="U1805" s="32"/>
      <c r="V1805" s="2"/>
      <c r="W1805" s="2"/>
      <c r="X1805" s="2"/>
      <c r="Y1805" s="2"/>
      <c r="Z1805" s="2"/>
    </row>
    <row r="1806" spans="1:26" ht="13.8" x14ac:dyDescent="0.3">
      <c r="A1806" s="2"/>
      <c r="B1806" s="2"/>
      <c r="C1806" s="10"/>
      <c r="D1806" s="10"/>
      <c r="E1806" s="10"/>
      <c r="F1806" s="10"/>
      <c r="G1806" s="69"/>
      <c r="H1806" s="69"/>
      <c r="I1806" s="69"/>
      <c r="J1806" s="70"/>
      <c r="K1806" s="69"/>
      <c r="L1806" s="69"/>
      <c r="M1806" s="69"/>
      <c r="N1806" s="69"/>
      <c r="O1806" s="69"/>
      <c r="P1806" s="2"/>
      <c r="Q1806" s="2"/>
      <c r="R1806" s="32"/>
      <c r="S1806" s="32"/>
      <c r="T1806" s="32"/>
      <c r="U1806" s="32"/>
      <c r="V1806" s="2"/>
      <c r="W1806" s="2"/>
      <c r="X1806" s="2"/>
      <c r="Y1806" s="2"/>
      <c r="Z1806" s="2"/>
    </row>
    <row r="1807" spans="1:26" ht="13.8" x14ac:dyDescent="0.3">
      <c r="A1807" s="2"/>
      <c r="B1807" s="2"/>
      <c r="C1807" s="10"/>
      <c r="D1807" s="10"/>
      <c r="E1807" s="10"/>
      <c r="F1807" s="10"/>
      <c r="G1807" s="69"/>
      <c r="H1807" s="69"/>
      <c r="I1807" s="69"/>
      <c r="J1807" s="70"/>
      <c r="K1807" s="69"/>
      <c r="L1807" s="69"/>
      <c r="M1807" s="69"/>
      <c r="N1807" s="69"/>
      <c r="O1807" s="69"/>
      <c r="P1807" s="2"/>
      <c r="Q1807" s="2"/>
      <c r="R1807" s="32"/>
      <c r="S1807" s="32"/>
      <c r="T1807" s="32"/>
      <c r="U1807" s="32"/>
      <c r="V1807" s="2"/>
      <c r="W1807" s="2"/>
      <c r="X1807" s="2"/>
      <c r="Y1807" s="2"/>
      <c r="Z1807" s="2"/>
    </row>
    <row r="1808" spans="1:26" ht="13.8" x14ac:dyDescent="0.3">
      <c r="A1808" s="2"/>
      <c r="B1808" s="2"/>
      <c r="C1808" s="10"/>
      <c r="D1808" s="10"/>
      <c r="E1808" s="10"/>
      <c r="F1808" s="10"/>
      <c r="G1808" s="69"/>
      <c r="H1808" s="69"/>
      <c r="I1808" s="69"/>
      <c r="J1808" s="70"/>
      <c r="K1808" s="69"/>
      <c r="L1808" s="69"/>
      <c r="M1808" s="69"/>
      <c r="N1808" s="69"/>
      <c r="O1808" s="69"/>
      <c r="P1808" s="2"/>
      <c r="Q1808" s="2"/>
      <c r="R1808" s="32"/>
      <c r="S1808" s="32"/>
      <c r="T1808" s="32"/>
      <c r="U1808" s="32"/>
      <c r="V1808" s="2"/>
      <c r="W1808" s="2"/>
      <c r="X1808" s="2"/>
      <c r="Y1808" s="2"/>
      <c r="Z1808" s="2"/>
    </row>
    <row r="1809" spans="1:26" ht="13.8" x14ac:dyDescent="0.3">
      <c r="A1809" s="2"/>
      <c r="B1809" s="2"/>
      <c r="C1809" s="10"/>
      <c r="D1809" s="10"/>
      <c r="E1809" s="10"/>
      <c r="F1809" s="10"/>
      <c r="G1809" s="69"/>
      <c r="H1809" s="69"/>
      <c r="I1809" s="69"/>
      <c r="J1809" s="70"/>
      <c r="K1809" s="69"/>
      <c r="L1809" s="69"/>
      <c r="M1809" s="69"/>
      <c r="N1809" s="69"/>
      <c r="O1809" s="69"/>
      <c r="P1809" s="2"/>
      <c r="Q1809" s="2"/>
      <c r="R1809" s="32"/>
      <c r="S1809" s="32"/>
      <c r="T1809" s="32"/>
      <c r="U1809" s="32"/>
      <c r="V1809" s="2"/>
      <c r="W1809" s="2"/>
      <c r="X1809" s="2"/>
      <c r="Y1809" s="2"/>
      <c r="Z1809" s="2"/>
    </row>
    <row r="1810" spans="1:26" ht="13.8" x14ac:dyDescent="0.3">
      <c r="A1810" s="2"/>
      <c r="B1810" s="2"/>
      <c r="C1810" s="10"/>
      <c r="D1810" s="10"/>
      <c r="E1810" s="10"/>
      <c r="F1810" s="10"/>
      <c r="G1810" s="69"/>
      <c r="H1810" s="69"/>
      <c r="I1810" s="69"/>
      <c r="J1810" s="70"/>
      <c r="K1810" s="69"/>
      <c r="L1810" s="69"/>
      <c r="M1810" s="69"/>
      <c r="N1810" s="69"/>
      <c r="O1810" s="69"/>
      <c r="P1810" s="2"/>
      <c r="Q1810" s="2"/>
      <c r="R1810" s="32"/>
      <c r="S1810" s="32"/>
      <c r="T1810" s="32"/>
      <c r="U1810" s="32"/>
      <c r="V1810" s="2"/>
      <c r="W1810" s="2"/>
      <c r="X1810" s="2"/>
      <c r="Y1810" s="2"/>
      <c r="Z1810" s="2"/>
    </row>
    <row r="1811" spans="1:26" ht="13.8" x14ac:dyDescent="0.3">
      <c r="A1811" s="2"/>
      <c r="B1811" s="2"/>
      <c r="C1811" s="10"/>
      <c r="D1811" s="10"/>
      <c r="E1811" s="10"/>
      <c r="F1811" s="10"/>
      <c r="G1811" s="69"/>
      <c r="H1811" s="69"/>
      <c r="I1811" s="69"/>
      <c r="J1811" s="70"/>
      <c r="K1811" s="69"/>
      <c r="L1811" s="69"/>
      <c r="M1811" s="69"/>
      <c r="N1811" s="69"/>
      <c r="O1811" s="69"/>
      <c r="P1811" s="2"/>
      <c r="Q1811" s="2"/>
      <c r="R1811" s="32"/>
      <c r="S1811" s="32"/>
      <c r="T1811" s="32"/>
      <c r="U1811" s="32"/>
      <c r="V1811" s="2"/>
      <c r="W1811" s="2"/>
      <c r="X1811" s="2"/>
      <c r="Y1811" s="2"/>
      <c r="Z1811" s="2"/>
    </row>
    <row r="1812" spans="1:26" ht="13.8" x14ac:dyDescent="0.3">
      <c r="A1812" s="2"/>
      <c r="B1812" s="2"/>
      <c r="C1812" s="10"/>
      <c r="D1812" s="10"/>
      <c r="E1812" s="10"/>
      <c r="F1812" s="10"/>
      <c r="G1812" s="69"/>
      <c r="H1812" s="69"/>
      <c r="I1812" s="69"/>
      <c r="J1812" s="70"/>
      <c r="K1812" s="69"/>
      <c r="L1812" s="69"/>
      <c r="M1812" s="69"/>
      <c r="N1812" s="69"/>
      <c r="O1812" s="69"/>
      <c r="P1812" s="2"/>
      <c r="Q1812" s="2"/>
      <c r="R1812" s="32"/>
      <c r="S1812" s="32"/>
      <c r="T1812" s="32"/>
      <c r="U1812" s="32"/>
      <c r="V1812" s="2"/>
      <c r="W1812" s="2"/>
      <c r="X1812" s="2"/>
      <c r="Y1812" s="2"/>
      <c r="Z1812" s="2"/>
    </row>
    <row r="1813" spans="1:26" ht="13.8" x14ac:dyDescent="0.3">
      <c r="A1813" s="2"/>
      <c r="B1813" s="2"/>
      <c r="C1813" s="10"/>
      <c r="D1813" s="10"/>
      <c r="E1813" s="10"/>
      <c r="F1813" s="10"/>
      <c r="G1813" s="69"/>
      <c r="H1813" s="69"/>
      <c r="I1813" s="69"/>
      <c r="J1813" s="70"/>
      <c r="K1813" s="69"/>
      <c r="L1813" s="69"/>
      <c r="M1813" s="69"/>
      <c r="N1813" s="69"/>
      <c r="O1813" s="69"/>
      <c r="P1813" s="2"/>
      <c r="Q1813" s="2"/>
      <c r="R1813" s="32"/>
      <c r="S1813" s="32"/>
      <c r="T1813" s="32"/>
      <c r="U1813" s="32"/>
      <c r="V1813" s="2"/>
      <c r="W1813" s="2"/>
      <c r="X1813" s="2"/>
      <c r="Y1813" s="2"/>
      <c r="Z1813" s="2"/>
    </row>
    <row r="1814" spans="1:26" ht="13.8" x14ac:dyDescent="0.3">
      <c r="A1814" s="2"/>
      <c r="B1814" s="2"/>
      <c r="C1814" s="10"/>
      <c r="D1814" s="10"/>
      <c r="E1814" s="10"/>
      <c r="F1814" s="10"/>
      <c r="G1814" s="69"/>
      <c r="H1814" s="69"/>
      <c r="I1814" s="69"/>
      <c r="J1814" s="70"/>
      <c r="K1814" s="69"/>
      <c r="L1814" s="69"/>
      <c r="M1814" s="69"/>
      <c r="N1814" s="69"/>
      <c r="O1814" s="69"/>
      <c r="P1814" s="2"/>
      <c r="Q1814" s="2"/>
      <c r="R1814" s="32"/>
      <c r="S1814" s="32"/>
      <c r="T1814" s="32"/>
      <c r="U1814" s="32"/>
      <c r="V1814" s="2"/>
      <c r="W1814" s="2"/>
      <c r="X1814" s="2"/>
      <c r="Y1814" s="2"/>
      <c r="Z1814" s="2"/>
    </row>
    <row r="1815" spans="1:26" ht="13.8" x14ac:dyDescent="0.3">
      <c r="A1815" s="2"/>
      <c r="B1815" s="2"/>
      <c r="C1815" s="10"/>
      <c r="D1815" s="10"/>
      <c r="E1815" s="10"/>
      <c r="F1815" s="10"/>
      <c r="G1815" s="69"/>
      <c r="H1815" s="69"/>
      <c r="I1815" s="69"/>
      <c r="J1815" s="70"/>
      <c r="K1815" s="69"/>
      <c r="L1815" s="69"/>
      <c r="M1815" s="69"/>
      <c r="N1815" s="69"/>
      <c r="O1815" s="69"/>
      <c r="P1815" s="2"/>
      <c r="Q1815" s="2"/>
      <c r="R1815" s="32"/>
      <c r="S1815" s="32"/>
      <c r="T1815" s="32"/>
      <c r="U1815" s="32"/>
      <c r="V1815" s="2"/>
      <c r="W1815" s="2"/>
      <c r="X1815" s="2"/>
      <c r="Y1815" s="2"/>
      <c r="Z1815" s="2"/>
    </row>
    <row r="1816" spans="1:26" ht="13.8" x14ac:dyDescent="0.3">
      <c r="A1816" s="2"/>
      <c r="B1816" s="2"/>
      <c r="C1816" s="10"/>
      <c r="D1816" s="10"/>
      <c r="E1816" s="10"/>
      <c r="F1816" s="10"/>
      <c r="G1816" s="69"/>
      <c r="H1816" s="69"/>
      <c r="I1816" s="69"/>
      <c r="J1816" s="70"/>
      <c r="K1816" s="69"/>
      <c r="L1816" s="69"/>
      <c r="M1816" s="69"/>
      <c r="N1816" s="69"/>
      <c r="O1816" s="69"/>
      <c r="P1816" s="2"/>
      <c r="Q1816" s="2"/>
      <c r="R1816" s="32"/>
      <c r="S1816" s="32"/>
      <c r="T1816" s="32"/>
      <c r="U1816" s="32"/>
      <c r="V1816" s="2"/>
      <c r="W1816" s="2"/>
      <c r="X1816" s="2"/>
      <c r="Y1816" s="2"/>
      <c r="Z1816" s="2"/>
    </row>
    <row r="1817" spans="1:26" ht="13.8" x14ac:dyDescent="0.3">
      <c r="A1817" s="2"/>
      <c r="B1817" s="2"/>
      <c r="C1817" s="10"/>
      <c r="D1817" s="10"/>
      <c r="E1817" s="10"/>
      <c r="F1817" s="10"/>
      <c r="G1817" s="69"/>
      <c r="H1817" s="69"/>
      <c r="I1817" s="69"/>
      <c r="J1817" s="70"/>
      <c r="K1817" s="69"/>
      <c r="L1817" s="69"/>
      <c r="M1817" s="69"/>
      <c r="N1817" s="69"/>
      <c r="O1817" s="69"/>
      <c r="P1817" s="2"/>
      <c r="Q1817" s="2"/>
      <c r="R1817" s="32"/>
      <c r="S1817" s="32"/>
      <c r="T1817" s="32"/>
      <c r="U1817" s="32"/>
      <c r="V1817" s="2"/>
      <c r="W1817" s="2"/>
      <c r="X1817" s="2"/>
      <c r="Y1817" s="2"/>
      <c r="Z1817" s="2"/>
    </row>
    <row r="1818" spans="1:26" ht="13.8" x14ac:dyDescent="0.3">
      <c r="A1818" s="2"/>
      <c r="B1818" s="2"/>
      <c r="C1818" s="10"/>
      <c r="D1818" s="10"/>
      <c r="E1818" s="10"/>
      <c r="F1818" s="10"/>
      <c r="G1818" s="69"/>
      <c r="H1818" s="69"/>
      <c r="I1818" s="69"/>
      <c r="J1818" s="70"/>
      <c r="K1818" s="69"/>
      <c r="L1818" s="69"/>
      <c r="M1818" s="69"/>
      <c r="N1818" s="69"/>
      <c r="O1818" s="69"/>
      <c r="P1818" s="2"/>
      <c r="Q1818" s="2"/>
      <c r="R1818" s="32"/>
      <c r="S1818" s="32"/>
      <c r="T1818" s="32"/>
      <c r="U1818" s="32"/>
      <c r="V1818" s="2"/>
      <c r="W1818" s="2"/>
      <c r="X1818" s="2"/>
      <c r="Y1818" s="2"/>
      <c r="Z1818" s="2"/>
    </row>
    <row r="1819" spans="1:26" ht="13.8" x14ac:dyDescent="0.3">
      <c r="A1819" s="2"/>
      <c r="B1819" s="2"/>
      <c r="C1819" s="10"/>
      <c r="D1819" s="10"/>
      <c r="E1819" s="10"/>
      <c r="F1819" s="10"/>
      <c r="G1819" s="69"/>
      <c r="H1819" s="69"/>
      <c r="I1819" s="69"/>
      <c r="J1819" s="70"/>
      <c r="K1819" s="69"/>
      <c r="L1819" s="69"/>
      <c r="M1819" s="69"/>
      <c r="N1819" s="69"/>
      <c r="O1819" s="69"/>
      <c r="P1819" s="2"/>
      <c r="Q1819" s="2"/>
      <c r="R1819" s="32"/>
      <c r="S1819" s="32"/>
      <c r="T1819" s="32"/>
      <c r="U1819" s="32"/>
      <c r="V1819" s="2"/>
      <c r="W1819" s="2"/>
      <c r="X1819" s="2"/>
      <c r="Y1819" s="2"/>
      <c r="Z1819" s="2"/>
    </row>
    <row r="1820" spans="1:26" ht="13.8" x14ac:dyDescent="0.3">
      <c r="A1820" s="2"/>
      <c r="B1820" s="2"/>
      <c r="C1820" s="10"/>
      <c r="D1820" s="10"/>
      <c r="E1820" s="10"/>
      <c r="F1820" s="10"/>
      <c r="G1820" s="69"/>
      <c r="H1820" s="69"/>
      <c r="I1820" s="69"/>
      <c r="J1820" s="70"/>
      <c r="K1820" s="69"/>
      <c r="L1820" s="69"/>
      <c r="M1820" s="69"/>
      <c r="N1820" s="69"/>
      <c r="O1820" s="69"/>
      <c r="P1820" s="2"/>
      <c r="Q1820" s="2"/>
      <c r="R1820" s="32"/>
      <c r="S1820" s="32"/>
      <c r="T1820" s="32"/>
      <c r="U1820" s="32"/>
      <c r="V1820" s="2"/>
      <c r="W1820" s="2"/>
      <c r="X1820" s="2"/>
      <c r="Y1820" s="2"/>
      <c r="Z1820" s="2"/>
    </row>
    <row r="1821" spans="1:26" ht="13.8" x14ac:dyDescent="0.3">
      <c r="A1821" s="2"/>
      <c r="B1821" s="2"/>
      <c r="C1821" s="10"/>
      <c r="D1821" s="10"/>
      <c r="E1821" s="10"/>
      <c r="F1821" s="10"/>
      <c r="G1821" s="69"/>
      <c r="H1821" s="69"/>
      <c r="I1821" s="69"/>
      <c r="J1821" s="70"/>
      <c r="K1821" s="69"/>
      <c r="L1821" s="69"/>
      <c r="M1821" s="69"/>
      <c r="N1821" s="69"/>
      <c r="O1821" s="69"/>
      <c r="P1821" s="2"/>
      <c r="Q1821" s="2"/>
      <c r="R1821" s="32"/>
      <c r="S1821" s="32"/>
      <c r="T1821" s="32"/>
      <c r="U1821" s="32"/>
      <c r="V1821" s="2"/>
      <c r="W1821" s="2"/>
      <c r="X1821" s="2"/>
      <c r="Y1821" s="2"/>
      <c r="Z1821" s="2"/>
    </row>
    <row r="1822" spans="1:26" ht="13.8" x14ac:dyDescent="0.3">
      <c r="A1822" s="2"/>
      <c r="B1822" s="2"/>
      <c r="C1822" s="10"/>
      <c r="D1822" s="10"/>
      <c r="E1822" s="10"/>
      <c r="F1822" s="10"/>
      <c r="G1822" s="69"/>
      <c r="H1822" s="69"/>
      <c r="I1822" s="69"/>
      <c r="J1822" s="70"/>
      <c r="K1822" s="69"/>
      <c r="L1822" s="69"/>
      <c r="M1822" s="69"/>
      <c r="N1822" s="69"/>
      <c r="O1822" s="69"/>
      <c r="P1822" s="2"/>
      <c r="Q1822" s="2"/>
      <c r="R1822" s="32"/>
      <c r="S1822" s="32"/>
      <c r="T1822" s="32"/>
      <c r="U1822" s="32"/>
      <c r="V1822" s="2"/>
      <c r="W1822" s="2"/>
      <c r="X1822" s="2"/>
      <c r="Y1822" s="2"/>
      <c r="Z1822" s="2"/>
    </row>
    <row r="1823" spans="1:26" ht="13.8" x14ac:dyDescent="0.3">
      <c r="A1823" s="2"/>
      <c r="B1823" s="2"/>
      <c r="C1823" s="10"/>
      <c r="D1823" s="10"/>
      <c r="E1823" s="10"/>
      <c r="F1823" s="10"/>
      <c r="G1823" s="69"/>
      <c r="H1823" s="69"/>
      <c r="I1823" s="69"/>
      <c r="J1823" s="70"/>
      <c r="K1823" s="69"/>
      <c r="L1823" s="69"/>
      <c r="M1823" s="69"/>
      <c r="N1823" s="69"/>
      <c r="O1823" s="69"/>
      <c r="P1823" s="2"/>
      <c r="Q1823" s="2"/>
      <c r="R1823" s="32"/>
      <c r="S1823" s="32"/>
      <c r="T1823" s="32"/>
      <c r="U1823" s="32"/>
      <c r="V1823" s="2"/>
      <c r="W1823" s="2"/>
      <c r="X1823" s="2"/>
      <c r="Y1823" s="2"/>
      <c r="Z1823" s="2"/>
    </row>
    <row r="1824" spans="1:26" ht="13.8" x14ac:dyDescent="0.3">
      <c r="A1824" s="2"/>
      <c r="B1824" s="2"/>
      <c r="C1824" s="10"/>
      <c r="D1824" s="10"/>
      <c r="E1824" s="10"/>
      <c r="F1824" s="10"/>
      <c r="G1824" s="69"/>
      <c r="H1824" s="69"/>
      <c r="I1824" s="69"/>
      <c r="J1824" s="70"/>
      <c r="K1824" s="69"/>
      <c r="L1824" s="69"/>
      <c r="M1824" s="69"/>
      <c r="N1824" s="69"/>
      <c r="O1824" s="69"/>
      <c r="P1824" s="2"/>
      <c r="Q1824" s="2"/>
      <c r="R1824" s="32"/>
      <c r="S1824" s="32"/>
      <c r="T1824" s="32"/>
      <c r="U1824" s="32"/>
      <c r="V1824" s="2"/>
      <c r="W1824" s="2"/>
      <c r="X1824" s="2"/>
      <c r="Y1824" s="2"/>
      <c r="Z1824" s="2"/>
    </row>
    <row r="1825" spans="1:26" ht="13.8" x14ac:dyDescent="0.3">
      <c r="A1825" s="2"/>
      <c r="B1825" s="2"/>
      <c r="C1825" s="10"/>
      <c r="D1825" s="10"/>
      <c r="E1825" s="10"/>
      <c r="F1825" s="10"/>
      <c r="G1825" s="69"/>
      <c r="H1825" s="69"/>
      <c r="I1825" s="69"/>
      <c r="J1825" s="70"/>
      <c r="K1825" s="69"/>
      <c r="L1825" s="69"/>
      <c r="M1825" s="69"/>
      <c r="N1825" s="69"/>
      <c r="O1825" s="69"/>
      <c r="P1825" s="2"/>
      <c r="Q1825" s="2"/>
      <c r="R1825" s="32"/>
      <c r="S1825" s="32"/>
      <c r="T1825" s="32"/>
      <c r="U1825" s="32"/>
      <c r="V1825" s="2"/>
      <c r="W1825" s="2"/>
      <c r="X1825" s="2"/>
      <c r="Y1825" s="2"/>
      <c r="Z1825" s="2"/>
    </row>
    <row r="1826" spans="1:26" ht="13.8" x14ac:dyDescent="0.3">
      <c r="A1826" s="2"/>
      <c r="B1826" s="2"/>
      <c r="C1826" s="10"/>
      <c r="D1826" s="10"/>
      <c r="E1826" s="10"/>
      <c r="F1826" s="10"/>
      <c r="G1826" s="69"/>
      <c r="H1826" s="69"/>
      <c r="I1826" s="69"/>
      <c r="J1826" s="70"/>
      <c r="K1826" s="69"/>
      <c r="L1826" s="69"/>
      <c r="M1826" s="69"/>
      <c r="N1826" s="69"/>
      <c r="O1826" s="69"/>
      <c r="P1826" s="2"/>
      <c r="Q1826" s="2"/>
      <c r="R1826" s="32"/>
      <c r="S1826" s="32"/>
      <c r="T1826" s="32"/>
      <c r="U1826" s="32"/>
      <c r="V1826" s="2"/>
      <c r="W1826" s="2"/>
      <c r="X1826" s="2"/>
      <c r="Y1826" s="2"/>
      <c r="Z1826" s="2"/>
    </row>
    <row r="1827" spans="1:26" ht="13.8" x14ac:dyDescent="0.3">
      <c r="A1827" s="2"/>
      <c r="B1827" s="2"/>
      <c r="C1827" s="10"/>
      <c r="D1827" s="10"/>
      <c r="E1827" s="10"/>
      <c r="F1827" s="10"/>
      <c r="G1827" s="69"/>
      <c r="H1827" s="69"/>
      <c r="I1827" s="69"/>
      <c r="J1827" s="70"/>
      <c r="K1827" s="69"/>
      <c r="L1827" s="69"/>
      <c r="M1827" s="69"/>
      <c r="N1827" s="69"/>
      <c r="O1827" s="69"/>
      <c r="P1827" s="2"/>
      <c r="Q1827" s="2"/>
      <c r="R1827" s="32"/>
      <c r="S1827" s="32"/>
      <c r="T1827" s="32"/>
      <c r="U1827" s="32"/>
      <c r="V1827" s="2"/>
      <c r="W1827" s="2"/>
      <c r="X1827" s="2"/>
      <c r="Y1827" s="2"/>
      <c r="Z1827" s="2"/>
    </row>
    <row r="1828" spans="1:26" ht="13.8" x14ac:dyDescent="0.3">
      <c r="A1828" s="2"/>
      <c r="B1828" s="2"/>
      <c r="C1828" s="10"/>
      <c r="D1828" s="10"/>
      <c r="E1828" s="10"/>
      <c r="F1828" s="10"/>
      <c r="G1828" s="69"/>
      <c r="H1828" s="69"/>
      <c r="I1828" s="69"/>
      <c r="J1828" s="70"/>
      <c r="K1828" s="69"/>
      <c r="L1828" s="69"/>
      <c r="M1828" s="69"/>
      <c r="N1828" s="69"/>
      <c r="O1828" s="69"/>
      <c r="P1828" s="2"/>
      <c r="Q1828" s="2"/>
      <c r="R1828" s="32"/>
      <c r="S1828" s="32"/>
      <c r="T1828" s="32"/>
      <c r="U1828" s="32"/>
      <c r="V1828" s="2"/>
      <c r="W1828" s="2"/>
      <c r="X1828" s="2"/>
      <c r="Y1828" s="2"/>
      <c r="Z1828" s="2"/>
    </row>
    <row r="1829" spans="1:26" ht="13.8" x14ac:dyDescent="0.3">
      <c r="A1829" s="2"/>
      <c r="B1829" s="2"/>
      <c r="C1829" s="10"/>
      <c r="D1829" s="10"/>
      <c r="E1829" s="10"/>
      <c r="F1829" s="10"/>
      <c r="G1829" s="69"/>
      <c r="H1829" s="69"/>
      <c r="I1829" s="69"/>
      <c r="J1829" s="70"/>
      <c r="K1829" s="69"/>
      <c r="L1829" s="69"/>
      <c r="M1829" s="69"/>
      <c r="N1829" s="69"/>
      <c r="O1829" s="69"/>
      <c r="P1829" s="2"/>
      <c r="Q1829" s="2"/>
      <c r="R1829" s="32"/>
      <c r="S1829" s="32"/>
      <c r="T1829" s="32"/>
      <c r="U1829" s="32"/>
      <c r="V1829" s="2"/>
      <c r="W1829" s="2"/>
      <c r="X1829" s="2"/>
      <c r="Y1829" s="2"/>
      <c r="Z1829" s="2"/>
    </row>
    <row r="1830" spans="1:26" ht="13.8" x14ac:dyDescent="0.3">
      <c r="A1830" s="2"/>
      <c r="B1830" s="2"/>
      <c r="C1830" s="10"/>
      <c r="D1830" s="10"/>
      <c r="E1830" s="10"/>
      <c r="F1830" s="10"/>
      <c r="G1830" s="69"/>
      <c r="H1830" s="69"/>
      <c r="I1830" s="69"/>
      <c r="J1830" s="70"/>
      <c r="K1830" s="69"/>
      <c r="L1830" s="69"/>
      <c r="M1830" s="69"/>
      <c r="N1830" s="69"/>
      <c r="O1830" s="69"/>
      <c r="P1830" s="2"/>
      <c r="Q1830" s="2"/>
      <c r="R1830" s="32"/>
      <c r="S1830" s="32"/>
      <c r="T1830" s="32"/>
      <c r="U1830" s="32"/>
      <c r="V1830" s="2"/>
      <c r="W1830" s="2"/>
      <c r="X1830" s="2"/>
      <c r="Y1830" s="2"/>
      <c r="Z1830" s="2"/>
    </row>
    <row r="1831" spans="1:26" ht="13.8" x14ac:dyDescent="0.3">
      <c r="A1831" s="2"/>
      <c r="B1831" s="2"/>
      <c r="C1831" s="10"/>
      <c r="D1831" s="10"/>
      <c r="E1831" s="10"/>
      <c r="F1831" s="10"/>
      <c r="G1831" s="69"/>
      <c r="H1831" s="69"/>
      <c r="I1831" s="69"/>
      <c r="J1831" s="70"/>
      <c r="K1831" s="69"/>
      <c r="L1831" s="69"/>
      <c r="M1831" s="69"/>
      <c r="N1831" s="69"/>
      <c r="O1831" s="69"/>
      <c r="P1831" s="2"/>
      <c r="Q1831" s="2"/>
      <c r="R1831" s="32"/>
      <c r="S1831" s="32"/>
      <c r="T1831" s="32"/>
      <c r="U1831" s="32"/>
      <c r="V1831" s="2"/>
      <c r="W1831" s="2"/>
      <c r="X1831" s="2"/>
      <c r="Y1831" s="2"/>
      <c r="Z1831" s="2"/>
    </row>
    <row r="1832" spans="1:26" ht="13.8" x14ac:dyDescent="0.3">
      <c r="A1832" s="2"/>
      <c r="B1832" s="2"/>
      <c r="C1832" s="10"/>
      <c r="D1832" s="10"/>
      <c r="E1832" s="10"/>
      <c r="F1832" s="10"/>
      <c r="G1832" s="69"/>
      <c r="H1832" s="69"/>
      <c r="I1832" s="69"/>
      <c r="J1832" s="70"/>
      <c r="K1832" s="69"/>
      <c r="L1832" s="69"/>
      <c r="M1832" s="69"/>
      <c r="N1832" s="69"/>
      <c r="O1832" s="69"/>
      <c r="P1832" s="2"/>
      <c r="Q1832" s="2"/>
      <c r="R1832" s="32"/>
      <c r="S1832" s="32"/>
      <c r="T1832" s="32"/>
      <c r="U1832" s="32"/>
      <c r="V1832" s="2"/>
      <c r="W1832" s="2"/>
      <c r="X1832" s="2"/>
      <c r="Y1832" s="2"/>
      <c r="Z1832" s="2"/>
    </row>
    <row r="1833" spans="1:26" ht="13.8" x14ac:dyDescent="0.3">
      <c r="A1833" s="2"/>
      <c r="B1833" s="2"/>
      <c r="C1833" s="10"/>
      <c r="D1833" s="10"/>
      <c r="E1833" s="10"/>
      <c r="F1833" s="10"/>
      <c r="G1833" s="69"/>
      <c r="H1833" s="69"/>
      <c r="I1833" s="69"/>
      <c r="J1833" s="70"/>
      <c r="K1833" s="69"/>
      <c r="L1833" s="69"/>
      <c r="M1833" s="69"/>
      <c r="N1833" s="69"/>
      <c r="O1833" s="69"/>
      <c r="P1833" s="2"/>
      <c r="Q1833" s="2"/>
      <c r="R1833" s="32"/>
      <c r="S1833" s="32"/>
      <c r="T1833" s="32"/>
      <c r="U1833" s="32"/>
      <c r="V1833" s="2"/>
      <c r="W1833" s="2"/>
      <c r="X1833" s="2"/>
      <c r="Y1833" s="2"/>
      <c r="Z1833" s="2"/>
    </row>
    <row r="1834" spans="1:26" ht="13.8" x14ac:dyDescent="0.3">
      <c r="A1834" s="2"/>
      <c r="B1834" s="2"/>
      <c r="C1834" s="10"/>
      <c r="D1834" s="10"/>
      <c r="E1834" s="10"/>
      <c r="F1834" s="10"/>
      <c r="G1834" s="69"/>
      <c r="H1834" s="69"/>
      <c r="I1834" s="69"/>
      <c r="J1834" s="70"/>
      <c r="K1834" s="69"/>
      <c r="L1834" s="69"/>
      <c r="M1834" s="69"/>
      <c r="N1834" s="69"/>
      <c r="O1834" s="69"/>
      <c r="P1834" s="2"/>
      <c r="Q1834" s="2"/>
      <c r="R1834" s="32"/>
      <c r="S1834" s="32"/>
      <c r="T1834" s="32"/>
      <c r="U1834" s="32"/>
      <c r="V1834" s="2"/>
      <c r="W1834" s="2"/>
      <c r="X1834" s="2"/>
      <c r="Y1834" s="2"/>
      <c r="Z1834" s="2"/>
    </row>
    <row r="1835" spans="1:26" ht="13.8" x14ac:dyDescent="0.3">
      <c r="A1835" s="2"/>
      <c r="B1835" s="2"/>
      <c r="C1835" s="10"/>
      <c r="D1835" s="10"/>
      <c r="E1835" s="10"/>
      <c r="F1835" s="10"/>
      <c r="G1835" s="69"/>
      <c r="H1835" s="69"/>
      <c r="I1835" s="69"/>
      <c r="J1835" s="70"/>
      <c r="K1835" s="69"/>
      <c r="L1835" s="69"/>
      <c r="M1835" s="69"/>
      <c r="N1835" s="69"/>
      <c r="O1835" s="69"/>
      <c r="P1835" s="2"/>
      <c r="Q1835" s="2"/>
      <c r="R1835" s="32"/>
      <c r="S1835" s="32"/>
      <c r="T1835" s="32"/>
      <c r="U1835" s="32"/>
      <c r="V1835" s="2"/>
      <c r="W1835" s="2"/>
      <c r="X1835" s="2"/>
      <c r="Y1835" s="2"/>
      <c r="Z1835" s="2"/>
    </row>
    <row r="1836" spans="1:26" ht="13.8" x14ac:dyDescent="0.3">
      <c r="A1836" s="2"/>
      <c r="B1836" s="2"/>
      <c r="C1836" s="10"/>
      <c r="D1836" s="10"/>
      <c r="E1836" s="10"/>
      <c r="F1836" s="10"/>
      <c r="G1836" s="69"/>
      <c r="H1836" s="69"/>
      <c r="I1836" s="69"/>
      <c r="J1836" s="70"/>
      <c r="K1836" s="69"/>
      <c r="L1836" s="69"/>
      <c r="M1836" s="69"/>
      <c r="N1836" s="69"/>
      <c r="O1836" s="69"/>
      <c r="P1836" s="2"/>
      <c r="Q1836" s="2"/>
      <c r="R1836" s="32"/>
      <c r="S1836" s="32"/>
      <c r="T1836" s="32"/>
      <c r="U1836" s="32"/>
      <c r="V1836" s="2"/>
      <c r="W1836" s="2"/>
      <c r="X1836" s="2"/>
      <c r="Y1836" s="2"/>
      <c r="Z1836" s="2"/>
    </row>
    <row r="1837" spans="1:26" ht="13.8" x14ac:dyDescent="0.3">
      <c r="A1837" s="2"/>
      <c r="B1837" s="2"/>
      <c r="C1837" s="10"/>
      <c r="D1837" s="10"/>
      <c r="E1837" s="10"/>
      <c r="F1837" s="10"/>
      <c r="G1837" s="69"/>
      <c r="H1837" s="69"/>
      <c r="I1837" s="69"/>
      <c r="J1837" s="70"/>
      <c r="K1837" s="69"/>
      <c r="L1837" s="69"/>
      <c r="M1837" s="69"/>
      <c r="N1837" s="69"/>
      <c r="O1837" s="69"/>
      <c r="P1837" s="2"/>
      <c r="Q1837" s="2"/>
      <c r="R1837" s="32"/>
      <c r="S1837" s="32"/>
      <c r="T1837" s="32"/>
      <c r="U1837" s="32"/>
      <c r="V1837" s="2"/>
      <c r="W1837" s="2"/>
      <c r="X1837" s="2"/>
      <c r="Y1837" s="2"/>
      <c r="Z1837" s="2"/>
    </row>
    <row r="1838" spans="1:26" ht="13.8" x14ac:dyDescent="0.3">
      <c r="A1838" s="2"/>
      <c r="B1838" s="2"/>
      <c r="C1838" s="10"/>
      <c r="D1838" s="10"/>
      <c r="E1838" s="10"/>
      <c r="F1838" s="10"/>
      <c r="G1838" s="69"/>
      <c r="H1838" s="69"/>
      <c r="I1838" s="69"/>
      <c r="J1838" s="70"/>
      <c r="K1838" s="69"/>
      <c r="L1838" s="69"/>
      <c r="M1838" s="69"/>
      <c r="N1838" s="69"/>
      <c r="O1838" s="69"/>
      <c r="P1838" s="2"/>
      <c r="Q1838" s="2"/>
      <c r="R1838" s="32"/>
      <c r="S1838" s="32"/>
      <c r="T1838" s="32"/>
      <c r="U1838" s="32"/>
      <c r="V1838" s="2"/>
      <c r="W1838" s="2"/>
      <c r="X1838" s="2"/>
      <c r="Y1838" s="2"/>
      <c r="Z1838" s="2"/>
    </row>
    <row r="1839" spans="1:26" ht="13.8" x14ac:dyDescent="0.3">
      <c r="A1839" s="2"/>
      <c r="B1839" s="2"/>
      <c r="C1839" s="10"/>
      <c r="D1839" s="10"/>
      <c r="E1839" s="10"/>
      <c r="F1839" s="10"/>
      <c r="G1839" s="69"/>
      <c r="H1839" s="69"/>
      <c r="I1839" s="69"/>
      <c r="J1839" s="70"/>
      <c r="K1839" s="69"/>
      <c r="L1839" s="69"/>
      <c r="M1839" s="69"/>
      <c r="N1839" s="69"/>
      <c r="O1839" s="69"/>
      <c r="P1839" s="2"/>
      <c r="Q1839" s="2"/>
      <c r="R1839" s="32"/>
      <c r="S1839" s="32"/>
      <c r="T1839" s="32"/>
      <c r="U1839" s="32"/>
      <c r="V1839" s="2"/>
      <c r="W1839" s="2"/>
      <c r="X1839" s="2"/>
      <c r="Y1839" s="2"/>
      <c r="Z1839" s="2"/>
    </row>
    <row r="1840" spans="1:26" ht="13.8" x14ac:dyDescent="0.3">
      <c r="A1840" s="2"/>
      <c r="B1840" s="2"/>
      <c r="C1840" s="10"/>
      <c r="D1840" s="10"/>
      <c r="E1840" s="10"/>
      <c r="F1840" s="10"/>
      <c r="G1840" s="69"/>
      <c r="H1840" s="69"/>
      <c r="I1840" s="69"/>
      <c r="J1840" s="70"/>
      <c r="K1840" s="69"/>
      <c r="L1840" s="69"/>
      <c r="M1840" s="69"/>
      <c r="N1840" s="69"/>
      <c r="O1840" s="69"/>
      <c r="P1840" s="2"/>
      <c r="Q1840" s="2"/>
      <c r="R1840" s="32"/>
      <c r="S1840" s="32"/>
      <c r="T1840" s="32"/>
      <c r="U1840" s="32"/>
      <c r="V1840" s="2"/>
      <c r="W1840" s="2"/>
      <c r="X1840" s="2"/>
      <c r="Y1840" s="2"/>
      <c r="Z1840" s="2"/>
    </row>
    <row r="1841" spans="1:26" ht="13.8" x14ac:dyDescent="0.3">
      <c r="A1841" s="2"/>
      <c r="B1841" s="2"/>
      <c r="C1841" s="10"/>
      <c r="D1841" s="10"/>
      <c r="E1841" s="10"/>
      <c r="F1841" s="10"/>
      <c r="G1841" s="69"/>
      <c r="H1841" s="69"/>
      <c r="I1841" s="69"/>
      <c r="J1841" s="70"/>
      <c r="K1841" s="69"/>
      <c r="L1841" s="69"/>
      <c r="M1841" s="69"/>
      <c r="N1841" s="69"/>
      <c r="O1841" s="69"/>
      <c r="P1841" s="2"/>
      <c r="Q1841" s="2"/>
      <c r="R1841" s="32"/>
      <c r="S1841" s="32"/>
      <c r="T1841" s="32"/>
      <c r="U1841" s="32"/>
      <c r="V1841" s="2"/>
      <c r="W1841" s="2"/>
      <c r="X1841" s="2"/>
      <c r="Y1841" s="2"/>
      <c r="Z1841" s="2"/>
    </row>
    <row r="1842" spans="1:26" ht="13.8" x14ac:dyDescent="0.3">
      <c r="A1842" s="2"/>
      <c r="B1842" s="2"/>
      <c r="C1842" s="10"/>
      <c r="D1842" s="10"/>
      <c r="E1842" s="10"/>
      <c r="F1842" s="10"/>
      <c r="G1842" s="69"/>
      <c r="H1842" s="69"/>
      <c r="I1842" s="69"/>
      <c r="J1842" s="70"/>
      <c r="K1842" s="69"/>
      <c r="L1842" s="69"/>
      <c r="M1842" s="69"/>
      <c r="N1842" s="69"/>
      <c r="O1842" s="69"/>
      <c r="P1842" s="2"/>
      <c r="Q1842" s="2"/>
      <c r="R1842" s="32"/>
      <c r="S1842" s="32"/>
      <c r="T1842" s="32"/>
      <c r="U1842" s="32"/>
      <c r="V1842" s="2"/>
      <c r="W1842" s="2"/>
      <c r="X1842" s="2"/>
      <c r="Y1842" s="2"/>
      <c r="Z1842" s="2"/>
    </row>
    <row r="1843" spans="1:26" ht="13.8" x14ac:dyDescent="0.3">
      <c r="A1843" s="2"/>
      <c r="B1843" s="2"/>
      <c r="C1843" s="10"/>
      <c r="D1843" s="10"/>
      <c r="E1843" s="10"/>
      <c r="F1843" s="10"/>
      <c r="G1843" s="69"/>
      <c r="H1843" s="69"/>
      <c r="I1843" s="69"/>
      <c r="J1843" s="70"/>
      <c r="K1843" s="69"/>
      <c r="L1843" s="69"/>
      <c r="M1843" s="69"/>
      <c r="N1843" s="69"/>
      <c r="O1843" s="69"/>
      <c r="P1843" s="2"/>
      <c r="Q1843" s="2"/>
      <c r="R1843" s="32"/>
      <c r="S1843" s="32"/>
      <c r="T1843" s="32"/>
      <c r="U1843" s="32"/>
      <c r="V1843" s="2"/>
      <c r="W1843" s="2"/>
      <c r="X1843" s="2"/>
      <c r="Y1843" s="2"/>
      <c r="Z1843" s="2"/>
    </row>
    <row r="1844" spans="1:26" ht="13.8" x14ac:dyDescent="0.3">
      <c r="A1844" s="2"/>
      <c r="B1844" s="2"/>
      <c r="C1844" s="10"/>
      <c r="D1844" s="10"/>
      <c r="E1844" s="10"/>
      <c r="F1844" s="10"/>
      <c r="G1844" s="69"/>
      <c r="H1844" s="69"/>
      <c r="I1844" s="69"/>
      <c r="J1844" s="70"/>
      <c r="K1844" s="69"/>
      <c r="L1844" s="69"/>
      <c r="M1844" s="69"/>
      <c r="N1844" s="69"/>
      <c r="O1844" s="69"/>
      <c r="P1844" s="2"/>
      <c r="Q1844" s="2"/>
      <c r="R1844" s="32"/>
      <c r="S1844" s="32"/>
      <c r="T1844" s="32"/>
      <c r="U1844" s="32"/>
      <c r="V1844" s="2"/>
      <c r="W1844" s="2"/>
      <c r="X1844" s="2"/>
      <c r="Y1844" s="2"/>
      <c r="Z1844" s="2"/>
    </row>
    <row r="1845" spans="1:26" ht="13.8" x14ac:dyDescent="0.3">
      <c r="A1845" s="2"/>
      <c r="B1845" s="2"/>
      <c r="C1845" s="10"/>
      <c r="D1845" s="10"/>
      <c r="E1845" s="10"/>
      <c r="F1845" s="10"/>
      <c r="G1845" s="69"/>
      <c r="H1845" s="69"/>
      <c r="I1845" s="69"/>
      <c r="J1845" s="70"/>
      <c r="K1845" s="69"/>
      <c r="L1845" s="69"/>
      <c r="M1845" s="69"/>
      <c r="N1845" s="69"/>
      <c r="O1845" s="69"/>
      <c r="P1845" s="2"/>
      <c r="Q1845" s="2"/>
      <c r="R1845" s="32"/>
      <c r="S1845" s="32"/>
      <c r="T1845" s="32"/>
      <c r="U1845" s="32"/>
      <c r="V1845" s="2"/>
      <c r="W1845" s="2"/>
      <c r="X1845" s="2"/>
      <c r="Y1845" s="2"/>
      <c r="Z1845" s="2"/>
    </row>
    <row r="1846" spans="1:26" ht="13.8" x14ac:dyDescent="0.3">
      <c r="A1846" s="2"/>
      <c r="B1846" s="2"/>
      <c r="C1846" s="10"/>
      <c r="D1846" s="10"/>
      <c r="E1846" s="10"/>
      <c r="F1846" s="10"/>
      <c r="G1846" s="69"/>
      <c r="H1846" s="69"/>
      <c r="I1846" s="69"/>
      <c r="J1846" s="70"/>
      <c r="K1846" s="69"/>
      <c r="L1846" s="69"/>
      <c r="M1846" s="69"/>
      <c r="N1846" s="69"/>
      <c r="O1846" s="69"/>
      <c r="P1846" s="2"/>
      <c r="Q1846" s="2"/>
      <c r="R1846" s="32"/>
      <c r="S1846" s="32"/>
      <c r="T1846" s="32"/>
      <c r="U1846" s="32"/>
      <c r="V1846" s="2"/>
      <c r="W1846" s="2"/>
      <c r="X1846" s="2"/>
      <c r="Y1846" s="2"/>
      <c r="Z1846" s="2"/>
    </row>
    <row r="1847" spans="1:26" ht="13.8" x14ac:dyDescent="0.3">
      <c r="A1847" s="2"/>
      <c r="B1847" s="2"/>
      <c r="C1847" s="10"/>
      <c r="D1847" s="10"/>
      <c r="E1847" s="10"/>
      <c r="F1847" s="10"/>
      <c r="G1847" s="69"/>
      <c r="H1847" s="69"/>
      <c r="I1847" s="69"/>
      <c r="J1847" s="70"/>
      <c r="K1847" s="69"/>
      <c r="L1847" s="69"/>
      <c r="M1847" s="69"/>
      <c r="N1847" s="69"/>
      <c r="O1847" s="69"/>
      <c r="P1847" s="2"/>
      <c r="Q1847" s="2"/>
      <c r="R1847" s="32"/>
      <c r="S1847" s="32"/>
      <c r="T1847" s="32"/>
      <c r="U1847" s="32"/>
      <c r="V1847" s="2"/>
      <c r="W1847" s="2"/>
      <c r="X1847" s="2"/>
      <c r="Y1847" s="2"/>
      <c r="Z1847" s="2"/>
    </row>
    <row r="1848" spans="1:26" ht="13.8" x14ac:dyDescent="0.3">
      <c r="A1848" s="2"/>
      <c r="B1848" s="2"/>
      <c r="C1848" s="10"/>
      <c r="D1848" s="10"/>
      <c r="E1848" s="10"/>
      <c r="F1848" s="10"/>
      <c r="G1848" s="69"/>
      <c r="H1848" s="69"/>
      <c r="I1848" s="69"/>
      <c r="J1848" s="70"/>
      <c r="K1848" s="69"/>
      <c r="L1848" s="69"/>
      <c r="M1848" s="69"/>
      <c r="N1848" s="69"/>
      <c r="O1848" s="69"/>
      <c r="P1848" s="2"/>
      <c r="Q1848" s="2"/>
      <c r="R1848" s="32"/>
      <c r="S1848" s="32"/>
      <c r="T1848" s="32"/>
      <c r="U1848" s="32"/>
      <c r="V1848" s="2"/>
      <c r="W1848" s="2"/>
      <c r="X1848" s="2"/>
      <c r="Y1848" s="2"/>
      <c r="Z1848" s="2"/>
    </row>
    <row r="1849" spans="1:26" ht="13.8" x14ac:dyDescent="0.3">
      <c r="A1849" s="2"/>
      <c r="B1849" s="2"/>
      <c r="C1849" s="10"/>
      <c r="D1849" s="10"/>
      <c r="E1849" s="10"/>
      <c r="F1849" s="10"/>
      <c r="G1849" s="69"/>
      <c r="H1849" s="69"/>
      <c r="I1849" s="69"/>
      <c r="J1849" s="70"/>
      <c r="K1849" s="69"/>
      <c r="L1849" s="69"/>
      <c r="M1849" s="69"/>
      <c r="N1849" s="69"/>
      <c r="O1849" s="69"/>
      <c r="P1849" s="2"/>
      <c r="Q1849" s="2"/>
      <c r="R1849" s="32"/>
      <c r="S1849" s="32"/>
      <c r="T1849" s="32"/>
      <c r="U1849" s="32"/>
      <c r="V1849" s="2"/>
      <c r="W1849" s="2"/>
      <c r="X1849" s="2"/>
      <c r="Y1849" s="2"/>
      <c r="Z1849" s="2"/>
    </row>
    <row r="1850" spans="1:26" ht="13.8" x14ac:dyDescent="0.3">
      <c r="A1850" s="2"/>
      <c r="B1850" s="2"/>
      <c r="C1850" s="10"/>
      <c r="D1850" s="10"/>
      <c r="E1850" s="10"/>
      <c r="F1850" s="10"/>
      <c r="G1850" s="69"/>
      <c r="H1850" s="69"/>
      <c r="I1850" s="69"/>
      <c r="J1850" s="70"/>
      <c r="K1850" s="69"/>
      <c r="L1850" s="69"/>
      <c r="M1850" s="69"/>
      <c r="N1850" s="69"/>
      <c r="O1850" s="69"/>
      <c r="P1850" s="2"/>
      <c r="Q1850" s="2"/>
      <c r="R1850" s="32"/>
      <c r="S1850" s="32"/>
      <c r="T1850" s="32"/>
      <c r="U1850" s="32"/>
      <c r="V1850" s="2"/>
      <c r="W1850" s="2"/>
      <c r="X1850" s="2"/>
      <c r="Y1850" s="2"/>
      <c r="Z1850" s="2"/>
    </row>
    <row r="1851" spans="1:26" ht="13.8" x14ac:dyDescent="0.3">
      <c r="A1851" s="2"/>
      <c r="B1851" s="2"/>
      <c r="C1851" s="10"/>
      <c r="D1851" s="10"/>
      <c r="E1851" s="10"/>
      <c r="F1851" s="10"/>
      <c r="G1851" s="69"/>
      <c r="H1851" s="69"/>
      <c r="I1851" s="69"/>
      <c r="J1851" s="70"/>
      <c r="K1851" s="69"/>
      <c r="L1851" s="69"/>
      <c r="M1851" s="69"/>
      <c r="N1851" s="69"/>
      <c r="O1851" s="69"/>
      <c r="P1851" s="2"/>
      <c r="Q1851" s="2"/>
      <c r="R1851" s="32"/>
      <c r="S1851" s="32"/>
      <c r="T1851" s="32"/>
      <c r="U1851" s="32"/>
      <c r="V1851" s="2"/>
      <c r="W1851" s="2"/>
      <c r="X1851" s="2"/>
      <c r="Y1851" s="2"/>
      <c r="Z1851" s="2"/>
    </row>
    <row r="1852" spans="1:26" ht="13.8" x14ac:dyDescent="0.3">
      <c r="A1852" s="2"/>
      <c r="B1852" s="2"/>
      <c r="C1852" s="10"/>
      <c r="D1852" s="10"/>
      <c r="E1852" s="10"/>
      <c r="F1852" s="10"/>
      <c r="G1852" s="69"/>
      <c r="H1852" s="69"/>
      <c r="I1852" s="69"/>
      <c r="J1852" s="70"/>
      <c r="K1852" s="69"/>
      <c r="L1852" s="69"/>
      <c r="M1852" s="69"/>
      <c r="N1852" s="69"/>
      <c r="O1852" s="69"/>
      <c r="P1852" s="2"/>
      <c r="Q1852" s="2"/>
      <c r="R1852" s="32"/>
      <c r="S1852" s="32"/>
      <c r="T1852" s="32"/>
      <c r="U1852" s="32"/>
      <c r="V1852" s="2"/>
      <c r="W1852" s="2"/>
      <c r="X1852" s="2"/>
      <c r="Y1852" s="2"/>
      <c r="Z1852" s="2"/>
    </row>
    <row r="1853" spans="1:26" ht="13.8" x14ac:dyDescent="0.3">
      <c r="A1853" s="2"/>
      <c r="B1853" s="2"/>
      <c r="C1853" s="10"/>
      <c r="D1853" s="10"/>
      <c r="E1853" s="10"/>
      <c r="F1853" s="10"/>
      <c r="G1853" s="69"/>
      <c r="H1853" s="69"/>
      <c r="I1853" s="69"/>
      <c r="J1853" s="70"/>
      <c r="K1853" s="69"/>
      <c r="L1853" s="69"/>
      <c r="M1853" s="69"/>
      <c r="N1853" s="69"/>
      <c r="O1853" s="69"/>
      <c r="P1853" s="2"/>
      <c r="Q1853" s="2"/>
      <c r="R1853" s="32"/>
      <c r="S1853" s="32"/>
      <c r="T1853" s="32"/>
      <c r="U1853" s="32"/>
      <c r="V1853" s="2"/>
      <c r="W1853" s="2"/>
      <c r="X1853" s="2"/>
      <c r="Y1853" s="2"/>
      <c r="Z1853" s="2"/>
    </row>
    <row r="1854" spans="1:26" ht="13.8" x14ac:dyDescent="0.3">
      <c r="A1854" s="2"/>
      <c r="B1854" s="2"/>
      <c r="C1854" s="10"/>
      <c r="D1854" s="10"/>
      <c r="E1854" s="10"/>
      <c r="F1854" s="10"/>
      <c r="G1854" s="69"/>
      <c r="H1854" s="69"/>
      <c r="I1854" s="69"/>
      <c r="J1854" s="70"/>
      <c r="K1854" s="69"/>
      <c r="L1854" s="69"/>
      <c r="M1854" s="69"/>
      <c r="N1854" s="69"/>
      <c r="O1854" s="69"/>
      <c r="P1854" s="2"/>
      <c r="Q1854" s="2"/>
      <c r="R1854" s="32"/>
      <c r="S1854" s="32"/>
      <c r="T1854" s="32"/>
      <c r="U1854" s="32"/>
      <c r="V1854" s="2"/>
      <c r="W1854" s="2"/>
      <c r="X1854" s="2"/>
      <c r="Y1854" s="2"/>
      <c r="Z1854" s="2"/>
    </row>
    <row r="1855" spans="1:26" ht="13.8" x14ac:dyDescent="0.3">
      <c r="A1855" s="2"/>
      <c r="B1855" s="2"/>
      <c r="C1855" s="10"/>
      <c r="D1855" s="10"/>
      <c r="E1855" s="10"/>
      <c r="F1855" s="10"/>
      <c r="G1855" s="69"/>
      <c r="H1855" s="69"/>
      <c r="I1855" s="69"/>
      <c r="J1855" s="70"/>
      <c r="K1855" s="69"/>
      <c r="L1855" s="69"/>
      <c r="M1855" s="69"/>
      <c r="N1855" s="69"/>
      <c r="O1855" s="69"/>
      <c r="P1855" s="2"/>
      <c r="Q1855" s="2"/>
      <c r="R1855" s="32"/>
      <c r="S1855" s="32"/>
      <c r="T1855" s="32"/>
      <c r="U1855" s="32"/>
      <c r="V1855" s="2"/>
      <c r="W1855" s="2"/>
      <c r="X1855" s="2"/>
      <c r="Y1855" s="2"/>
      <c r="Z1855" s="2"/>
    </row>
    <row r="1856" spans="1:26" ht="13.8" x14ac:dyDescent="0.3">
      <c r="A1856" s="2"/>
      <c r="B1856" s="2"/>
      <c r="C1856" s="10"/>
      <c r="D1856" s="10"/>
      <c r="E1856" s="10"/>
      <c r="F1856" s="10"/>
      <c r="G1856" s="69"/>
      <c r="H1856" s="69"/>
      <c r="I1856" s="69"/>
      <c r="J1856" s="70"/>
      <c r="K1856" s="69"/>
      <c r="L1856" s="69"/>
      <c r="M1856" s="69"/>
      <c r="N1856" s="69"/>
      <c r="O1856" s="69"/>
      <c r="P1856" s="2"/>
      <c r="Q1856" s="2"/>
      <c r="R1856" s="32"/>
      <c r="S1856" s="32"/>
      <c r="T1856" s="32"/>
      <c r="U1856" s="32"/>
      <c r="V1856" s="2"/>
      <c r="W1856" s="2"/>
      <c r="X1856" s="2"/>
      <c r="Y1856" s="2"/>
      <c r="Z1856" s="2"/>
    </row>
    <row r="1857" spans="1:26" ht="13.8" x14ac:dyDescent="0.3">
      <c r="A1857" s="2"/>
      <c r="B1857" s="2"/>
      <c r="C1857" s="10"/>
      <c r="D1857" s="10"/>
      <c r="E1857" s="10"/>
      <c r="F1857" s="10"/>
      <c r="G1857" s="69"/>
      <c r="H1857" s="69"/>
      <c r="I1857" s="69"/>
      <c r="J1857" s="70"/>
      <c r="K1857" s="69"/>
      <c r="L1857" s="69"/>
      <c r="M1857" s="69"/>
      <c r="N1857" s="69"/>
      <c r="O1857" s="69"/>
      <c r="P1857" s="2"/>
      <c r="Q1857" s="2"/>
      <c r="R1857" s="32"/>
      <c r="S1857" s="32"/>
      <c r="T1857" s="32"/>
      <c r="U1857" s="32"/>
      <c r="V1857" s="2"/>
      <c r="W1857" s="2"/>
      <c r="X1857" s="2"/>
      <c r="Y1857" s="2"/>
      <c r="Z1857" s="2"/>
    </row>
    <row r="1858" spans="1:26" ht="13.8" x14ac:dyDescent="0.3">
      <c r="A1858" s="2"/>
      <c r="B1858" s="2"/>
      <c r="C1858" s="10"/>
      <c r="D1858" s="10"/>
      <c r="E1858" s="10"/>
      <c r="F1858" s="10"/>
      <c r="G1858" s="69"/>
      <c r="H1858" s="69"/>
      <c r="I1858" s="69"/>
      <c r="J1858" s="70"/>
      <c r="K1858" s="69"/>
      <c r="L1858" s="69"/>
      <c r="M1858" s="69"/>
      <c r="N1858" s="69"/>
      <c r="O1858" s="69"/>
      <c r="P1858" s="2"/>
      <c r="Q1858" s="2"/>
      <c r="R1858" s="32"/>
      <c r="S1858" s="32"/>
      <c r="T1858" s="32"/>
      <c r="U1858" s="32"/>
      <c r="V1858" s="2"/>
      <c r="W1858" s="2"/>
      <c r="X1858" s="2"/>
      <c r="Y1858" s="2"/>
      <c r="Z1858" s="2"/>
    </row>
    <row r="1859" spans="1:26" ht="13.8" x14ac:dyDescent="0.3">
      <c r="A1859" s="2"/>
      <c r="B1859" s="2"/>
      <c r="C1859" s="10"/>
      <c r="D1859" s="10"/>
      <c r="E1859" s="10"/>
      <c r="F1859" s="10"/>
      <c r="G1859" s="69"/>
      <c r="H1859" s="69"/>
      <c r="I1859" s="69"/>
      <c r="J1859" s="70"/>
      <c r="K1859" s="69"/>
      <c r="L1859" s="69"/>
      <c r="M1859" s="69"/>
      <c r="N1859" s="69"/>
      <c r="O1859" s="69"/>
      <c r="P1859" s="2"/>
      <c r="Q1859" s="2"/>
      <c r="R1859" s="32"/>
      <c r="S1859" s="32"/>
      <c r="T1859" s="32"/>
      <c r="U1859" s="32"/>
      <c r="V1859" s="2"/>
      <c r="W1859" s="2"/>
      <c r="X1859" s="2"/>
      <c r="Y1859" s="2"/>
      <c r="Z1859" s="2"/>
    </row>
    <row r="1860" spans="1:26" ht="13.8" x14ac:dyDescent="0.3">
      <c r="A1860" s="2"/>
      <c r="B1860" s="2"/>
      <c r="C1860" s="10"/>
      <c r="D1860" s="10"/>
      <c r="E1860" s="10"/>
      <c r="F1860" s="10"/>
      <c r="G1860" s="69"/>
      <c r="H1860" s="69"/>
      <c r="I1860" s="69"/>
      <c r="J1860" s="70"/>
      <c r="K1860" s="69"/>
      <c r="L1860" s="69"/>
      <c r="M1860" s="69"/>
      <c r="N1860" s="69"/>
      <c r="O1860" s="69"/>
      <c r="P1860" s="2"/>
      <c r="Q1860" s="2"/>
      <c r="R1860" s="32"/>
      <c r="S1860" s="32"/>
      <c r="T1860" s="32"/>
      <c r="U1860" s="32"/>
      <c r="V1860" s="2"/>
      <c r="W1860" s="2"/>
      <c r="X1860" s="2"/>
      <c r="Y1860" s="2"/>
      <c r="Z1860" s="2"/>
    </row>
    <row r="1861" spans="1:26" ht="13.8" x14ac:dyDescent="0.3">
      <c r="A1861" s="2"/>
      <c r="B1861" s="2"/>
      <c r="C1861" s="10"/>
      <c r="D1861" s="10"/>
      <c r="E1861" s="10"/>
      <c r="F1861" s="10"/>
      <c r="G1861" s="69"/>
      <c r="H1861" s="69"/>
      <c r="I1861" s="69"/>
      <c r="J1861" s="70"/>
      <c r="K1861" s="69"/>
      <c r="L1861" s="69"/>
      <c r="M1861" s="69"/>
      <c r="N1861" s="69"/>
      <c r="O1861" s="69"/>
      <c r="P1861" s="2"/>
      <c r="Q1861" s="2"/>
      <c r="R1861" s="32"/>
      <c r="S1861" s="32"/>
      <c r="T1861" s="32"/>
      <c r="U1861" s="32"/>
      <c r="V1861" s="2"/>
      <c r="W1861" s="2"/>
      <c r="X1861" s="2"/>
      <c r="Y1861" s="2"/>
      <c r="Z1861" s="2"/>
    </row>
    <row r="1862" spans="1:26" ht="13.8" x14ac:dyDescent="0.3">
      <c r="A1862" s="2"/>
      <c r="B1862" s="2"/>
      <c r="C1862" s="10"/>
      <c r="D1862" s="10"/>
      <c r="E1862" s="10"/>
      <c r="F1862" s="10"/>
      <c r="G1862" s="69"/>
      <c r="H1862" s="69"/>
      <c r="I1862" s="69"/>
      <c r="J1862" s="70"/>
      <c r="K1862" s="69"/>
      <c r="L1862" s="69"/>
      <c r="M1862" s="69"/>
      <c r="N1862" s="69"/>
      <c r="O1862" s="69"/>
      <c r="P1862" s="2"/>
      <c r="Q1862" s="2"/>
      <c r="R1862" s="32"/>
      <c r="S1862" s="32"/>
      <c r="T1862" s="32"/>
      <c r="U1862" s="32"/>
      <c r="V1862" s="2"/>
      <c r="W1862" s="2"/>
      <c r="X1862" s="2"/>
      <c r="Y1862" s="2"/>
      <c r="Z1862" s="2"/>
    </row>
    <row r="1863" spans="1:26" ht="13.8" x14ac:dyDescent="0.3">
      <c r="A1863" s="2"/>
      <c r="B1863" s="2"/>
      <c r="C1863" s="10"/>
      <c r="D1863" s="10"/>
      <c r="E1863" s="10"/>
      <c r="F1863" s="10"/>
      <c r="G1863" s="69"/>
      <c r="H1863" s="69"/>
      <c r="I1863" s="69"/>
      <c r="J1863" s="70"/>
      <c r="K1863" s="69"/>
      <c r="L1863" s="69"/>
      <c r="M1863" s="69"/>
      <c r="N1863" s="69"/>
      <c r="O1863" s="69"/>
      <c r="P1863" s="2"/>
      <c r="Q1863" s="2"/>
      <c r="R1863" s="32"/>
      <c r="S1863" s="32"/>
      <c r="T1863" s="32"/>
      <c r="U1863" s="32"/>
      <c r="V1863" s="2"/>
      <c r="W1863" s="2"/>
      <c r="X1863" s="2"/>
      <c r="Y1863" s="2"/>
      <c r="Z1863" s="2"/>
    </row>
    <row r="1864" spans="1:26" ht="13.8" x14ac:dyDescent="0.3">
      <c r="A1864" s="2"/>
      <c r="B1864" s="2"/>
      <c r="C1864" s="10"/>
      <c r="D1864" s="10"/>
      <c r="E1864" s="10"/>
      <c r="F1864" s="10"/>
      <c r="G1864" s="69"/>
      <c r="H1864" s="69"/>
      <c r="I1864" s="69"/>
      <c r="J1864" s="70"/>
      <c r="K1864" s="69"/>
      <c r="L1864" s="69"/>
      <c r="M1864" s="69"/>
      <c r="N1864" s="69"/>
      <c r="O1864" s="69"/>
      <c r="P1864" s="2"/>
      <c r="Q1864" s="2"/>
      <c r="R1864" s="32"/>
      <c r="S1864" s="32"/>
      <c r="T1864" s="32"/>
      <c r="U1864" s="32"/>
      <c r="V1864" s="2"/>
      <c r="W1864" s="2"/>
      <c r="X1864" s="2"/>
      <c r="Y1864" s="2"/>
      <c r="Z1864" s="2"/>
    </row>
    <row r="1865" spans="1:26" ht="13.8" x14ac:dyDescent="0.3">
      <c r="A1865" s="2"/>
      <c r="B1865" s="2"/>
      <c r="C1865" s="10"/>
      <c r="D1865" s="10"/>
      <c r="E1865" s="10"/>
      <c r="F1865" s="10"/>
      <c r="G1865" s="69"/>
      <c r="H1865" s="69"/>
      <c r="I1865" s="69"/>
      <c r="J1865" s="70"/>
      <c r="K1865" s="69"/>
      <c r="L1865" s="69"/>
      <c r="M1865" s="69"/>
      <c r="N1865" s="69"/>
      <c r="O1865" s="69"/>
      <c r="P1865" s="2"/>
      <c r="Q1865" s="2"/>
      <c r="R1865" s="32"/>
      <c r="S1865" s="32"/>
      <c r="T1865" s="32"/>
      <c r="U1865" s="32"/>
      <c r="V1865" s="2"/>
      <c r="W1865" s="2"/>
      <c r="X1865" s="2"/>
      <c r="Y1865" s="2"/>
      <c r="Z1865" s="2"/>
    </row>
    <row r="1866" spans="1:26" ht="13.8" x14ac:dyDescent="0.3">
      <c r="A1866" s="2"/>
      <c r="B1866" s="2"/>
      <c r="C1866" s="10"/>
      <c r="D1866" s="10"/>
      <c r="E1866" s="10"/>
      <c r="F1866" s="10"/>
      <c r="G1866" s="69"/>
      <c r="H1866" s="69"/>
      <c r="I1866" s="69"/>
      <c r="J1866" s="70"/>
      <c r="K1866" s="69"/>
      <c r="L1866" s="69"/>
      <c r="M1866" s="69"/>
      <c r="N1866" s="69"/>
      <c r="O1866" s="69"/>
      <c r="P1866" s="2"/>
      <c r="Q1866" s="2"/>
      <c r="R1866" s="32"/>
      <c r="S1866" s="32"/>
      <c r="T1866" s="32"/>
      <c r="U1866" s="32"/>
      <c r="V1866" s="2"/>
      <c r="W1866" s="2"/>
      <c r="X1866" s="2"/>
      <c r="Y1866" s="2"/>
      <c r="Z1866" s="2"/>
    </row>
    <row r="1867" spans="1:26" ht="13.8" x14ac:dyDescent="0.3">
      <c r="A1867" s="2"/>
      <c r="B1867" s="2"/>
      <c r="C1867" s="10"/>
      <c r="D1867" s="10"/>
      <c r="E1867" s="10"/>
      <c r="F1867" s="10"/>
      <c r="G1867" s="69"/>
      <c r="H1867" s="69"/>
      <c r="I1867" s="69"/>
      <c r="J1867" s="70"/>
      <c r="K1867" s="69"/>
      <c r="L1867" s="69"/>
      <c r="M1867" s="69"/>
      <c r="N1867" s="69"/>
      <c r="O1867" s="69"/>
      <c r="P1867" s="2"/>
      <c r="Q1867" s="2"/>
      <c r="R1867" s="32"/>
      <c r="S1867" s="32"/>
      <c r="T1867" s="32"/>
      <c r="U1867" s="32"/>
      <c r="V1867" s="2"/>
      <c r="W1867" s="2"/>
      <c r="X1867" s="2"/>
      <c r="Y1867" s="2"/>
      <c r="Z1867" s="2"/>
    </row>
    <row r="1868" spans="1:26" ht="13.8" x14ac:dyDescent="0.3">
      <c r="A1868" s="2"/>
      <c r="B1868" s="2"/>
      <c r="C1868" s="10"/>
      <c r="D1868" s="10"/>
      <c r="E1868" s="10"/>
      <c r="F1868" s="10"/>
      <c r="G1868" s="69"/>
      <c r="H1868" s="69"/>
      <c r="I1868" s="69"/>
      <c r="J1868" s="70"/>
      <c r="K1868" s="69"/>
      <c r="L1868" s="69"/>
      <c r="M1868" s="69"/>
      <c r="N1868" s="69"/>
      <c r="O1868" s="69"/>
      <c r="P1868" s="2"/>
      <c r="Q1868" s="2"/>
      <c r="R1868" s="32"/>
      <c r="S1868" s="32"/>
      <c r="T1868" s="32"/>
      <c r="U1868" s="32"/>
      <c r="V1868" s="2"/>
      <c r="W1868" s="2"/>
      <c r="X1868" s="2"/>
      <c r="Y1868" s="2"/>
      <c r="Z1868" s="2"/>
    </row>
    <row r="1869" spans="1:26" ht="13.8" x14ac:dyDescent="0.3">
      <c r="A1869" s="2"/>
      <c r="B1869" s="2"/>
      <c r="C1869" s="10"/>
      <c r="D1869" s="10"/>
      <c r="E1869" s="10"/>
      <c r="F1869" s="10"/>
      <c r="G1869" s="69"/>
      <c r="H1869" s="69"/>
      <c r="I1869" s="69"/>
      <c r="J1869" s="70"/>
      <c r="K1869" s="69"/>
      <c r="L1869" s="69"/>
      <c r="M1869" s="69"/>
      <c r="N1869" s="69"/>
      <c r="O1869" s="69"/>
      <c r="P1869" s="2"/>
      <c r="Q1869" s="2"/>
      <c r="R1869" s="32"/>
      <c r="S1869" s="32"/>
      <c r="T1869" s="32"/>
      <c r="U1869" s="32"/>
      <c r="V1869" s="2"/>
      <c r="W1869" s="2"/>
      <c r="X1869" s="2"/>
      <c r="Y1869" s="2"/>
      <c r="Z1869" s="2"/>
    </row>
    <row r="1870" spans="1:26" ht="13.8" x14ac:dyDescent="0.3">
      <c r="A1870" s="2"/>
      <c r="B1870" s="2"/>
      <c r="C1870" s="10"/>
      <c r="D1870" s="10"/>
      <c r="E1870" s="10"/>
      <c r="F1870" s="10"/>
      <c r="G1870" s="69"/>
      <c r="H1870" s="69"/>
      <c r="I1870" s="69"/>
      <c r="J1870" s="70"/>
      <c r="K1870" s="69"/>
      <c r="L1870" s="69"/>
      <c r="M1870" s="69"/>
      <c r="N1870" s="69"/>
      <c r="O1870" s="69"/>
      <c r="P1870" s="2"/>
      <c r="Q1870" s="2"/>
      <c r="R1870" s="32"/>
      <c r="S1870" s="32"/>
      <c r="T1870" s="32"/>
      <c r="U1870" s="32"/>
      <c r="V1870" s="2"/>
      <c r="W1870" s="2"/>
      <c r="X1870" s="2"/>
      <c r="Y1870" s="2"/>
      <c r="Z1870" s="2"/>
    </row>
    <row r="1871" spans="1:26" ht="13.8" x14ac:dyDescent="0.3">
      <c r="A1871" s="2"/>
      <c r="B1871" s="2"/>
      <c r="C1871" s="10"/>
      <c r="D1871" s="10"/>
      <c r="E1871" s="10"/>
      <c r="F1871" s="10"/>
      <c r="G1871" s="69"/>
      <c r="H1871" s="69"/>
      <c r="I1871" s="69"/>
      <c r="J1871" s="70"/>
      <c r="K1871" s="69"/>
      <c r="L1871" s="69"/>
      <c r="M1871" s="69"/>
      <c r="N1871" s="69"/>
      <c r="O1871" s="69"/>
      <c r="P1871" s="2"/>
      <c r="Q1871" s="2"/>
      <c r="R1871" s="32"/>
      <c r="S1871" s="32"/>
      <c r="T1871" s="32"/>
      <c r="U1871" s="32"/>
      <c r="V1871" s="2"/>
      <c r="W1871" s="2"/>
      <c r="X1871" s="2"/>
      <c r="Y1871" s="2"/>
      <c r="Z1871" s="2"/>
    </row>
    <row r="1872" spans="1:26" ht="13.8" x14ac:dyDescent="0.3">
      <c r="A1872" s="2"/>
      <c r="B1872" s="2"/>
      <c r="C1872" s="10"/>
      <c r="D1872" s="10"/>
      <c r="E1872" s="10"/>
      <c r="F1872" s="10"/>
      <c r="G1872" s="69"/>
      <c r="H1872" s="69"/>
      <c r="I1872" s="69"/>
      <c r="J1872" s="70"/>
      <c r="K1872" s="69"/>
      <c r="L1872" s="69"/>
      <c r="M1872" s="69"/>
      <c r="N1872" s="69"/>
      <c r="O1872" s="69"/>
      <c r="P1872" s="2"/>
      <c r="Q1872" s="2"/>
      <c r="R1872" s="32"/>
      <c r="S1872" s="32"/>
      <c r="T1872" s="32"/>
      <c r="U1872" s="32"/>
      <c r="V1872" s="2"/>
      <c r="W1872" s="2"/>
      <c r="X1872" s="2"/>
      <c r="Y1872" s="2"/>
      <c r="Z1872" s="2"/>
    </row>
    <row r="1873" spans="1:26" ht="13.8" x14ac:dyDescent="0.3">
      <c r="A1873" s="2"/>
      <c r="B1873" s="2"/>
      <c r="C1873" s="10"/>
      <c r="D1873" s="10"/>
      <c r="E1873" s="10"/>
      <c r="F1873" s="10"/>
      <c r="G1873" s="69"/>
      <c r="H1873" s="69"/>
      <c r="I1873" s="69"/>
      <c r="J1873" s="70"/>
      <c r="K1873" s="69"/>
      <c r="L1873" s="69"/>
      <c r="M1873" s="69"/>
      <c r="N1873" s="69"/>
      <c r="O1873" s="69"/>
      <c r="P1873" s="2"/>
      <c r="Q1873" s="2"/>
      <c r="R1873" s="32"/>
      <c r="S1873" s="32"/>
      <c r="T1873" s="32"/>
      <c r="U1873" s="32"/>
      <c r="V1873" s="2"/>
      <c r="W1873" s="2"/>
      <c r="X1873" s="2"/>
      <c r="Y1873" s="2"/>
      <c r="Z1873" s="2"/>
    </row>
    <row r="1874" spans="1:26" ht="13.8" x14ac:dyDescent="0.3">
      <c r="A1874" s="2"/>
      <c r="B1874" s="2"/>
      <c r="C1874" s="10"/>
      <c r="D1874" s="10"/>
      <c r="E1874" s="10"/>
      <c r="F1874" s="10"/>
      <c r="G1874" s="69"/>
      <c r="H1874" s="69"/>
      <c r="I1874" s="69"/>
      <c r="J1874" s="70"/>
      <c r="K1874" s="69"/>
      <c r="L1874" s="69"/>
      <c r="M1874" s="69"/>
      <c r="N1874" s="69"/>
      <c r="O1874" s="69"/>
      <c r="P1874" s="2"/>
      <c r="Q1874" s="2"/>
      <c r="R1874" s="32"/>
      <c r="S1874" s="32"/>
      <c r="T1874" s="32"/>
      <c r="U1874" s="32"/>
      <c r="V1874" s="2"/>
      <c r="W1874" s="2"/>
      <c r="X1874" s="2"/>
      <c r="Y1874" s="2"/>
      <c r="Z1874" s="2"/>
    </row>
    <row r="1875" spans="1:26" ht="13.8" x14ac:dyDescent="0.3">
      <c r="A1875" s="2"/>
      <c r="B1875" s="2"/>
      <c r="C1875" s="10"/>
      <c r="D1875" s="10"/>
      <c r="E1875" s="10"/>
      <c r="F1875" s="10"/>
      <c r="G1875" s="69"/>
      <c r="H1875" s="69"/>
      <c r="I1875" s="69"/>
      <c r="J1875" s="70"/>
      <c r="K1875" s="69"/>
      <c r="L1875" s="69"/>
      <c r="M1875" s="69"/>
      <c r="N1875" s="69"/>
      <c r="O1875" s="69"/>
      <c r="P1875" s="2"/>
      <c r="Q1875" s="2"/>
      <c r="R1875" s="32"/>
      <c r="S1875" s="32"/>
      <c r="T1875" s="32"/>
      <c r="U1875" s="32"/>
      <c r="V1875" s="2"/>
      <c r="W1875" s="2"/>
      <c r="X1875" s="2"/>
      <c r="Y1875" s="2"/>
      <c r="Z1875" s="2"/>
    </row>
    <row r="1876" spans="1:26" ht="13.8" x14ac:dyDescent="0.3">
      <c r="A1876" s="2"/>
      <c r="B1876" s="2"/>
      <c r="C1876" s="10"/>
      <c r="D1876" s="10"/>
      <c r="E1876" s="10"/>
      <c r="F1876" s="10"/>
      <c r="G1876" s="69"/>
      <c r="H1876" s="69"/>
      <c r="I1876" s="69"/>
      <c r="J1876" s="70"/>
      <c r="K1876" s="69"/>
      <c r="L1876" s="69"/>
      <c r="M1876" s="69"/>
      <c r="N1876" s="69"/>
      <c r="O1876" s="69"/>
      <c r="P1876" s="2"/>
      <c r="Q1876" s="2"/>
      <c r="R1876" s="32"/>
      <c r="S1876" s="32"/>
      <c r="T1876" s="32"/>
      <c r="U1876" s="32"/>
      <c r="V1876" s="2"/>
      <c r="W1876" s="2"/>
      <c r="X1876" s="2"/>
      <c r="Y1876" s="2"/>
      <c r="Z1876" s="2"/>
    </row>
    <row r="1877" spans="1:26" ht="13.8" x14ac:dyDescent="0.3">
      <c r="A1877" s="2"/>
      <c r="B1877" s="2"/>
      <c r="C1877" s="10"/>
      <c r="D1877" s="10"/>
      <c r="E1877" s="10"/>
      <c r="F1877" s="10"/>
      <c r="G1877" s="69"/>
      <c r="H1877" s="69"/>
      <c r="I1877" s="69"/>
      <c r="J1877" s="70"/>
      <c r="K1877" s="69"/>
      <c r="L1877" s="69"/>
      <c r="M1877" s="69"/>
      <c r="N1877" s="69"/>
      <c r="O1877" s="69"/>
      <c r="P1877" s="2"/>
      <c r="Q1877" s="2"/>
      <c r="R1877" s="32"/>
      <c r="S1877" s="32"/>
      <c r="T1877" s="32"/>
      <c r="U1877" s="32"/>
      <c r="V1877" s="2"/>
      <c r="W1877" s="2"/>
      <c r="X1877" s="2"/>
      <c r="Y1877" s="2"/>
      <c r="Z1877" s="2"/>
    </row>
    <row r="1878" spans="1:26" ht="13.8" x14ac:dyDescent="0.3">
      <c r="A1878" s="2"/>
      <c r="B1878" s="2"/>
      <c r="C1878" s="10"/>
      <c r="D1878" s="10"/>
      <c r="E1878" s="10"/>
      <c r="F1878" s="10"/>
      <c r="G1878" s="69"/>
      <c r="H1878" s="69"/>
      <c r="I1878" s="69"/>
      <c r="J1878" s="70"/>
      <c r="K1878" s="69"/>
      <c r="L1878" s="69"/>
      <c r="M1878" s="69"/>
      <c r="N1878" s="69"/>
      <c r="O1878" s="69"/>
      <c r="P1878" s="2"/>
      <c r="Q1878" s="2"/>
      <c r="R1878" s="32"/>
      <c r="S1878" s="32"/>
      <c r="T1878" s="32"/>
      <c r="U1878" s="32"/>
      <c r="V1878" s="2"/>
      <c r="W1878" s="2"/>
      <c r="X1878" s="2"/>
      <c r="Y1878" s="2"/>
      <c r="Z1878" s="2"/>
    </row>
    <row r="1879" spans="1:26" ht="13.8" x14ac:dyDescent="0.3">
      <c r="A1879" s="2"/>
      <c r="B1879" s="2"/>
      <c r="C1879" s="10"/>
      <c r="D1879" s="10"/>
      <c r="E1879" s="10"/>
      <c r="F1879" s="10"/>
      <c r="G1879" s="69"/>
      <c r="H1879" s="69"/>
      <c r="I1879" s="69"/>
      <c r="J1879" s="70"/>
      <c r="K1879" s="69"/>
      <c r="L1879" s="69"/>
      <c r="M1879" s="69"/>
      <c r="N1879" s="69"/>
      <c r="O1879" s="69"/>
      <c r="P1879" s="2"/>
      <c r="Q1879" s="2"/>
      <c r="R1879" s="32"/>
      <c r="S1879" s="32"/>
      <c r="T1879" s="32"/>
      <c r="U1879" s="32"/>
      <c r="V1879" s="2"/>
      <c r="W1879" s="2"/>
      <c r="X1879" s="2"/>
      <c r="Y1879" s="2"/>
      <c r="Z1879" s="2"/>
    </row>
    <row r="1880" spans="1:26" ht="13.8" x14ac:dyDescent="0.3">
      <c r="A1880" s="2"/>
      <c r="B1880" s="2"/>
      <c r="C1880" s="10"/>
      <c r="D1880" s="10"/>
      <c r="E1880" s="10"/>
      <c r="F1880" s="10"/>
      <c r="G1880" s="69"/>
      <c r="H1880" s="69"/>
      <c r="I1880" s="69"/>
      <c r="J1880" s="70"/>
      <c r="K1880" s="69"/>
      <c r="L1880" s="69"/>
      <c r="M1880" s="69"/>
      <c r="N1880" s="69"/>
      <c r="O1880" s="69"/>
      <c r="P1880" s="2"/>
      <c r="Q1880" s="2"/>
      <c r="R1880" s="32"/>
      <c r="S1880" s="32"/>
      <c r="T1880" s="32"/>
      <c r="U1880" s="32"/>
      <c r="V1880" s="2"/>
      <c r="W1880" s="2"/>
      <c r="X1880" s="2"/>
      <c r="Y1880" s="2"/>
      <c r="Z1880" s="2"/>
    </row>
    <row r="1881" spans="1:26" ht="13.8" x14ac:dyDescent="0.3">
      <c r="A1881" s="2"/>
      <c r="B1881" s="2"/>
      <c r="C1881" s="10"/>
      <c r="D1881" s="10"/>
      <c r="E1881" s="10"/>
      <c r="F1881" s="10"/>
      <c r="G1881" s="69"/>
      <c r="H1881" s="69"/>
      <c r="I1881" s="69"/>
      <c r="J1881" s="70"/>
      <c r="K1881" s="69"/>
      <c r="L1881" s="69"/>
      <c r="M1881" s="69"/>
      <c r="N1881" s="69"/>
      <c r="O1881" s="69"/>
      <c r="P1881" s="2"/>
      <c r="Q1881" s="2"/>
      <c r="R1881" s="32"/>
      <c r="S1881" s="32"/>
      <c r="T1881" s="32"/>
      <c r="U1881" s="32"/>
      <c r="V1881" s="2"/>
      <c r="W1881" s="2"/>
      <c r="X1881" s="2"/>
      <c r="Y1881" s="2"/>
      <c r="Z1881" s="2"/>
    </row>
    <row r="1882" spans="1:26" ht="13.8" x14ac:dyDescent="0.3">
      <c r="A1882" s="2"/>
      <c r="B1882" s="2"/>
      <c r="C1882" s="10"/>
      <c r="D1882" s="10"/>
      <c r="E1882" s="10"/>
      <c r="F1882" s="10"/>
      <c r="G1882" s="69"/>
      <c r="H1882" s="69"/>
      <c r="I1882" s="69"/>
      <c r="J1882" s="70"/>
      <c r="K1882" s="69"/>
      <c r="L1882" s="69"/>
      <c r="M1882" s="69"/>
      <c r="N1882" s="69"/>
      <c r="O1882" s="69"/>
      <c r="P1882" s="2"/>
      <c r="Q1882" s="2"/>
      <c r="R1882" s="32"/>
      <c r="S1882" s="32"/>
      <c r="T1882" s="32"/>
      <c r="U1882" s="32"/>
      <c r="V1882" s="2"/>
      <c r="W1882" s="2"/>
      <c r="X1882" s="2"/>
      <c r="Y1882" s="2"/>
      <c r="Z1882" s="2"/>
    </row>
    <row r="1883" spans="1:26" ht="13.8" x14ac:dyDescent="0.3">
      <c r="A1883" s="2"/>
      <c r="B1883" s="2"/>
      <c r="C1883" s="10"/>
      <c r="D1883" s="10"/>
      <c r="E1883" s="10"/>
      <c r="F1883" s="10"/>
      <c r="G1883" s="69"/>
      <c r="H1883" s="69"/>
      <c r="I1883" s="69"/>
      <c r="J1883" s="70"/>
      <c r="K1883" s="69"/>
      <c r="L1883" s="69"/>
      <c r="M1883" s="69"/>
      <c r="N1883" s="69"/>
      <c r="O1883" s="69"/>
      <c r="P1883" s="2"/>
      <c r="Q1883" s="2"/>
      <c r="R1883" s="32"/>
      <c r="S1883" s="32"/>
      <c r="T1883" s="32"/>
      <c r="U1883" s="32"/>
      <c r="V1883" s="2"/>
      <c r="W1883" s="2"/>
      <c r="X1883" s="2"/>
      <c r="Y1883" s="2"/>
      <c r="Z1883" s="2"/>
    </row>
    <row r="1884" spans="1:26" ht="13.8" x14ac:dyDescent="0.3">
      <c r="A1884" s="2"/>
      <c r="B1884" s="2"/>
      <c r="C1884" s="10"/>
      <c r="D1884" s="10"/>
      <c r="E1884" s="10"/>
      <c r="F1884" s="10"/>
      <c r="G1884" s="69"/>
      <c r="H1884" s="69"/>
      <c r="I1884" s="69"/>
      <c r="J1884" s="70"/>
      <c r="K1884" s="69"/>
      <c r="L1884" s="69"/>
      <c r="M1884" s="69"/>
      <c r="N1884" s="69"/>
      <c r="O1884" s="69"/>
      <c r="P1884" s="2"/>
      <c r="Q1884" s="2"/>
      <c r="R1884" s="32"/>
      <c r="S1884" s="32"/>
      <c r="T1884" s="32"/>
      <c r="U1884" s="32"/>
      <c r="V1884" s="2"/>
      <c r="W1884" s="2"/>
      <c r="X1884" s="2"/>
      <c r="Y1884" s="2"/>
      <c r="Z1884" s="2"/>
    </row>
    <row r="1885" spans="1:26" ht="13.8" x14ac:dyDescent="0.3">
      <c r="A1885" s="2"/>
      <c r="B1885" s="2"/>
      <c r="C1885" s="10"/>
      <c r="D1885" s="10"/>
      <c r="E1885" s="10"/>
      <c r="F1885" s="10"/>
      <c r="G1885" s="69"/>
      <c r="H1885" s="69"/>
      <c r="I1885" s="69"/>
      <c r="J1885" s="70"/>
      <c r="K1885" s="69"/>
      <c r="L1885" s="69"/>
      <c r="M1885" s="69"/>
      <c r="N1885" s="69"/>
      <c r="O1885" s="69"/>
      <c r="P1885" s="2"/>
      <c r="Q1885" s="2"/>
      <c r="R1885" s="32"/>
      <c r="S1885" s="32"/>
      <c r="T1885" s="32"/>
      <c r="U1885" s="32"/>
      <c r="V1885" s="2"/>
      <c r="W1885" s="2"/>
      <c r="X1885" s="2"/>
      <c r="Y1885" s="2"/>
      <c r="Z1885" s="2"/>
    </row>
    <row r="1886" spans="1:26" ht="13.8" x14ac:dyDescent="0.3">
      <c r="A1886" s="2"/>
      <c r="B1886" s="2"/>
      <c r="C1886" s="10"/>
      <c r="D1886" s="10"/>
      <c r="E1886" s="10"/>
      <c r="F1886" s="10"/>
      <c r="G1886" s="69"/>
      <c r="H1886" s="69"/>
      <c r="I1886" s="69"/>
      <c r="J1886" s="70"/>
      <c r="K1886" s="69"/>
      <c r="L1886" s="69"/>
      <c r="M1886" s="69"/>
      <c r="N1886" s="69"/>
      <c r="O1886" s="69"/>
      <c r="P1886" s="2"/>
      <c r="Q1886" s="2"/>
      <c r="R1886" s="32"/>
      <c r="S1886" s="32"/>
      <c r="T1886" s="32"/>
      <c r="U1886" s="32"/>
      <c r="V1886" s="2"/>
      <c r="W1886" s="2"/>
      <c r="X1886" s="2"/>
      <c r="Y1886" s="2"/>
      <c r="Z1886" s="2"/>
    </row>
    <row r="1887" spans="1:26" ht="13.8" x14ac:dyDescent="0.3">
      <c r="A1887" s="2"/>
      <c r="B1887" s="2"/>
      <c r="C1887" s="10"/>
      <c r="D1887" s="10"/>
      <c r="E1887" s="10"/>
      <c r="F1887" s="10"/>
      <c r="G1887" s="69"/>
      <c r="H1887" s="69"/>
      <c r="I1887" s="69"/>
      <c r="J1887" s="70"/>
      <c r="K1887" s="69"/>
      <c r="L1887" s="69"/>
      <c r="M1887" s="69"/>
      <c r="N1887" s="69"/>
      <c r="O1887" s="69"/>
      <c r="P1887" s="2"/>
      <c r="Q1887" s="2"/>
      <c r="R1887" s="32"/>
      <c r="S1887" s="32"/>
      <c r="T1887" s="32"/>
      <c r="U1887" s="32"/>
      <c r="V1887" s="2"/>
      <c r="W1887" s="2"/>
      <c r="X1887" s="2"/>
      <c r="Y1887" s="2"/>
      <c r="Z1887" s="2"/>
    </row>
    <row r="1888" spans="1:26" ht="13.8" x14ac:dyDescent="0.3">
      <c r="A1888" s="2"/>
      <c r="B1888" s="2"/>
      <c r="C1888" s="10"/>
      <c r="D1888" s="10"/>
      <c r="E1888" s="10"/>
      <c r="F1888" s="10"/>
      <c r="G1888" s="69"/>
      <c r="H1888" s="69"/>
      <c r="I1888" s="69"/>
      <c r="J1888" s="70"/>
      <c r="K1888" s="69"/>
      <c r="L1888" s="69"/>
      <c r="M1888" s="69"/>
      <c r="N1888" s="69"/>
      <c r="O1888" s="69"/>
      <c r="P1888" s="2"/>
      <c r="Q1888" s="2"/>
      <c r="R1888" s="32"/>
      <c r="S1888" s="32"/>
      <c r="T1888" s="32"/>
      <c r="U1888" s="32"/>
      <c r="V1888" s="2"/>
      <c r="W1888" s="2"/>
      <c r="X1888" s="2"/>
      <c r="Y1888" s="2"/>
      <c r="Z1888" s="2"/>
    </row>
    <row r="1889" spans="1:26" ht="13.8" x14ac:dyDescent="0.3">
      <c r="A1889" s="2"/>
      <c r="B1889" s="2"/>
      <c r="C1889" s="10"/>
      <c r="D1889" s="10"/>
      <c r="E1889" s="10"/>
      <c r="F1889" s="10"/>
      <c r="G1889" s="69"/>
      <c r="H1889" s="69"/>
      <c r="I1889" s="69"/>
      <c r="J1889" s="70"/>
      <c r="K1889" s="69"/>
      <c r="L1889" s="69"/>
      <c r="M1889" s="69"/>
      <c r="N1889" s="69"/>
      <c r="O1889" s="69"/>
      <c r="P1889" s="2"/>
      <c r="Q1889" s="2"/>
      <c r="R1889" s="32"/>
      <c r="S1889" s="32"/>
      <c r="T1889" s="32"/>
      <c r="U1889" s="32"/>
      <c r="V1889" s="2"/>
      <c r="W1889" s="2"/>
      <c r="X1889" s="2"/>
      <c r="Y1889" s="2"/>
      <c r="Z1889" s="2"/>
    </row>
    <row r="1890" spans="1:26" ht="13.8" x14ac:dyDescent="0.3">
      <c r="A1890" s="2"/>
      <c r="B1890" s="2"/>
      <c r="C1890" s="10"/>
      <c r="D1890" s="10"/>
      <c r="E1890" s="10"/>
      <c r="F1890" s="10"/>
      <c r="G1890" s="69"/>
      <c r="H1890" s="69"/>
      <c r="I1890" s="69"/>
      <c r="J1890" s="70"/>
      <c r="K1890" s="69"/>
      <c r="L1890" s="69"/>
      <c r="M1890" s="69"/>
      <c r="N1890" s="69"/>
      <c r="O1890" s="69"/>
      <c r="P1890" s="2"/>
      <c r="Q1890" s="2"/>
      <c r="R1890" s="32"/>
      <c r="S1890" s="32"/>
      <c r="T1890" s="32"/>
      <c r="U1890" s="32"/>
      <c r="V1890" s="2"/>
      <c r="W1890" s="2"/>
      <c r="X1890" s="2"/>
      <c r="Y1890" s="2"/>
      <c r="Z1890" s="2"/>
    </row>
    <row r="1891" spans="1:26" ht="13.8" x14ac:dyDescent="0.3">
      <c r="A1891" s="2"/>
      <c r="B1891" s="2"/>
      <c r="C1891" s="10"/>
      <c r="D1891" s="10"/>
      <c r="E1891" s="10"/>
      <c r="F1891" s="10"/>
      <c r="G1891" s="69"/>
      <c r="H1891" s="69"/>
      <c r="I1891" s="69"/>
      <c r="J1891" s="70"/>
      <c r="K1891" s="69"/>
      <c r="L1891" s="69"/>
      <c r="M1891" s="69"/>
      <c r="N1891" s="69"/>
      <c r="O1891" s="69"/>
      <c r="P1891" s="2"/>
      <c r="Q1891" s="2"/>
      <c r="R1891" s="32"/>
      <c r="S1891" s="32"/>
      <c r="T1891" s="32"/>
      <c r="U1891" s="32"/>
      <c r="V1891" s="2"/>
      <c r="W1891" s="2"/>
      <c r="X1891" s="2"/>
      <c r="Y1891" s="2"/>
      <c r="Z1891" s="2"/>
    </row>
    <row r="1892" spans="1:26" ht="13.8" x14ac:dyDescent="0.3">
      <c r="A1892" s="2"/>
      <c r="B1892" s="2"/>
      <c r="C1892" s="10"/>
      <c r="D1892" s="10"/>
      <c r="E1892" s="10"/>
      <c r="F1892" s="10"/>
      <c r="G1892" s="69"/>
      <c r="H1892" s="69"/>
      <c r="I1892" s="69"/>
      <c r="J1892" s="70"/>
      <c r="K1892" s="69"/>
      <c r="L1892" s="69"/>
      <c r="M1892" s="69"/>
      <c r="N1892" s="69"/>
      <c r="O1892" s="69"/>
      <c r="P1892" s="2"/>
      <c r="Q1892" s="2"/>
      <c r="R1892" s="32"/>
      <c r="S1892" s="32"/>
      <c r="T1892" s="32"/>
      <c r="U1892" s="32"/>
      <c r="V1892" s="2"/>
      <c r="W1892" s="2"/>
      <c r="X1892" s="2"/>
      <c r="Y1892" s="2"/>
      <c r="Z1892" s="2"/>
    </row>
    <row r="1893" spans="1:26" ht="13.8" x14ac:dyDescent="0.3">
      <c r="A1893" s="2"/>
      <c r="B1893" s="2"/>
      <c r="C1893" s="10"/>
      <c r="D1893" s="10"/>
      <c r="E1893" s="10"/>
      <c r="F1893" s="10"/>
      <c r="G1893" s="69"/>
      <c r="H1893" s="69"/>
      <c r="I1893" s="69"/>
      <c r="J1893" s="70"/>
      <c r="K1893" s="69"/>
      <c r="L1893" s="69"/>
      <c r="M1893" s="69"/>
      <c r="N1893" s="69"/>
      <c r="O1893" s="69"/>
      <c r="P1893" s="2"/>
      <c r="Q1893" s="2"/>
      <c r="R1893" s="32"/>
      <c r="S1893" s="32"/>
      <c r="T1893" s="32"/>
      <c r="U1893" s="32"/>
      <c r="V1893" s="2"/>
      <c r="W1893" s="2"/>
      <c r="X1893" s="2"/>
      <c r="Y1893" s="2"/>
      <c r="Z1893" s="2"/>
    </row>
    <row r="1894" spans="1:26" ht="13.8" x14ac:dyDescent="0.3">
      <c r="A1894" s="2"/>
      <c r="B1894" s="2"/>
      <c r="C1894" s="10"/>
      <c r="D1894" s="10"/>
      <c r="E1894" s="10"/>
      <c r="F1894" s="10"/>
      <c r="G1894" s="69"/>
      <c r="H1894" s="69"/>
      <c r="I1894" s="69"/>
      <c r="J1894" s="70"/>
      <c r="K1894" s="69"/>
      <c r="L1894" s="69"/>
      <c r="M1894" s="69"/>
      <c r="N1894" s="69"/>
      <c r="O1894" s="69"/>
      <c r="P1894" s="2"/>
      <c r="Q1894" s="2"/>
      <c r="R1894" s="32"/>
      <c r="S1894" s="32"/>
      <c r="T1894" s="32"/>
      <c r="U1894" s="32"/>
      <c r="V1894" s="2"/>
      <c r="W1894" s="2"/>
      <c r="X1894" s="2"/>
      <c r="Y1894" s="2"/>
      <c r="Z1894" s="2"/>
    </row>
    <row r="1895" spans="1:26" ht="13.8" x14ac:dyDescent="0.3">
      <c r="A1895" s="2"/>
      <c r="B1895" s="2"/>
      <c r="C1895" s="10"/>
      <c r="D1895" s="10"/>
      <c r="E1895" s="10"/>
      <c r="F1895" s="10"/>
      <c r="G1895" s="69"/>
      <c r="H1895" s="69"/>
      <c r="I1895" s="69"/>
      <c r="J1895" s="70"/>
      <c r="K1895" s="69"/>
      <c r="L1895" s="69"/>
      <c r="M1895" s="69"/>
      <c r="N1895" s="69"/>
      <c r="O1895" s="69"/>
      <c r="P1895" s="2"/>
      <c r="Q1895" s="2"/>
      <c r="R1895" s="32"/>
      <c r="S1895" s="32"/>
      <c r="T1895" s="32"/>
      <c r="U1895" s="32"/>
      <c r="V1895" s="2"/>
      <c r="W1895" s="2"/>
      <c r="X1895" s="2"/>
      <c r="Y1895" s="2"/>
      <c r="Z1895" s="2"/>
    </row>
    <row r="1896" spans="1:26" ht="13.8" x14ac:dyDescent="0.3">
      <c r="A1896" s="2"/>
      <c r="B1896" s="2"/>
      <c r="C1896" s="10"/>
      <c r="D1896" s="10"/>
      <c r="E1896" s="10"/>
      <c r="F1896" s="10"/>
      <c r="G1896" s="69"/>
      <c r="H1896" s="69"/>
      <c r="I1896" s="69"/>
      <c r="J1896" s="70"/>
      <c r="K1896" s="69"/>
      <c r="L1896" s="69"/>
      <c r="M1896" s="69"/>
      <c r="N1896" s="69"/>
      <c r="O1896" s="69"/>
      <c r="P1896" s="2"/>
      <c r="Q1896" s="2"/>
      <c r="R1896" s="32"/>
      <c r="S1896" s="32"/>
      <c r="T1896" s="32"/>
      <c r="U1896" s="32"/>
      <c r="V1896" s="2"/>
      <c r="W1896" s="2"/>
      <c r="X1896" s="2"/>
      <c r="Y1896" s="2"/>
      <c r="Z1896" s="2"/>
    </row>
    <row r="1897" spans="1:26" ht="13.8" x14ac:dyDescent="0.3">
      <c r="A1897" s="2"/>
      <c r="B1897" s="2"/>
      <c r="C1897" s="10"/>
      <c r="D1897" s="10"/>
      <c r="E1897" s="10"/>
      <c r="F1897" s="10"/>
      <c r="G1897" s="69"/>
      <c r="H1897" s="69"/>
      <c r="I1897" s="69"/>
      <c r="J1897" s="70"/>
      <c r="K1897" s="69"/>
      <c r="L1897" s="69"/>
      <c r="M1897" s="69"/>
      <c r="N1897" s="69"/>
      <c r="O1897" s="69"/>
      <c r="P1897" s="2"/>
      <c r="Q1897" s="2"/>
      <c r="R1897" s="32"/>
      <c r="S1897" s="32"/>
      <c r="T1897" s="32"/>
      <c r="U1897" s="32"/>
      <c r="V1897" s="2"/>
      <c r="W1897" s="2"/>
      <c r="X1897" s="2"/>
      <c r="Y1897" s="2"/>
      <c r="Z1897" s="2"/>
    </row>
    <row r="1898" spans="1:26" ht="13.8" x14ac:dyDescent="0.3">
      <c r="A1898" s="2"/>
      <c r="B1898" s="2"/>
      <c r="C1898" s="10"/>
      <c r="D1898" s="10"/>
      <c r="E1898" s="10"/>
      <c r="F1898" s="10"/>
      <c r="G1898" s="69"/>
      <c r="H1898" s="69"/>
      <c r="I1898" s="69"/>
      <c r="J1898" s="70"/>
      <c r="K1898" s="69"/>
      <c r="L1898" s="69"/>
      <c r="M1898" s="69"/>
      <c r="N1898" s="69"/>
      <c r="O1898" s="69"/>
      <c r="P1898" s="2"/>
      <c r="Q1898" s="2"/>
      <c r="R1898" s="32"/>
      <c r="S1898" s="32"/>
      <c r="T1898" s="32"/>
      <c r="U1898" s="32"/>
      <c r="V1898" s="2"/>
      <c r="W1898" s="2"/>
      <c r="X1898" s="2"/>
      <c r="Y1898" s="2"/>
      <c r="Z1898" s="2"/>
    </row>
    <row r="1899" spans="1:26" ht="13.8" x14ac:dyDescent="0.3">
      <c r="A1899" s="2"/>
      <c r="B1899" s="2"/>
      <c r="C1899" s="10"/>
      <c r="D1899" s="10"/>
      <c r="E1899" s="10"/>
      <c r="F1899" s="10"/>
      <c r="G1899" s="69"/>
      <c r="H1899" s="69"/>
      <c r="I1899" s="69"/>
      <c r="J1899" s="70"/>
      <c r="K1899" s="69"/>
      <c r="L1899" s="69"/>
      <c r="M1899" s="69"/>
      <c r="N1899" s="69"/>
      <c r="O1899" s="69"/>
      <c r="P1899" s="2"/>
      <c r="Q1899" s="2"/>
      <c r="R1899" s="32"/>
      <c r="S1899" s="32"/>
      <c r="T1899" s="32"/>
      <c r="U1899" s="32"/>
      <c r="V1899" s="2"/>
      <c r="W1899" s="2"/>
      <c r="X1899" s="2"/>
      <c r="Y1899" s="2"/>
      <c r="Z1899" s="2"/>
    </row>
    <row r="1900" spans="1:26" ht="13.8" x14ac:dyDescent="0.3">
      <c r="A1900" s="2"/>
      <c r="B1900" s="2"/>
      <c r="C1900" s="10"/>
      <c r="D1900" s="10"/>
      <c r="E1900" s="10"/>
      <c r="F1900" s="10"/>
      <c r="G1900" s="69"/>
      <c r="H1900" s="69"/>
      <c r="I1900" s="69"/>
      <c r="J1900" s="70"/>
      <c r="K1900" s="69"/>
      <c r="L1900" s="69"/>
      <c r="M1900" s="69"/>
      <c r="N1900" s="69"/>
      <c r="O1900" s="69"/>
      <c r="P1900" s="2"/>
      <c r="Q1900" s="2"/>
      <c r="R1900" s="32"/>
      <c r="S1900" s="32"/>
      <c r="T1900" s="32"/>
      <c r="U1900" s="32"/>
      <c r="V1900" s="2"/>
      <c r="W1900" s="2"/>
      <c r="X1900" s="2"/>
      <c r="Y1900" s="2"/>
      <c r="Z1900" s="2"/>
    </row>
    <row r="1901" spans="1:26" ht="13.8" x14ac:dyDescent="0.3">
      <c r="A1901" s="2"/>
      <c r="B1901" s="2"/>
      <c r="C1901" s="10"/>
      <c r="D1901" s="10"/>
      <c r="E1901" s="10"/>
      <c r="F1901" s="10"/>
      <c r="G1901" s="69"/>
      <c r="H1901" s="69"/>
      <c r="I1901" s="69"/>
      <c r="J1901" s="70"/>
      <c r="K1901" s="69"/>
      <c r="L1901" s="69"/>
      <c r="M1901" s="69"/>
      <c r="N1901" s="69"/>
      <c r="O1901" s="69"/>
      <c r="P1901" s="2"/>
      <c r="Q1901" s="2"/>
      <c r="R1901" s="32"/>
      <c r="S1901" s="32"/>
      <c r="T1901" s="32"/>
      <c r="U1901" s="32"/>
      <c r="V1901" s="2"/>
      <c r="W1901" s="2"/>
      <c r="X1901" s="2"/>
      <c r="Y1901" s="2"/>
      <c r="Z1901" s="2"/>
    </row>
    <row r="1902" spans="1:26" ht="13.8" x14ac:dyDescent="0.3">
      <c r="A1902" s="2"/>
      <c r="B1902" s="2"/>
      <c r="C1902" s="10"/>
      <c r="D1902" s="10"/>
      <c r="E1902" s="10"/>
      <c r="F1902" s="10"/>
      <c r="G1902" s="69"/>
      <c r="H1902" s="69"/>
      <c r="I1902" s="69"/>
      <c r="J1902" s="70"/>
      <c r="K1902" s="69"/>
      <c r="L1902" s="69"/>
      <c r="M1902" s="69"/>
      <c r="N1902" s="69"/>
      <c r="O1902" s="69"/>
      <c r="P1902" s="2"/>
      <c r="Q1902" s="2"/>
      <c r="R1902" s="32"/>
      <c r="S1902" s="32"/>
      <c r="T1902" s="32"/>
      <c r="U1902" s="32"/>
      <c r="V1902" s="2"/>
      <c r="W1902" s="2"/>
      <c r="X1902" s="2"/>
      <c r="Y1902" s="2"/>
      <c r="Z1902" s="2"/>
    </row>
    <row r="1903" spans="1:26" ht="13.8" x14ac:dyDescent="0.3">
      <c r="A1903" s="2"/>
      <c r="B1903" s="2"/>
      <c r="C1903" s="10"/>
      <c r="D1903" s="10"/>
      <c r="E1903" s="10"/>
      <c r="F1903" s="10"/>
      <c r="G1903" s="69"/>
      <c r="H1903" s="69"/>
      <c r="I1903" s="69"/>
      <c r="J1903" s="70"/>
      <c r="K1903" s="69"/>
      <c r="L1903" s="69"/>
      <c r="M1903" s="69"/>
      <c r="N1903" s="69"/>
      <c r="O1903" s="69"/>
      <c r="P1903" s="2"/>
      <c r="Q1903" s="2"/>
      <c r="R1903" s="32"/>
      <c r="S1903" s="32"/>
      <c r="T1903" s="32"/>
      <c r="U1903" s="32"/>
      <c r="V1903" s="2"/>
      <c r="W1903" s="2"/>
      <c r="X1903" s="2"/>
      <c r="Y1903" s="2"/>
      <c r="Z1903" s="2"/>
    </row>
    <row r="1904" spans="1:26" ht="13.8" x14ac:dyDescent="0.3">
      <c r="A1904" s="2"/>
      <c r="B1904" s="2"/>
      <c r="C1904" s="10"/>
      <c r="D1904" s="10"/>
      <c r="E1904" s="10"/>
      <c r="F1904" s="10"/>
      <c r="G1904" s="69"/>
      <c r="H1904" s="69"/>
      <c r="I1904" s="69"/>
      <c r="J1904" s="70"/>
      <c r="K1904" s="69"/>
      <c r="L1904" s="69"/>
      <c r="M1904" s="69"/>
      <c r="N1904" s="69"/>
      <c r="O1904" s="69"/>
      <c r="P1904" s="2"/>
      <c r="Q1904" s="2"/>
      <c r="R1904" s="32"/>
      <c r="S1904" s="32"/>
      <c r="T1904" s="32"/>
      <c r="U1904" s="32"/>
      <c r="V1904" s="2"/>
      <c r="W1904" s="2"/>
      <c r="X1904" s="2"/>
      <c r="Y1904" s="2"/>
      <c r="Z1904" s="2"/>
    </row>
    <row r="1905" spans="1:26" ht="13.8" x14ac:dyDescent="0.3">
      <c r="A1905" s="2"/>
      <c r="B1905" s="2"/>
      <c r="C1905" s="10"/>
      <c r="D1905" s="10"/>
      <c r="E1905" s="10"/>
      <c r="F1905" s="10"/>
      <c r="G1905" s="69"/>
      <c r="H1905" s="69"/>
      <c r="I1905" s="69"/>
      <c r="J1905" s="70"/>
      <c r="K1905" s="69"/>
      <c r="L1905" s="69"/>
      <c r="M1905" s="69"/>
      <c r="N1905" s="69"/>
      <c r="O1905" s="69"/>
      <c r="P1905" s="2"/>
      <c r="Q1905" s="2"/>
      <c r="R1905" s="32"/>
      <c r="S1905" s="32"/>
      <c r="T1905" s="32"/>
      <c r="U1905" s="32"/>
      <c r="V1905" s="2"/>
      <c r="W1905" s="2"/>
      <c r="X1905" s="2"/>
      <c r="Y1905" s="2"/>
      <c r="Z1905" s="2"/>
    </row>
    <row r="1906" spans="1:26" ht="13.8" x14ac:dyDescent="0.3">
      <c r="A1906" s="2"/>
      <c r="B1906" s="2"/>
      <c r="C1906" s="10"/>
      <c r="D1906" s="10"/>
      <c r="E1906" s="10"/>
      <c r="F1906" s="10"/>
      <c r="G1906" s="69"/>
      <c r="H1906" s="69"/>
      <c r="I1906" s="69"/>
      <c r="J1906" s="70"/>
      <c r="K1906" s="69"/>
      <c r="L1906" s="69"/>
      <c r="M1906" s="69"/>
      <c r="N1906" s="69"/>
      <c r="O1906" s="69"/>
      <c r="P1906" s="2"/>
      <c r="Q1906" s="2"/>
      <c r="R1906" s="32"/>
      <c r="S1906" s="32"/>
      <c r="T1906" s="32"/>
      <c r="U1906" s="32"/>
      <c r="V1906" s="2"/>
      <c r="W1906" s="2"/>
      <c r="X1906" s="2"/>
      <c r="Y1906" s="2"/>
      <c r="Z1906" s="2"/>
    </row>
    <row r="1907" spans="1:26" ht="13.8" x14ac:dyDescent="0.3">
      <c r="A1907" s="2"/>
      <c r="B1907" s="2"/>
      <c r="C1907" s="10"/>
      <c r="D1907" s="10"/>
      <c r="E1907" s="10"/>
      <c r="F1907" s="10"/>
      <c r="G1907" s="69"/>
      <c r="H1907" s="69"/>
      <c r="I1907" s="69"/>
      <c r="J1907" s="70"/>
      <c r="K1907" s="69"/>
      <c r="L1907" s="69"/>
      <c r="M1907" s="69"/>
      <c r="N1907" s="69"/>
      <c r="O1907" s="69"/>
      <c r="P1907" s="2"/>
      <c r="Q1907" s="2"/>
      <c r="R1907" s="32"/>
      <c r="S1907" s="32"/>
      <c r="T1907" s="32"/>
      <c r="U1907" s="32"/>
      <c r="V1907" s="2"/>
      <c r="W1907" s="2"/>
      <c r="X1907" s="2"/>
      <c r="Y1907" s="2"/>
      <c r="Z1907" s="2"/>
    </row>
    <row r="1908" spans="1:26" ht="13.8" x14ac:dyDescent="0.3">
      <c r="A1908" s="2"/>
      <c r="B1908" s="2"/>
      <c r="C1908" s="10"/>
      <c r="D1908" s="10"/>
      <c r="E1908" s="10"/>
      <c r="F1908" s="10"/>
      <c r="G1908" s="69"/>
      <c r="H1908" s="69"/>
      <c r="I1908" s="69"/>
      <c r="J1908" s="70"/>
      <c r="K1908" s="69"/>
      <c r="L1908" s="69"/>
      <c r="M1908" s="69"/>
      <c r="N1908" s="69"/>
      <c r="O1908" s="69"/>
      <c r="P1908" s="2"/>
      <c r="Q1908" s="2"/>
      <c r="R1908" s="32"/>
      <c r="S1908" s="32"/>
      <c r="T1908" s="32"/>
      <c r="U1908" s="32"/>
      <c r="V1908" s="2"/>
      <c r="W1908" s="2"/>
      <c r="X1908" s="2"/>
      <c r="Y1908" s="2"/>
      <c r="Z1908" s="2"/>
    </row>
    <row r="1909" spans="1:26" ht="13.8" x14ac:dyDescent="0.3">
      <c r="A1909" s="2"/>
      <c r="B1909" s="2"/>
      <c r="C1909" s="10"/>
      <c r="D1909" s="10"/>
      <c r="E1909" s="10"/>
      <c r="F1909" s="10"/>
      <c r="G1909" s="69"/>
      <c r="H1909" s="69"/>
      <c r="I1909" s="69"/>
      <c r="J1909" s="70"/>
      <c r="K1909" s="69"/>
      <c r="L1909" s="69"/>
      <c r="M1909" s="69"/>
      <c r="N1909" s="69"/>
      <c r="O1909" s="69"/>
      <c r="P1909" s="2"/>
      <c r="Q1909" s="2"/>
      <c r="R1909" s="32"/>
      <c r="S1909" s="32"/>
      <c r="T1909" s="32"/>
      <c r="U1909" s="32"/>
      <c r="V1909" s="2"/>
      <c r="W1909" s="2"/>
      <c r="X1909" s="2"/>
      <c r="Y1909" s="2"/>
      <c r="Z1909" s="2"/>
    </row>
    <row r="1910" spans="1:26" ht="13.8" x14ac:dyDescent="0.3">
      <c r="A1910" s="2"/>
      <c r="B1910" s="2"/>
      <c r="C1910" s="10"/>
      <c r="D1910" s="10"/>
      <c r="E1910" s="10"/>
      <c r="F1910" s="10"/>
      <c r="G1910" s="69"/>
      <c r="H1910" s="69"/>
      <c r="I1910" s="69"/>
      <c r="J1910" s="70"/>
      <c r="K1910" s="69"/>
      <c r="L1910" s="69"/>
      <c r="M1910" s="69"/>
      <c r="N1910" s="69"/>
      <c r="O1910" s="69"/>
      <c r="P1910" s="2"/>
      <c r="Q1910" s="2"/>
      <c r="R1910" s="32"/>
      <c r="S1910" s="32"/>
      <c r="T1910" s="32"/>
      <c r="U1910" s="32"/>
      <c r="V1910" s="2"/>
      <c r="W1910" s="2"/>
      <c r="X1910" s="2"/>
      <c r="Y1910" s="2"/>
      <c r="Z1910" s="2"/>
    </row>
    <row r="1911" spans="1:26" ht="13.8" x14ac:dyDescent="0.3">
      <c r="A1911" s="2"/>
      <c r="B1911" s="2"/>
      <c r="C1911" s="10"/>
      <c r="D1911" s="10"/>
      <c r="E1911" s="10"/>
      <c r="F1911" s="10"/>
      <c r="G1911" s="69"/>
      <c r="H1911" s="69"/>
      <c r="I1911" s="69"/>
      <c r="J1911" s="70"/>
      <c r="K1911" s="69"/>
      <c r="L1911" s="69"/>
      <c r="M1911" s="69"/>
      <c r="N1911" s="69"/>
      <c r="O1911" s="69"/>
      <c r="P1911" s="2"/>
      <c r="Q1911" s="2"/>
      <c r="R1911" s="32"/>
      <c r="S1911" s="32"/>
      <c r="T1911" s="32"/>
      <c r="U1911" s="32"/>
      <c r="V1911" s="2"/>
      <c r="W1911" s="2"/>
      <c r="X1911" s="2"/>
      <c r="Y1911" s="2"/>
      <c r="Z1911" s="2"/>
    </row>
    <row r="1912" spans="1:26" ht="13.8" x14ac:dyDescent="0.3">
      <c r="A1912" s="2"/>
      <c r="B1912" s="2"/>
      <c r="C1912" s="10"/>
      <c r="D1912" s="10"/>
      <c r="E1912" s="10"/>
      <c r="F1912" s="10"/>
      <c r="G1912" s="69"/>
      <c r="H1912" s="69"/>
      <c r="I1912" s="69"/>
      <c r="J1912" s="70"/>
      <c r="K1912" s="69"/>
      <c r="L1912" s="69"/>
      <c r="M1912" s="69"/>
      <c r="N1912" s="69"/>
      <c r="O1912" s="69"/>
      <c r="P1912" s="2"/>
      <c r="Q1912" s="2"/>
      <c r="R1912" s="32"/>
      <c r="S1912" s="32"/>
      <c r="T1912" s="32"/>
      <c r="U1912" s="32"/>
      <c r="V1912" s="2"/>
      <c r="W1912" s="2"/>
      <c r="X1912" s="2"/>
      <c r="Y1912" s="2"/>
      <c r="Z1912" s="2"/>
    </row>
    <row r="1913" spans="1:26" ht="13.8" x14ac:dyDescent="0.3">
      <c r="A1913" s="2"/>
      <c r="B1913" s="2"/>
      <c r="C1913" s="10"/>
      <c r="D1913" s="10"/>
      <c r="E1913" s="10"/>
      <c r="F1913" s="10"/>
      <c r="G1913" s="69"/>
      <c r="H1913" s="69"/>
      <c r="I1913" s="69"/>
      <c r="J1913" s="70"/>
      <c r="K1913" s="69"/>
      <c r="L1913" s="69"/>
      <c r="M1913" s="69"/>
      <c r="N1913" s="69"/>
      <c r="O1913" s="69"/>
      <c r="P1913" s="2"/>
      <c r="Q1913" s="2"/>
      <c r="R1913" s="32"/>
      <c r="S1913" s="32"/>
      <c r="T1913" s="32"/>
      <c r="U1913" s="32"/>
      <c r="V1913" s="2"/>
      <c r="W1913" s="2"/>
      <c r="X1913" s="2"/>
      <c r="Y1913" s="2"/>
      <c r="Z1913" s="2"/>
    </row>
    <row r="1914" spans="1:26" ht="13.8" x14ac:dyDescent="0.3">
      <c r="A1914" s="2"/>
      <c r="B1914" s="2"/>
      <c r="C1914" s="10"/>
      <c r="D1914" s="10"/>
      <c r="E1914" s="10"/>
      <c r="F1914" s="10"/>
      <c r="G1914" s="69"/>
      <c r="H1914" s="69"/>
      <c r="I1914" s="69"/>
      <c r="J1914" s="70"/>
      <c r="K1914" s="69"/>
      <c r="L1914" s="69"/>
      <c r="M1914" s="69"/>
      <c r="N1914" s="69"/>
      <c r="O1914" s="69"/>
      <c r="P1914" s="2"/>
      <c r="Q1914" s="2"/>
      <c r="R1914" s="32"/>
      <c r="S1914" s="32"/>
      <c r="T1914" s="32"/>
      <c r="U1914" s="32"/>
      <c r="V1914" s="2"/>
      <c r="W1914" s="2"/>
      <c r="X1914" s="2"/>
      <c r="Y1914" s="2"/>
      <c r="Z1914" s="2"/>
    </row>
    <row r="1915" spans="1:26" ht="13.8" x14ac:dyDescent="0.3">
      <c r="A1915" s="2"/>
      <c r="B1915" s="2"/>
      <c r="C1915" s="10"/>
      <c r="D1915" s="10"/>
      <c r="E1915" s="10"/>
      <c r="F1915" s="10"/>
      <c r="G1915" s="69"/>
      <c r="H1915" s="69"/>
      <c r="I1915" s="69"/>
      <c r="J1915" s="70"/>
      <c r="K1915" s="69"/>
      <c r="L1915" s="69"/>
      <c r="M1915" s="69"/>
      <c r="N1915" s="69"/>
      <c r="O1915" s="69"/>
      <c r="P1915" s="2"/>
      <c r="Q1915" s="2"/>
      <c r="R1915" s="32"/>
      <c r="S1915" s="32"/>
      <c r="T1915" s="32"/>
      <c r="U1915" s="32"/>
      <c r="V1915" s="2"/>
      <c r="W1915" s="2"/>
      <c r="X1915" s="2"/>
      <c r="Y1915" s="2"/>
      <c r="Z1915" s="2"/>
    </row>
    <row r="1916" spans="1:26" ht="13.8" x14ac:dyDescent="0.3">
      <c r="A1916" s="2"/>
      <c r="B1916" s="2"/>
      <c r="C1916" s="10"/>
      <c r="D1916" s="10"/>
      <c r="E1916" s="10"/>
      <c r="F1916" s="10"/>
      <c r="G1916" s="69"/>
      <c r="H1916" s="69"/>
      <c r="I1916" s="69"/>
      <c r="J1916" s="70"/>
      <c r="K1916" s="69"/>
      <c r="L1916" s="69"/>
      <c r="M1916" s="69"/>
      <c r="N1916" s="69"/>
      <c r="O1916" s="69"/>
      <c r="P1916" s="2"/>
      <c r="Q1916" s="2"/>
      <c r="R1916" s="32"/>
      <c r="S1916" s="32"/>
      <c r="T1916" s="32"/>
      <c r="U1916" s="32"/>
      <c r="V1916" s="2"/>
      <c r="W1916" s="2"/>
      <c r="X1916" s="2"/>
      <c r="Y1916" s="2"/>
      <c r="Z1916" s="2"/>
    </row>
    <row r="1917" spans="1:26" ht="13.8" x14ac:dyDescent="0.3">
      <c r="A1917" s="2"/>
      <c r="B1917" s="2"/>
      <c r="C1917" s="10"/>
      <c r="D1917" s="10"/>
      <c r="E1917" s="10"/>
      <c r="F1917" s="10"/>
      <c r="G1917" s="69"/>
      <c r="H1917" s="69"/>
      <c r="I1917" s="69"/>
      <c r="J1917" s="70"/>
      <c r="K1917" s="69"/>
      <c r="L1917" s="69"/>
      <c r="M1917" s="69"/>
      <c r="N1917" s="69"/>
      <c r="O1917" s="69"/>
      <c r="P1917" s="2"/>
      <c r="Q1917" s="2"/>
      <c r="R1917" s="32"/>
      <c r="S1917" s="32"/>
      <c r="T1917" s="32"/>
      <c r="U1917" s="32"/>
      <c r="V1917" s="2"/>
      <c r="W1917" s="2"/>
      <c r="X1917" s="2"/>
      <c r="Y1917" s="2"/>
      <c r="Z1917" s="2"/>
    </row>
    <row r="1918" spans="1:26" ht="13.8" x14ac:dyDescent="0.3">
      <c r="A1918" s="2"/>
      <c r="B1918" s="2"/>
      <c r="C1918" s="10"/>
      <c r="D1918" s="10"/>
      <c r="E1918" s="10"/>
      <c r="F1918" s="10"/>
      <c r="G1918" s="69"/>
      <c r="H1918" s="69"/>
      <c r="I1918" s="69"/>
      <c r="J1918" s="70"/>
      <c r="K1918" s="69"/>
      <c r="L1918" s="69"/>
      <c r="M1918" s="69"/>
      <c r="N1918" s="69"/>
      <c r="O1918" s="69"/>
      <c r="P1918" s="2"/>
      <c r="Q1918" s="2"/>
      <c r="R1918" s="32"/>
      <c r="S1918" s="32"/>
      <c r="T1918" s="32"/>
      <c r="U1918" s="32"/>
      <c r="V1918" s="2"/>
      <c r="W1918" s="2"/>
      <c r="X1918" s="2"/>
      <c r="Y1918" s="2"/>
      <c r="Z1918" s="2"/>
    </row>
    <row r="1919" spans="1:26" ht="13.8" x14ac:dyDescent="0.3">
      <c r="A1919" s="2"/>
      <c r="B1919" s="2"/>
      <c r="C1919" s="10"/>
      <c r="D1919" s="10"/>
      <c r="E1919" s="10"/>
      <c r="F1919" s="10"/>
      <c r="G1919" s="69"/>
      <c r="H1919" s="69"/>
      <c r="I1919" s="69"/>
      <c r="J1919" s="70"/>
      <c r="K1919" s="69"/>
      <c r="L1919" s="69"/>
      <c r="M1919" s="69"/>
      <c r="N1919" s="69"/>
      <c r="O1919" s="69"/>
      <c r="P1919" s="2"/>
      <c r="Q1919" s="2"/>
      <c r="R1919" s="32"/>
      <c r="S1919" s="32"/>
      <c r="T1919" s="32"/>
      <c r="U1919" s="32"/>
      <c r="V1919" s="2"/>
      <c r="W1919" s="2"/>
      <c r="X1919" s="2"/>
      <c r="Y1919" s="2"/>
      <c r="Z1919" s="2"/>
    </row>
    <row r="1920" spans="1:26" ht="13.8" x14ac:dyDescent="0.3">
      <c r="A1920" s="2"/>
      <c r="B1920" s="2"/>
      <c r="C1920" s="10"/>
      <c r="D1920" s="10"/>
      <c r="E1920" s="10"/>
      <c r="F1920" s="10"/>
      <c r="G1920" s="69"/>
      <c r="H1920" s="69"/>
      <c r="I1920" s="69"/>
      <c r="J1920" s="70"/>
      <c r="K1920" s="69"/>
      <c r="L1920" s="69"/>
      <c r="M1920" s="69"/>
      <c r="N1920" s="69"/>
      <c r="O1920" s="69"/>
      <c r="P1920" s="2"/>
      <c r="Q1920" s="2"/>
      <c r="R1920" s="32"/>
      <c r="S1920" s="32"/>
      <c r="T1920" s="32"/>
      <c r="U1920" s="32"/>
      <c r="V1920" s="2"/>
      <c r="W1920" s="2"/>
      <c r="X1920" s="2"/>
      <c r="Y1920" s="2"/>
      <c r="Z1920" s="2"/>
    </row>
    <row r="1921" spans="1:26" ht="13.8" x14ac:dyDescent="0.3">
      <c r="A1921" s="2"/>
      <c r="B1921" s="2"/>
      <c r="C1921" s="10"/>
      <c r="D1921" s="10"/>
      <c r="E1921" s="10"/>
      <c r="F1921" s="10"/>
      <c r="G1921" s="69"/>
      <c r="H1921" s="69"/>
      <c r="I1921" s="69"/>
      <c r="J1921" s="70"/>
      <c r="K1921" s="69"/>
      <c r="L1921" s="69"/>
      <c r="M1921" s="69"/>
      <c r="N1921" s="69"/>
      <c r="O1921" s="69"/>
      <c r="P1921" s="2"/>
      <c r="Q1921" s="2"/>
      <c r="R1921" s="32"/>
      <c r="S1921" s="32"/>
      <c r="T1921" s="32"/>
      <c r="U1921" s="32"/>
      <c r="V1921" s="2"/>
      <c r="W1921" s="2"/>
      <c r="X1921" s="2"/>
      <c r="Y1921" s="2"/>
      <c r="Z1921" s="2"/>
    </row>
    <row r="1922" spans="1:26" ht="13.8" x14ac:dyDescent="0.3">
      <c r="A1922" s="2"/>
      <c r="B1922" s="2"/>
      <c r="C1922" s="10"/>
      <c r="D1922" s="10"/>
      <c r="E1922" s="10"/>
      <c r="F1922" s="10"/>
      <c r="G1922" s="69"/>
      <c r="H1922" s="69"/>
      <c r="I1922" s="69"/>
      <c r="J1922" s="70"/>
      <c r="K1922" s="69"/>
      <c r="L1922" s="69"/>
      <c r="M1922" s="69"/>
      <c r="N1922" s="69"/>
      <c r="O1922" s="69"/>
      <c r="P1922" s="2"/>
      <c r="Q1922" s="2"/>
      <c r="R1922" s="32"/>
      <c r="S1922" s="32"/>
      <c r="T1922" s="32"/>
      <c r="U1922" s="32"/>
      <c r="V1922" s="2"/>
      <c r="W1922" s="2"/>
      <c r="X1922" s="2"/>
      <c r="Y1922" s="2"/>
      <c r="Z1922" s="2"/>
    </row>
    <row r="1923" spans="1:26" ht="13.8" x14ac:dyDescent="0.3">
      <c r="A1923" s="2"/>
      <c r="B1923" s="2"/>
      <c r="C1923" s="10"/>
      <c r="D1923" s="10"/>
      <c r="E1923" s="10"/>
      <c r="F1923" s="10"/>
      <c r="G1923" s="69"/>
      <c r="H1923" s="69"/>
      <c r="I1923" s="69"/>
      <c r="J1923" s="70"/>
      <c r="K1923" s="69"/>
      <c r="L1923" s="69"/>
      <c r="M1923" s="69"/>
      <c r="N1923" s="69"/>
      <c r="O1923" s="69"/>
      <c r="P1923" s="2"/>
      <c r="Q1923" s="2"/>
      <c r="R1923" s="32"/>
      <c r="S1923" s="32"/>
      <c r="T1923" s="32"/>
      <c r="U1923" s="32"/>
      <c r="V1923" s="2"/>
      <c r="W1923" s="2"/>
      <c r="X1923" s="2"/>
      <c r="Y1923" s="2"/>
      <c r="Z1923" s="2"/>
    </row>
    <row r="1924" spans="1:26" ht="13.8" x14ac:dyDescent="0.3">
      <c r="A1924" s="2"/>
      <c r="B1924" s="2"/>
      <c r="C1924" s="10"/>
      <c r="D1924" s="10"/>
      <c r="E1924" s="10"/>
      <c r="F1924" s="10"/>
      <c r="G1924" s="69"/>
      <c r="H1924" s="69"/>
      <c r="I1924" s="69"/>
      <c r="J1924" s="70"/>
      <c r="K1924" s="69"/>
      <c r="L1924" s="69"/>
      <c r="M1924" s="69"/>
      <c r="N1924" s="69"/>
      <c r="O1924" s="69"/>
      <c r="P1924" s="2"/>
      <c r="Q1924" s="2"/>
      <c r="R1924" s="32"/>
      <c r="S1924" s="32"/>
      <c r="T1924" s="32"/>
      <c r="U1924" s="32"/>
      <c r="V1924" s="2"/>
      <c r="W1924" s="2"/>
      <c r="X1924" s="2"/>
      <c r="Y1924" s="2"/>
      <c r="Z1924" s="2"/>
    </row>
    <row r="1925" spans="1:26" ht="13.8" x14ac:dyDescent="0.3">
      <c r="A1925" s="2"/>
      <c r="B1925" s="2"/>
      <c r="C1925" s="10"/>
      <c r="D1925" s="10"/>
      <c r="E1925" s="10"/>
      <c r="F1925" s="10"/>
      <c r="G1925" s="69"/>
      <c r="H1925" s="69"/>
      <c r="I1925" s="69"/>
      <c r="J1925" s="70"/>
      <c r="K1925" s="69"/>
      <c r="L1925" s="69"/>
      <c r="M1925" s="69"/>
      <c r="N1925" s="69"/>
      <c r="O1925" s="69"/>
      <c r="P1925" s="2"/>
      <c r="Q1925" s="2"/>
      <c r="R1925" s="32"/>
      <c r="S1925" s="32"/>
      <c r="T1925" s="32"/>
      <c r="U1925" s="32"/>
      <c r="V1925" s="2"/>
      <c r="W1925" s="2"/>
      <c r="X1925" s="2"/>
      <c r="Y1925" s="2"/>
      <c r="Z1925" s="2"/>
    </row>
    <row r="1926" spans="1:26" ht="13.8" x14ac:dyDescent="0.3">
      <c r="A1926" s="2"/>
      <c r="B1926" s="2"/>
      <c r="C1926" s="10"/>
      <c r="D1926" s="10"/>
      <c r="E1926" s="10"/>
      <c r="F1926" s="10"/>
      <c r="G1926" s="69"/>
      <c r="H1926" s="69"/>
      <c r="I1926" s="69"/>
      <c r="J1926" s="70"/>
      <c r="K1926" s="69"/>
      <c r="L1926" s="69"/>
      <c r="M1926" s="69"/>
      <c r="N1926" s="69"/>
      <c r="O1926" s="69"/>
      <c r="P1926" s="2"/>
      <c r="Q1926" s="2"/>
      <c r="R1926" s="32"/>
      <c r="S1926" s="32"/>
      <c r="T1926" s="32"/>
      <c r="U1926" s="32"/>
      <c r="V1926" s="2"/>
      <c r="W1926" s="2"/>
      <c r="X1926" s="2"/>
      <c r="Y1926" s="2"/>
      <c r="Z1926" s="2"/>
    </row>
    <row r="1927" spans="1:26" ht="13.8" x14ac:dyDescent="0.3">
      <c r="A1927" s="2"/>
      <c r="B1927" s="2"/>
      <c r="C1927" s="10"/>
      <c r="D1927" s="10"/>
      <c r="E1927" s="10"/>
      <c r="F1927" s="10"/>
      <c r="G1927" s="69"/>
      <c r="H1927" s="69"/>
      <c r="I1927" s="69"/>
      <c r="J1927" s="70"/>
      <c r="K1927" s="69"/>
      <c r="L1927" s="69"/>
      <c r="M1927" s="69"/>
      <c r="N1927" s="69"/>
      <c r="O1927" s="69"/>
      <c r="P1927" s="2"/>
      <c r="Q1927" s="2"/>
      <c r="R1927" s="32"/>
      <c r="S1927" s="32"/>
      <c r="T1927" s="32"/>
      <c r="U1927" s="32"/>
      <c r="V1927" s="2"/>
      <c r="W1927" s="2"/>
      <c r="X1927" s="2"/>
      <c r="Y1927" s="2"/>
      <c r="Z1927" s="2"/>
    </row>
    <row r="1928" spans="1:26" ht="13.8" x14ac:dyDescent="0.3">
      <c r="A1928" s="2"/>
      <c r="B1928" s="2"/>
      <c r="C1928" s="10"/>
      <c r="D1928" s="10"/>
      <c r="E1928" s="10"/>
      <c r="F1928" s="10"/>
      <c r="G1928" s="69"/>
      <c r="H1928" s="69"/>
      <c r="I1928" s="69"/>
      <c r="J1928" s="70"/>
      <c r="K1928" s="69"/>
      <c r="L1928" s="69"/>
      <c r="M1928" s="69"/>
      <c r="N1928" s="69"/>
      <c r="O1928" s="69"/>
      <c r="P1928" s="2"/>
      <c r="Q1928" s="2"/>
      <c r="R1928" s="32"/>
      <c r="S1928" s="32"/>
      <c r="T1928" s="32"/>
      <c r="U1928" s="32"/>
      <c r="V1928" s="2"/>
      <c r="W1928" s="2"/>
      <c r="X1928" s="2"/>
      <c r="Y1928" s="2"/>
      <c r="Z1928" s="2"/>
    </row>
    <row r="1929" spans="1:26" ht="13.8" x14ac:dyDescent="0.3">
      <c r="A1929" s="2"/>
      <c r="B1929" s="2"/>
      <c r="C1929" s="10"/>
      <c r="D1929" s="10"/>
      <c r="E1929" s="10"/>
      <c r="F1929" s="10"/>
      <c r="G1929" s="69"/>
      <c r="H1929" s="69"/>
      <c r="I1929" s="69"/>
      <c r="J1929" s="70"/>
      <c r="K1929" s="69"/>
      <c r="L1929" s="69"/>
      <c r="M1929" s="69"/>
      <c r="N1929" s="69"/>
      <c r="O1929" s="69"/>
      <c r="P1929" s="2"/>
      <c r="Q1929" s="2"/>
      <c r="R1929" s="32"/>
      <c r="S1929" s="32"/>
      <c r="T1929" s="32"/>
      <c r="U1929" s="32"/>
      <c r="V1929" s="2"/>
      <c r="W1929" s="2"/>
      <c r="X1929" s="2"/>
      <c r="Y1929" s="2"/>
      <c r="Z1929" s="2"/>
    </row>
    <row r="1930" spans="1:26" ht="13.8" x14ac:dyDescent="0.3">
      <c r="A1930" s="2"/>
      <c r="B1930" s="2"/>
      <c r="C1930" s="10"/>
      <c r="D1930" s="10"/>
      <c r="E1930" s="10"/>
      <c r="F1930" s="10"/>
      <c r="G1930" s="69"/>
      <c r="H1930" s="69"/>
      <c r="I1930" s="69"/>
      <c r="J1930" s="70"/>
      <c r="K1930" s="69"/>
      <c r="L1930" s="69"/>
      <c r="M1930" s="69"/>
      <c r="N1930" s="69"/>
      <c r="O1930" s="69"/>
      <c r="P1930" s="2"/>
      <c r="Q1930" s="2"/>
      <c r="R1930" s="32"/>
      <c r="S1930" s="32"/>
      <c r="T1930" s="32"/>
      <c r="U1930" s="32"/>
      <c r="V1930" s="2"/>
      <c r="W1930" s="2"/>
      <c r="X1930" s="2"/>
      <c r="Y1930" s="2"/>
      <c r="Z1930" s="2"/>
    </row>
    <row r="1931" spans="1:26" ht="13.8" x14ac:dyDescent="0.3">
      <c r="A1931" s="2"/>
      <c r="B1931" s="2"/>
      <c r="C1931" s="10"/>
      <c r="D1931" s="10"/>
      <c r="E1931" s="10"/>
      <c r="F1931" s="10"/>
      <c r="G1931" s="69"/>
      <c r="H1931" s="69"/>
      <c r="I1931" s="69"/>
      <c r="J1931" s="70"/>
      <c r="K1931" s="69"/>
      <c r="L1931" s="69"/>
      <c r="M1931" s="69"/>
      <c r="N1931" s="69"/>
      <c r="O1931" s="69"/>
      <c r="P1931" s="2"/>
      <c r="Q1931" s="2"/>
      <c r="R1931" s="32"/>
      <c r="S1931" s="32"/>
      <c r="T1931" s="32"/>
      <c r="U1931" s="32"/>
      <c r="V1931" s="2"/>
      <c r="W1931" s="2"/>
      <c r="X1931" s="2"/>
      <c r="Y1931" s="2"/>
      <c r="Z1931" s="2"/>
    </row>
    <row r="1932" spans="1:26" ht="13.8" x14ac:dyDescent="0.3">
      <c r="A1932" s="2"/>
      <c r="B1932" s="2"/>
      <c r="C1932" s="10"/>
      <c r="D1932" s="10"/>
      <c r="E1932" s="10"/>
      <c r="F1932" s="10"/>
      <c r="G1932" s="69"/>
      <c r="H1932" s="69"/>
      <c r="I1932" s="69"/>
      <c r="J1932" s="70"/>
      <c r="K1932" s="69"/>
      <c r="L1932" s="69"/>
      <c r="M1932" s="69"/>
      <c r="N1932" s="69"/>
      <c r="O1932" s="69"/>
      <c r="P1932" s="2"/>
      <c r="Q1932" s="2"/>
      <c r="R1932" s="32"/>
      <c r="S1932" s="32"/>
      <c r="T1932" s="32"/>
      <c r="U1932" s="32"/>
      <c r="V1932" s="2"/>
      <c r="W1932" s="2"/>
      <c r="X1932" s="2"/>
      <c r="Y1932" s="2"/>
      <c r="Z1932" s="2"/>
    </row>
    <row r="1933" spans="1:26" ht="13.8" x14ac:dyDescent="0.3">
      <c r="A1933" s="2"/>
      <c r="B1933" s="2"/>
      <c r="C1933" s="10"/>
      <c r="D1933" s="10"/>
      <c r="E1933" s="10"/>
      <c r="F1933" s="10"/>
      <c r="G1933" s="69"/>
      <c r="H1933" s="69"/>
      <c r="I1933" s="69"/>
      <c r="J1933" s="70"/>
      <c r="K1933" s="69"/>
      <c r="L1933" s="69"/>
      <c r="M1933" s="69"/>
      <c r="N1933" s="69"/>
      <c r="O1933" s="69"/>
      <c r="P1933" s="2"/>
      <c r="Q1933" s="2"/>
      <c r="R1933" s="32"/>
      <c r="S1933" s="32"/>
      <c r="T1933" s="32"/>
      <c r="U1933" s="32"/>
      <c r="V1933" s="2"/>
      <c r="W1933" s="2"/>
      <c r="X1933" s="2"/>
      <c r="Y1933" s="2"/>
      <c r="Z1933" s="2"/>
    </row>
    <row r="1934" spans="1:26" ht="13.8" x14ac:dyDescent="0.3">
      <c r="A1934" s="2"/>
      <c r="B1934" s="2"/>
      <c r="C1934" s="10"/>
      <c r="D1934" s="10"/>
      <c r="E1934" s="10"/>
      <c r="F1934" s="10"/>
      <c r="G1934" s="69"/>
      <c r="H1934" s="69"/>
      <c r="I1934" s="69"/>
      <c r="J1934" s="70"/>
      <c r="K1934" s="69"/>
      <c r="L1934" s="69"/>
      <c r="M1934" s="69"/>
      <c r="N1934" s="69"/>
      <c r="O1934" s="69"/>
      <c r="P1934" s="2"/>
      <c r="Q1934" s="2"/>
      <c r="R1934" s="32"/>
      <c r="S1934" s="32"/>
      <c r="T1934" s="32"/>
      <c r="U1934" s="32"/>
      <c r="V1934" s="2"/>
      <c r="W1934" s="2"/>
      <c r="X1934" s="2"/>
      <c r="Y1934" s="2"/>
      <c r="Z1934" s="2"/>
    </row>
    <row r="1935" spans="1:26" ht="13.8" x14ac:dyDescent="0.3">
      <c r="A1935" s="2"/>
      <c r="B1935" s="2"/>
      <c r="C1935" s="10"/>
      <c r="D1935" s="10"/>
      <c r="E1935" s="10"/>
      <c r="F1935" s="10"/>
      <c r="G1935" s="69"/>
      <c r="H1935" s="69"/>
      <c r="I1935" s="69"/>
      <c r="J1935" s="70"/>
      <c r="K1935" s="69"/>
      <c r="L1935" s="69"/>
      <c r="M1935" s="69"/>
      <c r="N1935" s="69"/>
      <c r="O1935" s="69"/>
      <c r="P1935" s="2"/>
      <c r="Q1935" s="2"/>
      <c r="R1935" s="32"/>
      <c r="S1935" s="32"/>
      <c r="T1935" s="32"/>
      <c r="U1935" s="32"/>
      <c r="V1935" s="2"/>
      <c r="W1935" s="2"/>
      <c r="X1935" s="2"/>
      <c r="Y1935" s="2"/>
      <c r="Z1935" s="2"/>
    </row>
    <row r="1936" spans="1:26" ht="13.8" x14ac:dyDescent="0.3">
      <c r="A1936" s="2"/>
      <c r="B1936" s="2"/>
      <c r="C1936" s="10"/>
      <c r="D1936" s="10"/>
      <c r="E1936" s="10"/>
      <c r="F1936" s="10"/>
      <c r="G1936" s="69"/>
      <c r="H1936" s="69"/>
      <c r="I1936" s="69"/>
      <c r="J1936" s="70"/>
      <c r="K1936" s="69"/>
      <c r="L1936" s="69"/>
      <c r="M1936" s="69"/>
      <c r="N1936" s="69"/>
      <c r="O1936" s="69"/>
      <c r="P1936" s="2"/>
      <c r="Q1936" s="2"/>
      <c r="R1936" s="32"/>
      <c r="S1936" s="32"/>
      <c r="T1936" s="32"/>
      <c r="U1936" s="32"/>
      <c r="V1936" s="2"/>
      <c r="W1936" s="2"/>
      <c r="X1936" s="2"/>
      <c r="Y1936" s="2"/>
      <c r="Z1936" s="2"/>
    </row>
    <row r="1937" spans="1:26" ht="13.8" x14ac:dyDescent="0.3">
      <c r="A1937" s="2"/>
      <c r="B1937" s="2"/>
      <c r="C1937" s="10"/>
      <c r="D1937" s="10"/>
      <c r="E1937" s="10"/>
      <c r="F1937" s="10"/>
      <c r="G1937" s="69"/>
      <c r="H1937" s="69"/>
      <c r="I1937" s="69"/>
      <c r="J1937" s="70"/>
      <c r="K1937" s="69"/>
      <c r="L1937" s="69"/>
      <c r="M1937" s="69"/>
      <c r="N1937" s="69"/>
      <c r="O1937" s="69"/>
      <c r="P1937" s="2"/>
      <c r="Q1937" s="2"/>
      <c r="R1937" s="32"/>
      <c r="S1937" s="32"/>
      <c r="T1937" s="32"/>
      <c r="U1937" s="32"/>
      <c r="V1937" s="2"/>
      <c r="W1937" s="2"/>
      <c r="X1937" s="2"/>
      <c r="Y1937" s="2"/>
      <c r="Z1937" s="2"/>
    </row>
    <row r="1938" spans="1:26" ht="13.8" x14ac:dyDescent="0.3">
      <c r="A1938" s="2"/>
      <c r="B1938" s="2"/>
      <c r="C1938" s="10"/>
      <c r="D1938" s="10"/>
      <c r="E1938" s="10"/>
      <c r="F1938" s="10"/>
      <c r="G1938" s="69"/>
      <c r="H1938" s="69"/>
      <c r="I1938" s="69"/>
      <c r="J1938" s="70"/>
      <c r="K1938" s="69"/>
      <c r="L1938" s="69"/>
      <c r="M1938" s="69"/>
      <c r="N1938" s="69"/>
      <c r="O1938" s="69"/>
      <c r="P1938" s="2"/>
      <c r="Q1938" s="2"/>
      <c r="R1938" s="32"/>
      <c r="S1938" s="32"/>
      <c r="T1938" s="32"/>
      <c r="U1938" s="32"/>
      <c r="V1938" s="2"/>
      <c r="W1938" s="2"/>
      <c r="X1938" s="2"/>
      <c r="Y1938" s="2"/>
      <c r="Z1938" s="2"/>
    </row>
    <row r="1939" spans="1:26" ht="13.8" x14ac:dyDescent="0.3">
      <c r="A1939" s="2"/>
      <c r="B1939" s="2"/>
      <c r="C1939" s="10"/>
      <c r="D1939" s="10"/>
      <c r="E1939" s="10"/>
      <c r="F1939" s="10"/>
      <c r="G1939" s="69"/>
      <c r="H1939" s="69"/>
      <c r="I1939" s="69"/>
      <c r="J1939" s="70"/>
      <c r="K1939" s="69"/>
      <c r="L1939" s="69"/>
      <c r="M1939" s="69"/>
      <c r="N1939" s="69"/>
      <c r="O1939" s="69"/>
      <c r="P1939" s="2"/>
      <c r="Q1939" s="2"/>
      <c r="R1939" s="32"/>
      <c r="S1939" s="32"/>
      <c r="T1939" s="32"/>
      <c r="U1939" s="32"/>
      <c r="V1939" s="2"/>
      <c r="W1939" s="2"/>
      <c r="X1939" s="2"/>
      <c r="Y1939" s="2"/>
      <c r="Z1939" s="2"/>
    </row>
    <row r="1940" spans="1:26" ht="13.8" x14ac:dyDescent="0.3">
      <c r="A1940" s="2"/>
      <c r="B1940" s="2"/>
      <c r="C1940" s="10"/>
      <c r="D1940" s="10"/>
      <c r="E1940" s="10"/>
      <c r="F1940" s="10"/>
      <c r="G1940" s="69"/>
      <c r="H1940" s="69"/>
      <c r="I1940" s="69"/>
      <c r="J1940" s="70"/>
      <c r="K1940" s="69"/>
      <c r="L1940" s="69"/>
      <c r="M1940" s="69"/>
      <c r="N1940" s="69"/>
      <c r="O1940" s="69"/>
      <c r="P1940" s="2"/>
      <c r="Q1940" s="2"/>
      <c r="R1940" s="32"/>
      <c r="S1940" s="32"/>
      <c r="T1940" s="32"/>
      <c r="U1940" s="32"/>
      <c r="V1940" s="2"/>
      <c r="W1940" s="2"/>
      <c r="X1940" s="2"/>
      <c r="Y1940" s="2"/>
      <c r="Z1940" s="2"/>
    </row>
    <row r="1941" spans="1:26" ht="13.8" x14ac:dyDescent="0.3">
      <c r="A1941" s="2"/>
      <c r="B1941" s="2"/>
      <c r="C1941" s="10"/>
      <c r="D1941" s="10"/>
      <c r="E1941" s="10"/>
      <c r="F1941" s="10"/>
      <c r="G1941" s="69"/>
      <c r="H1941" s="69"/>
      <c r="I1941" s="69"/>
      <c r="J1941" s="70"/>
      <c r="K1941" s="69"/>
      <c r="L1941" s="69"/>
      <c r="M1941" s="69"/>
      <c r="N1941" s="69"/>
      <c r="O1941" s="69"/>
      <c r="P1941" s="2"/>
      <c r="Q1941" s="2"/>
      <c r="R1941" s="32"/>
      <c r="S1941" s="32"/>
      <c r="T1941" s="32"/>
      <c r="U1941" s="32"/>
      <c r="V1941" s="2"/>
      <c r="W1941" s="2"/>
      <c r="X1941" s="2"/>
      <c r="Y1941" s="2"/>
      <c r="Z1941" s="2"/>
    </row>
    <row r="1942" spans="1:26" ht="13.8" x14ac:dyDescent="0.3">
      <c r="A1942" s="2"/>
      <c r="B1942" s="2"/>
      <c r="C1942" s="10"/>
      <c r="D1942" s="10"/>
      <c r="E1942" s="10"/>
      <c r="F1942" s="10"/>
      <c r="G1942" s="69"/>
      <c r="H1942" s="69"/>
      <c r="I1942" s="69"/>
      <c r="J1942" s="70"/>
      <c r="K1942" s="69"/>
      <c r="L1942" s="69"/>
      <c r="M1942" s="69"/>
      <c r="N1942" s="69"/>
      <c r="O1942" s="69"/>
      <c r="P1942" s="2"/>
      <c r="Q1942" s="2"/>
      <c r="R1942" s="32"/>
      <c r="S1942" s="32"/>
      <c r="T1942" s="32"/>
      <c r="U1942" s="32"/>
      <c r="V1942" s="2"/>
      <c r="W1942" s="2"/>
      <c r="X1942" s="2"/>
      <c r="Y1942" s="2"/>
      <c r="Z1942" s="2"/>
    </row>
    <row r="1943" spans="1:26" ht="13.8" x14ac:dyDescent="0.3">
      <c r="A1943" s="2"/>
      <c r="B1943" s="2"/>
      <c r="C1943" s="10"/>
      <c r="D1943" s="10"/>
      <c r="E1943" s="10"/>
      <c r="F1943" s="10"/>
      <c r="G1943" s="69"/>
      <c r="H1943" s="69"/>
      <c r="I1943" s="69"/>
      <c r="J1943" s="70"/>
      <c r="K1943" s="69"/>
      <c r="L1943" s="69"/>
      <c r="M1943" s="69"/>
      <c r="N1943" s="69"/>
      <c r="O1943" s="69"/>
      <c r="P1943" s="2"/>
      <c r="Q1943" s="2"/>
      <c r="R1943" s="32"/>
      <c r="S1943" s="32"/>
      <c r="T1943" s="32"/>
      <c r="U1943" s="32"/>
      <c r="V1943" s="2"/>
      <c r="W1943" s="2"/>
      <c r="X1943" s="2"/>
      <c r="Y1943" s="2"/>
      <c r="Z1943" s="2"/>
    </row>
    <row r="1944" spans="1:26" ht="13.8" x14ac:dyDescent="0.3">
      <c r="A1944" s="2"/>
      <c r="B1944" s="2"/>
      <c r="C1944" s="10"/>
      <c r="D1944" s="10"/>
      <c r="E1944" s="10"/>
      <c r="F1944" s="10"/>
      <c r="G1944" s="69"/>
      <c r="H1944" s="69"/>
      <c r="I1944" s="69"/>
      <c r="J1944" s="70"/>
      <c r="K1944" s="69"/>
      <c r="L1944" s="69"/>
      <c r="M1944" s="69"/>
      <c r="N1944" s="69"/>
      <c r="O1944" s="69"/>
      <c r="P1944" s="2"/>
      <c r="Q1944" s="2"/>
      <c r="R1944" s="32"/>
      <c r="S1944" s="32"/>
      <c r="T1944" s="32"/>
      <c r="U1944" s="32"/>
      <c r="V1944" s="2"/>
      <c r="W1944" s="2"/>
      <c r="X1944" s="2"/>
      <c r="Y1944" s="2"/>
      <c r="Z1944" s="2"/>
    </row>
    <row r="1945" spans="1:26" ht="13.8" x14ac:dyDescent="0.3">
      <c r="A1945" s="2"/>
      <c r="B1945" s="2"/>
      <c r="C1945" s="10"/>
      <c r="D1945" s="10"/>
      <c r="E1945" s="10"/>
      <c r="F1945" s="10"/>
      <c r="G1945" s="69"/>
      <c r="H1945" s="69"/>
      <c r="I1945" s="69"/>
      <c r="J1945" s="70"/>
      <c r="K1945" s="69"/>
      <c r="L1945" s="69"/>
      <c r="M1945" s="69"/>
      <c r="N1945" s="69"/>
      <c r="O1945" s="69"/>
      <c r="P1945" s="2"/>
      <c r="Q1945" s="2"/>
      <c r="R1945" s="32"/>
      <c r="S1945" s="32"/>
      <c r="T1945" s="32"/>
      <c r="U1945" s="32"/>
      <c r="V1945" s="2"/>
      <c r="W1945" s="2"/>
      <c r="X1945" s="2"/>
      <c r="Y1945" s="2"/>
      <c r="Z1945" s="2"/>
    </row>
    <row r="1946" spans="1:26" ht="13.8" x14ac:dyDescent="0.3">
      <c r="A1946" s="2"/>
      <c r="B1946" s="2"/>
      <c r="C1946" s="10"/>
      <c r="D1946" s="10"/>
      <c r="E1946" s="10"/>
      <c r="F1946" s="10"/>
      <c r="G1946" s="69"/>
      <c r="H1946" s="69"/>
      <c r="I1946" s="69"/>
      <c r="J1946" s="70"/>
      <c r="K1946" s="69"/>
      <c r="L1946" s="69"/>
      <c r="M1946" s="69"/>
      <c r="N1946" s="69"/>
      <c r="O1946" s="69"/>
      <c r="P1946" s="2"/>
      <c r="Q1946" s="2"/>
      <c r="R1946" s="32"/>
      <c r="S1946" s="32"/>
      <c r="T1946" s="32"/>
      <c r="U1946" s="32"/>
      <c r="V1946" s="2"/>
      <c r="W1946" s="2"/>
      <c r="X1946" s="2"/>
      <c r="Y1946" s="2"/>
      <c r="Z1946" s="2"/>
    </row>
    <row r="1947" spans="1:26" ht="13.8" x14ac:dyDescent="0.3">
      <c r="A1947" s="2"/>
      <c r="B1947" s="2"/>
      <c r="C1947" s="10"/>
      <c r="D1947" s="10"/>
      <c r="E1947" s="10"/>
      <c r="F1947" s="10"/>
      <c r="G1947" s="69"/>
      <c r="H1947" s="69"/>
      <c r="I1947" s="69"/>
      <c r="J1947" s="70"/>
      <c r="K1947" s="69"/>
      <c r="L1947" s="69"/>
      <c r="M1947" s="69"/>
      <c r="N1947" s="69"/>
      <c r="O1947" s="69"/>
      <c r="P1947" s="2"/>
      <c r="Q1947" s="2"/>
      <c r="R1947" s="32"/>
      <c r="S1947" s="32"/>
      <c r="T1947" s="32"/>
      <c r="U1947" s="32"/>
      <c r="V1947" s="2"/>
      <c r="W1947" s="2"/>
      <c r="X1947" s="2"/>
      <c r="Y1947" s="2"/>
      <c r="Z1947" s="2"/>
    </row>
    <row r="1948" spans="1:26" ht="13.8" x14ac:dyDescent="0.3">
      <c r="A1948" s="2"/>
      <c r="B1948" s="2"/>
      <c r="C1948" s="10"/>
      <c r="D1948" s="10"/>
      <c r="E1948" s="10"/>
      <c r="F1948" s="10"/>
      <c r="G1948" s="69"/>
      <c r="H1948" s="69"/>
      <c r="I1948" s="69"/>
      <c r="J1948" s="70"/>
      <c r="K1948" s="69"/>
      <c r="L1948" s="69"/>
      <c r="M1948" s="69"/>
      <c r="N1948" s="69"/>
      <c r="O1948" s="69"/>
      <c r="P1948" s="2"/>
      <c r="Q1948" s="2"/>
      <c r="R1948" s="32"/>
      <c r="S1948" s="32"/>
      <c r="T1948" s="32"/>
      <c r="U1948" s="32"/>
      <c r="V1948" s="2"/>
      <c r="W1948" s="2"/>
      <c r="X1948" s="2"/>
      <c r="Y1948" s="2"/>
      <c r="Z1948" s="2"/>
    </row>
    <row r="1949" spans="1:26" ht="13.8" x14ac:dyDescent="0.3">
      <c r="A1949" s="2"/>
      <c r="B1949" s="2"/>
      <c r="C1949" s="10"/>
      <c r="D1949" s="10"/>
      <c r="E1949" s="10"/>
      <c r="F1949" s="10"/>
      <c r="G1949" s="69"/>
      <c r="H1949" s="69"/>
      <c r="I1949" s="69"/>
      <c r="J1949" s="70"/>
      <c r="K1949" s="69"/>
      <c r="L1949" s="69"/>
      <c r="M1949" s="69"/>
      <c r="N1949" s="69"/>
      <c r="O1949" s="69"/>
      <c r="P1949" s="2"/>
      <c r="Q1949" s="2"/>
      <c r="R1949" s="32"/>
      <c r="S1949" s="32"/>
      <c r="T1949" s="32"/>
      <c r="U1949" s="32"/>
      <c r="V1949" s="2"/>
      <c r="W1949" s="2"/>
      <c r="X1949" s="2"/>
      <c r="Y1949" s="2"/>
      <c r="Z1949" s="2"/>
    </row>
    <row r="1950" spans="1:26" ht="13.8" x14ac:dyDescent="0.3">
      <c r="A1950" s="2"/>
      <c r="B1950" s="2"/>
      <c r="C1950" s="10"/>
      <c r="D1950" s="10"/>
      <c r="E1950" s="10"/>
      <c r="F1950" s="10"/>
      <c r="G1950" s="69"/>
      <c r="H1950" s="69"/>
      <c r="I1950" s="69"/>
      <c r="J1950" s="70"/>
      <c r="K1950" s="69"/>
      <c r="L1950" s="69"/>
      <c r="M1950" s="69"/>
      <c r="N1950" s="69"/>
      <c r="O1950" s="69"/>
      <c r="P1950" s="2"/>
      <c r="Q1950" s="2"/>
      <c r="R1950" s="32"/>
      <c r="S1950" s="32"/>
      <c r="T1950" s="32"/>
      <c r="U1950" s="32"/>
      <c r="V1950" s="2"/>
      <c r="W1950" s="2"/>
      <c r="X1950" s="2"/>
      <c r="Y1950" s="2"/>
      <c r="Z1950" s="2"/>
    </row>
    <row r="1951" spans="1:26" ht="13.8" x14ac:dyDescent="0.3">
      <c r="A1951" s="2"/>
      <c r="B1951" s="2"/>
      <c r="C1951" s="10"/>
      <c r="D1951" s="10"/>
      <c r="E1951" s="10"/>
      <c r="F1951" s="10"/>
      <c r="G1951" s="69"/>
      <c r="H1951" s="69"/>
      <c r="I1951" s="69"/>
      <c r="J1951" s="70"/>
      <c r="K1951" s="69"/>
      <c r="L1951" s="69"/>
      <c r="M1951" s="69"/>
      <c r="N1951" s="69"/>
      <c r="O1951" s="69"/>
      <c r="P1951" s="2"/>
      <c r="Q1951" s="2"/>
      <c r="R1951" s="32"/>
      <c r="S1951" s="32"/>
      <c r="T1951" s="32"/>
      <c r="U1951" s="32"/>
      <c r="V1951" s="2"/>
      <c r="W1951" s="2"/>
      <c r="X1951" s="2"/>
      <c r="Y1951" s="2"/>
      <c r="Z1951" s="2"/>
    </row>
    <row r="1952" spans="1:26" ht="13.8" x14ac:dyDescent="0.3">
      <c r="A1952" s="2"/>
      <c r="B1952" s="2"/>
      <c r="C1952" s="10"/>
      <c r="D1952" s="10"/>
      <c r="E1952" s="10"/>
      <c r="F1952" s="10"/>
      <c r="G1952" s="69"/>
      <c r="H1952" s="69"/>
      <c r="I1952" s="69"/>
      <c r="J1952" s="70"/>
      <c r="K1952" s="69"/>
      <c r="L1952" s="69"/>
      <c r="M1952" s="69"/>
      <c r="N1952" s="69"/>
      <c r="O1952" s="69"/>
      <c r="P1952" s="2"/>
      <c r="Q1952" s="2"/>
      <c r="R1952" s="32"/>
      <c r="S1952" s="32"/>
      <c r="T1952" s="32"/>
      <c r="U1952" s="32"/>
      <c r="V1952" s="2"/>
      <c r="W1952" s="2"/>
      <c r="X1952" s="2"/>
      <c r="Y1952" s="2"/>
      <c r="Z1952" s="2"/>
    </row>
    <row r="1953" spans="1:26" ht="13.8" x14ac:dyDescent="0.3">
      <c r="A1953" s="2"/>
      <c r="B1953" s="2"/>
      <c r="C1953" s="10"/>
      <c r="D1953" s="10"/>
      <c r="E1953" s="10"/>
      <c r="F1953" s="10"/>
      <c r="G1953" s="69"/>
      <c r="H1953" s="69"/>
      <c r="I1953" s="69"/>
      <c r="J1953" s="70"/>
      <c r="K1953" s="69"/>
      <c r="L1953" s="69"/>
      <c r="M1953" s="69"/>
      <c r="N1953" s="69"/>
      <c r="O1953" s="69"/>
      <c r="P1953" s="2"/>
      <c r="Q1953" s="2"/>
      <c r="R1953" s="32"/>
      <c r="S1953" s="32"/>
      <c r="T1953" s="32"/>
      <c r="U1953" s="32"/>
      <c r="V1953" s="2"/>
      <c r="W1953" s="2"/>
      <c r="X1953" s="2"/>
      <c r="Y1953" s="2"/>
      <c r="Z1953" s="2"/>
    </row>
    <row r="1954" spans="1:26" ht="13.8" x14ac:dyDescent="0.3">
      <c r="A1954" s="2"/>
      <c r="B1954" s="2"/>
      <c r="C1954" s="10"/>
      <c r="D1954" s="10"/>
      <c r="E1954" s="10"/>
      <c r="F1954" s="10"/>
      <c r="G1954" s="69"/>
      <c r="H1954" s="69"/>
      <c r="I1954" s="69"/>
      <c r="J1954" s="70"/>
      <c r="K1954" s="69"/>
      <c r="L1954" s="69"/>
      <c r="M1954" s="69"/>
      <c r="N1954" s="69"/>
      <c r="O1954" s="69"/>
      <c r="P1954" s="2"/>
      <c r="Q1954" s="2"/>
      <c r="R1954" s="32"/>
      <c r="S1954" s="32"/>
      <c r="T1954" s="32"/>
      <c r="U1954" s="32"/>
      <c r="V1954" s="2"/>
      <c r="W1954" s="2"/>
      <c r="X1954" s="2"/>
      <c r="Y1954" s="2"/>
      <c r="Z1954" s="2"/>
    </row>
    <row r="1955" spans="1:26" ht="13.8" x14ac:dyDescent="0.3">
      <c r="A1955" s="2"/>
      <c r="B1955" s="2"/>
      <c r="C1955" s="10"/>
      <c r="D1955" s="10"/>
      <c r="E1955" s="10"/>
      <c r="F1955" s="10"/>
      <c r="G1955" s="69"/>
      <c r="H1955" s="69"/>
      <c r="I1955" s="69"/>
      <c r="J1955" s="70"/>
      <c r="K1955" s="69"/>
      <c r="L1955" s="69"/>
      <c r="M1955" s="69"/>
      <c r="N1955" s="69"/>
      <c r="O1955" s="69"/>
      <c r="P1955" s="2"/>
      <c r="Q1955" s="2"/>
      <c r="R1955" s="32"/>
      <c r="S1955" s="32"/>
      <c r="T1955" s="32"/>
      <c r="U1955" s="32"/>
      <c r="V1955" s="2"/>
      <c r="W1955" s="2"/>
      <c r="X1955" s="2"/>
      <c r="Y1955" s="2"/>
      <c r="Z1955" s="2"/>
    </row>
    <row r="1956" spans="1:26" ht="13.8" x14ac:dyDescent="0.3">
      <c r="A1956" s="2"/>
      <c r="B1956" s="2"/>
      <c r="C1956" s="10"/>
      <c r="D1956" s="10"/>
      <c r="E1956" s="10"/>
      <c r="F1956" s="10"/>
      <c r="G1956" s="69"/>
      <c r="H1956" s="69"/>
      <c r="I1956" s="69"/>
      <c r="J1956" s="70"/>
      <c r="K1956" s="69"/>
      <c r="L1956" s="69"/>
      <c r="M1956" s="69"/>
      <c r="N1956" s="69"/>
      <c r="O1956" s="69"/>
      <c r="P1956" s="2"/>
      <c r="Q1956" s="2"/>
      <c r="R1956" s="32"/>
      <c r="S1956" s="32"/>
      <c r="T1956" s="32"/>
      <c r="U1956" s="32"/>
      <c r="V1956" s="2"/>
      <c r="W1956" s="2"/>
      <c r="X1956" s="2"/>
      <c r="Y1956" s="2"/>
      <c r="Z1956" s="2"/>
    </row>
    <row r="1957" spans="1:26" ht="13.8" x14ac:dyDescent="0.3">
      <c r="A1957" s="2"/>
      <c r="B1957" s="2"/>
      <c r="C1957" s="10"/>
      <c r="D1957" s="10"/>
      <c r="E1957" s="10"/>
      <c r="F1957" s="10"/>
      <c r="G1957" s="69"/>
      <c r="H1957" s="69"/>
      <c r="I1957" s="69"/>
      <c r="J1957" s="70"/>
      <c r="K1957" s="69"/>
      <c r="L1957" s="69"/>
      <c r="M1957" s="69"/>
      <c r="N1957" s="69"/>
      <c r="O1957" s="69"/>
      <c r="P1957" s="2"/>
      <c r="Q1957" s="2"/>
      <c r="R1957" s="32"/>
      <c r="S1957" s="32"/>
      <c r="T1957" s="32"/>
      <c r="U1957" s="32"/>
      <c r="V1957" s="2"/>
      <c r="W1957" s="2"/>
      <c r="X1957" s="2"/>
      <c r="Y1957" s="2"/>
      <c r="Z1957" s="2"/>
    </row>
    <row r="1958" spans="1:26" ht="13.8" x14ac:dyDescent="0.3">
      <c r="A1958" s="2"/>
      <c r="B1958" s="2"/>
      <c r="C1958" s="10"/>
      <c r="D1958" s="10"/>
      <c r="E1958" s="10"/>
      <c r="F1958" s="10"/>
      <c r="G1958" s="69"/>
      <c r="H1958" s="69"/>
      <c r="I1958" s="69"/>
      <c r="J1958" s="70"/>
      <c r="K1958" s="69"/>
      <c r="L1958" s="69"/>
      <c r="M1958" s="69"/>
      <c r="N1958" s="69"/>
      <c r="O1958" s="69"/>
      <c r="P1958" s="2"/>
      <c r="Q1958" s="2"/>
      <c r="R1958" s="32"/>
      <c r="S1958" s="32"/>
      <c r="T1958" s="32"/>
      <c r="U1958" s="32"/>
      <c r="V1958" s="2"/>
      <c r="W1958" s="2"/>
      <c r="X1958" s="2"/>
      <c r="Y1958" s="2"/>
      <c r="Z1958" s="2"/>
    </row>
    <row r="1959" spans="1:26" ht="13.8" x14ac:dyDescent="0.3">
      <c r="A1959" s="2"/>
      <c r="B1959" s="2"/>
      <c r="C1959" s="10"/>
      <c r="D1959" s="10"/>
      <c r="E1959" s="10"/>
      <c r="F1959" s="10"/>
      <c r="G1959" s="69"/>
      <c r="H1959" s="69"/>
      <c r="I1959" s="69"/>
      <c r="J1959" s="70"/>
      <c r="K1959" s="69"/>
      <c r="L1959" s="69"/>
      <c r="M1959" s="69"/>
      <c r="N1959" s="69"/>
      <c r="O1959" s="69"/>
      <c r="P1959" s="2"/>
      <c r="Q1959" s="2"/>
      <c r="R1959" s="32"/>
      <c r="S1959" s="32"/>
      <c r="T1959" s="32"/>
      <c r="U1959" s="32"/>
      <c r="V1959" s="2"/>
      <c r="W1959" s="2"/>
      <c r="X1959" s="2"/>
      <c r="Y1959" s="2"/>
      <c r="Z1959" s="2"/>
    </row>
    <row r="1960" spans="1:26" ht="13.8" x14ac:dyDescent="0.3">
      <c r="A1960" s="2"/>
      <c r="B1960" s="2"/>
      <c r="C1960" s="10"/>
      <c r="D1960" s="10"/>
      <c r="E1960" s="10"/>
      <c r="F1960" s="10"/>
      <c r="G1960" s="69"/>
      <c r="H1960" s="69"/>
      <c r="I1960" s="69"/>
      <c r="J1960" s="70"/>
      <c r="K1960" s="69"/>
      <c r="L1960" s="69"/>
      <c r="M1960" s="69"/>
      <c r="N1960" s="69"/>
      <c r="O1960" s="69"/>
      <c r="P1960" s="2"/>
      <c r="Q1960" s="2"/>
      <c r="R1960" s="32"/>
      <c r="S1960" s="32"/>
      <c r="T1960" s="32"/>
      <c r="U1960" s="32"/>
      <c r="V1960" s="2"/>
      <c r="W1960" s="2"/>
      <c r="X1960" s="2"/>
      <c r="Y1960" s="2"/>
      <c r="Z1960" s="2"/>
    </row>
    <row r="1961" spans="1:26" ht="13.8" x14ac:dyDescent="0.3">
      <c r="A1961" s="2"/>
      <c r="B1961" s="2"/>
      <c r="C1961" s="10"/>
      <c r="D1961" s="10"/>
      <c r="E1961" s="10"/>
      <c r="F1961" s="10"/>
      <c r="G1961" s="69"/>
      <c r="H1961" s="69"/>
      <c r="I1961" s="69"/>
      <c r="J1961" s="70"/>
      <c r="K1961" s="69"/>
      <c r="L1961" s="69"/>
      <c r="M1961" s="69"/>
      <c r="N1961" s="69"/>
      <c r="O1961" s="69"/>
      <c r="P1961" s="2"/>
      <c r="Q1961" s="2"/>
      <c r="R1961" s="32"/>
      <c r="S1961" s="32"/>
      <c r="T1961" s="32"/>
      <c r="U1961" s="32"/>
      <c r="V1961" s="2"/>
      <c r="W1961" s="2"/>
      <c r="X1961" s="2"/>
      <c r="Y1961" s="2"/>
      <c r="Z1961" s="2"/>
    </row>
    <row r="1962" spans="1:26" ht="13.8" x14ac:dyDescent="0.3">
      <c r="A1962" s="2"/>
      <c r="B1962" s="2"/>
      <c r="C1962" s="10"/>
      <c r="D1962" s="10"/>
      <c r="E1962" s="10"/>
      <c r="F1962" s="10"/>
      <c r="G1962" s="69"/>
      <c r="H1962" s="69"/>
      <c r="I1962" s="69"/>
      <c r="J1962" s="70"/>
      <c r="K1962" s="69"/>
      <c r="L1962" s="69"/>
      <c r="M1962" s="69"/>
      <c r="N1962" s="69"/>
      <c r="O1962" s="69"/>
      <c r="P1962" s="2"/>
      <c r="Q1962" s="2"/>
      <c r="R1962" s="32"/>
      <c r="S1962" s="32"/>
      <c r="T1962" s="32"/>
      <c r="U1962" s="32"/>
      <c r="V1962" s="2"/>
      <c r="W1962" s="2"/>
      <c r="X1962" s="2"/>
      <c r="Y1962" s="2"/>
      <c r="Z1962" s="2"/>
    </row>
    <row r="1963" spans="1:26" ht="13.8" x14ac:dyDescent="0.3">
      <c r="A1963" s="2"/>
      <c r="B1963" s="2"/>
      <c r="C1963" s="10"/>
      <c r="D1963" s="10"/>
      <c r="E1963" s="10"/>
      <c r="F1963" s="10"/>
      <c r="G1963" s="69"/>
      <c r="H1963" s="69"/>
      <c r="I1963" s="69"/>
      <c r="J1963" s="70"/>
      <c r="K1963" s="69"/>
      <c r="L1963" s="69"/>
      <c r="M1963" s="69"/>
      <c r="N1963" s="69"/>
      <c r="O1963" s="69"/>
      <c r="P1963" s="2"/>
      <c r="Q1963" s="2"/>
      <c r="R1963" s="32"/>
      <c r="S1963" s="32"/>
      <c r="T1963" s="32"/>
      <c r="U1963" s="32"/>
      <c r="V1963" s="2"/>
      <c r="W1963" s="2"/>
      <c r="X1963" s="2"/>
      <c r="Y1963" s="2"/>
      <c r="Z1963" s="2"/>
    </row>
    <row r="1964" spans="1:26" ht="13.8" x14ac:dyDescent="0.3">
      <c r="A1964" s="2"/>
      <c r="B1964" s="2"/>
      <c r="C1964" s="10"/>
      <c r="D1964" s="10"/>
      <c r="E1964" s="10"/>
      <c r="F1964" s="10"/>
      <c r="G1964" s="69"/>
      <c r="H1964" s="69"/>
      <c r="I1964" s="69"/>
      <c r="J1964" s="70"/>
      <c r="K1964" s="69"/>
      <c r="L1964" s="69"/>
      <c r="M1964" s="69"/>
      <c r="N1964" s="69"/>
      <c r="O1964" s="69"/>
      <c r="P1964" s="2"/>
      <c r="Q1964" s="2"/>
      <c r="R1964" s="32"/>
      <c r="S1964" s="32"/>
      <c r="T1964" s="32"/>
      <c r="U1964" s="32"/>
      <c r="V1964" s="2"/>
      <c r="W1964" s="2"/>
      <c r="X1964" s="2"/>
      <c r="Y1964" s="2"/>
      <c r="Z1964" s="2"/>
    </row>
    <row r="1965" spans="1:26" ht="13.8" x14ac:dyDescent="0.3">
      <c r="A1965" s="2"/>
      <c r="B1965" s="2"/>
      <c r="C1965" s="10"/>
      <c r="D1965" s="10"/>
      <c r="E1965" s="10"/>
      <c r="F1965" s="10"/>
      <c r="G1965" s="69"/>
      <c r="H1965" s="69"/>
      <c r="I1965" s="69"/>
      <c r="J1965" s="70"/>
      <c r="K1965" s="69"/>
      <c r="L1965" s="69"/>
      <c r="M1965" s="69"/>
      <c r="N1965" s="69"/>
      <c r="O1965" s="69"/>
      <c r="P1965" s="2"/>
      <c r="Q1965" s="2"/>
      <c r="R1965" s="32"/>
      <c r="S1965" s="32"/>
      <c r="T1965" s="32"/>
      <c r="U1965" s="32"/>
      <c r="V1965" s="2"/>
      <c r="W1965" s="2"/>
      <c r="X1965" s="2"/>
      <c r="Y1965" s="2"/>
      <c r="Z1965" s="2"/>
    </row>
    <row r="1966" spans="1:26" ht="13.8" x14ac:dyDescent="0.3">
      <c r="A1966" s="2"/>
      <c r="B1966" s="2"/>
      <c r="C1966" s="10"/>
      <c r="D1966" s="10"/>
      <c r="E1966" s="10"/>
      <c r="F1966" s="10"/>
      <c r="G1966" s="69"/>
      <c r="H1966" s="69"/>
      <c r="I1966" s="69"/>
      <c r="J1966" s="70"/>
      <c r="K1966" s="69"/>
      <c r="L1966" s="69"/>
      <c r="M1966" s="69"/>
      <c r="N1966" s="69"/>
      <c r="O1966" s="69"/>
      <c r="P1966" s="2"/>
      <c r="Q1966" s="2"/>
      <c r="R1966" s="32"/>
      <c r="S1966" s="32"/>
      <c r="T1966" s="32"/>
      <c r="U1966" s="32"/>
      <c r="V1966" s="2"/>
      <c r="W1966" s="2"/>
      <c r="X1966" s="2"/>
      <c r="Y1966" s="2"/>
      <c r="Z1966" s="2"/>
    </row>
    <row r="1967" spans="1:26" ht="13.8" x14ac:dyDescent="0.3">
      <c r="A1967" s="2"/>
      <c r="B1967" s="2"/>
      <c r="C1967" s="10"/>
      <c r="D1967" s="10"/>
      <c r="E1967" s="10"/>
      <c r="F1967" s="10"/>
      <c r="G1967" s="69"/>
      <c r="H1967" s="69"/>
      <c r="I1967" s="69"/>
      <c r="J1967" s="70"/>
      <c r="K1967" s="69"/>
      <c r="L1967" s="69"/>
      <c r="M1967" s="69"/>
      <c r="N1967" s="69"/>
      <c r="O1967" s="69"/>
      <c r="P1967" s="2"/>
      <c r="Q1967" s="2"/>
      <c r="R1967" s="32"/>
      <c r="S1967" s="32"/>
      <c r="T1967" s="32"/>
      <c r="U1967" s="32"/>
      <c r="V1967" s="2"/>
      <c r="W1967" s="2"/>
      <c r="X1967" s="2"/>
      <c r="Y1967" s="2"/>
      <c r="Z1967" s="2"/>
    </row>
    <row r="1968" spans="1:26" ht="13.8" x14ac:dyDescent="0.3">
      <c r="A1968" s="2"/>
      <c r="B1968" s="2"/>
      <c r="C1968" s="10"/>
      <c r="D1968" s="10"/>
      <c r="E1968" s="10"/>
      <c r="F1968" s="10"/>
      <c r="G1968" s="69"/>
      <c r="H1968" s="69"/>
      <c r="I1968" s="69"/>
      <c r="J1968" s="70"/>
      <c r="K1968" s="69"/>
      <c r="L1968" s="69"/>
      <c r="M1968" s="69"/>
      <c r="N1968" s="69"/>
      <c r="O1968" s="69"/>
      <c r="P1968" s="2"/>
      <c r="Q1968" s="2"/>
      <c r="R1968" s="32"/>
      <c r="S1968" s="32"/>
      <c r="T1968" s="32"/>
      <c r="U1968" s="32"/>
      <c r="V1968" s="2"/>
      <c r="W1968" s="2"/>
      <c r="X1968" s="2"/>
      <c r="Y1968" s="2"/>
      <c r="Z1968" s="2"/>
    </row>
    <row r="1969" spans="1:26" ht="13.8" x14ac:dyDescent="0.3">
      <c r="A1969" s="2"/>
      <c r="B1969" s="2"/>
      <c r="C1969" s="10"/>
      <c r="D1969" s="10"/>
      <c r="E1969" s="10"/>
      <c r="F1969" s="10"/>
      <c r="G1969" s="69"/>
      <c r="H1969" s="69"/>
      <c r="I1969" s="69"/>
      <c r="J1969" s="70"/>
      <c r="K1969" s="69"/>
      <c r="L1969" s="69"/>
      <c r="M1969" s="69"/>
      <c r="N1969" s="69"/>
      <c r="O1969" s="69"/>
      <c r="P1969" s="2"/>
      <c r="Q1969" s="2"/>
      <c r="R1969" s="32"/>
      <c r="S1969" s="32"/>
      <c r="T1969" s="32"/>
      <c r="U1969" s="32"/>
      <c r="V1969" s="2"/>
      <c r="W1969" s="2"/>
      <c r="X1969" s="2"/>
      <c r="Y1969" s="2"/>
      <c r="Z1969" s="2"/>
    </row>
    <row r="1970" spans="1:26" ht="13.8" x14ac:dyDescent="0.3">
      <c r="A1970" s="2"/>
      <c r="B1970" s="2"/>
      <c r="C1970" s="10"/>
      <c r="D1970" s="10"/>
      <c r="E1970" s="10"/>
      <c r="F1970" s="10"/>
      <c r="G1970" s="69"/>
      <c r="H1970" s="69"/>
      <c r="I1970" s="69"/>
      <c r="J1970" s="70"/>
      <c r="K1970" s="69"/>
      <c r="L1970" s="69"/>
      <c r="M1970" s="69"/>
      <c r="N1970" s="69"/>
      <c r="O1970" s="69"/>
      <c r="P1970" s="2"/>
      <c r="Q1970" s="2"/>
      <c r="R1970" s="32"/>
      <c r="S1970" s="32"/>
      <c r="T1970" s="32"/>
      <c r="U1970" s="32"/>
      <c r="V1970" s="2"/>
      <c r="W1970" s="2"/>
      <c r="X1970" s="2"/>
      <c r="Y1970" s="2"/>
      <c r="Z1970" s="2"/>
    </row>
    <row r="1971" spans="1:26" ht="13.8" x14ac:dyDescent="0.3">
      <c r="A1971" s="2"/>
      <c r="B1971" s="2"/>
      <c r="C1971" s="10"/>
      <c r="D1971" s="10"/>
      <c r="E1971" s="10"/>
      <c r="F1971" s="10"/>
      <c r="G1971" s="69"/>
      <c r="H1971" s="69"/>
      <c r="I1971" s="69"/>
      <c r="J1971" s="70"/>
      <c r="K1971" s="69"/>
      <c r="L1971" s="69"/>
      <c r="M1971" s="69"/>
      <c r="N1971" s="69"/>
      <c r="O1971" s="69"/>
      <c r="P1971" s="2"/>
      <c r="Q1971" s="2"/>
      <c r="R1971" s="32"/>
      <c r="S1971" s="32"/>
      <c r="T1971" s="32"/>
      <c r="U1971" s="32"/>
      <c r="V1971" s="2"/>
      <c r="W1971" s="2"/>
      <c r="X1971" s="2"/>
      <c r="Y1971" s="2"/>
      <c r="Z1971" s="2"/>
    </row>
    <row r="1972" spans="1:26" ht="13.8" x14ac:dyDescent="0.3">
      <c r="A1972" s="2"/>
      <c r="B1972" s="2"/>
      <c r="C1972" s="10"/>
      <c r="D1972" s="10"/>
      <c r="E1972" s="10"/>
      <c r="F1972" s="10"/>
      <c r="G1972" s="69"/>
      <c r="H1972" s="69"/>
      <c r="I1972" s="69"/>
      <c r="J1972" s="70"/>
      <c r="K1972" s="69"/>
      <c r="L1972" s="69"/>
      <c r="M1972" s="69"/>
      <c r="N1972" s="69"/>
      <c r="O1972" s="69"/>
      <c r="P1972" s="2"/>
      <c r="Q1972" s="2"/>
      <c r="R1972" s="32"/>
      <c r="S1972" s="32"/>
      <c r="T1972" s="32"/>
      <c r="U1972" s="32"/>
      <c r="V1972" s="2"/>
      <c r="W1972" s="2"/>
      <c r="X1972" s="2"/>
      <c r="Y1972" s="2"/>
      <c r="Z1972" s="2"/>
    </row>
    <row r="1973" spans="1:26" ht="13.8" x14ac:dyDescent="0.3">
      <c r="A1973" s="2"/>
      <c r="B1973" s="2"/>
      <c r="C1973" s="10"/>
      <c r="D1973" s="10"/>
      <c r="E1973" s="10"/>
      <c r="F1973" s="10"/>
      <c r="G1973" s="69"/>
      <c r="H1973" s="69"/>
      <c r="I1973" s="69"/>
      <c r="J1973" s="70"/>
      <c r="K1973" s="69"/>
      <c r="L1973" s="69"/>
      <c r="M1973" s="69"/>
      <c r="N1973" s="69"/>
      <c r="O1973" s="69"/>
      <c r="P1973" s="2"/>
      <c r="Q1973" s="2"/>
      <c r="R1973" s="32"/>
      <c r="S1973" s="32"/>
      <c r="T1973" s="32"/>
      <c r="U1973" s="32"/>
      <c r="V1973" s="2"/>
      <c r="W1973" s="2"/>
      <c r="X1973" s="2"/>
      <c r="Y1973" s="2"/>
      <c r="Z1973" s="2"/>
    </row>
    <row r="1974" spans="1:26" ht="13.8" x14ac:dyDescent="0.3">
      <c r="A1974" s="2"/>
      <c r="B1974" s="2"/>
      <c r="C1974" s="10"/>
      <c r="D1974" s="10"/>
      <c r="E1974" s="10"/>
      <c r="F1974" s="10"/>
      <c r="G1974" s="69"/>
      <c r="H1974" s="69"/>
      <c r="I1974" s="69"/>
      <c r="J1974" s="70"/>
      <c r="K1974" s="69"/>
      <c r="L1974" s="69"/>
      <c r="M1974" s="69"/>
      <c r="N1974" s="69"/>
      <c r="O1974" s="69"/>
      <c r="P1974" s="2"/>
      <c r="Q1974" s="2"/>
      <c r="R1974" s="32"/>
      <c r="S1974" s="32"/>
      <c r="T1974" s="32"/>
      <c r="U1974" s="32"/>
      <c r="V1974" s="2"/>
      <c r="W1974" s="2"/>
      <c r="X1974" s="2"/>
      <c r="Y1974" s="2"/>
      <c r="Z1974" s="2"/>
    </row>
    <row r="1975" spans="1:26" ht="13.8" x14ac:dyDescent="0.3">
      <c r="A1975" s="2"/>
      <c r="B1975" s="2"/>
      <c r="C1975" s="10"/>
      <c r="D1975" s="10"/>
      <c r="E1975" s="10"/>
      <c r="F1975" s="10"/>
      <c r="G1975" s="69"/>
      <c r="H1975" s="69"/>
      <c r="I1975" s="69"/>
      <c r="J1975" s="70"/>
      <c r="K1975" s="69"/>
      <c r="L1975" s="69"/>
      <c r="M1975" s="69"/>
      <c r="N1975" s="69"/>
      <c r="O1975" s="69"/>
      <c r="P1975" s="2"/>
      <c r="Q1975" s="2"/>
      <c r="R1975" s="32"/>
      <c r="S1975" s="32"/>
      <c r="T1975" s="32"/>
      <c r="U1975" s="32"/>
      <c r="V1975" s="2"/>
      <c r="W1975" s="2"/>
      <c r="X1975" s="2"/>
      <c r="Y1975" s="2"/>
      <c r="Z1975" s="2"/>
    </row>
    <row r="1976" spans="1:26" ht="13.8" x14ac:dyDescent="0.3">
      <c r="A1976" s="2"/>
      <c r="B1976" s="2"/>
      <c r="C1976" s="10"/>
      <c r="D1976" s="10"/>
      <c r="E1976" s="10"/>
      <c r="F1976" s="10"/>
      <c r="G1976" s="69"/>
      <c r="H1976" s="69"/>
      <c r="I1976" s="69"/>
      <c r="J1976" s="70"/>
      <c r="K1976" s="69"/>
      <c r="L1976" s="69"/>
      <c r="M1976" s="69"/>
      <c r="N1976" s="69"/>
      <c r="O1976" s="69"/>
      <c r="P1976" s="2"/>
      <c r="Q1976" s="2"/>
      <c r="R1976" s="32"/>
      <c r="S1976" s="32"/>
      <c r="T1976" s="32"/>
      <c r="U1976" s="32"/>
      <c r="V1976" s="2"/>
      <c r="W1976" s="2"/>
      <c r="X1976" s="2"/>
      <c r="Y1976" s="2"/>
      <c r="Z1976" s="2"/>
    </row>
    <row r="1977" spans="1:26" ht="13.8" x14ac:dyDescent="0.3">
      <c r="A1977" s="2"/>
      <c r="B1977" s="2"/>
      <c r="C1977" s="10"/>
      <c r="D1977" s="10"/>
      <c r="E1977" s="10"/>
      <c r="F1977" s="10"/>
      <c r="G1977" s="69"/>
      <c r="H1977" s="69"/>
      <c r="I1977" s="69"/>
      <c r="J1977" s="70"/>
      <c r="K1977" s="69"/>
      <c r="L1977" s="69"/>
      <c r="M1977" s="69"/>
      <c r="N1977" s="69"/>
      <c r="O1977" s="69"/>
      <c r="P1977" s="2"/>
      <c r="Q1977" s="2"/>
      <c r="R1977" s="32"/>
      <c r="S1977" s="32"/>
      <c r="T1977" s="32"/>
      <c r="U1977" s="32"/>
      <c r="V1977" s="2"/>
      <c r="W1977" s="2"/>
      <c r="X1977" s="2"/>
      <c r="Y1977" s="2"/>
      <c r="Z1977" s="2"/>
    </row>
    <row r="1978" spans="1:26" ht="13.8" x14ac:dyDescent="0.3">
      <c r="A1978" s="2"/>
      <c r="B1978" s="2"/>
      <c r="C1978" s="10"/>
      <c r="D1978" s="10"/>
      <c r="E1978" s="10"/>
      <c r="F1978" s="10"/>
      <c r="G1978" s="69"/>
      <c r="H1978" s="69"/>
      <c r="I1978" s="69"/>
      <c r="J1978" s="70"/>
      <c r="K1978" s="69"/>
      <c r="L1978" s="69"/>
      <c r="M1978" s="69"/>
      <c r="N1978" s="69"/>
      <c r="O1978" s="69"/>
      <c r="P1978" s="2"/>
      <c r="Q1978" s="2"/>
      <c r="R1978" s="32"/>
      <c r="S1978" s="32"/>
      <c r="T1978" s="32"/>
      <c r="U1978" s="32"/>
      <c r="V1978" s="2"/>
      <c r="W1978" s="2"/>
      <c r="X1978" s="2"/>
      <c r="Y1978" s="2"/>
      <c r="Z1978" s="2"/>
    </row>
    <row r="1979" spans="1:26" ht="13.8" x14ac:dyDescent="0.3">
      <c r="A1979" s="2"/>
      <c r="B1979" s="2"/>
      <c r="C1979" s="10"/>
      <c r="D1979" s="10"/>
      <c r="E1979" s="10"/>
      <c r="F1979" s="10"/>
      <c r="G1979" s="69"/>
      <c r="H1979" s="69"/>
      <c r="I1979" s="69"/>
      <c r="J1979" s="70"/>
      <c r="K1979" s="69"/>
      <c r="L1979" s="69"/>
      <c r="M1979" s="69"/>
      <c r="N1979" s="69"/>
      <c r="O1979" s="69"/>
      <c r="P1979" s="2"/>
      <c r="Q1979" s="2"/>
      <c r="R1979" s="32"/>
      <c r="S1979" s="32"/>
      <c r="T1979" s="32"/>
      <c r="U1979" s="32"/>
      <c r="V1979" s="2"/>
      <c r="W1979" s="2"/>
      <c r="X1979" s="2"/>
      <c r="Y1979" s="2"/>
      <c r="Z1979" s="2"/>
    </row>
    <row r="1980" spans="1:26" ht="13.8" x14ac:dyDescent="0.3">
      <c r="A1980" s="2"/>
      <c r="B1980" s="2"/>
      <c r="C1980" s="10"/>
      <c r="D1980" s="10"/>
      <c r="E1980" s="10"/>
      <c r="F1980" s="10"/>
      <c r="G1980" s="69"/>
      <c r="H1980" s="69"/>
      <c r="I1980" s="69"/>
      <c r="J1980" s="70"/>
      <c r="K1980" s="69"/>
      <c r="L1980" s="69"/>
      <c r="M1980" s="69"/>
      <c r="N1980" s="69"/>
      <c r="O1980" s="69"/>
      <c r="P1980" s="2"/>
      <c r="Q1980" s="2"/>
      <c r="R1980" s="32"/>
      <c r="S1980" s="32"/>
      <c r="T1980" s="32"/>
      <c r="U1980" s="32"/>
      <c r="V1980" s="2"/>
      <c r="W1980" s="2"/>
      <c r="X1980" s="2"/>
      <c r="Y1980" s="2"/>
      <c r="Z1980" s="2"/>
    </row>
    <row r="1981" spans="1:26" ht="13.8" x14ac:dyDescent="0.3">
      <c r="A1981" s="2"/>
      <c r="B1981" s="2"/>
      <c r="C1981" s="10"/>
      <c r="D1981" s="10"/>
      <c r="E1981" s="10"/>
      <c r="F1981" s="10"/>
      <c r="G1981" s="69"/>
      <c r="H1981" s="69"/>
      <c r="I1981" s="69"/>
      <c r="J1981" s="70"/>
      <c r="K1981" s="69"/>
      <c r="L1981" s="69"/>
      <c r="M1981" s="69"/>
      <c r="N1981" s="69"/>
      <c r="O1981" s="69"/>
      <c r="P1981" s="2"/>
      <c r="Q1981" s="2"/>
      <c r="R1981" s="32"/>
      <c r="S1981" s="32"/>
      <c r="T1981" s="32"/>
      <c r="U1981" s="32"/>
      <c r="V1981" s="2"/>
      <c r="W1981" s="2"/>
      <c r="X1981" s="2"/>
      <c r="Y1981" s="2"/>
      <c r="Z1981" s="2"/>
    </row>
    <row r="1982" spans="1:26" ht="13.8" x14ac:dyDescent="0.3">
      <c r="A1982" s="2"/>
      <c r="B1982" s="2"/>
      <c r="C1982" s="10"/>
      <c r="D1982" s="10"/>
      <c r="E1982" s="10"/>
      <c r="F1982" s="10"/>
      <c r="G1982" s="69"/>
      <c r="H1982" s="69"/>
      <c r="I1982" s="69"/>
      <c r="J1982" s="70"/>
      <c r="K1982" s="69"/>
      <c r="L1982" s="69"/>
      <c r="M1982" s="69"/>
      <c r="N1982" s="69"/>
      <c r="O1982" s="69"/>
      <c r="P1982" s="2"/>
      <c r="Q1982" s="2"/>
      <c r="R1982" s="32"/>
      <c r="S1982" s="32"/>
      <c r="T1982" s="32"/>
      <c r="U1982" s="32"/>
      <c r="V1982" s="2"/>
      <c r="W1982" s="2"/>
      <c r="X1982" s="2"/>
      <c r="Y1982" s="2"/>
      <c r="Z1982" s="2"/>
    </row>
    <row r="1983" spans="1:26" ht="13.8" x14ac:dyDescent="0.3">
      <c r="A1983" s="2"/>
      <c r="B1983" s="2"/>
      <c r="C1983" s="10"/>
      <c r="D1983" s="10"/>
      <c r="E1983" s="10"/>
      <c r="F1983" s="10"/>
      <c r="G1983" s="69"/>
      <c r="H1983" s="69"/>
      <c r="I1983" s="69"/>
      <c r="J1983" s="70"/>
      <c r="K1983" s="69"/>
      <c r="L1983" s="69"/>
      <c r="M1983" s="69"/>
      <c r="N1983" s="69"/>
      <c r="O1983" s="69"/>
      <c r="P1983" s="2"/>
      <c r="Q1983" s="2"/>
      <c r="R1983" s="32"/>
      <c r="S1983" s="32"/>
      <c r="T1983" s="32"/>
      <c r="U1983" s="32"/>
      <c r="V1983" s="2"/>
      <c r="W1983" s="2"/>
      <c r="X1983" s="2"/>
      <c r="Y1983" s="2"/>
      <c r="Z1983" s="2"/>
    </row>
    <row r="1984" spans="1:26" ht="13.8" x14ac:dyDescent="0.3">
      <c r="A1984" s="2"/>
      <c r="B1984" s="2"/>
      <c r="C1984" s="10"/>
      <c r="D1984" s="10"/>
      <c r="E1984" s="10"/>
      <c r="F1984" s="10"/>
      <c r="G1984" s="69"/>
      <c r="H1984" s="69"/>
      <c r="I1984" s="69"/>
      <c r="J1984" s="70"/>
      <c r="K1984" s="69"/>
      <c r="L1984" s="69"/>
      <c r="M1984" s="69"/>
      <c r="N1984" s="69"/>
      <c r="O1984" s="69"/>
      <c r="P1984" s="2"/>
      <c r="Q1984" s="2"/>
      <c r="R1984" s="32"/>
      <c r="S1984" s="32"/>
      <c r="T1984" s="32"/>
      <c r="U1984" s="32"/>
      <c r="V1984" s="2"/>
      <c r="W1984" s="2"/>
      <c r="X1984" s="2"/>
      <c r="Y1984" s="2"/>
      <c r="Z1984" s="2"/>
    </row>
    <row r="1985" spans="1:26" ht="13.8" x14ac:dyDescent="0.3">
      <c r="A1985" s="2"/>
      <c r="B1985" s="2"/>
      <c r="C1985" s="10"/>
      <c r="D1985" s="10"/>
      <c r="E1985" s="10"/>
      <c r="F1985" s="10"/>
      <c r="G1985" s="69"/>
      <c r="H1985" s="69"/>
      <c r="I1985" s="69"/>
      <c r="J1985" s="70"/>
      <c r="K1985" s="69"/>
      <c r="L1985" s="69"/>
      <c r="M1985" s="69"/>
      <c r="N1985" s="69"/>
      <c r="O1985" s="69"/>
      <c r="P1985" s="2"/>
      <c r="Q1985" s="2"/>
      <c r="R1985" s="32"/>
      <c r="S1985" s="32"/>
      <c r="T1985" s="32"/>
      <c r="U1985" s="32"/>
      <c r="V1985" s="2"/>
      <c r="W1985" s="2"/>
      <c r="X1985" s="2"/>
      <c r="Y1985" s="2"/>
      <c r="Z1985" s="2"/>
    </row>
    <row r="1986" spans="1:26" ht="13.8" x14ac:dyDescent="0.3">
      <c r="A1986" s="2"/>
      <c r="B1986" s="2"/>
      <c r="C1986" s="10"/>
      <c r="D1986" s="10"/>
      <c r="E1986" s="10"/>
      <c r="F1986" s="10"/>
      <c r="G1986" s="69"/>
      <c r="H1986" s="69"/>
      <c r="I1986" s="69"/>
      <c r="J1986" s="70"/>
      <c r="K1986" s="69"/>
      <c r="L1986" s="69"/>
      <c r="M1986" s="69"/>
      <c r="N1986" s="69"/>
      <c r="O1986" s="69"/>
      <c r="P1986" s="2"/>
      <c r="Q1986" s="2"/>
      <c r="R1986" s="32"/>
      <c r="S1986" s="32"/>
      <c r="T1986" s="32"/>
      <c r="U1986" s="32"/>
      <c r="V1986" s="2"/>
      <c r="W1986" s="2"/>
      <c r="X1986" s="2"/>
      <c r="Y1986" s="2"/>
      <c r="Z1986" s="2"/>
    </row>
    <row r="1987" spans="1:26" ht="13.8" x14ac:dyDescent="0.3">
      <c r="A1987" s="2"/>
      <c r="B1987" s="2"/>
      <c r="C1987" s="10"/>
      <c r="D1987" s="10"/>
      <c r="E1987" s="10"/>
      <c r="F1987" s="10"/>
      <c r="G1987" s="69"/>
      <c r="H1987" s="69"/>
      <c r="I1987" s="69"/>
      <c r="J1987" s="70"/>
      <c r="K1987" s="69"/>
      <c r="L1987" s="69"/>
      <c r="M1987" s="69"/>
      <c r="N1987" s="69"/>
      <c r="O1987" s="69"/>
      <c r="P1987" s="2"/>
      <c r="Q1987" s="2"/>
      <c r="R1987" s="32"/>
      <c r="S1987" s="32"/>
      <c r="T1987" s="32"/>
      <c r="U1987" s="32"/>
      <c r="V1987" s="2"/>
      <c r="W1987" s="2"/>
      <c r="X1987" s="2"/>
      <c r="Y1987" s="2"/>
      <c r="Z1987" s="2"/>
    </row>
    <row r="1988" spans="1:26" ht="13.8" x14ac:dyDescent="0.3">
      <c r="A1988" s="2"/>
      <c r="B1988" s="2"/>
      <c r="C1988" s="10"/>
      <c r="D1988" s="10"/>
      <c r="E1988" s="10"/>
      <c r="F1988" s="10"/>
      <c r="G1988" s="69"/>
      <c r="H1988" s="69"/>
      <c r="I1988" s="69"/>
      <c r="J1988" s="70"/>
      <c r="K1988" s="69"/>
      <c r="L1988" s="69"/>
      <c r="M1988" s="69"/>
      <c r="N1988" s="69"/>
      <c r="O1988" s="69"/>
      <c r="P1988" s="2"/>
      <c r="Q1988" s="2"/>
      <c r="R1988" s="32"/>
      <c r="S1988" s="32"/>
      <c r="T1988" s="32"/>
      <c r="U1988" s="32"/>
      <c r="V1988" s="2"/>
      <c r="W1988" s="2"/>
      <c r="X1988" s="2"/>
      <c r="Y1988" s="2"/>
      <c r="Z1988" s="2"/>
    </row>
    <row r="1989" spans="1:26" ht="13.8" x14ac:dyDescent="0.3">
      <c r="A1989" s="2"/>
      <c r="B1989" s="2"/>
      <c r="C1989" s="10"/>
      <c r="D1989" s="10"/>
      <c r="E1989" s="10"/>
      <c r="F1989" s="10"/>
      <c r="G1989" s="69"/>
      <c r="H1989" s="69"/>
      <c r="I1989" s="69"/>
      <c r="J1989" s="70"/>
      <c r="K1989" s="69"/>
      <c r="L1989" s="69"/>
      <c r="M1989" s="69"/>
      <c r="N1989" s="69"/>
      <c r="O1989" s="69"/>
      <c r="P1989" s="2"/>
      <c r="Q1989" s="2"/>
      <c r="R1989" s="32"/>
      <c r="S1989" s="32"/>
      <c r="T1989" s="32"/>
      <c r="U1989" s="32"/>
      <c r="V1989" s="2"/>
      <c r="W1989" s="2"/>
      <c r="X1989" s="2"/>
      <c r="Y1989" s="2"/>
      <c r="Z1989" s="2"/>
    </row>
    <row r="1990" spans="1:26" ht="13.8" x14ac:dyDescent="0.3">
      <c r="A1990" s="2"/>
      <c r="B1990" s="2"/>
      <c r="C1990" s="10"/>
      <c r="D1990" s="10"/>
      <c r="E1990" s="10"/>
      <c r="F1990" s="10"/>
      <c r="G1990" s="69"/>
      <c r="H1990" s="69"/>
      <c r="I1990" s="69"/>
      <c r="J1990" s="70"/>
      <c r="K1990" s="69"/>
      <c r="L1990" s="69"/>
      <c r="M1990" s="69"/>
      <c r="N1990" s="69"/>
      <c r="O1990" s="69"/>
      <c r="P1990" s="2"/>
      <c r="Q1990" s="2"/>
      <c r="R1990" s="32"/>
      <c r="S1990" s="32"/>
      <c r="T1990" s="32"/>
      <c r="U1990" s="32"/>
      <c r="V1990" s="2"/>
      <c r="W1990" s="2"/>
      <c r="X1990" s="2"/>
      <c r="Y1990" s="2"/>
      <c r="Z1990" s="2"/>
    </row>
    <row r="1991" spans="1:26" ht="13.8" x14ac:dyDescent="0.3">
      <c r="A1991" s="2"/>
      <c r="B1991" s="2"/>
      <c r="C1991" s="10"/>
      <c r="D1991" s="10"/>
      <c r="E1991" s="10"/>
      <c r="F1991" s="10"/>
      <c r="G1991" s="69"/>
      <c r="H1991" s="69"/>
      <c r="I1991" s="69"/>
      <c r="J1991" s="70"/>
      <c r="K1991" s="69"/>
      <c r="L1991" s="69"/>
      <c r="M1991" s="69"/>
      <c r="N1991" s="69"/>
      <c r="O1991" s="69"/>
      <c r="P1991" s="2"/>
      <c r="Q1991" s="2"/>
      <c r="R1991" s="32"/>
      <c r="S1991" s="32"/>
      <c r="T1991" s="32"/>
      <c r="U1991" s="32"/>
      <c r="V1991" s="2"/>
      <c r="W1991" s="2"/>
      <c r="X1991" s="2"/>
      <c r="Y1991" s="2"/>
      <c r="Z1991" s="2"/>
    </row>
    <row r="1992" spans="1:26" ht="13.8" x14ac:dyDescent="0.3">
      <c r="A1992" s="2"/>
      <c r="B1992" s="2"/>
      <c r="C1992" s="10"/>
      <c r="D1992" s="10"/>
      <c r="E1992" s="10"/>
      <c r="F1992" s="10"/>
      <c r="G1992" s="69"/>
      <c r="H1992" s="69"/>
      <c r="I1992" s="69"/>
      <c r="J1992" s="70"/>
      <c r="K1992" s="69"/>
      <c r="L1992" s="69"/>
      <c r="M1992" s="69"/>
      <c r="N1992" s="69"/>
      <c r="O1992" s="69"/>
      <c r="P1992" s="2"/>
      <c r="Q1992" s="2"/>
      <c r="R1992" s="32"/>
      <c r="S1992" s="32"/>
      <c r="T1992" s="32"/>
      <c r="U1992" s="32"/>
      <c r="V1992" s="2"/>
      <c r="W1992" s="2"/>
      <c r="X1992" s="2"/>
      <c r="Y1992" s="2"/>
      <c r="Z1992" s="2"/>
    </row>
    <row r="1993" spans="1:26" ht="13.8" x14ac:dyDescent="0.3">
      <c r="A1993" s="2"/>
      <c r="B1993" s="2"/>
      <c r="C1993" s="10"/>
      <c r="D1993" s="10"/>
      <c r="E1993" s="10"/>
      <c r="F1993" s="10"/>
      <c r="G1993" s="69"/>
      <c r="H1993" s="69"/>
      <c r="I1993" s="69"/>
      <c r="J1993" s="70"/>
      <c r="K1993" s="69"/>
      <c r="L1993" s="69"/>
      <c r="M1993" s="69"/>
      <c r="N1993" s="69"/>
      <c r="O1993" s="69"/>
      <c r="P1993" s="2"/>
      <c r="Q1993" s="2"/>
      <c r="R1993" s="32"/>
      <c r="S1993" s="32"/>
      <c r="T1993" s="32"/>
      <c r="U1993" s="32"/>
      <c r="V1993" s="2"/>
      <c r="W1993" s="2"/>
      <c r="X1993" s="2"/>
      <c r="Y1993" s="2"/>
      <c r="Z1993" s="2"/>
    </row>
    <row r="1994" spans="1:26" ht="13.8" x14ac:dyDescent="0.3">
      <c r="A1994" s="2"/>
      <c r="B1994" s="2"/>
      <c r="C1994" s="10"/>
      <c r="D1994" s="10"/>
      <c r="E1994" s="10"/>
      <c r="F1994" s="10"/>
      <c r="G1994" s="69"/>
      <c r="H1994" s="69"/>
      <c r="I1994" s="69"/>
      <c r="J1994" s="70"/>
      <c r="K1994" s="69"/>
      <c r="L1994" s="69"/>
      <c r="M1994" s="69"/>
      <c r="N1994" s="69"/>
      <c r="O1994" s="69"/>
      <c r="P1994" s="2"/>
      <c r="Q1994" s="2"/>
      <c r="R1994" s="32"/>
      <c r="S1994" s="32"/>
      <c r="T1994" s="32"/>
      <c r="U1994" s="32"/>
      <c r="V1994" s="2"/>
      <c r="W1994" s="2"/>
      <c r="X1994" s="2"/>
      <c r="Y1994" s="2"/>
      <c r="Z1994" s="2"/>
    </row>
    <row r="1995" spans="1:26" ht="13.8" x14ac:dyDescent="0.3">
      <c r="A1995" s="2"/>
      <c r="B1995" s="2"/>
      <c r="C1995" s="10"/>
      <c r="D1995" s="10"/>
      <c r="E1995" s="10"/>
      <c r="F1995" s="10"/>
      <c r="G1995" s="69"/>
      <c r="H1995" s="69"/>
      <c r="I1995" s="69"/>
      <c r="J1995" s="70"/>
      <c r="K1995" s="69"/>
      <c r="L1995" s="69"/>
      <c r="M1995" s="69"/>
      <c r="N1995" s="69"/>
      <c r="O1995" s="69"/>
      <c r="P1995" s="2"/>
      <c r="Q1995" s="2"/>
      <c r="R1995" s="32"/>
      <c r="S1995" s="32"/>
      <c r="T1995" s="32"/>
      <c r="U1995" s="32"/>
      <c r="V1995" s="2"/>
      <c r="W1995" s="2"/>
      <c r="X1995" s="2"/>
      <c r="Y1995" s="2"/>
      <c r="Z1995" s="2"/>
    </row>
    <row r="1996" spans="1:26" ht="13.8" x14ac:dyDescent="0.3">
      <c r="A1996" s="2"/>
      <c r="B1996" s="2"/>
      <c r="C1996" s="10"/>
      <c r="D1996" s="10"/>
      <c r="E1996" s="10"/>
      <c r="F1996" s="10"/>
      <c r="G1996" s="69"/>
      <c r="H1996" s="69"/>
      <c r="I1996" s="69"/>
      <c r="J1996" s="70"/>
      <c r="K1996" s="69"/>
      <c r="L1996" s="69"/>
      <c r="M1996" s="69"/>
      <c r="N1996" s="69"/>
      <c r="O1996" s="69"/>
      <c r="P1996" s="2"/>
      <c r="Q1996" s="2"/>
      <c r="R1996" s="32"/>
      <c r="S1996" s="32"/>
      <c r="T1996" s="32"/>
      <c r="U1996" s="32"/>
      <c r="V1996" s="2"/>
      <c r="W1996" s="2"/>
      <c r="X1996" s="2"/>
      <c r="Y1996" s="2"/>
      <c r="Z1996" s="2"/>
    </row>
    <row r="1997" spans="1:26" ht="13.8" x14ac:dyDescent="0.3">
      <c r="A1997" s="2"/>
      <c r="B1997" s="2"/>
      <c r="C1997" s="10"/>
      <c r="D1997" s="10"/>
      <c r="E1997" s="10"/>
      <c r="F1997" s="10"/>
      <c r="G1997" s="69"/>
      <c r="H1997" s="69"/>
      <c r="I1997" s="69"/>
      <c r="J1997" s="70"/>
      <c r="K1997" s="69"/>
      <c r="L1997" s="69"/>
      <c r="M1997" s="69"/>
      <c r="N1997" s="69"/>
      <c r="O1997" s="69"/>
      <c r="P1997" s="2"/>
      <c r="Q1997" s="2"/>
      <c r="R1997" s="32"/>
      <c r="S1997" s="32"/>
      <c r="T1997" s="32"/>
      <c r="U1997" s="32"/>
      <c r="V1997" s="2"/>
      <c r="W1997" s="2"/>
      <c r="X1997" s="2"/>
      <c r="Y1997" s="2"/>
      <c r="Z1997" s="2"/>
    </row>
    <row r="1998" spans="1:26" ht="13.8" x14ac:dyDescent="0.3">
      <c r="A1998" s="2"/>
      <c r="B1998" s="2"/>
      <c r="C1998" s="10"/>
      <c r="D1998" s="10"/>
      <c r="E1998" s="10"/>
      <c r="F1998" s="10"/>
      <c r="G1998" s="69"/>
      <c r="H1998" s="69"/>
      <c r="I1998" s="69"/>
      <c r="J1998" s="70"/>
      <c r="K1998" s="69"/>
      <c r="L1998" s="69"/>
      <c r="M1998" s="69"/>
      <c r="N1998" s="69"/>
      <c r="O1998" s="69"/>
      <c r="P1998" s="2"/>
      <c r="Q1998" s="2"/>
      <c r="R1998" s="32"/>
      <c r="S1998" s="32"/>
      <c r="T1998" s="32"/>
      <c r="U1998" s="32"/>
      <c r="V1998" s="2"/>
      <c r="W1998" s="2"/>
      <c r="X1998" s="2"/>
      <c r="Y1998" s="2"/>
      <c r="Z1998" s="2"/>
    </row>
    <row r="1999" spans="1:26" ht="13.8" x14ac:dyDescent="0.3">
      <c r="A1999" s="2"/>
      <c r="B1999" s="2"/>
      <c r="C1999" s="10"/>
      <c r="D1999" s="10"/>
      <c r="E1999" s="10"/>
      <c r="F1999" s="10"/>
      <c r="G1999" s="69"/>
      <c r="H1999" s="69"/>
      <c r="I1999" s="69"/>
      <c r="J1999" s="70"/>
      <c r="K1999" s="69"/>
      <c r="L1999" s="69"/>
      <c r="M1999" s="69"/>
      <c r="N1999" s="69"/>
      <c r="O1999" s="69"/>
      <c r="P1999" s="2"/>
      <c r="Q1999" s="2"/>
      <c r="R1999" s="32"/>
      <c r="S1999" s="32"/>
      <c r="T1999" s="32"/>
      <c r="U1999" s="32"/>
      <c r="V1999" s="2"/>
      <c r="W1999" s="2"/>
      <c r="X1999" s="2"/>
      <c r="Y1999" s="2"/>
      <c r="Z1999" s="2"/>
    </row>
    <row r="2000" spans="1:26" ht="13.8" x14ac:dyDescent="0.3">
      <c r="A2000" s="2"/>
      <c r="B2000" s="2"/>
      <c r="C2000" s="10"/>
      <c r="D2000" s="10"/>
      <c r="E2000" s="10"/>
      <c r="F2000" s="10"/>
      <c r="G2000" s="69"/>
      <c r="H2000" s="69"/>
      <c r="I2000" s="69"/>
      <c r="J2000" s="70"/>
      <c r="K2000" s="69"/>
      <c r="L2000" s="69"/>
      <c r="M2000" s="69"/>
      <c r="N2000" s="69"/>
      <c r="O2000" s="69"/>
      <c r="P2000" s="2"/>
      <c r="Q2000" s="2"/>
      <c r="R2000" s="32"/>
      <c r="S2000" s="32"/>
      <c r="T2000" s="32"/>
      <c r="U2000" s="32"/>
      <c r="V2000" s="2"/>
      <c r="W2000" s="2"/>
      <c r="X2000" s="2"/>
      <c r="Y2000" s="2"/>
      <c r="Z2000" s="2"/>
    </row>
  </sheetData>
  <hyperlinks>
    <hyperlink ref="D469" r:id="rId1" xr:uid="{00000000-0004-0000-12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Z1000"/>
  <sheetViews>
    <sheetView tabSelected="1" workbookViewId="0">
      <pane ySplit="1" topLeftCell="A2" activePane="bottomLeft" state="frozen"/>
      <selection pane="bottomLeft" activeCell="L2" sqref="L2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9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30</v>
      </c>
      <c r="C2" s="95" t="s">
        <v>1335</v>
      </c>
      <c r="D2" s="72" t="s">
        <v>1336</v>
      </c>
      <c r="E2" s="69">
        <v>513.70000000000005</v>
      </c>
      <c r="F2" s="69">
        <v>35.1</v>
      </c>
      <c r="G2" s="69">
        <f>F2*0.55</f>
        <v>19.305000000000003</v>
      </c>
      <c r="H2" s="70">
        <v>0.20523350000000001</v>
      </c>
      <c r="I2" s="69">
        <f>(E2*0.98+G2)*H2*0.95</f>
        <v>101.917817054075</v>
      </c>
      <c r="J2" s="61">
        <f>E2*0.02*H2*0.95</f>
        <v>2.00314053005</v>
      </c>
      <c r="K2" s="61">
        <f>F2*0.22*H2*0.95</f>
        <v>1.50557243265</v>
      </c>
      <c r="L2" s="58">
        <f>SUM(J:K)</f>
        <v>815.22820312163981</v>
      </c>
      <c r="M2" s="2" t="s">
        <v>412</v>
      </c>
      <c r="N2" s="2" t="s">
        <v>413</v>
      </c>
      <c r="O2" s="32">
        <v>-0.01</v>
      </c>
      <c r="P2" s="32">
        <f>SUM(I:I)</f>
        <v>2982.3795048311204</v>
      </c>
      <c r="Q2" s="32">
        <f>SUM(O:O)</f>
        <v>-3260.5000000000014</v>
      </c>
      <c r="R2" s="32">
        <f>P2+Q2</f>
        <v>-278.12049516888101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32" t="s">
        <v>23</v>
      </c>
      <c r="C3" s="10">
        <v>8650027</v>
      </c>
      <c r="D3" s="32" t="s">
        <v>1337</v>
      </c>
      <c r="E3" s="69">
        <v>485.65</v>
      </c>
      <c r="F3" s="69">
        <v>29.67</v>
      </c>
      <c r="G3" s="69">
        <f t="shared" ref="G3:G11" si="0">F3*0.5</f>
        <v>14.835000000000001</v>
      </c>
      <c r="H3" s="70">
        <v>0.20366600000000001</v>
      </c>
      <c r="I3" s="69">
        <f t="shared" ref="I3:I4" si="1">(E3*0.98+G3)*H3</f>
        <v>99.953570151999998</v>
      </c>
      <c r="J3" s="61">
        <f t="shared" ref="J3:J4" si="2">E3*0.02*H3</f>
        <v>1.978207858</v>
      </c>
      <c r="K3" s="61">
        <f t="shared" ref="K3:K5" si="3">F3*0.2*H3</f>
        <v>1.2085540440000002</v>
      </c>
      <c r="L3" s="58"/>
      <c r="M3" s="2" t="s">
        <v>312</v>
      </c>
      <c r="N3" s="2" t="s">
        <v>415</v>
      </c>
      <c r="O3" s="32">
        <v>-1.81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32" t="s">
        <v>23</v>
      </c>
      <c r="C4" s="10">
        <v>9125209</v>
      </c>
      <c r="D4" s="32" t="s">
        <v>1338</v>
      </c>
      <c r="E4" s="69">
        <v>372.89</v>
      </c>
      <c r="F4" s="69">
        <v>30.93</v>
      </c>
      <c r="G4" s="69">
        <f t="shared" si="0"/>
        <v>15.465</v>
      </c>
      <c r="H4" s="70">
        <v>0.20366600000000001</v>
      </c>
      <c r="I4" s="69">
        <f t="shared" si="1"/>
        <v>77.575809135199989</v>
      </c>
      <c r="J4" s="61">
        <f t="shared" si="2"/>
        <v>1.5189002948000001</v>
      </c>
      <c r="K4" s="61">
        <f t="shared" si="3"/>
        <v>1.259877876</v>
      </c>
      <c r="L4" s="58"/>
      <c r="M4" s="2" t="s">
        <v>295</v>
      </c>
      <c r="N4" s="2" t="s">
        <v>416</v>
      </c>
      <c r="O4" s="32">
        <v>-1.38</v>
      </c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2" t="s">
        <v>17</v>
      </c>
      <c r="C5" s="10">
        <v>9316168</v>
      </c>
      <c r="D5" s="32" t="s">
        <v>1339</v>
      </c>
      <c r="E5" s="32">
        <v>-16</v>
      </c>
      <c r="F5" s="32">
        <v>68.599999999999994</v>
      </c>
      <c r="G5" s="69">
        <f t="shared" si="0"/>
        <v>34.299999999999997</v>
      </c>
      <c r="H5" s="70">
        <v>0.20366600000000001</v>
      </c>
      <c r="I5" s="69">
        <f>(E5+G5)*H5</f>
        <v>3.7270877999999996</v>
      </c>
      <c r="J5" s="61">
        <v>0</v>
      </c>
      <c r="K5" s="61">
        <f t="shared" si="3"/>
        <v>2.7942975199999998</v>
      </c>
      <c r="L5" s="58"/>
      <c r="M5" s="2" t="s">
        <v>629</v>
      </c>
      <c r="N5" s="2" t="s">
        <v>1340</v>
      </c>
      <c r="O5" s="32">
        <v>546.46</v>
      </c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296</v>
      </c>
      <c r="B6" s="46" t="s">
        <v>268</v>
      </c>
      <c r="C6" s="10">
        <v>1063108</v>
      </c>
      <c r="D6" s="10" t="s">
        <v>1341</v>
      </c>
      <c r="E6" s="32">
        <v>1001.3</v>
      </c>
      <c r="F6" s="32">
        <v>107.5</v>
      </c>
      <c r="G6" s="69">
        <f t="shared" si="0"/>
        <v>53.75</v>
      </c>
      <c r="H6" s="70">
        <v>0.20533899999999999</v>
      </c>
      <c r="I6" s="69">
        <f>(E6*0.98+G6)*H6*0.9</f>
        <v>191.27771382239999</v>
      </c>
      <c r="J6" s="61">
        <f>E6*0.02*H6*0.9</f>
        <v>3.7009069325999997</v>
      </c>
      <c r="K6" s="61">
        <f t="shared" ref="K6:K9" si="4">F6*0.25*H6*0.9</f>
        <v>4.9666370624999994</v>
      </c>
      <c r="L6" s="58"/>
      <c r="M6" s="2" t="s">
        <v>629</v>
      </c>
      <c r="N6" s="2" t="s">
        <v>529</v>
      </c>
      <c r="O6" s="32">
        <v>-2158.9</v>
      </c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296</v>
      </c>
      <c r="B7" s="46" t="s">
        <v>268</v>
      </c>
      <c r="C7" s="10">
        <v>1063111</v>
      </c>
      <c r="D7" s="32" t="s">
        <v>1342</v>
      </c>
      <c r="E7" s="69">
        <v>-7.1</v>
      </c>
      <c r="F7" s="69">
        <v>67.099999999999994</v>
      </c>
      <c r="G7" s="69">
        <f t="shared" si="0"/>
        <v>33.549999999999997</v>
      </c>
      <c r="H7" s="70">
        <v>0.20533899999999999</v>
      </c>
      <c r="I7" s="69">
        <f t="shared" ref="I7:I8" si="5">(E7+G7)*H7*0.9</f>
        <v>4.8880948949999992</v>
      </c>
      <c r="J7" s="61">
        <v>0</v>
      </c>
      <c r="K7" s="61">
        <f t="shared" si="4"/>
        <v>3.1001055525000001</v>
      </c>
      <c r="L7" s="58"/>
      <c r="M7" s="2" t="s">
        <v>299</v>
      </c>
      <c r="N7" s="2" t="s">
        <v>417</v>
      </c>
      <c r="O7" s="32">
        <v>0.45</v>
      </c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2" t="s">
        <v>296</v>
      </c>
      <c r="B8" s="46" t="s">
        <v>268</v>
      </c>
      <c r="C8" s="10">
        <v>1063113</v>
      </c>
      <c r="D8" s="32" t="s">
        <v>1343</v>
      </c>
      <c r="E8" s="69">
        <v>-605.04999999999995</v>
      </c>
      <c r="F8" s="69">
        <v>208.65</v>
      </c>
      <c r="G8" s="69">
        <f t="shared" si="0"/>
        <v>104.325</v>
      </c>
      <c r="H8" s="70">
        <v>0.20533899999999999</v>
      </c>
      <c r="I8" s="69">
        <f t="shared" si="5"/>
        <v>-92.536533697499991</v>
      </c>
      <c r="J8" s="61">
        <v>0</v>
      </c>
      <c r="K8" s="61">
        <f t="shared" si="4"/>
        <v>9.63989602875</v>
      </c>
      <c r="L8" s="58"/>
      <c r="M8" s="2" t="s">
        <v>301</v>
      </c>
      <c r="N8" s="2" t="s">
        <v>1344</v>
      </c>
      <c r="O8" s="32">
        <v>17764.57</v>
      </c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 t="s">
        <v>296</v>
      </c>
      <c r="B9" s="46" t="s">
        <v>268</v>
      </c>
      <c r="C9" s="10">
        <v>1063115</v>
      </c>
      <c r="D9" s="10" t="s">
        <v>1345</v>
      </c>
      <c r="E9" s="32">
        <v>212.4</v>
      </c>
      <c r="F9" s="32">
        <v>212.45</v>
      </c>
      <c r="G9" s="69">
        <f t="shared" si="0"/>
        <v>106.22499999999999</v>
      </c>
      <c r="H9" s="70">
        <v>0.20533899999999999</v>
      </c>
      <c r="I9" s="69">
        <f>(E9*0.98+G9)*H9*0.9</f>
        <v>58.098472922699997</v>
      </c>
      <c r="J9" s="61">
        <f>E9*0.02*H9*0.9</f>
        <v>0.7850520648</v>
      </c>
      <c r="K9" s="61">
        <f t="shared" si="4"/>
        <v>9.8154608737500002</v>
      </c>
      <c r="L9" s="58"/>
      <c r="M9" s="2" t="s">
        <v>301</v>
      </c>
      <c r="N9" s="2" t="s">
        <v>15</v>
      </c>
      <c r="O9" s="32">
        <v>-8882.2800000000007</v>
      </c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296</v>
      </c>
      <c r="B10" s="2" t="s">
        <v>148</v>
      </c>
      <c r="C10" s="10">
        <v>8405860</v>
      </c>
      <c r="D10" s="10" t="s">
        <v>1346</v>
      </c>
      <c r="E10" s="32">
        <v>-531.96</v>
      </c>
      <c r="F10" s="32">
        <v>35.04</v>
      </c>
      <c r="G10" s="69">
        <f t="shared" si="0"/>
        <v>17.52</v>
      </c>
      <c r="H10" s="70">
        <v>0.20533899999999999</v>
      </c>
      <c r="I10" s="69">
        <f t="shared" ref="I10:I11" si="6">(E10+G10)*H10*0.9</f>
        <v>-95.071135644000009</v>
      </c>
      <c r="J10" s="61">
        <f t="shared" ref="J10:J11" si="7">E10*0.05*H10</f>
        <v>-5.461606722</v>
      </c>
      <c r="K10" s="61">
        <f t="shared" ref="K10:K11" si="8">(F10*0.25*0.95+G10*0.05)*H10</f>
        <v>1.8887081219999997</v>
      </c>
      <c r="L10" s="58"/>
      <c r="M10" s="2" t="s">
        <v>334</v>
      </c>
      <c r="N10" s="2" t="s">
        <v>422</v>
      </c>
      <c r="O10" s="32">
        <v>-2.79</v>
      </c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296</v>
      </c>
      <c r="B11" s="2" t="s">
        <v>148</v>
      </c>
      <c r="C11" s="10">
        <v>8388558</v>
      </c>
      <c r="D11" s="10" t="s">
        <v>1347</v>
      </c>
      <c r="E11" s="32">
        <v>-603.99</v>
      </c>
      <c r="F11" s="32">
        <v>30.71</v>
      </c>
      <c r="G11" s="69">
        <f t="shared" si="0"/>
        <v>15.355</v>
      </c>
      <c r="H11" s="70">
        <v>0.20533899999999999</v>
      </c>
      <c r="I11" s="69">
        <f t="shared" si="6"/>
        <v>-108.7827500385</v>
      </c>
      <c r="J11" s="61">
        <f t="shared" si="7"/>
        <v>-6.2011351305</v>
      </c>
      <c r="K11" s="61">
        <f t="shared" si="8"/>
        <v>1.6553146811249999</v>
      </c>
      <c r="L11" s="58"/>
      <c r="M11" s="2" t="s">
        <v>602</v>
      </c>
      <c r="N11" s="2" t="s">
        <v>529</v>
      </c>
      <c r="O11" s="32">
        <v>-9672.17</v>
      </c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296</v>
      </c>
      <c r="B12" s="32" t="s">
        <v>263</v>
      </c>
      <c r="C12" s="10">
        <v>9017225</v>
      </c>
      <c r="D12" s="10" t="s">
        <v>1348</v>
      </c>
      <c r="E12" s="32">
        <v>-587</v>
      </c>
      <c r="F12" s="32">
        <v>1228</v>
      </c>
      <c r="G12" s="69">
        <f t="shared" ref="G12:G15" si="9">F12*0.575</f>
        <v>706.09999999999991</v>
      </c>
      <c r="H12" s="70">
        <v>1.8027465642112699E-2</v>
      </c>
      <c r="I12" s="69">
        <f t="shared" ref="I12:I14" si="10">(E12+G12)*H12*0.8</f>
        <v>1.7176569263804968</v>
      </c>
      <c r="J12" s="61">
        <f t="shared" ref="J12:J14" si="11">E12*0.1*H12</f>
        <v>-1.0582122331920154</v>
      </c>
      <c r="K12" s="61">
        <f t="shared" ref="K12:K15" si="12">(F12*0.125*0.9+G12*0.1)*H12</f>
        <v>3.7634137274474471</v>
      </c>
      <c r="L12" s="58"/>
      <c r="M12" s="2" t="s">
        <v>1108</v>
      </c>
      <c r="N12" s="2" t="s">
        <v>1349</v>
      </c>
      <c r="O12" s="32">
        <v>517.5</v>
      </c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296</v>
      </c>
      <c r="B13" s="32" t="s">
        <v>263</v>
      </c>
      <c r="C13" s="10">
        <v>9471267</v>
      </c>
      <c r="D13" s="32" t="s">
        <v>1350</v>
      </c>
      <c r="E13" s="69">
        <v>-630.44000000000005</v>
      </c>
      <c r="F13" s="69">
        <v>237</v>
      </c>
      <c r="G13" s="69">
        <f t="shared" si="9"/>
        <v>136.27499999999998</v>
      </c>
      <c r="H13" s="70">
        <v>1.8027465642112699E-2</v>
      </c>
      <c r="I13" s="69">
        <f t="shared" si="10"/>
        <v>-7.1268340472276996</v>
      </c>
      <c r="J13" s="61">
        <f t="shared" si="11"/>
        <v>-1.1365235439413532</v>
      </c>
      <c r="K13" s="61">
        <f t="shared" si="12"/>
        <v>0.72632659072072059</v>
      </c>
      <c r="L13" s="58"/>
      <c r="M13" s="2" t="s">
        <v>303</v>
      </c>
      <c r="N13" s="2" t="s">
        <v>423</v>
      </c>
      <c r="O13" s="32">
        <v>-0.04</v>
      </c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 t="s">
        <v>296</v>
      </c>
      <c r="B14" s="32" t="s">
        <v>263</v>
      </c>
      <c r="C14" s="10">
        <v>9275501</v>
      </c>
      <c r="D14" s="32" t="s">
        <v>1351</v>
      </c>
      <c r="E14" s="69">
        <v>-9602.36</v>
      </c>
      <c r="F14" s="69">
        <v>1026</v>
      </c>
      <c r="G14" s="69">
        <f t="shared" si="9"/>
        <v>589.94999999999993</v>
      </c>
      <c r="H14" s="70">
        <v>1.8027465642112699E-2</v>
      </c>
      <c r="I14" s="69">
        <f t="shared" si="10"/>
        <v>-129.97672930210635</v>
      </c>
      <c r="J14" s="61">
        <f t="shared" si="11"/>
        <v>-17.310621498319733</v>
      </c>
      <c r="K14" s="61">
        <f t="shared" si="12"/>
        <v>3.144350557297297</v>
      </c>
      <c r="L14" s="58"/>
      <c r="M14" s="2" t="s">
        <v>606</v>
      </c>
      <c r="N14" s="2" t="s">
        <v>529</v>
      </c>
      <c r="O14" s="32">
        <v>-655.54</v>
      </c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 t="s">
        <v>296</v>
      </c>
      <c r="B15" s="32" t="s">
        <v>263</v>
      </c>
      <c r="C15" s="10">
        <v>8749308</v>
      </c>
      <c r="D15" s="2" t="s">
        <v>1352</v>
      </c>
      <c r="E15" s="32">
        <v>9984</v>
      </c>
      <c r="F15" s="32">
        <v>590</v>
      </c>
      <c r="G15" s="69">
        <f t="shared" si="9"/>
        <v>339.25</v>
      </c>
      <c r="H15" s="70">
        <v>1.8027465642112699E-2</v>
      </c>
      <c r="I15" s="69">
        <f>(E15*0.95+G15)*H15*0.8</f>
        <v>141.68217907311779</v>
      </c>
      <c r="J15" s="61">
        <f>(E15*0.1+E15*0.05*0.8)*H15</f>
        <v>25.19807037591945</v>
      </c>
      <c r="K15" s="61">
        <f t="shared" si="12"/>
        <v>1.8081548039039039</v>
      </c>
      <c r="L15" s="58"/>
      <c r="M15" s="2" t="s">
        <v>306</v>
      </c>
      <c r="N15" s="2" t="s">
        <v>425</v>
      </c>
      <c r="O15" s="32">
        <v>-0.23</v>
      </c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 t="s">
        <v>296</v>
      </c>
      <c r="B16" s="10" t="s">
        <v>65</v>
      </c>
      <c r="C16" s="10">
        <v>141619</v>
      </c>
      <c r="D16" s="32" t="s">
        <v>1353</v>
      </c>
      <c r="E16" s="32">
        <v>1187.44</v>
      </c>
      <c r="F16" s="32">
        <v>90.16</v>
      </c>
      <c r="G16" s="32">
        <f>F16*0.6</f>
        <v>54.095999999999997</v>
      </c>
      <c r="H16" s="75">
        <v>0.26985999999999999</v>
      </c>
      <c r="I16" s="32">
        <f>(E16+G16)*H16</f>
        <v>335.04090495999998</v>
      </c>
      <c r="J16" s="61">
        <v>0</v>
      </c>
      <c r="K16" s="61">
        <f>F16*0.25*H16</f>
        <v>6.0826443999999995</v>
      </c>
      <c r="L16" s="58"/>
      <c r="M16" s="2" t="s">
        <v>367</v>
      </c>
      <c r="N16" s="2" t="s">
        <v>426</v>
      </c>
      <c r="O16" s="32">
        <v>2.67</v>
      </c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 t="s">
        <v>317</v>
      </c>
      <c r="B17" s="32" t="s">
        <v>23</v>
      </c>
      <c r="C17" s="10">
        <v>8650027</v>
      </c>
      <c r="D17" s="32" t="s">
        <v>1337</v>
      </c>
      <c r="E17" s="69">
        <v>42.92</v>
      </c>
      <c r="F17" s="69">
        <v>61.33</v>
      </c>
      <c r="G17" s="69">
        <f t="shared" ref="G17:G22" si="13">F17*0.5</f>
        <v>30.664999999999999</v>
      </c>
      <c r="H17" s="70">
        <v>0.20366600000000001</v>
      </c>
      <c r="I17" s="69">
        <f t="shared" ref="I17:I18" si="14">(E17*0.98+G17)*H17</f>
        <v>14.811935715599999</v>
      </c>
      <c r="J17" s="61">
        <f t="shared" ref="J17:J18" si="15">E17*0.02*H17</f>
        <v>0.17482689440000002</v>
      </c>
      <c r="K17" s="61">
        <f t="shared" ref="K17:K20" si="16">F17*0.2*H17</f>
        <v>2.4981671560000001</v>
      </c>
      <c r="L17" s="58"/>
      <c r="M17" s="2" t="s">
        <v>311</v>
      </c>
      <c r="N17" s="2" t="s">
        <v>428</v>
      </c>
      <c r="O17" s="32">
        <v>0.21</v>
      </c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 t="s">
        <v>317</v>
      </c>
      <c r="B18" s="32" t="s">
        <v>23</v>
      </c>
      <c r="C18" s="10">
        <v>9125209</v>
      </c>
      <c r="D18" s="32" t="s">
        <v>1338</v>
      </c>
      <c r="E18" s="69">
        <v>1043.82</v>
      </c>
      <c r="F18" s="69">
        <v>111.71</v>
      </c>
      <c r="G18" s="69">
        <f t="shared" si="13"/>
        <v>55.854999999999997</v>
      </c>
      <c r="H18" s="70">
        <v>0.20366600000000001</v>
      </c>
      <c r="I18" s="69">
        <f t="shared" si="14"/>
        <v>219.71459566759998</v>
      </c>
      <c r="J18" s="61">
        <f t="shared" si="15"/>
        <v>4.2518128824000003</v>
      </c>
      <c r="K18" s="61">
        <f t="shared" si="16"/>
        <v>4.5503057719999997</v>
      </c>
      <c r="L18" s="58"/>
      <c r="M18" s="2" t="s">
        <v>665</v>
      </c>
      <c r="N18" s="2" t="s">
        <v>529</v>
      </c>
      <c r="O18" s="32">
        <v>-718.69</v>
      </c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 t="s">
        <v>317</v>
      </c>
      <c r="B19" s="2" t="s">
        <v>17</v>
      </c>
      <c r="C19" s="10">
        <v>9316168</v>
      </c>
      <c r="D19" s="32" t="s">
        <v>1339</v>
      </c>
      <c r="E19" s="32">
        <v>-556</v>
      </c>
      <c r="F19" s="32">
        <v>178</v>
      </c>
      <c r="G19" s="69">
        <f t="shared" si="13"/>
        <v>89</v>
      </c>
      <c r="H19" s="70">
        <v>0.20366600000000001</v>
      </c>
      <c r="I19" s="69">
        <f t="shared" ref="I19:I20" si="17">(E19+G19)*H19</f>
        <v>-95.11202200000001</v>
      </c>
      <c r="J19" s="61">
        <v>0</v>
      </c>
      <c r="K19" s="61">
        <f t="shared" si="16"/>
        <v>7.2505096000000009</v>
      </c>
      <c r="L19" s="58"/>
      <c r="M19" s="2" t="s">
        <v>314</v>
      </c>
      <c r="N19" s="2" t="s">
        <v>430</v>
      </c>
      <c r="O19" s="32">
        <v>-0.56000000000000005</v>
      </c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32" t="s">
        <v>317</v>
      </c>
      <c r="B20" s="32" t="s">
        <v>17</v>
      </c>
      <c r="C20" s="10">
        <v>9376978</v>
      </c>
      <c r="D20" s="32" t="s">
        <v>1354</v>
      </c>
      <c r="E20" s="69">
        <v>-8</v>
      </c>
      <c r="F20" s="69">
        <v>0.15</v>
      </c>
      <c r="G20" s="69">
        <f t="shared" si="13"/>
        <v>7.4999999999999997E-2</v>
      </c>
      <c r="H20" s="70">
        <v>0.20366600000000001</v>
      </c>
      <c r="I20" s="69">
        <f t="shared" si="17"/>
        <v>-1.6140530500000001</v>
      </c>
      <c r="J20" s="61">
        <v>0</v>
      </c>
      <c r="K20" s="61">
        <f t="shared" si="16"/>
        <v>6.1099800000000001E-3</v>
      </c>
      <c r="L20" s="58"/>
      <c r="M20" s="2" t="s">
        <v>316</v>
      </c>
      <c r="N20" s="2" t="s">
        <v>434</v>
      </c>
      <c r="O20" s="32">
        <v>1.55</v>
      </c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32" t="s">
        <v>317</v>
      </c>
      <c r="B21" s="2" t="s">
        <v>148</v>
      </c>
      <c r="C21" s="10">
        <v>8405860</v>
      </c>
      <c r="D21" s="10" t="s">
        <v>1346</v>
      </c>
      <c r="E21" s="32">
        <v>574.08000000000004</v>
      </c>
      <c r="F21" s="32">
        <v>51.59</v>
      </c>
      <c r="G21" s="69">
        <f t="shared" si="13"/>
        <v>25.795000000000002</v>
      </c>
      <c r="H21" s="70">
        <v>0.20576</v>
      </c>
      <c r="I21" s="69">
        <f t="shared" ref="I21:I22" si="18">(E21+G21)*H21*0.9</f>
        <v>111.08725199999999</v>
      </c>
      <c r="J21" s="61">
        <f t="shared" ref="J21:J22" si="19">E21*0.05*H21</f>
        <v>5.9061350400000006</v>
      </c>
      <c r="K21" s="61">
        <f t="shared" ref="K21:K22" si="20">(F21*0.25*0.95+G21*0.05)*H21</f>
        <v>2.7864790799999999</v>
      </c>
      <c r="L21" s="58"/>
      <c r="M21" s="2" t="s">
        <v>389</v>
      </c>
      <c r="N21" s="2" t="s">
        <v>559</v>
      </c>
      <c r="O21" s="32">
        <v>-0.12</v>
      </c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32" t="s">
        <v>317</v>
      </c>
      <c r="B22" s="2" t="s">
        <v>148</v>
      </c>
      <c r="C22" s="10">
        <v>8388558</v>
      </c>
      <c r="D22" s="10" t="s">
        <v>1347</v>
      </c>
      <c r="E22" s="32">
        <v>47.38</v>
      </c>
      <c r="F22" s="32">
        <v>58.02</v>
      </c>
      <c r="G22" s="69">
        <f t="shared" si="13"/>
        <v>29.01</v>
      </c>
      <c r="H22" s="70">
        <v>0.20576</v>
      </c>
      <c r="I22" s="69">
        <f t="shared" si="18"/>
        <v>14.146205760000001</v>
      </c>
      <c r="J22" s="61">
        <f t="shared" si="19"/>
        <v>0.48744544000000006</v>
      </c>
      <c r="K22" s="61">
        <f t="shared" si="20"/>
        <v>3.13377624</v>
      </c>
      <c r="L22" s="58"/>
      <c r="M22" s="2" t="s">
        <v>319</v>
      </c>
      <c r="N22" s="2" t="s">
        <v>440</v>
      </c>
      <c r="O22" s="32">
        <v>0.16</v>
      </c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32" t="s">
        <v>317</v>
      </c>
      <c r="B23" s="32" t="s">
        <v>263</v>
      </c>
      <c r="C23" s="10">
        <v>9017225</v>
      </c>
      <c r="D23" s="32" t="s">
        <v>1348</v>
      </c>
      <c r="E23" s="32">
        <v>30217</v>
      </c>
      <c r="F23" s="32">
        <v>6115</v>
      </c>
      <c r="G23" s="69">
        <f t="shared" ref="G23:G26" si="21">F23*0.575</f>
        <v>3516.1249999999995</v>
      </c>
      <c r="H23" s="70">
        <v>1.7892000000000002E-2</v>
      </c>
      <c r="I23" s="69">
        <f t="shared" ref="I23:I26" si="22">(E23*0.95+G23)*H23*0.8</f>
        <v>461.21675544000004</v>
      </c>
      <c r="J23" s="61">
        <f t="shared" ref="J23:J26" si="23">(E23*0.1+E23*0.05*0.8)*H23</f>
        <v>75.689958960000013</v>
      </c>
      <c r="K23" s="61">
        <f t="shared" ref="K23:K26" si="24">(F23*0.125*0.9+G23*0.1)*H23</f>
        <v>18.599628600000003</v>
      </c>
      <c r="L23" s="58"/>
      <c r="M23" s="2" t="s">
        <v>320</v>
      </c>
      <c r="N23" s="2" t="s">
        <v>560</v>
      </c>
      <c r="O23" s="32">
        <v>-0.03</v>
      </c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32" t="s">
        <v>317</v>
      </c>
      <c r="B24" s="32" t="s">
        <v>263</v>
      </c>
      <c r="C24" s="10">
        <v>9471267</v>
      </c>
      <c r="D24" s="32" t="s">
        <v>1350</v>
      </c>
      <c r="E24" s="32">
        <v>10027.56</v>
      </c>
      <c r="F24" s="32">
        <v>1381</v>
      </c>
      <c r="G24" s="69">
        <f t="shared" si="21"/>
        <v>794.07499999999993</v>
      </c>
      <c r="H24" s="70">
        <v>1.7892000000000002E-2</v>
      </c>
      <c r="I24" s="69">
        <f t="shared" si="22"/>
        <v>147.7200305952</v>
      </c>
      <c r="J24" s="61">
        <f t="shared" si="23"/>
        <v>25.117834492800004</v>
      </c>
      <c r="K24" s="61">
        <f t="shared" si="24"/>
        <v>4.2005048400000007</v>
      </c>
      <c r="L24" s="58"/>
      <c r="M24" s="2" t="s">
        <v>322</v>
      </c>
      <c r="N24" s="2" t="s">
        <v>561</v>
      </c>
      <c r="O24" s="32">
        <v>-0.04</v>
      </c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32" t="s">
        <v>317</v>
      </c>
      <c r="B25" s="32" t="s">
        <v>263</v>
      </c>
      <c r="C25" s="10">
        <v>8749308</v>
      </c>
      <c r="D25" s="10" t="s">
        <v>1352</v>
      </c>
      <c r="E25" s="32">
        <v>23418</v>
      </c>
      <c r="F25" s="32">
        <v>3042</v>
      </c>
      <c r="G25" s="69">
        <f t="shared" si="21"/>
        <v>1749.1499999999999</v>
      </c>
      <c r="H25" s="70">
        <v>1.7892000000000002E-2</v>
      </c>
      <c r="I25" s="69">
        <f t="shared" si="22"/>
        <v>343.47272400000003</v>
      </c>
      <c r="J25" s="61">
        <f t="shared" si="23"/>
        <v>58.659279840000011</v>
      </c>
      <c r="K25" s="61">
        <f t="shared" si="24"/>
        <v>9.2526688799999999</v>
      </c>
      <c r="L25" s="58"/>
      <c r="M25" s="2" t="s">
        <v>323</v>
      </c>
      <c r="N25" s="2" t="s">
        <v>562</v>
      </c>
      <c r="O25" s="32">
        <v>0.57999999999999996</v>
      </c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32" t="s">
        <v>317</v>
      </c>
      <c r="B26" s="32" t="s">
        <v>263</v>
      </c>
      <c r="C26" s="10">
        <v>9275501</v>
      </c>
      <c r="D26" s="10" t="s">
        <v>1351</v>
      </c>
      <c r="E26" s="32">
        <v>2251.6</v>
      </c>
      <c r="F26" s="32">
        <v>899</v>
      </c>
      <c r="G26" s="69">
        <f t="shared" si="21"/>
        <v>516.92499999999995</v>
      </c>
      <c r="H26" s="70">
        <v>1.7892000000000002E-2</v>
      </c>
      <c r="I26" s="69">
        <f t="shared" si="22"/>
        <v>38.016134352000002</v>
      </c>
      <c r="J26" s="61">
        <f t="shared" si="23"/>
        <v>5.6399878080000008</v>
      </c>
      <c r="K26" s="61">
        <f t="shared" si="24"/>
        <v>2.7344343599999998</v>
      </c>
      <c r="L26" s="58"/>
      <c r="M26" s="2" t="s">
        <v>348</v>
      </c>
      <c r="N26" s="2" t="s">
        <v>563</v>
      </c>
      <c r="O26" s="32">
        <v>-0.06</v>
      </c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 t="s">
        <v>317</v>
      </c>
      <c r="B27" s="46" t="s">
        <v>268</v>
      </c>
      <c r="C27" s="10">
        <v>1063108</v>
      </c>
      <c r="D27" s="10" t="s">
        <v>1341</v>
      </c>
      <c r="E27" s="69">
        <v>-189.95</v>
      </c>
      <c r="F27" s="69">
        <v>67</v>
      </c>
      <c r="G27" s="69">
        <f t="shared" ref="G27:G34" si="25">F27*0.5</f>
        <v>33.5</v>
      </c>
      <c r="H27" s="73">
        <v>0.20576</v>
      </c>
      <c r="I27" s="69">
        <f>(E27+G27)*H27*0.9</f>
        <v>-28.972036799999998</v>
      </c>
      <c r="J27" s="61">
        <f>E27*0.1*H27</f>
        <v>-3.9084112000000002</v>
      </c>
      <c r="K27" s="61">
        <f t="shared" ref="K27:K34" si="26">(F27*0.25+G27*0.1)*H27</f>
        <v>4.1357759999999999</v>
      </c>
      <c r="L27" s="58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 t="s">
        <v>317</v>
      </c>
      <c r="B28" s="46" t="s">
        <v>268</v>
      </c>
      <c r="C28" s="10">
        <v>1063111</v>
      </c>
      <c r="D28" s="32" t="s">
        <v>1342</v>
      </c>
      <c r="E28" s="32">
        <v>166.15</v>
      </c>
      <c r="F28" s="32">
        <v>47.65</v>
      </c>
      <c r="G28" s="69">
        <f t="shared" si="25"/>
        <v>23.824999999999999</v>
      </c>
      <c r="H28" s="73">
        <v>0.20576</v>
      </c>
      <c r="I28" s="69">
        <f>(E28*0.98+G28)*H28*0.9</f>
        <v>34.564963967999994</v>
      </c>
      <c r="J28" s="61">
        <f>(E28*0.02*0.9+E28*0.1)*H28</f>
        <v>4.0340688320000009</v>
      </c>
      <c r="K28" s="61">
        <f t="shared" si="26"/>
        <v>2.9413391999999998</v>
      </c>
      <c r="L28" s="58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 t="s">
        <v>317</v>
      </c>
      <c r="B29" s="46" t="s">
        <v>268</v>
      </c>
      <c r="C29" s="10">
        <v>1063113</v>
      </c>
      <c r="D29" s="32" t="s">
        <v>1343</v>
      </c>
      <c r="E29" s="32">
        <v>-680.1</v>
      </c>
      <c r="F29" s="32">
        <v>207.85</v>
      </c>
      <c r="G29" s="69">
        <f t="shared" si="25"/>
        <v>103.925</v>
      </c>
      <c r="H29" s="73">
        <v>0.20576</v>
      </c>
      <c r="I29" s="69">
        <f>(E29+G29)*H29*0.9</f>
        <v>-106.69839120000002</v>
      </c>
      <c r="J29" s="61">
        <f>E29*0.1*H29</f>
        <v>-13.993737600000001</v>
      </c>
      <c r="K29" s="61">
        <f t="shared" si="26"/>
        <v>12.830164799999999</v>
      </c>
      <c r="L29" s="58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32" t="s">
        <v>317</v>
      </c>
      <c r="B30" s="46" t="s">
        <v>268</v>
      </c>
      <c r="C30" s="10">
        <v>1063115</v>
      </c>
      <c r="D30" s="10" t="s">
        <v>1345</v>
      </c>
      <c r="E30" s="32">
        <v>425.45</v>
      </c>
      <c r="F30" s="32">
        <v>173.8</v>
      </c>
      <c r="G30" s="69">
        <f t="shared" si="25"/>
        <v>86.9</v>
      </c>
      <c r="H30" s="73">
        <v>0.20576</v>
      </c>
      <c r="I30" s="69">
        <f t="shared" ref="I30:I32" si="27">(E30*0.98+G30)*H30*0.9</f>
        <v>93.303291744000006</v>
      </c>
      <c r="J30" s="61">
        <f t="shared" ref="J30:J32" si="28">(E30*0.02*0.9+E30*0.1)*H30</f>
        <v>10.329789856</v>
      </c>
      <c r="K30" s="61">
        <f t="shared" si="26"/>
        <v>10.7283264</v>
      </c>
      <c r="L30" s="58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32" t="s">
        <v>317</v>
      </c>
      <c r="B31" s="2" t="s">
        <v>10</v>
      </c>
      <c r="C31" s="10">
        <v>1064905</v>
      </c>
      <c r="D31" s="32" t="s">
        <v>1355</v>
      </c>
      <c r="E31" s="32">
        <v>436.8</v>
      </c>
      <c r="F31" s="32">
        <v>85.45</v>
      </c>
      <c r="G31" s="69">
        <f t="shared" si="25"/>
        <v>42.725000000000001</v>
      </c>
      <c r="H31" s="73">
        <v>0.20576</v>
      </c>
      <c r="I31" s="69">
        <f t="shared" si="27"/>
        <v>87.182590176000019</v>
      </c>
      <c r="J31" s="61">
        <f t="shared" si="28"/>
        <v>10.605364224000002</v>
      </c>
      <c r="K31" s="61">
        <f t="shared" si="26"/>
        <v>5.2746576000000003</v>
      </c>
      <c r="L31" s="58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32" t="s">
        <v>317</v>
      </c>
      <c r="B32" s="2" t="s">
        <v>10</v>
      </c>
      <c r="C32" s="10">
        <v>1064998</v>
      </c>
      <c r="D32" s="32" t="s">
        <v>1356</v>
      </c>
      <c r="E32" s="32">
        <v>105.65</v>
      </c>
      <c r="F32" s="32">
        <v>73.3</v>
      </c>
      <c r="G32" s="69">
        <f t="shared" si="25"/>
        <v>36.65</v>
      </c>
      <c r="H32" s="73">
        <v>0.20576</v>
      </c>
      <c r="I32" s="69">
        <f t="shared" si="27"/>
        <v>25.960389408000005</v>
      </c>
      <c r="J32" s="61">
        <f t="shared" si="28"/>
        <v>2.5651481920000001</v>
      </c>
      <c r="K32" s="61">
        <f t="shared" si="26"/>
        <v>4.5246623999999995</v>
      </c>
      <c r="L32" s="58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 t="s">
        <v>317</v>
      </c>
      <c r="B33" s="2" t="s">
        <v>10</v>
      </c>
      <c r="C33" s="10">
        <v>1065228</v>
      </c>
      <c r="D33" s="32" t="s">
        <v>1357</v>
      </c>
      <c r="E33" s="69">
        <v>-2057.4499999999998</v>
      </c>
      <c r="F33" s="69">
        <v>286.64999999999998</v>
      </c>
      <c r="G33" s="69">
        <f t="shared" si="25"/>
        <v>143.32499999999999</v>
      </c>
      <c r="H33" s="73">
        <v>0.20576</v>
      </c>
      <c r="I33" s="69">
        <f t="shared" ref="I33:I34" si="29">(E33+G33)*H33*0.9</f>
        <v>-354.46532399999995</v>
      </c>
      <c r="J33" s="61">
        <f t="shared" ref="J33:J34" si="30">E33*0.1*H33</f>
        <v>-42.334091200000003</v>
      </c>
      <c r="K33" s="61">
        <f t="shared" si="26"/>
        <v>17.694331199999997</v>
      </c>
      <c r="L33" s="58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 t="s">
        <v>317</v>
      </c>
      <c r="B34" s="2" t="s">
        <v>10</v>
      </c>
      <c r="C34" s="10">
        <v>1066453</v>
      </c>
      <c r="D34" s="32" t="s">
        <v>1358</v>
      </c>
      <c r="E34" s="69">
        <v>-1272.4000000000001</v>
      </c>
      <c r="F34" s="69">
        <v>131.15</v>
      </c>
      <c r="G34" s="69">
        <f t="shared" si="25"/>
        <v>65.575000000000003</v>
      </c>
      <c r="H34" s="73">
        <v>0.20576</v>
      </c>
      <c r="I34" s="69">
        <f t="shared" si="29"/>
        <v>-223.48468080000001</v>
      </c>
      <c r="J34" s="61">
        <f t="shared" si="30"/>
        <v>-26.180902400000001</v>
      </c>
      <c r="K34" s="61">
        <f t="shared" si="26"/>
        <v>8.0956271999999991</v>
      </c>
      <c r="L34" s="58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 t="s">
        <v>317</v>
      </c>
      <c r="B35" s="32" t="s">
        <v>30</v>
      </c>
      <c r="C35" s="95" t="s">
        <v>1335</v>
      </c>
      <c r="D35" s="72" t="s">
        <v>1336</v>
      </c>
      <c r="E35" s="69">
        <v>-341.8</v>
      </c>
      <c r="F35" s="69">
        <v>72.55</v>
      </c>
      <c r="G35" s="69">
        <f t="shared" ref="G35:G36" si="31">F35*0.55</f>
        <v>39.902500000000003</v>
      </c>
      <c r="H35" s="70">
        <v>0.20521400000000001</v>
      </c>
      <c r="I35" s="69">
        <f t="shared" ref="I35:I36" si="32">(E35+G35)*H35*0.95</f>
        <v>-58.85591388675001</v>
      </c>
      <c r="J35" s="61">
        <v>0</v>
      </c>
      <c r="K35" s="61">
        <f>F35*0.22*H35*0.95</f>
        <v>3.1116496213000002</v>
      </c>
      <c r="L35" s="58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 t="s">
        <v>317</v>
      </c>
      <c r="B36" s="32" t="s">
        <v>30</v>
      </c>
      <c r="C36" s="10">
        <v>8650056</v>
      </c>
      <c r="D36" s="46" t="s">
        <v>1359</v>
      </c>
      <c r="E36" s="32">
        <v>-53.5</v>
      </c>
      <c r="F36" s="32">
        <v>3.15</v>
      </c>
      <c r="G36" s="69">
        <f t="shared" si="31"/>
        <v>1.7325000000000002</v>
      </c>
      <c r="H36" s="70">
        <v>0.20521400000000001</v>
      </c>
      <c r="I36" s="69">
        <f t="shared" si="32"/>
        <v>-10.092244957750001</v>
      </c>
      <c r="J36" s="61">
        <f>E36*0.05*H36</f>
        <v>-0.54894745000000011</v>
      </c>
      <c r="K36" s="61">
        <f>(F36*0.18+G36*0.05)*H36</f>
        <v>0.13413300074999998</v>
      </c>
      <c r="L36" s="58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 t="s">
        <v>317</v>
      </c>
      <c r="B37" s="46" t="s">
        <v>271</v>
      </c>
      <c r="C37" s="10">
        <v>1065125</v>
      </c>
      <c r="D37" s="32" t="s">
        <v>1360</v>
      </c>
      <c r="E37" s="69">
        <v>518.62</v>
      </c>
      <c r="F37" s="69">
        <v>45.85</v>
      </c>
      <c r="G37" s="69">
        <f t="shared" ref="G37:G44" si="33">F37*0.5</f>
        <v>22.925000000000001</v>
      </c>
      <c r="H37" s="70">
        <v>1</v>
      </c>
      <c r="I37" s="69">
        <f>(E37*0.98+G37)*H37*0.9</f>
        <v>478.05534</v>
      </c>
      <c r="J37" s="61">
        <f>E37*0.02*H37*0.9</f>
        <v>9.3351600000000001</v>
      </c>
      <c r="K37" s="61">
        <f t="shared" ref="K37:K40" si="34">F37*0.22*H37*0.9</f>
        <v>9.0783000000000005</v>
      </c>
      <c r="L37" s="58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 t="s">
        <v>317</v>
      </c>
      <c r="B38" s="46" t="s">
        <v>271</v>
      </c>
      <c r="C38" s="10">
        <v>1065626</v>
      </c>
      <c r="D38" s="10" t="s">
        <v>1361</v>
      </c>
      <c r="E38" s="32">
        <v>-9.39</v>
      </c>
      <c r="F38" s="32">
        <v>5.9</v>
      </c>
      <c r="G38" s="69">
        <f t="shared" si="33"/>
        <v>2.95</v>
      </c>
      <c r="H38" s="70">
        <v>1</v>
      </c>
      <c r="I38" s="69">
        <f t="shared" ref="I38:I40" si="35">(E38+G38)*H38*0.9</f>
        <v>-5.7960000000000003</v>
      </c>
      <c r="J38" s="61">
        <v>0</v>
      </c>
      <c r="K38" s="61">
        <f t="shared" si="34"/>
        <v>1.1682000000000001</v>
      </c>
      <c r="L38" s="58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32" t="s">
        <v>317</v>
      </c>
      <c r="B39" s="46" t="s">
        <v>271</v>
      </c>
      <c r="C39" s="10">
        <v>1066552</v>
      </c>
      <c r="D39" s="32" t="s">
        <v>1362</v>
      </c>
      <c r="E39" s="69">
        <v>-115.24</v>
      </c>
      <c r="F39" s="69">
        <v>16.48</v>
      </c>
      <c r="G39" s="69">
        <f t="shared" si="33"/>
        <v>8.24</v>
      </c>
      <c r="H39" s="70">
        <v>1</v>
      </c>
      <c r="I39" s="69">
        <f t="shared" si="35"/>
        <v>-96.3</v>
      </c>
      <c r="J39" s="61">
        <v>0</v>
      </c>
      <c r="K39" s="61">
        <f t="shared" si="34"/>
        <v>3.2630400000000002</v>
      </c>
      <c r="L39" s="58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32" t="s">
        <v>317</v>
      </c>
      <c r="B40" s="46" t="s">
        <v>271</v>
      </c>
      <c r="C40" s="10">
        <v>1066693</v>
      </c>
      <c r="D40" s="32" t="s">
        <v>1363</v>
      </c>
      <c r="E40" s="69">
        <v>-69.540000000000006</v>
      </c>
      <c r="F40" s="69">
        <v>17.739999999999998</v>
      </c>
      <c r="G40" s="69">
        <f t="shared" si="33"/>
        <v>8.8699999999999992</v>
      </c>
      <c r="H40" s="70">
        <v>1</v>
      </c>
      <c r="I40" s="69">
        <f t="shared" si="35"/>
        <v>-54.603000000000009</v>
      </c>
      <c r="J40" s="61">
        <v>0</v>
      </c>
      <c r="K40" s="61">
        <f t="shared" si="34"/>
        <v>3.5125199999999999</v>
      </c>
      <c r="L40" s="58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" t="s">
        <v>325</v>
      </c>
      <c r="B41" s="32" t="s">
        <v>23</v>
      </c>
      <c r="C41" s="10">
        <v>8650027</v>
      </c>
      <c r="D41" s="32" t="s">
        <v>1337</v>
      </c>
      <c r="E41" s="32">
        <v>-345.79</v>
      </c>
      <c r="F41" s="32">
        <v>17.399999999999999</v>
      </c>
      <c r="G41" s="69">
        <f t="shared" si="33"/>
        <v>8.6999999999999993</v>
      </c>
      <c r="H41" s="70">
        <v>0.20449899999999999</v>
      </c>
      <c r="I41" s="69">
        <f t="shared" ref="I41:I42" si="36">(E41+G41)*H41</f>
        <v>-68.934567909999998</v>
      </c>
      <c r="J41" s="61">
        <v>0</v>
      </c>
      <c r="K41" s="61">
        <f t="shared" ref="K41:K44" si="37">F41*0.2*H41</f>
        <v>0.7116565199999999</v>
      </c>
      <c r="L41" s="58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2" t="s">
        <v>325</v>
      </c>
      <c r="B42" s="32" t="s">
        <v>23</v>
      </c>
      <c r="C42" s="10">
        <v>9125209</v>
      </c>
      <c r="D42" s="32" t="s">
        <v>1338</v>
      </c>
      <c r="E42" s="32">
        <v>-73.06</v>
      </c>
      <c r="F42" s="32">
        <v>3.92</v>
      </c>
      <c r="G42" s="69">
        <f t="shared" si="33"/>
        <v>1.96</v>
      </c>
      <c r="H42" s="70">
        <v>0.20449899999999999</v>
      </c>
      <c r="I42" s="69">
        <f t="shared" si="36"/>
        <v>-14.539878900000001</v>
      </c>
      <c r="J42" s="61">
        <v>0</v>
      </c>
      <c r="K42" s="61">
        <f t="shared" si="37"/>
        <v>0.16032721599999999</v>
      </c>
      <c r="L42" s="58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2" t="s">
        <v>325</v>
      </c>
      <c r="B43" s="2" t="s">
        <v>17</v>
      </c>
      <c r="C43" s="10">
        <v>9316168</v>
      </c>
      <c r="D43" s="32" t="s">
        <v>1339</v>
      </c>
      <c r="E43" s="32">
        <v>98.7</v>
      </c>
      <c r="F43" s="32">
        <v>67.900000000000006</v>
      </c>
      <c r="G43" s="69">
        <f t="shared" si="33"/>
        <v>33.950000000000003</v>
      </c>
      <c r="H43" s="70">
        <v>0.20449899999999999</v>
      </c>
      <c r="I43" s="69">
        <f t="shared" ref="I43:I44" si="38">(E43*0.98+G43)*H43</f>
        <v>26.723111323999994</v>
      </c>
      <c r="J43" s="61">
        <f t="shared" ref="J43:J44" si="39">E43*0.02*H43</f>
        <v>0.403681026</v>
      </c>
      <c r="K43" s="61">
        <f t="shared" si="37"/>
        <v>2.7770964200000003</v>
      </c>
      <c r="L43" s="58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2" t="s">
        <v>325</v>
      </c>
      <c r="B44" s="32" t="s">
        <v>17</v>
      </c>
      <c r="C44" s="10">
        <v>9376978</v>
      </c>
      <c r="D44" s="32" t="s">
        <v>1354</v>
      </c>
      <c r="E44" s="69">
        <v>56.55</v>
      </c>
      <c r="F44" s="69">
        <v>1.25</v>
      </c>
      <c r="G44" s="69">
        <f t="shared" si="33"/>
        <v>0.625</v>
      </c>
      <c r="H44" s="70">
        <v>0.20449899999999999</v>
      </c>
      <c r="I44" s="69">
        <f t="shared" si="38"/>
        <v>11.460941955999999</v>
      </c>
      <c r="J44" s="61">
        <f t="shared" si="39"/>
        <v>0.23128836899999999</v>
      </c>
      <c r="K44" s="61">
        <f t="shared" si="37"/>
        <v>5.1124749999999997E-2</v>
      </c>
      <c r="L44" s="58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 t="s">
        <v>325</v>
      </c>
      <c r="B45" s="32" t="s">
        <v>30</v>
      </c>
      <c r="C45" s="95" t="s">
        <v>1335</v>
      </c>
      <c r="D45" s="72" t="s">
        <v>1336</v>
      </c>
      <c r="E45" s="69">
        <v>318.75</v>
      </c>
      <c r="F45" s="69">
        <v>10.85</v>
      </c>
      <c r="G45" s="69">
        <f t="shared" ref="G45:G46" si="40">F45*0.55</f>
        <v>5.9675000000000002</v>
      </c>
      <c r="H45" s="70">
        <v>0.20222200000000001</v>
      </c>
      <c r="I45" s="69">
        <f>(E45*0.98+G45)*H45*0.95</f>
        <v>61.157064183249993</v>
      </c>
      <c r="J45" s="61">
        <f>E45*0.02*H45*0.95</f>
        <v>1.2247069875000001</v>
      </c>
      <c r="K45" s="61">
        <f>F45*0.22*H45*0.95</f>
        <v>0.45856871830000001</v>
      </c>
      <c r="L45" s="58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2" t="s">
        <v>325</v>
      </c>
      <c r="B46" s="32" t="s">
        <v>30</v>
      </c>
      <c r="C46" s="10">
        <v>8650056</v>
      </c>
      <c r="D46" s="46" t="s">
        <v>1359</v>
      </c>
      <c r="E46" s="32">
        <v>-8</v>
      </c>
      <c r="F46" s="32">
        <v>0</v>
      </c>
      <c r="G46" s="69">
        <f t="shared" si="40"/>
        <v>0</v>
      </c>
      <c r="H46" s="70">
        <v>0.20222200000000001</v>
      </c>
      <c r="I46" s="69">
        <f>(E46+G46)*H46*0.95</f>
        <v>-1.5368872</v>
      </c>
      <c r="J46" s="61">
        <f>E46*0.05*H46</f>
        <v>-8.0888800000000011E-2</v>
      </c>
      <c r="K46" s="61">
        <f>(F46*0.18+G46*0.05)*H46</f>
        <v>0</v>
      </c>
      <c r="L46" s="58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2" t="s">
        <v>325</v>
      </c>
      <c r="B47" s="32" t="s">
        <v>263</v>
      </c>
      <c r="C47" s="10">
        <v>9017225</v>
      </c>
      <c r="D47" s="32" t="s">
        <v>1348</v>
      </c>
      <c r="E47" s="32">
        <v>-18899</v>
      </c>
      <c r="F47" s="32">
        <v>2493</v>
      </c>
      <c r="G47" s="69">
        <f t="shared" ref="G47:G50" si="41">F47*0.575</f>
        <v>1433.4749999999999</v>
      </c>
      <c r="H47" s="70">
        <v>1.7722999999999999E-2</v>
      </c>
      <c r="I47" s="69">
        <f>(E47+G47)*H47*0.8</f>
        <v>-247.63319966</v>
      </c>
      <c r="J47" s="61">
        <f>E47*0.1*H47</f>
        <v>-33.494697700000003</v>
      </c>
      <c r="K47" s="61">
        <f t="shared" ref="K47:K50" si="42">(F47*0.125*0.9+G47*0.1)*H47</f>
        <v>7.5111846300000007</v>
      </c>
      <c r="L47" s="58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2" t="s">
        <v>325</v>
      </c>
      <c r="B48" s="32" t="s">
        <v>263</v>
      </c>
      <c r="C48" s="10">
        <v>9275501</v>
      </c>
      <c r="D48" s="10" t="s">
        <v>1351</v>
      </c>
      <c r="E48" s="32">
        <v>7884.12</v>
      </c>
      <c r="F48" s="32">
        <v>2515</v>
      </c>
      <c r="G48" s="69">
        <f t="shared" si="41"/>
        <v>1446.125</v>
      </c>
      <c r="H48" s="70">
        <v>1.7722999999999999E-2</v>
      </c>
      <c r="I48" s="69">
        <f t="shared" ref="I48:I50" si="43">(E48*0.95+G48)*H48*0.8</f>
        <v>126.69873535760001</v>
      </c>
      <c r="J48" s="61">
        <f t="shared" ref="J48:J50" si="44">(E48*0.1+E48*0.05*0.8)*H48</f>
        <v>19.5622362264</v>
      </c>
      <c r="K48" s="61">
        <f t="shared" si="42"/>
        <v>7.5774686500000001</v>
      </c>
      <c r="L48" s="58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2" t="s">
        <v>325</v>
      </c>
      <c r="B49" s="32" t="s">
        <v>263</v>
      </c>
      <c r="C49" s="10">
        <v>9471267</v>
      </c>
      <c r="D49" s="10" t="s">
        <v>1350</v>
      </c>
      <c r="E49" s="32">
        <v>6396</v>
      </c>
      <c r="F49" s="32">
        <v>791</v>
      </c>
      <c r="G49" s="69">
        <f t="shared" si="41"/>
        <v>454.82499999999999</v>
      </c>
      <c r="H49" s="70">
        <v>1.7722999999999999E-2</v>
      </c>
      <c r="I49" s="69">
        <f t="shared" si="43"/>
        <v>92.599484860000004</v>
      </c>
      <c r="J49" s="61">
        <f t="shared" si="44"/>
        <v>15.869883120000001</v>
      </c>
      <c r="K49" s="61">
        <f t="shared" si="42"/>
        <v>2.3832118099999997</v>
      </c>
      <c r="L49" s="58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2" t="s">
        <v>325</v>
      </c>
      <c r="B50" s="32" t="s">
        <v>263</v>
      </c>
      <c r="C50" s="10">
        <v>8749308</v>
      </c>
      <c r="D50" s="10" t="s">
        <v>1352</v>
      </c>
      <c r="E50" s="32">
        <v>10769</v>
      </c>
      <c r="F50" s="32">
        <v>2348</v>
      </c>
      <c r="G50" s="69">
        <f t="shared" si="41"/>
        <v>1350.1</v>
      </c>
      <c r="H50" s="70">
        <v>1.7722999999999999E-2</v>
      </c>
      <c r="I50" s="69">
        <f t="shared" si="43"/>
        <v>164.19508796</v>
      </c>
      <c r="J50" s="61">
        <f t="shared" si="44"/>
        <v>26.720258180000002</v>
      </c>
      <c r="K50" s="61">
        <f t="shared" si="42"/>
        <v>7.0743126800000002</v>
      </c>
      <c r="L50" s="58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2" t="s">
        <v>325</v>
      </c>
      <c r="B51" s="2" t="s">
        <v>148</v>
      </c>
      <c r="C51" s="10">
        <v>8405860</v>
      </c>
      <c r="D51" s="10" t="s">
        <v>1346</v>
      </c>
      <c r="E51" s="32">
        <v>26.42</v>
      </c>
      <c r="F51" s="32">
        <v>4.58</v>
      </c>
      <c r="G51" s="69">
        <f t="shared" ref="G51:G64" si="45">F51*0.5</f>
        <v>2.29</v>
      </c>
      <c r="H51" s="70">
        <v>0.20080000000000001</v>
      </c>
      <c r="I51" s="69">
        <f t="shared" ref="I51:I53" si="46">(E51+G51)*H51*0.9</f>
        <v>5.1884712000000004</v>
      </c>
      <c r="J51" s="61">
        <f t="shared" ref="J51:J52" si="47">E51*0.05*H51</f>
        <v>0.26525680000000007</v>
      </c>
      <c r="K51" s="61">
        <f t="shared" ref="K51:K52" si="48">(F51*0.25*0.95+G51*0.05)*H51</f>
        <v>0.24141180000000001</v>
      </c>
      <c r="L51" s="58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2" t="s">
        <v>325</v>
      </c>
      <c r="B52" s="2" t="s">
        <v>148</v>
      </c>
      <c r="C52" s="10">
        <v>8388558</v>
      </c>
      <c r="D52" s="10" t="s">
        <v>1347</v>
      </c>
      <c r="E52" s="32">
        <v>-439.35</v>
      </c>
      <c r="F52" s="32">
        <v>36.03</v>
      </c>
      <c r="G52" s="69">
        <f t="shared" si="45"/>
        <v>18.015000000000001</v>
      </c>
      <c r="H52" s="70">
        <v>0.20080000000000001</v>
      </c>
      <c r="I52" s="69">
        <f t="shared" si="46"/>
        <v>-76.143661200000011</v>
      </c>
      <c r="J52" s="61">
        <f t="shared" si="47"/>
        <v>-4.4110740000000002</v>
      </c>
      <c r="K52" s="61">
        <f t="shared" si="48"/>
        <v>1.8991412999999999</v>
      </c>
      <c r="L52" s="58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2" t="s">
        <v>325</v>
      </c>
      <c r="B53" s="46" t="s">
        <v>268</v>
      </c>
      <c r="C53" s="10">
        <v>1063108</v>
      </c>
      <c r="D53" s="32" t="s">
        <v>1341</v>
      </c>
      <c r="E53" s="32">
        <v>-0.4</v>
      </c>
      <c r="F53" s="32">
        <v>0.4</v>
      </c>
      <c r="G53" s="69">
        <f t="shared" si="45"/>
        <v>0.2</v>
      </c>
      <c r="H53" s="70">
        <v>0.20080000000000001</v>
      </c>
      <c r="I53" s="69">
        <f t="shared" si="46"/>
        <v>-3.6144000000000003E-2</v>
      </c>
      <c r="J53" s="61">
        <f>E53*0.1*H53</f>
        <v>-8.0320000000000009E-3</v>
      </c>
      <c r="K53" s="61">
        <f t="shared" ref="K53:K60" si="49">(F53*0.25+G53*0.1)*H53</f>
        <v>2.4096000000000003E-2</v>
      </c>
      <c r="L53" s="58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2" t="s">
        <v>325</v>
      </c>
      <c r="B54" s="46" t="s">
        <v>268</v>
      </c>
      <c r="C54" s="10">
        <v>1063111</v>
      </c>
      <c r="D54" s="10" t="s">
        <v>1342</v>
      </c>
      <c r="E54" s="32">
        <v>589.85</v>
      </c>
      <c r="F54" s="32">
        <v>61.3</v>
      </c>
      <c r="G54" s="69">
        <f t="shared" si="45"/>
        <v>30.65</v>
      </c>
      <c r="H54" s="70">
        <v>0.20080000000000001</v>
      </c>
      <c r="I54" s="69">
        <f t="shared" ref="I54:I55" si="50">(E54*0.98+G54)*H54*0.9</f>
        <v>110.00480616</v>
      </c>
      <c r="J54" s="61">
        <f t="shared" ref="J54:J55" si="51">(E54*0.02*0.9+E54*0.1)*H54</f>
        <v>13.976141840000004</v>
      </c>
      <c r="K54" s="61">
        <f t="shared" si="49"/>
        <v>3.6927120000000002</v>
      </c>
      <c r="L54" s="58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2" t="s">
        <v>325</v>
      </c>
      <c r="B55" s="46" t="s">
        <v>268</v>
      </c>
      <c r="C55" s="10">
        <v>1063113</v>
      </c>
      <c r="D55" s="10" t="s">
        <v>1343</v>
      </c>
      <c r="E55" s="32">
        <v>260</v>
      </c>
      <c r="F55" s="32">
        <v>89.45</v>
      </c>
      <c r="G55" s="69">
        <f t="shared" si="45"/>
        <v>44.725000000000001</v>
      </c>
      <c r="H55" s="70">
        <v>0.20080000000000001</v>
      </c>
      <c r="I55" s="69">
        <f t="shared" si="50"/>
        <v>54.130157999999994</v>
      </c>
      <c r="J55" s="61">
        <f t="shared" si="51"/>
        <v>6.1605439999999998</v>
      </c>
      <c r="K55" s="61">
        <f t="shared" si="49"/>
        <v>5.3884680000000005</v>
      </c>
      <c r="L55" s="58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2" t="s">
        <v>325</v>
      </c>
      <c r="B56" s="46" t="s">
        <v>268</v>
      </c>
      <c r="C56" s="10">
        <v>1063115</v>
      </c>
      <c r="D56" s="32" t="s">
        <v>1345</v>
      </c>
      <c r="E56" s="69">
        <v>-767.05</v>
      </c>
      <c r="F56" s="69">
        <v>44.9</v>
      </c>
      <c r="G56" s="69">
        <f t="shared" si="45"/>
        <v>22.45</v>
      </c>
      <c r="H56" s="70">
        <v>0.20080000000000001</v>
      </c>
      <c r="I56" s="69">
        <f t="shared" ref="I56:I59" si="52">(E56+G56)*H56*0.9</f>
        <v>-134.56411199999999</v>
      </c>
      <c r="J56" s="61">
        <f t="shared" ref="J56:J59" si="53">E56*0.1*H56</f>
        <v>-15.402364</v>
      </c>
      <c r="K56" s="61">
        <f t="shared" si="49"/>
        <v>2.7047759999999998</v>
      </c>
      <c r="L56" s="58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2" t="s">
        <v>325</v>
      </c>
      <c r="B57" s="32" t="s">
        <v>10</v>
      </c>
      <c r="C57" s="10">
        <v>1064905</v>
      </c>
      <c r="D57" s="10" t="s">
        <v>1355</v>
      </c>
      <c r="E57" s="32">
        <v>-692.05</v>
      </c>
      <c r="F57" s="32">
        <v>62.15</v>
      </c>
      <c r="G57" s="69">
        <f t="shared" si="45"/>
        <v>31.074999999999999</v>
      </c>
      <c r="H57" s="70">
        <v>0.20080000000000001</v>
      </c>
      <c r="I57" s="69">
        <f t="shared" si="52"/>
        <v>-119.45140199999999</v>
      </c>
      <c r="J57" s="61">
        <f t="shared" si="53"/>
        <v>-13.896364</v>
      </c>
      <c r="K57" s="61">
        <f t="shared" si="49"/>
        <v>3.743916</v>
      </c>
      <c r="L57" s="58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2" t="s">
        <v>325</v>
      </c>
      <c r="B58" s="32" t="s">
        <v>10</v>
      </c>
      <c r="C58" s="10">
        <v>1064998</v>
      </c>
      <c r="D58" s="10" t="s">
        <v>1356</v>
      </c>
      <c r="E58" s="32">
        <v>-250.4</v>
      </c>
      <c r="F58" s="32">
        <v>33.9</v>
      </c>
      <c r="G58" s="69">
        <f t="shared" si="45"/>
        <v>16.95</v>
      </c>
      <c r="H58" s="70">
        <v>0.20080000000000001</v>
      </c>
      <c r="I58" s="69">
        <f t="shared" si="52"/>
        <v>-42.189084000000008</v>
      </c>
      <c r="J58" s="61">
        <f t="shared" si="53"/>
        <v>-5.0280320000000005</v>
      </c>
      <c r="K58" s="61">
        <f t="shared" si="49"/>
        <v>2.0421360000000002</v>
      </c>
      <c r="L58" s="58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2" t="s">
        <v>325</v>
      </c>
      <c r="B59" s="32" t="s">
        <v>10</v>
      </c>
      <c r="C59" s="10">
        <v>1065228</v>
      </c>
      <c r="D59" s="10" t="s">
        <v>1357</v>
      </c>
      <c r="E59" s="32">
        <v>-706.55</v>
      </c>
      <c r="F59" s="32">
        <v>97.3</v>
      </c>
      <c r="G59" s="69">
        <f t="shared" si="45"/>
        <v>48.65</v>
      </c>
      <c r="H59" s="70">
        <v>0.20080000000000001</v>
      </c>
      <c r="I59" s="69">
        <f t="shared" si="52"/>
        <v>-118.89568800000001</v>
      </c>
      <c r="J59" s="61">
        <f t="shared" si="53"/>
        <v>-14.187524</v>
      </c>
      <c r="K59" s="61">
        <f t="shared" si="49"/>
        <v>5.8613520000000001</v>
      </c>
      <c r="L59" s="58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2" t="s">
        <v>325</v>
      </c>
      <c r="B60" s="32" t="s">
        <v>10</v>
      </c>
      <c r="C60" s="10">
        <v>1066453</v>
      </c>
      <c r="D60" s="32" t="s">
        <v>1358</v>
      </c>
      <c r="E60" s="69">
        <v>257.35000000000002</v>
      </c>
      <c r="F60" s="69">
        <v>19.399999999999999</v>
      </c>
      <c r="G60" s="69">
        <f t="shared" si="45"/>
        <v>9.6999999999999993</v>
      </c>
      <c r="H60" s="70">
        <v>0.20080000000000001</v>
      </c>
      <c r="I60" s="69">
        <f t="shared" ref="I60:I61" si="54">(E60*0.98+G60)*H60*0.9</f>
        <v>47.331110160000009</v>
      </c>
      <c r="J60" s="61">
        <f>(E60*0.02*0.9+E60*0.1)*H60</f>
        <v>6.0977538400000011</v>
      </c>
      <c r="K60" s="61">
        <f t="shared" si="49"/>
        <v>1.1686559999999999</v>
      </c>
      <c r="L60" s="58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2" t="s">
        <v>325</v>
      </c>
      <c r="B61" s="46" t="s">
        <v>271</v>
      </c>
      <c r="C61" s="10">
        <v>1065125</v>
      </c>
      <c r="D61" s="32" t="s">
        <v>1360</v>
      </c>
      <c r="E61" s="69">
        <v>9.61</v>
      </c>
      <c r="F61" s="69">
        <v>5.0199999999999996</v>
      </c>
      <c r="G61" s="69">
        <f t="shared" si="45"/>
        <v>2.5099999999999998</v>
      </c>
      <c r="H61" s="70">
        <v>1</v>
      </c>
      <c r="I61" s="69">
        <f t="shared" si="54"/>
        <v>10.73502</v>
      </c>
      <c r="J61" s="61">
        <f>E61*0.02*H61*0.9</f>
        <v>0.17297999999999999</v>
      </c>
      <c r="K61" s="61">
        <f t="shared" ref="K61:K64" si="55">F61*0.22*H61*0.9</f>
        <v>0.99395999999999984</v>
      </c>
      <c r="L61" s="58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2" t="s">
        <v>325</v>
      </c>
      <c r="B62" s="46" t="s">
        <v>271</v>
      </c>
      <c r="C62" s="10">
        <v>1065626</v>
      </c>
      <c r="D62" s="10" t="s">
        <v>1361</v>
      </c>
      <c r="E62" s="32">
        <v>-11.4</v>
      </c>
      <c r="F62" s="32">
        <v>20.88</v>
      </c>
      <c r="G62" s="69">
        <f t="shared" si="45"/>
        <v>10.44</v>
      </c>
      <c r="H62" s="70">
        <v>1</v>
      </c>
      <c r="I62" s="69">
        <f>(E62+G62)*H62*0.9</f>
        <v>-0.86400000000000077</v>
      </c>
      <c r="J62" s="61">
        <v>0</v>
      </c>
      <c r="K62" s="61">
        <f t="shared" si="55"/>
        <v>4.1342399999999992</v>
      </c>
      <c r="L62" s="58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2" t="s">
        <v>325</v>
      </c>
      <c r="B63" s="46" t="s">
        <v>271</v>
      </c>
      <c r="C63" s="10">
        <v>1066552</v>
      </c>
      <c r="D63" s="32" t="s">
        <v>1362</v>
      </c>
      <c r="E63" s="69">
        <v>0</v>
      </c>
      <c r="F63" s="69">
        <v>0</v>
      </c>
      <c r="G63" s="69">
        <f t="shared" si="45"/>
        <v>0</v>
      </c>
      <c r="H63" s="70">
        <v>1</v>
      </c>
      <c r="I63" s="69">
        <f>(E63*0.98+G63)*H63*0.9</f>
        <v>0</v>
      </c>
      <c r="J63" s="61">
        <f>E63*0.02*H63*0.9</f>
        <v>0</v>
      </c>
      <c r="K63" s="61">
        <f t="shared" si="55"/>
        <v>0</v>
      </c>
      <c r="L63" s="58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" t="s">
        <v>325</v>
      </c>
      <c r="B64" s="46" t="s">
        <v>271</v>
      </c>
      <c r="C64" s="10">
        <v>1066693</v>
      </c>
      <c r="D64" s="32" t="s">
        <v>1363</v>
      </c>
      <c r="E64" s="69">
        <v>-152.59</v>
      </c>
      <c r="F64" s="69">
        <v>20.75</v>
      </c>
      <c r="G64" s="69">
        <f t="shared" si="45"/>
        <v>10.375</v>
      </c>
      <c r="H64" s="70">
        <v>1</v>
      </c>
      <c r="I64" s="69">
        <f>(E64+G64)*H64*0.9</f>
        <v>-127.99350000000001</v>
      </c>
      <c r="J64" s="61">
        <v>0</v>
      </c>
      <c r="K64" s="61">
        <f t="shared" si="55"/>
        <v>4.1085000000000003</v>
      </c>
      <c r="L64" s="58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 t="s">
        <v>332</v>
      </c>
      <c r="B65" s="32" t="s">
        <v>30</v>
      </c>
      <c r="C65" s="10">
        <v>8650056</v>
      </c>
      <c r="D65" s="46" t="s">
        <v>1359</v>
      </c>
      <c r="E65" s="2">
        <v>99.95</v>
      </c>
      <c r="F65" s="2">
        <v>1.55</v>
      </c>
      <c r="G65" s="69">
        <f>F65*0.55</f>
        <v>0.85250000000000015</v>
      </c>
      <c r="H65" s="70">
        <v>0.203038</v>
      </c>
      <c r="I65" s="69">
        <f>(E65*0.98+G65)*H65*0.95</f>
        <v>19.05782178135</v>
      </c>
      <c r="J65" s="61">
        <f>(E65*0.02*0.95+E65*0.05)*H65</f>
        <v>1.4002617189</v>
      </c>
      <c r="K65" s="61">
        <f>(F65*0.18+G65*0.05)*H65</f>
        <v>6.5302096749999997E-2</v>
      </c>
      <c r="L65" s="58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" t="s">
        <v>332</v>
      </c>
      <c r="B66" s="32" t="s">
        <v>23</v>
      </c>
      <c r="C66" s="10">
        <v>8650027</v>
      </c>
      <c r="D66" s="32" t="s">
        <v>1337</v>
      </c>
      <c r="E66" s="32">
        <v>175.63</v>
      </c>
      <c r="F66" s="32">
        <v>48.07</v>
      </c>
      <c r="G66" s="69">
        <f t="shared" ref="G66:G68" si="56">F66*0.5</f>
        <v>24.035</v>
      </c>
      <c r="H66" s="70">
        <v>0.201207</v>
      </c>
      <c r="I66" s="69">
        <f t="shared" ref="I66:I68" si="57">(E66*0.98+G66)*H66</f>
        <v>39.467235946800002</v>
      </c>
      <c r="J66" s="61">
        <f t="shared" ref="J66:J68" si="58">E66*0.02*H66</f>
        <v>0.7067597082</v>
      </c>
      <c r="K66" s="61">
        <f t="shared" ref="K66:K68" si="59">F66*0.2*H66</f>
        <v>1.9344040980000001</v>
      </c>
      <c r="L66" s="58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 t="s">
        <v>332</v>
      </c>
      <c r="B67" s="32" t="s">
        <v>23</v>
      </c>
      <c r="C67" s="10">
        <v>9125209</v>
      </c>
      <c r="D67" s="32" t="s">
        <v>1338</v>
      </c>
      <c r="E67" s="69">
        <v>164.63</v>
      </c>
      <c r="F67" s="69">
        <v>4.79</v>
      </c>
      <c r="G67" s="69">
        <f t="shared" si="56"/>
        <v>2.395</v>
      </c>
      <c r="H67" s="70">
        <v>0.201207</v>
      </c>
      <c r="I67" s="69">
        <f t="shared" si="57"/>
        <v>32.944105006800001</v>
      </c>
      <c r="J67" s="61">
        <f t="shared" si="58"/>
        <v>0.66249416820000007</v>
      </c>
      <c r="K67" s="61">
        <f t="shared" si="59"/>
        <v>0.19275630600000002</v>
      </c>
      <c r="L67" s="58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2" t="s">
        <v>332</v>
      </c>
      <c r="B68" s="2" t="s">
        <v>17</v>
      </c>
      <c r="C68" s="10">
        <v>9316168</v>
      </c>
      <c r="D68" s="32" t="s">
        <v>1339</v>
      </c>
      <c r="E68" s="32">
        <v>978.5</v>
      </c>
      <c r="F68" s="32">
        <v>132.4</v>
      </c>
      <c r="G68" s="69">
        <f t="shared" si="56"/>
        <v>66.2</v>
      </c>
      <c r="H68" s="70">
        <v>0.201207</v>
      </c>
      <c r="I68" s="69">
        <f t="shared" si="57"/>
        <v>206.26333190999998</v>
      </c>
      <c r="J68" s="61">
        <f t="shared" si="58"/>
        <v>3.9376209900000001</v>
      </c>
      <c r="K68" s="61">
        <f t="shared" si="59"/>
        <v>5.3279613600000006</v>
      </c>
      <c r="L68" s="58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2" t="s">
        <v>332</v>
      </c>
      <c r="B69" s="32" t="s">
        <v>30</v>
      </c>
      <c r="C69" s="95" t="s">
        <v>1335</v>
      </c>
      <c r="D69" s="72" t="s">
        <v>1336</v>
      </c>
      <c r="E69" s="69">
        <v>-3464.7</v>
      </c>
      <c r="F69" s="69">
        <v>159.55000000000001</v>
      </c>
      <c r="G69" s="69">
        <f>F69*0.55</f>
        <v>87.752500000000012</v>
      </c>
      <c r="H69" s="70">
        <v>0.203038</v>
      </c>
      <c r="I69" s="69">
        <f>(E69+G69)*H69*0.95</f>
        <v>-651.36623317974988</v>
      </c>
      <c r="J69" s="61">
        <v>0</v>
      </c>
      <c r="K69" s="61">
        <f>F69*0.22*H69*0.95</f>
        <v>6.7704949961000009</v>
      </c>
      <c r="L69" s="58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2" t="s">
        <v>332</v>
      </c>
      <c r="B70" s="32" t="s">
        <v>263</v>
      </c>
      <c r="C70" s="10">
        <v>9017225</v>
      </c>
      <c r="D70" s="10" t="s">
        <v>1348</v>
      </c>
      <c r="E70" s="32">
        <v>5314.56</v>
      </c>
      <c r="F70" s="32">
        <v>3119</v>
      </c>
      <c r="G70" s="69">
        <f t="shared" ref="G70:G73" si="60">F70*0.575</f>
        <v>1793.425</v>
      </c>
      <c r="H70" s="70">
        <v>1.76283E-2</v>
      </c>
      <c r="I70" s="69">
        <f t="shared" ref="I70:I73" si="61">(E70*0.95+G70)*H70*0.8</f>
        <v>96.493887258480015</v>
      </c>
      <c r="J70" s="61">
        <f t="shared" ref="J70:J73" si="62">(E70*0.1+E70*0.05*0.8)*H70</f>
        <v>13.11613212672</v>
      </c>
      <c r="K70" s="61">
        <f t="shared" ref="K70:K73" si="63">(F70*0.125*0.9+G70*0.1)*H70</f>
        <v>9.3470535090000002</v>
      </c>
      <c r="L70" s="58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 t="s">
        <v>332</v>
      </c>
      <c r="B71" s="32" t="s">
        <v>263</v>
      </c>
      <c r="C71" s="10">
        <v>9275501</v>
      </c>
      <c r="D71" s="10" t="s">
        <v>1351</v>
      </c>
      <c r="E71" s="32">
        <v>3625.88</v>
      </c>
      <c r="F71" s="32">
        <v>1718</v>
      </c>
      <c r="G71" s="69">
        <f t="shared" si="60"/>
        <v>987.84999999999991</v>
      </c>
      <c r="H71" s="70">
        <v>1.76283E-2</v>
      </c>
      <c r="I71" s="69">
        <f t="shared" si="61"/>
        <v>62.509049231039995</v>
      </c>
      <c r="J71" s="61">
        <f t="shared" si="62"/>
        <v>8.9485340565599998</v>
      </c>
      <c r="K71" s="61">
        <f t="shared" si="63"/>
        <v>5.1485212979999995</v>
      </c>
      <c r="L71" s="58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 t="s">
        <v>332</v>
      </c>
      <c r="B72" s="32" t="s">
        <v>263</v>
      </c>
      <c r="C72" s="10">
        <v>9471267</v>
      </c>
      <c r="D72" s="10" t="s">
        <v>1350</v>
      </c>
      <c r="E72" s="32">
        <v>8362.0400000000009</v>
      </c>
      <c r="F72" s="32">
        <v>880</v>
      </c>
      <c r="G72" s="69">
        <f t="shared" si="60"/>
        <v>505.99999999999994</v>
      </c>
      <c r="H72" s="70">
        <v>1.76283E-2</v>
      </c>
      <c r="I72" s="69">
        <f t="shared" si="61"/>
        <v>119.16643363631999</v>
      </c>
      <c r="J72" s="61">
        <f t="shared" si="62"/>
        <v>20.637196962480004</v>
      </c>
      <c r="K72" s="61">
        <f t="shared" si="63"/>
        <v>2.6371936799999998</v>
      </c>
      <c r="L72" s="58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2" t="s">
        <v>332</v>
      </c>
      <c r="B73" s="32" t="s">
        <v>263</v>
      </c>
      <c r="C73" s="10">
        <v>8749308</v>
      </c>
      <c r="D73" s="32" t="s">
        <v>1352</v>
      </c>
      <c r="E73" s="69">
        <v>14305</v>
      </c>
      <c r="F73" s="69">
        <v>498</v>
      </c>
      <c r="G73" s="69">
        <f t="shared" si="60"/>
        <v>286.34999999999997</v>
      </c>
      <c r="H73" s="70">
        <v>1.76283E-2</v>
      </c>
      <c r="I73" s="69">
        <f t="shared" si="61"/>
        <v>195.68964290400001</v>
      </c>
      <c r="J73" s="61">
        <f t="shared" si="62"/>
        <v>35.304196410000003</v>
      </c>
      <c r="K73" s="61">
        <f t="shared" si="63"/>
        <v>1.492411878</v>
      </c>
      <c r="L73" s="58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2" t="s">
        <v>332</v>
      </c>
      <c r="B74" s="2" t="s">
        <v>10</v>
      </c>
      <c r="C74" s="10">
        <v>1064905</v>
      </c>
      <c r="D74" s="32" t="s">
        <v>1355</v>
      </c>
      <c r="E74" s="32">
        <v>225.4</v>
      </c>
      <c r="F74" s="32">
        <v>61.8</v>
      </c>
      <c r="G74" s="69">
        <f t="shared" ref="G74:G86" si="64">F74*0.5</f>
        <v>30.9</v>
      </c>
      <c r="H74" s="70">
        <v>0.20202000000000001</v>
      </c>
      <c r="I74" s="69">
        <f t="shared" ref="I74:I75" si="65">(E74*0.98+G74)*H74*0.9</f>
        <v>45.780317856000003</v>
      </c>
      <c r="J74" s="61">
        <f t="shared" ref="J74:J75" si="66">(E74*0.02*0.9+E74*0.1)*H74</f>
        <v>5.3731663440000004</v>
      </c>
      <c r="K74" s="61">
        <f t="shared" ref="K74:K81" si="67">(F74*0.25+G74*0.1)*H74</f>
        <v>3.7454508</v>
      </c>
      <c r="L74" s="58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2" t="s">
        <v>332</v>
      </c>
      <c r="B75" s="2" t="s">
        <v>10</v>
      </c>
      <c r="C75" s="10">
        <v>1064998</v>
      </c>
      <c r="D75" s="32" t="s">
        <v>1356</v>
      </c>
      <c r="E75" s="32">
        <v>178.55</v>
      </c>
      <c r="F75" s="32">
        <v>43.55</v>
      </c>
      <c r="G75" s="69">
        <f t="shared" si="64"/>
        <v>21.774999999999999</v>
      </c>
      <c r="H75" s="70">
        <v>0.20202000000000001</v>
      </c>
      <c r="I75" s="69">
        <f t="shared" si="65"/>
        <v>35.773418771999999</v>
      </c>
      <c r="J75" s="61">
        <f t="shared" si="66"/>
        <v>4.2563391780000002</v>
      </c>
      <c r="K75" s="61">
        <f t="shared" si="67"/>
        <v>2.6393912999999998</v>
      </c>
      <c r="L75" s="58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2" t="s">
        <v>332</v>
      </c>
      <c r="B76" s="2" t="s">
        <v>10</v>
      </c>
      <c r="C76" s="10">
        <v>1065228</v>
      </c>
      <c r="D76" s="32" t="s">
        <v>1357</v>
      </c>
      <c r="E76" s="32">
        <v>-1201.1500000000001</v>
      </c>
      <c r="F76" s="32">
        <v>310.39999999999998</v>
      </c>
      <c r="G76" s="69">
        <f t="shared" si="64"/>
        <v>155.19999999999999</v>
      </c>
      <c r="H76" s="70">
        <v>0.20202000000000001</v>
      </c>
      <c r="I76" s="69">
        <f>(E76+G76)*H76*0.9</f>
        <v>-190.17253710000003</v>
      </c>
      <c r="J76" s="61">
        <f>E76*0.1*H76</f>
        <v>-24.265632300000004</v>
      </c>
      <c r="K76" s="61">
        <f t="shared" si="67"/>
        <v>18.812102399999997</v>
      </c>
      <c r="L76" s="58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2" t="s">
        <v>332</v>
      </c>
      <c r="B77" s="2" t="s">
        <v>10</v>
      </c>
      <c r="C77" s="10">
        <v>1066453</v>
      </c>
      <c r="D77" s="10" t="s">
        <v>1358</v>
      </c>
      <c r="E77" s="32">
        <v>424.45</v>
      </c>
      <c r="F77" s="32">
        <v>84.45</v>
      </c>
      <c r="G77" s="69">
        <f t="shared" si="64"/>
        <v>42.225000000000001</v>
      </c>
      <c r="H77" s="70">
        <v>0.20202000000000001</v>
      </c>
      <c r="I77" s="69">
        <f t="shared" ref="I77:I80" si="68">(E77*0.98+G77)*H77*0.9</f>
        <v>83.306462147999994</v>
      </c>
      <c r="J77" s="61">
        <f t="shared" ref="J77:J80" si="69">(E77*0.02*0.9+E77*0.1)*H77</f>
        <v>10.118191902000001</v>
      </c>
      <c r="K77" s="61">
        <f t="shared" si="67"/>
        <v>5.1181767000000002</v>
      </c>
      <c r="L77" s="58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2" t="s">
        <v>332</v>
      </c>
      <c r="B78" s="46" t="s">
        <v>268</v>
      </c>
      <c r="C78" s="10">
        <v>1063108</v>
      </c>
      <c r="D78" s="10" t="s">
        <v>1341</v>
      </c>
      <c r="E78" s="32">
        <v>78.8</v>
      </c>
      <c r="F78" s="32">
        <v>45</v>
      </c>
      <c r="G78" s="69">
        <f t="shared" si="64"/>
        <v>22.5</v>
      </c>
      <c r="H78" s="70">
        <v>0.20202000000000001</v>
      </c>
      <c r="I78" s="69">
        <f t="shared" si="68"/>
        <v>18.131618231999997</v>
      </c>
      <c r="J78" s="61">
        <f t="shared" si="69"/>
        <v>1.8784627680000001</v>
      </c>
      <c r="K78" s="61">
        <f t="shared" si="67"/>
        <v>2.7272699999999999</v>
      </c>
      <c r="L78" s="58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2" t="s">
        <v>332</v>
      </c>
      <c r="B79" s="46" t="s">
        <v>268</v>
      </c>
      <c r="C79" s="10">
        <v>1063111</v>
      </c>
      <c r="D79" s="10" t="s">
        <v>1342</v>
      </c>
      <c r="E79" s="32">
        <v>92.55</v>
      </c>
      <c r="F79" s="32">
        <v>38.700000000000003</v>
      </c>
      <c r="G79" s="69">
        <f t="shared" si="64"/>
        <v>19.350000000000001</v>
      </c>
      <c r="H79" s="70">
        <v>0.20202000000000001</v>
      </c>
      <c r="I79" s="69">
        <f t="shared" si="68"/>
        <v>20.008889082000003</v>
      </c>
      <c r="J79" s="61">
        <f t="shared" si="69"/>
        <v>2.2062402180000005</v>
      </c>
      <c r="K79" s="61">
        <f t="shared" si="67"/>
        <v>2.3454522000000004</v>
      </c>
      <c r="L79" s="58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2" t="s">
        <v>332</v>
      </c>
      <c r="B80" s="46" t="s">
        <v>268</v>
      </c>
      <c r="C80" s="10">
        <v>1063113</v>
      </c>
      <c r="D80" s="10" t="s">
        <v>1343</v>
      </c>
      <c r="E80" s="32">
        <v>1004.55</v>
      </c>
      <c r="F80" s="32">
        <v>108.8</v>
      </c>
      <c r="G80" s="69">
        <f t="shared" si="64"/>
        <v>54.4</v>
      </c>
      <c r="H80" s="70">
        <v>0.20202000000000001</v>
      </c>
      <c r="I80" s="69">
        <f t="shared" si="68"/>
        <v>188.88326566200001</v>
      </c>
      <c r="J80" s="61">
        <f t="shared" si="69"/>
        <v>23.946824538000001</v>
      </c>
      <c r="K80" s="61">
        <f t="shared" si="67"/>
        <v>6.5939328000000001</v>
      </c>
      <c r="L80" s="58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 t="s">
        <v>332</v>
      </c>
      <c r="B81" s="46" t="s">
        <v>268</v>
      </c>
      <c r="C81" s="10">
        <v>1063115</v>
      </c>
      <c r="D81" s="32" t="s">
        <v>1345</v>
      </c>
      <c r="E81" s="69">
        <v>-518.04999999999995</v>
      </c>
      <c r="F81" s="69">
        <v>72.95</v>
      </c>
      <c r="G81" s="69">
        <f t="shared" si="64"/>
        <v>36.475000000000001</v>
      </c>
      <c r="H81" s="70">
        <v>0.20202000000000001</v>
      </c>
      <c r="I81" s="69">
        <f t="shared" ref="I81:I83" si="70">(E81+G81)*H81*0.9</f>
        <v>-87.559003349999998</v>
      </c>
      <c r="J81" s="61">
        <f>E81*0.1*H81</f>
        <v>-10.465646100000001</v>
      </c>
      <c r="K81" s="61">
        <f t="shared" si="67"/>
        <v>4.4212077000000001</v>
      </c>
      <c r="L81" s="58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 t="s">
        <v>332</v>
      </c>
      <c r="B82" s="2" t="s">
        <v>148</v>
      </c>
      <c r="C82" s="10">
        <v>8405860</v>
      </c>
      <c r="D82" s="10" t="s">
        <v>1346</v>
      </c>
      <c r="E82" s="32">
        <v>235.82</v>
      </c>
      <c r="F82" s="32">
        <v>13.11</v>
      </c>
      <c r="G82" s="69">
        <f t="shared" si="64"/>
        <v>6.5549999999999997</v>
      </c>
      <c r="H82" s="70">
        <v>0.20202000000000001</v>
      </c>
      <c r="I82" s="69">
        <f t="shared" si="70"/>
        <v>44.068137750000005</v>
      </c>
      <c r="J82" s="61">
        <f t="shared" ref="J82:J83" si="71">E82*0.05*H82</f>
        <v>2.3820178200000002</v>
      </c>
      <c r="K82" s="61">
        <f t="shared" ref="K82:K83" si="72">(F82*0.25*0.95+G82*0.05)*H82</f>
        <v>0.69522657749999994</v>
      </c>
      <c r="L82" s="58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 t="s">
        <v>332</v>
      </c>
      <c r="B83" s="2" t="s">
        <v>148</v>
      </c>
      <c r="C83" s="10">
        <v>8388558</v>
      </c>
      <c r="D83" s="10" t="s">
        <v>1347</v>
      </c>
      <c r="E83" s="32">
        <v>1014.29</v>
      </c>
      <c r="F83" s="32">
        <v>143.33000000000001</v>
      </c>
      <c r="G83" s="69">
        <f t="shared" si="64"/>
        <v>71.665000000000006</v>
      </c>
      <c r="H83" s="70">
        <v>0.20202000000000001</v>
      </c>
      <c r="I83" s="69">
        <f t="shared" si="70"/>
        <v>197.44616618999999</v>
      </c>
      <c r="J83" s="61">
        <f t="shared" si="71"/>
        <v>10.245343290000001</v>
      </c>
      <c r="K83" s="61">
        <f t="shared" si="72"/>
        <v>7.6008257324999997</v>
      </c>
      <c r="L83" s="58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 t="s">
        <v>332</v>
      </c>
      <c r="B84" s="46" t="s">
        <v>271</v>
      </c>
      <c r="C84" s="10">
        <v>1065125</v>
      </c>
      <c r="D84" s="10" t="s">
        <v>1360</v>
      </c>
      <c r="E84" s="32">
        <v>102.14</v>
      </c>
      <c r="F84" s="32">
        <v>7.35</v>
      </c>
      <c r="G84" s="69">
        <f t="shared" si="64"/>
        <v>3.6749999999999998</v>
      </c>
      <c r="H84" s="70">
        <v>1</v>
      </c>
      <c r="I84" s="69">
        <f>(E84*0.98+G84)*H84*0.9</f>
        <v>93.394980000000004</v>
      </c>
      <c r="J84" s="61">
        <f>E84*0.02*H84*0.9</f>
        <v>1.8385200000000002</v>
      </c>
      <c r="K84" s="61">
        <f t="shared" ref="K84:K86" si="73">F84*0.22*H84*0.9</f>
        <v>1.4553</v>
      </c>
      <c r="L84" s="58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 t="s">
        <v>332</v>
      </c>
      <c r="B85" s="46" t="s">
        <v>271</v>
      </c>
      <c r="C85" s="10">
        <v>1066552</v>
      </c>
      <c r="D85" s="32" t="s">
        <v>1362</v>
      </c>
      <c r="E85" s="69">
        <v>-79.33</v>
      </c>
      <c r="F85" s="69">
        <v>13.07</v>
      </c>
      <c r="G85" s="69">
        <f t="shared" si="64"/>
        <v>6.5350000000000001</v>
      </c>
      <c r="H85" s="70">
        <v>1</v>
      </c>
      <c r="I85" s="69">
        <f>(E85+G85)*H85*0.9</f>
        <v>-65.515500000000003</v>
      </c>
      <c r="J85" s="61">
        <v>0</v>
      </c>
      <c r="K85" s="61">
        <f t="shared" si="73"/>
        <v>2.58786</v>
      </c>
      <c r="L85" s="58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2" t="s">
        <v>332</v>
      </c>
      <c r="B86" s="46" t="s">
        <v>271</v>
      </c>
      <c r="C86" s="10">
        <v>1066693</v>
      </c>
      <c r="D86" s="10" t="s">
        <v>1363</v>
      </c>
      <c r="E86" s="32">
        <v>13.31</v>
      </c>
      <c r="F86" s="32">
        <v>4.17</v>
      </c>
      <c r="G86" s="69">
        <f t="shared" si="64"/>
        <v>2.085</v>
      </c>
      <c r="H86" s="70">
        <v>1</v>
      </c>
      <c r="I86" s="69">
        <f>(E86*0.98+G86)*H86*0.9</f>
        <v>13.615920000000003</v>
      </c>
      <c r="J86" s="61">
        <f>E86*0.02*H86*0.9</f>
        <v>0.23957999999999999</v>
      </c>
      <c r="K86" s="61">
        <f t="shared" si="73"/>
        <v>0.82566000000000006</v>
      </c>
      <c r="L86" s="58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 t="s">
        <v>340</v>
      </c>
      <c r="B87" s="32" t="s">
        <v>30</v>
      </c>
      <c r="C87" s="95" t="s">
        <v>1335</v>
      </c>
      <c r="D87" s="72" t="s">
        <v>1336</v>
      </c>
      <c r="E87" s="69">
        <v>-344.6</v>
      </c>
      <c r="F87" s="69">
        <v>12.75</v>
      </c>
      <c r="G87" s="69">
        <f>F87*0.55</f>
        <v>7.0125000000000002</v>
      </c>
      <c r="H87" s="70">
        <v>0.19996900000000001</v>
      </c>
      <c r="I87" s="69">
        <f>(E87+G87)*H87*0.95</f>
        <v>-64.131683048124998</v>
      </c>
      <c r="J87" s="61">
        <v>0</v>
      </c>
      <c r="K87" s="61">
        <f>F87*0.22*H87*0.95</f>
        <v>0.53286739275000006</v>
      </c>
      <c r="L87" s="58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 t="s">
        <v>340</v>
      </c>
      <c r="B88" s="32" t="s">
        <v>23</v>
      </c>
      <c r="C88" s="10">
        <v>8650027</v>
      </c>
      <c r="D88" s="32" t="s">
        <v>1337</v>
      </c>
      <c r="E88" s="32">
        <v>-304.83</v>
      </c>
      <c r="F88" s="32">
        <v>22.55</v>
      </c>
      <c r="G88" s="69">
        <f t="shared" ref="G88:G90" si="74">F88*0.5</f>
        <v>11.275</v>
      </c>
      <c r="H88" s="70">
        <v>0.19841300000000001</v>
      </c>
      <c r="I88" s="69">
        <f>(E88+G88)*H88</f>
        <v>-58.245128215000001</v>
      </c>
      <c r="J88" s="61">
        <v>0</v>
      </c>
      <c r="K88" s="61">
        <f t="shared" ref="K88:K90" si="75">F88*0.2*H88</f>
        <v>0.89484263000000019</v>
      </c>
      <c r="L88" s="58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 t="s">
        <v>340</v>
      </c>
      <c r="B89" s="32" t="s">
        <v>23</v>
      </c>
      <c r="C89" s="10">
        <v>9125209</v>
      </c>
      <c r="D89" s="32" t="s">
        <v>1338</v>
      </c>
      <c r="E89" s="32">
        <v>841.46</v>
      </c>
      <c r="F89" s="32">
        <v>54.55</v>
      </c>
      <c r="G89" s="69">
        <f t="shared" si="74"/>
        <v>27.274999999999999</v>
      </c>
      <c r="H89" s="70">
        <v>0.19841300000000001</v>
      </c>
      <c r="I89" s="69">
        <f>(E89*0.98+G89)*H89</f>
        <v>169.02918549540001</v>
      </c>
      <c r="J89" s="61">
        <f>E89*0.02*H89</f>
        <v>3.3391320596000003</v>
      </c>
      <c r="K89" s="61">
        <f t="shared" si="75"/>
        <v>2.1646858300000003</v>
      </c>
      <c r="L89" s="58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 t="s">
        <v>340</v>
      </c>
      <c r="B90" s="2" t="s">
        <v>17</v>
      </c>
      <c r="C90" s="10">
        <v>9316168</v>
      </c>
      <c r="D90" s="32" t="s">
        <v>1339</v>
      </c>
      <c r="E90" s="32">
        <v>-562.04999999999995</v>
      </c>
      <c r="F90" s="32">
        <v>45.05</v>
      </c>
      <c r="G90" s="69">
        <f t="shared" si="74"/>
        <v>22.524999999999999</v>
      </c>
      <c r="H90" s="70">
        <v>0.19841300000000001</v>
      </c>
      <c r="I90" s="69">
        <f>(E90+G90)*H90</f>
        <v>-107.048773825</v>
      </c>
      <c r="J90" s="61">
        <v>0</v>
      </c>
      <c r="K90" s="61">
        <f t="shared" si="75"/>
        <v>1.7877011300000001</v>
      </c>
      <c r="L90" s="58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 t="s">
        <v>340</v>
      </c>
      <c r="B91" s="32" t="s">
        <v>263</v>
      </c>
      <c r="C91" s="10">
        <v>9275501</v>
      </c>
      <c r="D91" s="10" t="s">
        <v>1351</v>
      </c>
      <c r="E91" s="32">
        <v>1711.28</v>
      </c>
      <c r="F91" s="32">
        <v>1402</v>
      </c>
      <c r="G91" s="69">
        <f t="shared" ref="G91:G94" si="76">F91*0.575</f>
        <v>806.15</v>
      </c>
      <c r="H91" s="70">
        <v>1.7734E-2</v>
      </c>
      <c r="I91" s="69">
        <f>(E91*0.95+G91)*H91*0.8</f>
        <v>34.501369315200002</v>
      </c>
      <c r="J91" s="61">
        <f>(E91*0.1+E91*0.05*0.8)*H91</f>
        <v>4.2486975328000005</v>
      </c>
      <c r="K91" s="61">
        <f t="shared" ref="K91:K94" si="77">(F91*0.125*0.9+G91*0.1)*H91</f>
        <v>4.2267215599999997</v>
      </c>
      <c r="L91" s="58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2" t="s">
        <v>340</v>
      </c>
      <c r="B92" s="32" t="s">
        <v>263</v>
      </c>
      <c r="C92" s="10">
        <v>9017225</v>
      </c>
      <c r="D92" s="32" t="s">
        <v>1348</v>
      </c>
      <c r="E92" s="69">
        <v>-17722</v>
      </c>
      <c r="F92" s="69">
        <v>1402</v>
      </c>
      <c r="G92" s="69">
        <f t="shared" si="76"/>
        <v>806.15</v>
      </c>
      <c r="H92" s="70">
        <v>1.7734E-2</v>
      </c>
      <c r="I92" s="69">
        <f t="shared" ref="I92:I93" si="78">(E92+G92)*H92*0.8</f>
        <v>-239.98854711999999</v>
      </c>
      <c r="J92" s="61">
        <f t="shared" ref="J92:J93" si="79">E92*0.1*H92</f>
        <v>-31.4281948</v>
      </c>
      <c r="K92" s="61">
        <f t="shared" si="77"/>
        <v>4.2267215599999997</v>
      </c>
      <c r="L92" s="58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2" t="s">
        <v>340</v>
      </c>
      <c r="B93" s="32" t="s">
        <v>263</v>
      </c>
      <c r="C93" s="10">
        <v>8749308</v>
      </c>
      <c r="D93" s="10" t="s">
        <v>1352</v>
      </c>
      <c r="E93" s="32">
        <v>-14392</v>
      </c>
      <c r="F93" s="32">
        <v>6269</v>
      </c>
      <c r="G93" s="69">
        <f t="shared" si="76"/>
        <v>3604.6749999999997</v>
      </c>
      <c r="H93" s="70">
        <v>1.7734E-2</v>
      </c>
      <c r="I93" s="69">
        <f t="shared" si="78"/>
        <v>-153.04193724000001</v>
      </c>
      <c r="J93" s="61">
        <f t="shared" si="79"/>
        <v>-25.522772800000002</v>
      </c>
      <c r="K93" s="61">
        <f t="shared" si="77"/>
        <v>18.89965582</v>
      </c>
      <c r="L93" s="58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2" t="s">
        <v>340</v>
      </c>
      <c r="B94" s="32" t="s">
        <v>263</v>
      </c>
      <c r="C94" s="10">
        <v>9471267</v>
      </c>
      <c r="D94" s="10" t="s">
        <v>1350</v>
      </c>
      <c r="E94" s="32">
        <v>10563</v>
      </c>
      <c r="F94" s="32">
        <v>1927</v>
      </c>
      <c r="G94" s="69">
        <f t="shared" si="76"/>
        <v>1108.0249999999999</v>
      </c>
      <c r="H94" s="70">
        <v>1.7734E-2</v>
      </c>
      <c r="I94" s="69">
        <f>(E94*0.95+G94)*H94*0.8</f>
        <v>158.08619620000002</v>
      </c>
      <c r="J94" s="61">
        <f>(E94*0.1+E94*0.05*0.8)*H94</f>
        <v>26.225393879999999</v>
      </c>
      <c r="K94" s="61">
        <f t="shared" si="77"/>
        <v>5.8094810599999995</v>
      </c>
      <c r="L94" s="58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2" t="s">
        <v>340</v>
      </c>
      <c r="B95" s="2" t="s">
        <v>148</v>
      </c>
      <c r="C95" s="10">
        <v>8405860</v>
      </c>
      <c r="D95" s="10" t="s">
        <v>1346</v>
      </c>
      <c r="E95" s="32">
        <v>412.43</v>
      </c>
      <c r="F95" s="32">
        <v>15.75</v>
      </c>
      <c r="G95" s="69">
        <f t="shared" ref="G95:G108" si="80">F95*0.5</f>
        <v>7.875</v>
      </c>
      <c r="H95" s="70">
        <v>0.20039999999999999</v>
      </c>
      <c r="I95" s="69">
        <f t="shared" ref="I95:I96" si="81">(E95+G95)*H95*0.9</f>
        <v>75.806209800000005</v>
      </c>
      <c r="J95" s="61">
        <f t="shared" ref="J95:J96" si="82">E95*0.05*H95</f>
        <v>4.1325485999999998</v>
      </c>
      <c r="K95" s="61">
        <f t="shared" ref="K95:K96" si="83">(F95*0.25*0.95+G95*0.05)*H95</f>
        <v>0.82852874999999993</v>
      </c>
      <c r="L95" s="58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2" t="s">
        <v>340</v>
      </c>
      <c r="B96" s="2" t="s">
        <v>148</v>
      </c>
      <c r="C96" s="10">
        <v>8388558</v>
      </c>
      <c r="D96" s="10" t="s">
        <v>1347</v>
      </c>
      <c r="E96" s="32">
        <v>548.04999999999995</v>
      </c>
      <c r="F96" s="32">
        <v>36.83</v>
      </c>
      <c r="G96" s="69">
        <f t="shared" si="80"/>
        <v>18.414999999999999</v>
      </c>
      <c r="H96" s="70">
        <v>0.20039999999999999</v>
      </c>
      <c r="I96" s="69">
        <f t="shared" si="81"/>
        <v>102.16762739999999</v>
      </c>
      <c r="J96" s="61">
        <f t="shared" si="82"/>
        <v>5.4914610000000001</v>
      </c>
      <c r="K96" s="61">
        <f t="shared" si="83"/>
        <v>1.9374421499999996</v>
      </c>
      <c r="L96" s="58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 t="s">
        <v>340</v>
      </c>
      <c r="B97" s="46" t="s">
        <v>271</v>
      </c>
      <c r="C97" s="10">
        <v>1065125</v>
      </c>
      <c r="D97" s="10" t="s">
        <v>1360</v>
      </c>
      <c r="E97" s="32">
        <v>25.1</v>
      </c>
      <c r="F97" s="32">
        <v>6.61</v>
      </c>
      <c r="G97" s="69">
        <f t="shared" si="80"/>
        <v>3.3050000000000002</v>
      </c>
      <c r="H97" s="70">
        <v>1</v>
      </c>
      <c r="I97" s="69">
        <f t="shared" ref="I97:I98" si="84">(E97*0.98+G97)*H97*0.9</f>
        <v>25.112700000000004</v>
      </c>
      <c r="J97" s="61">
        <f t="shared" ref="J97:J98" si="85">E97*0.02*H97*0.9</f>
        <v>0.45180000000000003</v>
      </c>
      <c r="K97" s="61">
        <f t="shared" ref="K97:K98" si="86">F97*0.22*H97*0.9</f>
        <v>1.3087800000000003</v>
      </c>
      <c r="L97" s="58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 t="s">
        <v>340</v>
      </c>
      <c r="B98" s="46" t="s">
        <v>271</v>
      </c>
      <c r="C98" s="10">
        <v>1066693</v>
      </c>
      <c r="D98" s="10" t="s">
        <v>1363</v>
      </c>
      <c r="E98" s="32">
        <v>24.44</v>
      </c>
      <c r="F98" s="32">
        <v>6.84</v>
      </c>
      <c r="G98" s="69">
        <f t="shared" si="80"/>
        <v>3.42</v>
      </c>
      <c r="H98" s="70">
        <v>1</v>
      </c>
      <c r="I98" s="69">
        <f t="shared" si="84"/>
        <v>24.634080000000001</v>
      </c>
      <c r="J98" s="61">
        <f t="shared" si="85"/>
        <v>0.43992000000000003</v>
      </c>
      <c r="K98" s="61">
        <f t="shared" si="86"/>
        <v>1.35432</v>
      </c>
      <c r="L98" s="58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 t="s">
        <v>340</v>
      </c>
      <c r="B99" s="2" t="s">
        <v>10</v>
      </c>
      <c r="C99" s="10">
        <v>1064905</v>
      </c>
      <c r="D99" s="10" t="s">
        <v>1355</v>
      </c>
      <c r="E99" s="32">
        <v>377.45</v>
      </c>
      <c r="F99" s="32">
        <v>80.55</v>
      </c>
      <c r="G99" s="69">
        <f t="shared" si="80"/>
        <v>40.274999999999999</v>
      </c>
      <c r="H99" s="70">
        <v>0.20039999999999999</v>
      </c>
      <c r="I99" s="69">
        <f>(E99*0.98+G99)*H99</f>
        <v>82.199270399999989</v>
      </c>
      <c r="J99" s="61">
        <f>E99*0.02*H99</f>
        <v>1.5128195999999998</v>
      </c>
      <c r="K99" s="61">
        <f t="shared" ref="K99:K106" si="87">F99*0.25*H99</f>
        <v>4.0355549999999996</v>
      </c>
      <c r="L99" s="58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 t="s">
        <v>340</v>
      </c>
      <c r="B100" s="2" t="s">
        <v>10</v>
      </c>
      <c r="C100" s="10">
        <v>1064998</v>
      </c>
      <c r="D100" s="10" t="s">
        <v>1356</v>
      </c>
      <c r="E100" s="32">
        <v>-416.1</v>
      </c>
      <c r="F100" s="32">
        <v>29.7</v>
      </c>
      <c r="G100" s="69">
        <f t="shared" si="80"/>
        <v>14.85</v>
      </c>
      <c r="H100" s="70">
        <v>0.20039999999999999</v>
      </c>
      <c r="I100" s="69">
        <f>(E100+G100)*H100</f>
        <v>-80.410499999999999</v>
      </c>
      <c r="J100" s="61">
        <v>0</v>
      </c>
      <c r="K100" s="61">
        <f t="shared" si="87"/>
        <v>1.48797</v>
      </c>
      <c r="L100" s="58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 t="s">
        <v>340</v>
      </c>
      <c r="B101" s="2" t="s">
        <v>10</v>
      </c>
      <c r="C101" s="10">
        <v>1065228</v>
      </c>
      <c r="D101" s="10" t="s">
        <v>1357</v>
      </c>
      <c r="E101" s="32">
        <v>2487.6999999999998</v>
      </c>
      <c r="F101" s="32">
        <v>437.9</v>
      </c>
      <c r="G101" s="69">
        <f t="shared" si="80"/>
        <v>218.95</v>
      </c>
      <c r="H101" s="70">
        <v>0.20039999999999999</v>
      </c>
      <c r="I101" s="69">
        <f>(E101*0.98+G101)*H101</f>
        <v>532.44195839999998</v>
      </c>
      <c r="J101" s="61">
        <f>E101*0.02*H101</f>
        <v>9.9707015999999999</v>
      </c>
      <c r="K101" s="61">
        <f t="shared" si="87"/>
        <v>21.938789999999997</v>
      </c>
      <c r="L101" s="58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 t="s">
        <v>340</v>
      </c>
      <c r="B102" s="2" t="s">
        <v>10</v>
      </c>
      <c r="C102" s="10">
        <v>1066453</v>
      </c>
      <c r="D102" s="10" t="s">
        <v>1358</v>
      </c>
      <c r="E102" s="32">
        <v>-688.9</v>
      </c>
      <c r="F102" s="32">
        <v>108.6</v>
      </c>
      <c r="G102" s="69">
        <f t="shared" si="80"/>
        <v>54.3</v>
      </c>
      <c r="H102" s="70">
        <v>0.20039999999999999</v>
      </c>
      <c r="I102" s="69">
        <f>(E102+G102)*H102</f>
        <v>-127.17384</v>
      </c>
      <c r="J102" s="61">
        <v>0</v>
      </c>
      <c r="K102" s="61">
        <f t="shared" si="87"/>
        <v>5.4408599999999998</v>
      </c>
      <c r="L102" s="58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 t="s">
        <v>340</v>
      </c>
      <c r="B103" s="46" t="s">
        <v>268</v>
      </c>
      <c r="C103" s="10">
        <v>1063108</v>
      </c>
      <c r="D103" s="10" t="s">
        <v>1341</v>
      </c>
      <c r="E103" s="32">
        <v>272.64999999999998</v>
      </c>
      <c r="F103" s="32">
        <v>22.95</v>
      </c>
      <c r="G103" s="69">
        <f t="shared" si="80"/>
        <v>11.475</v>
      </c>
      <c r="H103" s="70">
        <v>0.20039999999999999</v>
      </c>
      <c r="I103" s="69">
        <f t="shared" ref="I103:I107" si="88">(E103*0.98+G103)*H103</f>
        <v>55.845868799999991</v>
      </c>
      <c r="J103" s="61">
        <f t="shared" ref="J103:J107" si="89">E103*0.02*H103</f>
        <v>1.0927811999999999</v>
      </c>
      <c r="K103" s="61">
        <f t="shared" si="87"/>
        <v>1.1497949999999999</v>
      </c>
      <c r="L103" s="58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 t="s">
        <v>340</v>
      </c>
      <c r="B104" s="46" t="s">
        <v>268</v>
      </c>
      <c r="C104" s="10">
        <v>1063111</v>
      </c>
      <c r="D104" s="32" t="s">
        <v>1342</v>
      </c>
      <c r="E104" s="69">
        <v>39.9</v>
      </c>
      <c r="F104" s="69">
        <v>89.3</v>
      </c>
      <c r="G104" s="69">
        <f t="shared" si="80"/>
        <v>44.65</v>
      </c>
      <c r="H104" s="70">
        <v>0.20039999999999999</v>
      </c>
      <c r="I104" s="69">
        <f t="shared" si="88"/>
        <v>16.783900799999998</v>
      </c>
      <c r="J104" s="61">
        <f t="shared" si="89"/>
        <v>0.15991920000000001</v>
      </c>
      <c r="K104" s="61">
        <f t="shared" si="87"/>
        <v>4.4739300000000002</v>
      </c>
      <c r="L104" s="58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 t="s">
        <v>340</v>
      </c>
      <c r="B105" s="46" t="s">
        <v>268</v>
      </c>
      <c r="C105" s="10">
        <v>1063113</v>
      </c>
      <c r="D105" s="10" t="s">
        <v>1343</v>
      </c>
      <c r="E105" s="32">
        <v>973.85</v>
      </c>
      <c r="F105" s="32">
        <v>162.1</v>
      </c>
      <c r="G105" s="69">
        <f t="shared" si="80"/>
        <v>81.05</v>
      </c>
      <c r="H105" s="70">
        <v>0.20039999999999999</v>
      </c>
      <c r="I105" s="69">
        <f t="shared" si="88"/>
        <v>207.4987692</v>
      </c>
      <c r="J105" s="61">
        <f t="shared" si="89"/>
        <v>3.9031908</v>
      </c>
      <c r="K105" s="61">
        <f t="shared" si="87"/>
        <v>8.1212099999999996</v>
      </c>
      <c r="L105" s="58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 t="s">
        <v>340</v>
      </c>
      <c r="B106" s="46" t="s">
        <v>268</v>
      </c>
      <c r="C106" s="10">
        <v>1063115</v>
      </c>
      <c r="D106" s="10" t="s">
        <v>1345</v>
      </c>
      <c r="E106" s="32">
        <v>6.9</v>
      </c>
      <c r="F106" s="32">
        <v>0.4</v>
      </c>
      <c r="G106" s="69">
        <f t="shared" si="80"/>
        <v>0.2</v>
      </c>
      <c r="H106" s="70">
        <v>0.20039999999999999</v>
      </c>
      <c r="I106" s="69">
        <f t="shared" si="88"/>
        <v>1.3951848</v>
      </c>
      <c r="J106" s="61">
        <f t="shared" si="89"/>
        <v>2.7655200000000001E-2</v>
      </c>
      <c r="K106" s="61">
        <f t="shared" si="87"/>
        <v>2.0040000000000002E-2</v>
      </c>
      <c r="L106" s="58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32" t="s">
        <v>359</v>
      </c>
      <c r="B107" s="32" t="s">
        <v>23</v>
      </c>
      <c r="C107" s="10">
        <v>8650027</v>
      </c>
      <c r="D107" s="32" t="s">
        <v>1337</v>
      </c>
      <c r="E107" s="32">
        <v>109.14</v>
      </c>
      <c r="F107" s="32">
        <v>27.86</v>
      </c>
      <c r="G107" s="69">
        <f t="shared" si="80"/>
        <v>13.93</v>
      </c>
      <c r="H107" s="70">
        <v>0.20366600000000001</v>
      </c>
      <c r="I107" s="69">
        <f t="shared" si="88"/>
        <v>24.620612475200002</v>
      </c>
      <c r="J107" s="61">
        <f t="shared" si="89"/>
        <v>0.4445621448</v>
      </c>
      <c r="K107" s="61">
        <f t="shared" ref="K107:K108" si="90">F107*0.2*H107</f>
        <v>1.1348269520000001</v>
      </c>
      <c r="L107" s="58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32" t="s">
        <v>359</v>
      </c>
      <c r="B108" s="32" t="s">
        <v>23</v>
      </c>
      <c r="C108" s="10">
        <v>9125209</v>
      </c>
      <c r="D108" s="32" t="s">
        <v>1338</v>
      </c>
      <c r="E108" s="32">
        <v>-10</v>
      </c>
      <c r="F108" s="32">
        <v>0</v>
      </c>
      <c r="G108" s="69">
        <f t="shared" si="80"/>
        <v>0</v>
      </c>
      <c r="H108" s="70">
        <v>0.20366600000000001</v>
      </c>
      <c r="I108" s="69">
        <f>(E108+G108)*H108</f>
        <v>-2.0366600000000004</v>
      </c>
      <c r="J108" s="61">
        <v>0</v>
      </c>
      <c r="K108" s="61">
        <f t="shared" si="90"/>
        <v>0</v>
      </c>
      <c r="L108" s="58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32" t="s">
        <v>359</v>
      </c>
      <c r="B109" s="32" t="s">
        <v>263</v>
      </c>
      <c r="C109" s="10">
        <v>9017225</v>
      </c>
      <c r="D109" s="10" t="s">
        <v>1348</v>
      </c>
      <c r="E109" s="32">
        <v>-3724</v>
      </c>
      <c r="F109" s="32">
        <v>595</v>
      </c>
      <c r="G109" s="69">
        <f t="shared" ref="G109:G112" si="91">F109*0.575</f>
        <v>342.125</v>
      </c>
      <c r="H109" s="70">
        <v>1.7909999999999999E-2</v>
      </c>
      <c r="I109" s="69">
        <f>(E109+G109)*H109*0.8</f>
        <v>-48.455505000000002</v>
      </c>
      <c r="J109" s="61">
        <f>E109*0.1*H109</f>
        <v>-6.6696840000000002</v>
      </c>
      <c r="K109" s="61">
        <f t="shared" ref="K109:K112" si="92">(F109*0.125*0.9+G109*0.1)*H109</f>
        <v>1.8115965000000001</v>
      </c>
      <c r="L109" s="58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 t="s">
        <v>359</v>
      </c>
      <c r="B110" s="32" t="s">
        <v>263</v>
      </c>
      <c r="C110" s="10">
        <v>9471267</v>
      </c>
      <c r="D110" s="10" t="s">
        <v>1350</v>
      </c>
      <c r="E110" s="32">
        <v>267</v>
      </c>
      <c r="F110" s="32">
        <v>164</v>
      </c>
      <c r="G110" s="69">
        <f t="shared" si="91"/>
        <v>94.3</v>
      </c>
      <c r="H110" s="70">
        <v>1.7909999999999999E-2</v>
      </c>
      <c r="I110" s="69">
        <f>(E110*0.95+G110)*H110*0.8</f>
        <v>4.9854275999999995</v>
      </c>
      <c r="J110" s="61">
        <f>(E110*0.1+E110*0.05*0.8)*H110</f>
        <v>0.66947579999999995</v>
      </c>
      <c r="K110" s="61">
        <f t="shared" si="92"/>
        <v>0.49933079999999996</v>
      </c>
      <c r="L110" s="58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 t="s">
        <v>359</v>
      </c>
      <c r="B111" s="32" t="s">
        <v>263</v>
      </c>
      <c r="C111" s="10">
        <v>8749308</v>
      </c>
      <c r="D111" s="10" t="s">
        <v>1352</v>
      </c>
      <c r="E111" s="32">
        <v>-17492.28</v>
      </c>
      <c r="F111" s="32">
        <v>1095</v>
      </c>
      <c r="G111" s="69">
        <f t="shared" si="91"/>
        <v>629.625</v>
      </c>
      <c r="H111" s="70">
        <v>1.7909999999999999E-2</v>
      </c>
      <c r="I111" s="69">
        <f t="shared" ref="I111:I112" si="93">(E111+G111)*H111*0.8</f>
        <v>-241.60812083999997</v>
      </c>
      <c r="J111" s="61">
        <f t="shared" ref="J111:J112" si="94">E111*0.1*H111</f>
        <v>-31.328673479999999</v>
      </c>
      <c r="K111" s="61">
        <f t="shared" si="92"/>
        <v>3.3339464999999997</v>
      </c>
      <c r="L111" s="58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 t="s">
        <v>359</v>
      </c>
      <c r="B112" s="32" t="s">
        <v>263</v>
      </c>
      <c r="C112" s="10">
        <v>9275501</v>
      </c>
      <c r="D112" s="10" t="s">
        <v>1351</v>
      </c>
      <c r="E112" s="32">
        <v>-635</v>
      </c>
      <c r="F112" s="32">
        <v>276</v>
      </c>
      <c r="G112" s="69">
        <f t="shared" si="91"/>
        <v>158.69999999999999</v>
      </c>
      <c r="H112" s="70">
        <v>1.7909999999999999E-2</v>
      </c>
      <c r="I112" s="69">
        <f t="shared" si="93"/>
        <v>-6.8244264000000001</v>
      </c>
      <c r="J112" s="61">
        <f t="shared" si="94"/>
        <v>-1.1372849999999999</v>
      </c>
      <c r="K112" s="61">
        <f t="shared" si="92"/>
        <v>0.84033720000000001</v>
      </c>
      <c r="L112" s="58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 t="s">
        <v>359</v>
      </c>
      <c r="B113" s="2" t="s">
        <v>148</v>
      </c>
      <c r="C113" s="10">
        <v>8405860</v>
      </c>
      <c r="D113" s="10" t="s">
        <v>1346</v>
      </c>
      <c r="E113" s="32">
        <v>22.98</v>
      </c>
      <c r="F113" s="32">
        <v>27.15</v>
      </c>
      <c r="G113" s="69">
        <f t="shared" ref="G113:G128" si="95">F113*0.5</f>
        <v>13.574999999999999</v>
      </c>
      <c r="H113" s="70">
        <v>0.20202000000000001</v>
      </c>
      <c r="I113" s="69">
        <f t="shared" ref="I113:I114" si="96">(E113+G113)*H113*0.9</f>
        <v>6.6463569900000001</v>
      </c>
      <c r="J113" s="61">
        <f t="shared" ref="J113:J114" si="97">E113*0.05*H113</f>
        <v>0.23212098</v>
      </c>
      <c r="K113" s="61">
        <f t="shared" ref="K113:K114" si="98">(F113*0.25*0.95+G113*0.05)*H113</f>
        <v>1.4397712874999999</v>
      </c>
      <c r="L113" s="58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32" t="s">
        <v>359</v>
      </c>
      <c r="B114" s="2" t="s">
        <v>148</v>
      </c>
      <c r="C114" s="10">
        <v>8388558</v>
      </c>
      <c r="D114" s="10" t="s">
        <v>1347</v>
      </c>
      <c r="E114" s="32">
        <v>22.4</v>
      </c>
      <c r="F114" s="32">
        <v>2.92</v>
      </c>
      <c r="G114" s="69">
        <f t="shared" si="95"/>
        <v>1.46</v>
      </c>
      <c r="H114" s="70">
        <v>0.20202000000000001</v>
      </c>
      <c r="I114" s="69">
        <f t="shared" si="96"/>
        <v>4.3381774799999997</v>
      </c>
      <c r="J114" s="61">
        <f t="shared" si="97"/>
        <v>0.22626239999999997</v>
      </c>
      <c r="K114" s="61">
        <f t="shared" si="98"/>
        <v>0.15484833000000001</v>
      </c>
      <c r="L114" s="58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32" t="s">
        <v>359</v>
      </c>
      <c r="B115" s="2" t="s">
        <v>10</v>
      </c>
      <c r="C115" s="10">
        <v>1064905</v>
      </c>
      <c r="D115" s="10" t="s">
        <v>1355</v>
      </c>
      <c r="E115" s="32">
        <v>284.8</v>
      </c>
      <c r="F115" s="32">
        <v>22.7</v>
      </c>
      <c r="G115" s="69">
        <f t="shared" si="95"/>
        <v>11.35</v>
      </c>
      <c r="H115" s="70">
        <v>0.20202000000000001</v>
      </c>
      <c r="I115" s="69">
        <f t="shared" ref="I115:I118" si="99">(E115*0.98+G115)*H115</f>
        <v>58.677517080000001</v>
      </c>
      <c r="J115" s="61">
        <f t="shared" ref="J115:J118" si="100">E115*0.02*H115</f>
        <v>1.15070592</v>
      </c>
      <c r="K115" s="61">
        <f t="shared" ref="K115:K122" si="101">F115*0.25*H115</f>
        <v>1.1464635000000001</v>
      </c>
      <c r="L115" s="58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32" t="s">
        <v>359</v>
      </c>
      <c r="B116" s="2" t="s">
        <v>10</v>
      </c>
      <c r="C116" s="10">
        <v>1064998</v>
      </c>
      <c r="D116" s="32" t="s">
        <v>1356</v>
      </c>
      <c r="E116" s="32">
        <v>227.8</v>
      </c>
      <c r="F116" s="32">
        <v>25.5</v>
      </c>
      <c r="G116" s="69">
        <f t="shared" si="95"/>
        <v>12.75</v>
      </c>
      <c r="H116" s="70">
        <v>0.20202000000000001</v>
      </c>
      <c r="I116" s="69">
        <f t="shared" si="99"/>
        <v>47.675507879999998</v>
      </c>
      <c r="J116" s="61">
        <f t="shared" si="100"/>
        <v>0.92040312000000002</v>
      </c>
      <c r="K116" s="61">
        <f t="shared" si="101"/>
        <v>1.2878775</v>
      </c>
      <c r="L116" s="58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32" t="s">
        <v>359</v>
      </c>
      <c r="B117" s="2" t="s">
        <v>10</v>
      </c>
      <c r="C117" s="10">
        <v>1065228</v>
      </c>
      <c r="D117" s="10" t="s">
        <v>1357</v>
      </c>
      <c r="E117" s="32">
        <v>149.15</v>
      </c>
      <c r="F117" s="32">
        <v>129.75</v>
      </c>
      <c r="G117" s="69">
        <f t="shared" si="95"/>
        <v>64.875</v>
      </c>
      <c r="H117" s="70">
        <v>0.20202000000000001</v>
      </c>
      <c r="I117" s="69">
        <f t="shared" si="99"/>
        <v>42.634704840000005</v>
      </c>
      <c r="J117" s="61">
        <f t="shared" si="100"/>
        <v>0.60262566000000006</v>
      </c>
      <c r="K117" s="61">
        <f t="shared" si="101"/>
        <v>6.5530237500000004</v>
      </c>
      <c r="L117" s="58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32" t="s">
        <v>359</v>
      </c>
      <c r="B118" s="2" t="s">
        <v>10</v>
      </c>
      <c r="C118" s="10">
        <v>1066453</v>
      </c>
      <c r="D118" s="10" t="s">
        <v>1358</v>
      </c>
      <c r="E118" s="32">
        <v>624.1</v>
      </c>
      <c r="F118" s="32">
        <v>57.65</v>
      </c>
      <c r="G118" s="69">
        <f t="shared" si="95"/>
        <v>28.824999999999999</v>
      </c>
      <c r="H118" s="70">
        <v>0.20202000000000001</v>
      </c>
      <c r="I118" s="69">
        <f t="shared" si="99"/>
        <v>129.38229486000003</v>
      </c>
      <c r="J118" s="61">
        <f t="shared" si="100"/>
        <v>2.5216136400000004</v>
      </c>
      <c r="K118" s="61">
        <f t="shared" si="101"/>
        <v>2.9116132499999998</v>
      </c>
      <c r="L118" s="58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32" t="s">
        <v>359</v>
      </c>
      <c r="B119" s="46" t="s">
        <v>268</v>
      </c>
      <c r="C119" s="10">
        <v>1063108</v>
      </c>
      <c r="D119" s="32" t="s">
        <v>1341</v>
      </c>
      <c r="E119" s="32">
        <v>-86.75</v>
      </c>
      <c r="F119" s="32">
        <v>70.900000000000006</v>
      </c>
      <c r="G119" s="69">
        <f t="shared" si="95"/>
        <v>35.450000000000003</v>
      </c>
      <c r="H119" s="70">
        <v>0.20202000000000001</v>
      </c>
      <c r="I119" s="69">
        <f t="shared" ref="I119:I120" si="102">(E119+G119)*H119</f>
        <v>-10.363626</v>
      </c>
      <c r="J119" s="61">
        <v>0</v>
      </c>
      <c r="K119" s="61">
        <f t="shared" si="101"/>
        <v>3.5808045000000002</v>
      </c>
      <c r="L119" s="58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32" t="s">
        <v>359</v>
      </c>
      <c r="B120" s="46" t="s">
        <v>268</v>
      </c>
      <c r="C120" s="10">
        <v>1063111</v>
      </c>
      <c r="D120" s="10" t="s">
        <v>1342</v>
      </c>
      <c r="E120" s="32">
        <v>-1.95</v>
      </c>
      <c r="F120" s="32">
        <v>28.7</v>
      </c>
      <c r="G120" s="69">
        <f t="shared" si="95"/>
        <v>14.35</v>
      </c>
      <c r="H120" s="70">
        <v>0.20202000000000001</v>
      </c>
      <c r="I120" s="69">
        <f t="shared" si="102"/>
        <v>2.5050479999999999</v>
      </c>
      <c r="J120" s="61">
        <v>0</v>
      </c>
      <c r="K120" s="61">
        <f t="shared" si="101"/>
        <v>1.4494935</v>
      </c>
      <c r="L120" s="58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32" t="s">
        <v>359</v>
      </c>
      <c r="B121" s="46" t="s">
        <v>268</v>
      </c>
      <c r="C121" s="10">
        <v>1063113</v>
      </c>
      <c r="D121" s="10" t="s">
        <v>1343</v>
      </c>
      <c r="E121" s="32">
        <v>311.39999999999998</v>
      </c>
      <c r="F121" s="32">
        <v>37.65</v>
      </c>
      <c r="G121" s="69">
        <f t="shared" si="95"/>
        <v>18.824999999999999</v>
      </c>
      <c r="H121" s="70">
        <v>0.20202000000000001</v>
      </c>
      <c r="I121" s="69">
        <f>(E121*0.98+G121)*H121</f>
        <v>65.453873939999994</v>
      </c>
      <c r="J121" s="61">
        <f>E121*0.02*H121</f>
        <v>1.25818056</v>
      </c>
      <c r="K121" s="61">
        <f t="shared" si="101"/>
        <v>1.90151325</v>
      </c>
      <c r="L121" s="58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32" t="s">
        <v>359</v>
      </c>
      <c r="B122" s="46" t="s">
        <v>268</v>
      </c>
      <c r="C122" s="10">
        <v>1063115</v>
      </c>
      <c r="D122" s="10" t="s">
        <v>1345</v>
      </c>
      <c r="E122" s="32">
        <v>-43.95</v>
      </c>
      <c r="F122" s="32">
        <v>69.8</v>
      </c>
      <c r="G122" s="69">
        <f t="shared" si="95"/>
        <v>34.9</v>
      </c>
      <c r="H122" s="70">
        <v>0.20202000000000001</v>
      </c>
      <c r="I122" s="69">
        <f>(E122+G122)*H122</f>
        <v>-1.8282810000000009</v>
      </c>
      <c r="J122" s="61">
        <v>0</v>
      </c>
      <c r="K122" s="61">
        <f t="shared" si="101"/>
        <v>3.5252490000000001</v>
      </c>
      <c r="L122" s="58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32" t="s">
        <v>359</v>
      </c>
      <c r="B123" s="46" t="s">
        <v>271</v>
      </c>
      <c r="C123" s="10">
        <v>1065125</v>
      </c>
      <c r="D123" s="32" t="s">
        <v>1360</v>
      </c>
      <c r="E123" s="32">
        <v>88.09</v>
      </c>
      <c r="F123" s="32">
        <v>14.81</v>
      </c>
      <c r="G123" s="69">
        <f t="shared" si="95"/>
        <v>7.4050000000000002</v>
      </c>
      <c r="H123" s="70">
        <v>1</v>
      </c>
      <c r="I123" s="69">
        <f t="shared" ref="I123:I126" si="103">(E123*0.98+G123)*H123*0.9</f>
        <v>84.359880000000004</v>
      </c>
      <c r="J123" s="61">
        <f t="shared" ref="J123:J126" si="104">E123*0.02*H123*0.9</f>
        <v>1.58562</v>
      </c>
      <c r="K123" s="61">
        <f t="shared" ref="K123:K126" si="105">F123*0.22*H123*0.9</f>
        <v>2.9323800000000002</v>
      </c>
      <c r="L123" s="58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32" t="s">
        <v>359</v>
      </c>
      <c r="B124" s="46" t="s">
        <v>271</v>
      </c>
      <c r="C124" s="10">
        <v>1065626</v>
      </c>
      <c r="D124" s="10" t="s">
        <v>1361</v>
      </c>
      <c r="E124" s="32">
        <v>0.86</v>
      </c>
      <c r="F124" s="32">
        <v>0.71</v>
      </c>
      <c r="G124" s="69">
        <f t="shared" si="95"/>
        <v>0.35499999999999998</v>
      </c>
      <c r="H124" s="70">
        <v>1</v>
      </c>
      <c r="I124" s="69">
        <f t="shared" si="103"/>
        <v>1.07802</v>
      </c>
      <c r="J124" s="61">
        <f t="shared" si="104"/>
        <v>1.5480000000000001E-2</v>
      </c>
      <c r="K124" s="61">
        <f t="shared" si="105"/>
        <v>0.14058000000000001</v>
      </c>
      <c r="L124" s="58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32" t="s">
        <v>359</v>
      </c>
      <c r="B125" s="46" t="s">
        <v>271</v>
      </c>
      <c r="C125" s="10">
        <v>1066552</v>
      </c>
      <c r="D125" s="10" t="s">
        <v>1362</v>
      </c>
      <c r="E125" s="32">
        <v>39.08</v>
      </c>
      <c r="F125" s="32">
        <v>3.13</v>
      </c>
      <c r="G125" s="69">
        <f t="shared" si="95"/>
        <v>1.5649999999999999</v>
      </c>
      <c r="H125" s="70">
        <v>1</v>
      </c>
      <c r="I125" s="69">
        <f t="shared" si="103"/>
        <v>35.87706</v>
      </c>
      <c r="J125" s="61">
        <f t="shared" si="104"/>
        <v>0.70343999999999995</v>
      </c>
      <c r="K125" s="61">
        <f t="shared" si="105"/>
        <v>0.61973999999999996</v>
      </c>
      <c r="L125" s="58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32" t="s">
        <v>359</v>
      </c>
      <c r="B126" s="46" t="s">
        <v>271</v>
      </c>
      <c r="C126" s="10">
        <v>1066693</v>
      </c>
      <c r="D126" s="10" t="s">
        <v>1363</v>
      </c>
      <c r="E126" s="32">
        <v>56.54</v>
      </c>
      <c r="F126" s="32">
        <v>6.95</v>
      </c>
      <c r="G126" s="69">
        <f t="shared" si="95"/>
        <v>3.4750000000000001</v>
      </c>
      <c r="H126" s="70">
        <v>1</v>
      </c>
      <c r="I126" s="69">
        <f t="shared" si="103"/>
        <v>52.995780000000003</v>
      </c>
      <c r="J126" s="61">
        <f t="shared" si="104"/>
        <v>1.01772</v>
      </c>
      <c r="K126" s="61">
        <f t="shared" si="105"/>
        <v>1.3761000000000001</v>
      </c>
      <c r="L126" s="58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 t="s">
        <v>366</v>
      </c>
      <c r="B127" s="32" t="s">
        <v>23</v>
      </c>
      <c r="C127" s="10">
        <v>8650027</v>
      </c>
      <c r="D127" s="32" t="s">
        <v>1337</v>
      </c>
      <c r="E127" s="32">
        <v>-106.51</v>
      </c>
      <c r="F127" s="32">
        <v>38.31</v>
      </c>
      <c r="G127" s="69">
        <f t="shared" si="95"/>
        <v>19.155000000000001</v>
      </c>
      <c r="H127" s="70">
        <v>0.2</v>
      </c>
      <c r="I127" s="69">
        <f t="shared" ref="I127:I128" si="106">(E127+G127)*H127</f>
        <v>-17.471</v>
      </c>
      <c r="J127" s="61">
        <v>0</v>
      </c>
      <c r="K127" s="61">
        <f t="shared" ref="K127:K128" si="107">F127*0.2*H127</f>
        <v>1.5324000000000002</v>
      </c>
      <c r="L127" s="58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 t="s">
        <v>366</v>
      </c>
      <c r="B128" s="32" t="s">
        <v>23</v>
      </c>
      <c r="C128" s="10">
        <v>9125209</v>
      </c>
      <c r="D128" s="32" t="s">
        <v>1338</v>
      </c>
      <c r="E128" s="32">
        <v>-1289.56</v>
      </c>
      <c r="F128" s="32">
        <v>83.94</v>
      </c>
      <c r="G128" s="69">
        <f t="shared" si="95"/>
        <v>41.97</v>
      </c>
      <c r="H128" s="70">
        <v>0.2</v>
      </c>
      <c r="I128" s="69">
        <f t="shared" si="106"/>
        <v>-249.518</v>
      </c>
      <c r="J128" s="61">
        <v>0</v>
      </c>
      <c r="K128" s="61">
        <f t="shared" si="107"/>
        <v>3.3576000000000001</v>
      </c>
      <c r="L128" s="58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2" t="s">
        <v>366</v>
      </c>
      <c r="B129" s="32" t="s">
        <v>263</v>
      </c>
      <c r="C129" s="10">
        <v>9275501</v>
      </c>
      <c r="D129" s="32" t="s">
        <v>1351</v>
      </c>
      <c r="E129" s="69">
        <v>-5628.12</v>
      </c>
      <c r="F129" s="69">
        <v>457</v>
      </c>
      <c r="G129" s="69">
        <f t="shared" ref="G129:G132" si="108">F129*0.575</f>
        <v>262.77499999999998</v>
      </c>
      <c r="H129" s="70">
        <v>1.789E-2</v>
      </c>
      <c r="I129" s="69">
        <f t="shared" ref="I129:I130" si="109">(E129+G129)*H129*0.8</f>
        <v>-76.788817640000005</v>
      </c>
      <c r="J129" s="61">
        <f t="shared" ref="J129:J130" si="110">E129*0.1*H129</f>
        <v>-10.06870668</v>
      </c>
      <c r="K129" s="61">
        <f t="shared" ref="K129:K132" si="111">(F129*0.125*0.9+G129*0.1)*H129</f>
        <v>1.3898740999999999</v>
      </c>
      <c r="L129" s="58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2" t="s">
        <v>366</v>
      </c>
      <c r="B130" s="32" t="s">
        <v>263</v>
      </c>
      <c r="C130" s="10">
        <v>9471267</v>
      </c>
      <c r="D130" s="32" t="s">
        <v>1350</v>
      </c>
      <c r="E130" s="32">
        <v>-377</v>
      </c>
      <c r="F130" s="32">
        <v>3912</v>
      </c>
      <c r="G130" s="69">
        <f t="shared" si="108"/>
        <v>2249.3999999999996</v>
      </c>
      <c r="H130" s="70">
        <v>1.789E-2</v>
      </c>
      <c r="I130" s="69">
        <f t="shared" si="109"/>
        <v>26.797788799999996</v>
      </c>
      <c r="J130" s="61">
        <f t="shared" si="110"/>
        <v>-0.67445300000000008</v>
      </c>
      <c r="K130" s="61">
        <f t="shared" si="111"/>
        <v>11.897565599999998</v>
      </c>
      <c r="L130" s="58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2" t="s">
        <v>366</v>
      </c>
      <c r="B131" s="32" t="s">
        <v>263</v>
      </c>
      <c r="C131" s="10">
        <v>9017225</v>
      </c>
      <c r="D131" s="10" t="s">
        <v>1348</v>
      </c>
      <c r="E131" s="32">
        <v>88</v>
      </c>
      <c r="F131" s="32">
        <v>135</v>
      </c>
      <c r="G131" s="69">
        <f t="shared" si="108"/>
        <v>77.625</v>
      </c>
      <c r="H131" s="70">
        <v>1.789E-2</v>
      </c>
      <c r="I131" s="69">
        <f t="shared" ref="I131:I132" si="112">(E131*0.95+G131)*H131*0.8</f>
        <v>2.3074521999999997</v>
      </c>
      <c r="J131" s="61">
        <f t="shared" ref="J131:J132" si="113">(E131*0.1+E131*0.05*0.8)*H131</f>
        <v>0.22040480000000001</v>
      </c>
      <c r="K131" s="61">
        <f t="shared" si="111"/>
        <v>0.41057549999999998</v>
      </c>
      <c r="L131" s="58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2" t="s">
        <v>366</v>
      </c>
      <c r="B132" s="32" t="s">
        <v>263</v>
      </c>
      <c r="C132" s="10">
        <v>8749308</v>
      </c>
      <c r="D132" s="10" t="s">
        <v>1352</v>
      </c>
      <c r="E132" s="32">
        <v>2221.88</v>
      </c>
      <c r="F132" s="32">
        <v>456</v>
      </c>
      <c r="G132" s="69">
        <f t="shared" si="108"/>
        <v>262.2</v>
      </c>
      <c r="H132" s="70">
        <v>1.789E-2</v>
      </c>
      <c r="I132" s="69">
        <f t="shared" si="112"/>
        <v>33.962175631999997</v>
      </c>
      <c r="J132" s="61">
        <f t="shared" si="113"/>
        <v>5.5649206480000011</v>
      </c>
      <c r="K132" s="61">
        <f t="shared" si="111"/>
        <v>1.3868328000000001</v>
      </c>
      <c r="L132" s="58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2" t="s">
        <v>366</v>
      </c>
      <c r="B133" s="2" t="s">
        <v>148</v>
      </c>
      <c r="C133" s="10">
        <v>8405860</v>
      </c>
      <c r="D133" s="10" t="s">
        <v>1346</v>
      </c>
      <c r="E133" s="32">
        <v>35.97</v>
      </c>
      <c r="F133" s="32">
        <v>11.71</v>
      </c>
      <c r="G133" s="69">
        <f t="shared" ref="G133:G154" si="114">F133*0.5</f>
        <v>5.8550000000000004</v>
      </c>
      <c r="H133" s="70">
        <v>0.20161299999999999</v>
      </c>
      <c r="I133" s="69">
        <f t="shared" ref="I133:I134" si="115">(E133+G133)*H133*0.9</f>
        <v>7.5892173525000004</v>
      </c>
      <c r="J133" s="61">
        <f t="shared" ref="J133:J134" si="116">E133*0.05*H133</f>
        <v>0.36260098049999995</v>
      </c>
      <c r="K133" s="61">
        <f t="shared" ref="K133:K134" si="117">(F133*0.25*0.95+G133*0.05)*H133</f>
        <v>0.61973316037500004</v>
      </c>
      <c r="L133" s="58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2" t="s">
        <v>366</v>
      </c>
      <c r="B134" s="2" t="s">
        <v>148</v>
      </c>
      <c r="C134" s="10">
        <v>8388558</v>
      </c>
      <c r="D134" s="10" t="s">
        <v>1347</v>
      </c>
      <c r="E134" s="69">
        <v>1021.76</v>
      </c>
      <c r="F134" s="69">
        <v>35.880000000000003</v>
      </c>
      <c r="G134" s="69">
        <f t="shared" si="114"/>
        <v>17.940000000000001</v>
      </c>
      <c r="H134" s="70">
        <v>0.20161299999999999</v>
      </c>
      <c r="I134" s="69">
        <f t="shared" si="115"/>
        <v>188.65533249000001</v>
      </c>
      <c r="J134" s="61">
        <f t="shared" si="116"/>
        <v>10.300004943999999</v>
      </c>
      <c r="K134" s="61">
        <f t="shared" si="117"/>
        <v>1.8988920404999998</v>
      </c>
      <c r="L134" s="58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2" t="s">
        <v>366</v>
      </c>
      <c r="B135" s="2" t="s">
        <v>10</v>
      </c>
      <c r="C135" s="10">
        <v>1064905</v>
      </c>
      <c r="D135" s="32" t="s">
        <v>1355</v>
      </c>
      <c r="E135" s="69">
        <v>632.35</v>
      </c>
      <c r="F135" s="69">
        <v>82.8</v>
      </c>
      <c r="G135" s="69">
        <f t="shared" si="114"/>
        <v>41.4</v>
      </c>
      <c r="H135" s="70">
        <v>0.20161299999999999</v>
      </c>
      <c r="I135" s="69">
        <f>(E135*0.98+G135)*H135</f>
        <v>133.28695913899998</v>
      </c>
      <c r="J135" s="61">
        <f>E135*0.02*H135</f>
        <v>2.5497996110000001</v>
      </c>
      <c r="K135" s="61">
        <f t="shared" ref="K135:K142" si="118">F135*0.25*H135</f>
        <v>4.1733890999999996</v>
      </c>
      <c r="L135" s="58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2" t="s">
        <v>366</v>
      </c>
      <c r="B136" s="2" t="s">
        <v>10</v>
      </c>
      <c r="C136" s="10">
        <v>1064998</v>
      </c>
      <c r="D136" s="32" t="s">
        <v>1356</v>
      </c>
      <c r="E136" s="69">
        <v>-166.6</v>
      </c>
      <c r="F136" s="69">
        <v>24.4</v>
      </c>
      <c r="G136" s="69">
        <f t="shared" si="114"/>
        <v>12.2</v>
      </c>
      <c r="H136" s="70">
        <v>0.20161299999999999</v>
      </c>
      <c r="I136" s="69">
        <f>(E136+G136)*H136</f>
        <v>-31.129047199999999</v>
      </c>
      <c r="J136" s="61">
        <v>0</v>
      </c>
      <c r="K136" s="61">
        <f t="shared" si="118"/>
        <v>1.2298392999999999</v>
      </c>
      <c r="L136" s="58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2" t="s">
        <v>366</v>
      </c>
      <c r="B137" s="2" t="s">
        <v>10</v>
      </c>
      <c r="C137" s="10">
        <v>1065228</v>
      </c>
      <c r="D137" s="10" t="s">
        <v>1357</v>
      </c>
      <c r="E137" s="69">
        <v>759.25</v>
      </c>
      <c r="F137" s="69">
        <v>133.30000000000001</v>
      </c>
      <c r="G137" s="69">
        <f t="shared" si="114"/>
        <v>66.650000000000006</v>
      </c>
      <c r="H137" s="70">
        <v>0.20161299999999999</v>
      </c>
      <c r="I137" s="69">
        <f t="shared" ref="I137:I140" si="119">(E137*0.98+G137)*H137</f>
        <v>163.45068329499998</v>
      </c>
      <c r="J137" s="61">
        <f t="shared" ref="J137:J140" si="120">E137*0.02*H137</f>
        <v>3.0614934049999998</v>
      </c>
      <c r="K137" s="61">
        <f t="shared" si="118"/>
        <v>6.7187532250000004</v>
      </c>
      <c r="L137" s="58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2" t="s">
        <v>366</v>
      </c>
      <c r="B138" s="2" t="s">
        <v>10</v>
      </c>
      <c r="C138" s="10">
        <v>1066453</v>
      </c>
      <c r="D138" s="10" t="s">
        <v>1358</v>
      </c>
      <c r="E138" s="32">
        <v>468.3</v>
      </c>
      <c r="F138" s="32">
        <v>81.45</v>
      </c>
      <c r="G138" s="69">
        <f t="shared" si="114"/>
        <v>40.725000000000001</v>
      </c>
      <c r="H138" s="70">
        <v>0.20161299999999999</v>
      </c>
      <c r="I138" s="69">
        <f t="shared" si="119"/>
        <v>100.737749967</v>
      </c>
      <c r="J138" s="61">
        <f t="shared" si="120"/>
        <v>1.8883073579999998</v>
      </c>
      <c r="K138" s="61">
        <f t="shared" si="118"/>
        <v>4.1053447125</v>
      </c>
      <c r="L138" s="58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2" t="s">
        <v>366</v>
      </c>
      <c r="B139" s="46" t="s">
        <v>268</v>
      </c>
      <c r="C139" s="10">
        <v>1063108</v>
      </c>
      <c r="D139" s="10" t="s">
        <v>1341</v>
      </c>
      <c r="E139" s="69">
        <v>692.8</v>
      </c>
      <c r="F139" s="69">
        <v>83.9</v>
      </c>
      <c r="G139" s="69">
        <f t="shared" si="114"/>
        <v>41.95</v>
      </c>
      <c r="H139" s="70">
        <v>0.20161299999999999</v>
      </c>
      <c r="I139" s="69">
        <f t="shared" si="119"/>
        <v>145.34160202199999</v>
      </c>
      <c r="J139" s="61">
        <f t="shared" si="120"/>
        <v>2.7935497279999999</v>
      </c>
      <c r="K139" s="61">
        <f t="shared" si="118"/>
        <v>4.2288326749999996</v>
      </c>
      <c r="L139" s="58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2" t="s">
        <v>366</v>
      </c>
      <c r="B140" s="46" t="s">
        <v>268</v>
      </c>
      <c r="C140" s="10">
        <v>1063111</v>
      </c>
      <c r="D140" s="10" t="s">
        <v>1342</v>
      </c>
      <c r="E140" s="32">
        <v>370.95</v>
      </c>
      <c r="F140" s="32">
        <v>49.05</v>
      </c>
      <c r="G140" s="69">
        <f t="shared" si="114"/>
        <v>24.524999999999999</v>
      </c>
      <c r="H140" s="70">
        <v>0.20161299999999999</v>
      </c>
      <c r="I140" s="69">
        <f t="shared" si="119"/>
        <v>78.237134327999996</v>
      </c>
      <c r="J140" s="61">
        <f t="shared" si="120"/>
        <v>1.4957668469999998</v>
      </c>
      <c r="K140" s="61">
        <f t="shared" si="118"/>
        <v>2.4722794124999998</v>
      </c>
      <c r="L140" s="58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2" t="s">
        <v>366</v>
      </c>
      <c r="B141" s="46" t="s">
        <v>268</v>
      </c>
      <c r="C141" s="10">
        <v>1063113</v>
      </c>
      <c r="D141" s="10" t="s">
        <v>1343</v>
      </c>
      <c r="E141" s="69">
        <v>-594.54999999999995</v>
      </c>
      <c r="F141" s="69">
        <v>168.3</v>
      </c>
      <c r="G141" s="69">
        <f t="shared" si="114"/>
        <v>84.15</v>
      </c>
      <c r="H141" s="70">
        <v>0.20161299999999999</v>
      </c>
      <c r="I141" s="69">
        <f t="shared" ref="I141:I142" si="121">(E141+G141)*H141</f>
        <v>-102.90327519999998</v>
      </c>
      <c r="J141" s="61">
        <v>0</v>
      </c>
      <c r="K141" s="61">
        <f t="shared" si="118"/>
        <v>8.4828669750000003</v>
      </c>
      <c r="L141" s="58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 t="s">
        <v>366</v>
      </c>
      <c r="B142" s="46" t="s">
        <v>268</v>
      </c>
      <c r="C142" s="10">
        <v>1063115</v>
      </c>
      <c r="D142" s="10" t="s">
        <v>1345</v>
      </c>
      <c r="E142" s="69">
        <v>-320.25</v>
      </c>
      <c r="F142" s="69">
        <v>74.349999999999994</v>
      </c>
      <c r="G142" s="69">
        <f t="shared" si="114"/>
        <v>37.174999999999997</v>
      </c>
      <c r="H142" s="70">
        <v>0.20161299999999999</v>
      </c>
      <c r="I142" s="69">
        <f t="shared" si="121"/>
        <v>-57.071599974999991</v>
      </c>
      <c r="J142" s="61">
        <v>0</v>
      </c>
      <c r="K142" s="61">
        <f t="shared" si="118"/>
        <v>3.7474816374999995</v>
      </c>
      <c r="L142" s="58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 t="s">
        <v>366</v>
      </c>
      <c r="B143" s="46" t="s">
        <v>271</v>
      </c>
      <c r="C143" s="10">
        <v>1065125</v>
      </c>
      <c r="D143" s="32" t="s">
        <v>1360</v>
      </c>
      <c r="E143" s="32">
        <v>-215.52</v>
      </c>
      <c r="F143" s="32">
        <v>16.88</v>
      </c>
      <c r="G143" s="69">
        <f t="shared" si="114"/>
        <v>8.44</v>
      </c>
      <c r="H143" s="70">
        <v>1</v>
      </c>
      <c r="I143" s="69">
        <f>(E143+G143)*H143*0.9</f>
        <v>-186.37200000000001</v>
      </c>
      <c r="J143" s="61">
        <v>0</v>
      </c>
      <c r="K143" s="61">
        <f t="shared" ref="K143:K146" si="122">F143*0.22*H143*0.9</f>
        <v>3.3422399999999999</v>
      </c>
      <c r="L143" s="58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 t="s">
        <v>366</v>
      </c>
      <c r="B144" s="46" t="s">
        <v>271</v>
      </c>
      <c r="C144" s="10">
        <v>1065626</v>
      </c>
      <c r="D144" s="10" t="s">
        <v>1361</v>
      </c>
      <c r="E144" s="32">
        <v>42.99</v>
      </c>
      <c r="F144" s="32">
        <v>1.58</v>
      </c>
      <c r="G144" s="69">
        <f t="shared" si="114"/>
        <v>0.79</v>
      </c>
      <c r="H144" s="70">
        <v>1</v>
      </c>
      <c r="I144" s="69">
        <f t="shared" ref="I144:I146" si="123">(E144*0.98+G144)*H144*0.9</f>
        <v>38.62818</v>
      </c>
      <c r="J144" s="61">
        <f t="shared" ref="J144:J146" si="124">E144*0.02*H144*0.9</f>
        <v>0.77382000000000006</v>
      </c>
      <c r="K144" s="61">
        <f t="shared" si="122"/>
        <v>0.31284000000000001</v>
      </c>
      <c r="L144" s="58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2" t="s">
        <v>366</v>
      </c>
      <c r="B145" s="46" t="s">
        <v>271</v>
      </c>
      <c r="C145" s="10">
        <v>1066552</v>
      </c>
      <c r="D145" s="10" t="s">
        <v>1362</v>
      </c>
      <c r="E145" s="69">
        <v>97.65</v>
      </c>
      <c r="F145" s="69">
        <v>2.25</v>
      </c>
      <c r="G145" s="69">
        <f t="shared" si="114"/>
        <v>1.125</v>
      </c>
      <c r="H145" s="70">
        <v>1</v>
      </c>
      <c r="I145" s="69">
        <f t="shared" si="123"/>
        <v>87.139800000000008</v>
      </c>
      <c r="J145" s="61">
        <f t="shared" si="124"/>
        <v>1.7577</v>
      </c>
      <c r="K145" s="61">
        <f t="shared" si="122"/>
        <v>0.44550000000000001</v>
      </c>
      <c r="L145" s="58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 t="s">
        <v>366</v>
      </c>
      <c r="B146" s="46" t="s">
        <v>271</v>
      </c>
      <c r="C146" s="10">
        <v>1066693</v>
      </c>
      <c r="D146" s="10" t="s">
        <v>1363</v>
      </c>
      <c r="E146" s="32">
        <v>150.97999999999999</v>
      </c>
      <c r="F146" s="32">
        <v>11.17</v>
      </c>
      <c r="G146" s="69">
        <f t="shared" si="114"/>
        <v>5.585</v>
      </c>
      <c r="H146" s="70">
        <v>1</v>
      </c>
      <c r="I146" s="69">
        <f t="shared" si="123"/>
        <v>138.19086000000001</v>
      </c>
      <c r="J146" s="61">
        <f t="shared" si="124"/>
        <v>2.7176400000000003</v>
      </c>
      <c r="K146" s="61">
        <f t="shared" si="122"/>
        <v>2.2116599999999997</v>
      </c>
      <c r="L146" s="58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 t="s">
        <v>370</v>
      </c>
      <c r="B147" s="32" t="s">
        <v>23</v>
      </c>
      <c r="C147" s="10">
        <v>8650027</v>
      </c>
      <c r="D147" s="32" t="s">
        <v>1337</v>
      </c>
      <c r="E147" s="32">
        <v>-108.89</v>
      </c>
      <c r="F147" s="32">
        <v>4.84</v>
      </c>
      <c r="G147" s="69">
        <f t="shared" si="114"/>
        <v>2.42</v>
      </c>
      <c r="H147" s="70">
        <v>0.199203187</v>
      </c>
      <c r="I147" s="69">
        <f>(E147+G147)*H147</f>
        <v>-21.209163319889999</v>
      </c>
      <c r="J147" s="61">
        <v>0</v>
      </c>
      <c r="K147" s="61">
        <f>F147*0.2*H147</f>
        <v>0.19282868501600001</v>
      </c>
      <c r="L147" s="58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 t="s">
        <v>370</v>
      </c>
      <c r="B148" s="2" t="s">
        <v>148</v>
      </c>
      <c r="C148" s="10">
        <v>8405860</v>
      </c>
      <c r="D148" s="10" t="s">
        <v>1346</v>
      </c>
      <c r="E148" s="32">
        <v>155.59</v>
      </c>
      <c r="F148" s="32">
        <v>12.25</v>
      </c>
      <c r="G148" s="69">
        <f t="shared" si="114"/>
        <v>6.125</v>
      </c>
      <c r="H148" s="70">
        <v>0.20080300000000001</v>
      </c>
      <c r="I148" s="69">
        <f>(E148+G148)*H148*0.9</f>
        <v>29.225571430500001</v>
      </c>
      <c r="J148" s="61">
        <f>E148*0.05*H148</f>
        <v>1.5621469385000002</v>
      </c>
      <c r="K148" s="61">
        <f>(F148*0.25*0.95+G148*0.05)*H148</f>
        <v>0.64570714687499997</v>
      </c>
      <c r="L148" s="58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 t="s">
        <v>370</v>
      </c>
      <c r="B149" s="2" t="s">
        <v>10</v>
      </c>
      <c r="C149" s="10">
        <v>1064905</v>
      </c>
      <c r="D149" s="10" t="s">
        <v>1355</v>
      </c>
      <c r="E149" s="32">
        <v>-167.6</v>
      </c>
      <c r="F149" s="32">
        <v>35.35</v>
      </c>
      <c r="G149" s="69">
        <f t="shared" si="114"/>
        <v>17.675000000000001</v>
      </c>
      <c r="H149" s="70">
        <v>0.20080300000000001</v>
      </c>
      <c r="I149" s="69">
        <f>(E149+G149)*H149</f>
        <v>-30.105389774999999</v>
      </c>
      <c r="J149" s="61">
        <v>0</v>
      </c>
      <c r="K149" s="61">
        <f t="shared" ref="K149:K151" si="125">F149*0.25*H149</f>
        <v>1.7745965125000001</v>
      </c>
      <c r="L149" s="58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 t="s">
        <v>370</v>
      </c>
      <c r="B150" s="2" t="s">
        <v>10</v>
      </c>
      <c r="C150" s="10">
        <v>1063108</v>
      </c>
      <c r="D150" s="10" t="s">
        <v>1341</v>
      </c>
      <c r="E150" s="32">
        <v>225.2</v>
      </c>
      <c r="F150" s="32">
        <v>44.35</v>
      </c>
      <c r="G150" s="69">
        <f t="shared" si="114"/>
        <v>22.175000000000001</v>
      </c>
      <c r="H150" s="70">
        <v>0.20080300000000001</v>
      </c>
      <c r="I150" s="69">
        <f t="shared" ref="I150:I151" si="126">(E150*0.98+G150)*H150</f>
        <v>48.769225413000001</v>
      </c>
      <c r="J150" s="61">
        <f t="shared" ref="J150:J151" si="127">E150*0.02*H150</f>
        <v>0.90441671199999996</v>
      </c>
      <c r="K150" s="61">
        <f t="shared" si="125"/>
        <v>2.2264032625000003</v>
      </c>
      <c r="L150" s="58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 t="s">
        <v>370</v>
      </c>
      <c r="B151" s="46" t="s">
        <v>268</v>
      </c>
      <c r="C151" s="10">
        <v>1063111</v>
      </c>
      <c r="D151" s="10" t="s">
        <v>1342</v>
      </c>
      <c r="E151" s="32">
        <v>44.1</v>
      </c>
      <c r="F151" s="32">
        <v>40.200000000000003</v>
      </c>
      <c r="G151" s="69">
        <f t="shared" si="114"/>
        <v>20.100000000000001</v>
      </c>
      <c r="H151" s="70">
        <v>0.20080300000000001</v>
      </c>
      <c r="I151" s="69">
        <f t="shared" si="126"/>
        <v>12.714444354000001</v>
      </c>
      <c r="J151" s="61">
        <f t="shared" si="127"/>
        <v>0.177108246</v>
      </c>
      <c r="K151" s="61">
        <f t="shared" si="125"/>
        <v>2.0180701500000002</v>
      </c>
      <c r="L151" s="58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 t="s">
        <v>370</v>
      </c>
      <c r="B152" s="46" t="s">
        <v>271</v>
      </c>
      <c r="C152" s="10">
        <v>1065125</v>
      </c>
      <c r="D152" s="32" t="s">
        <v>1360</v>
      </c>
      <c r="E152" s="69">
        <v>3.4</v>
      </c>
      <c r="F152" s="69">
        <v>1.04</v>
      </c>
      <c r="G152" s="69">
        <f t="shared" si="114"/>
        <v>0.52</v>
      </c>
      <c r="H152" s="70">
        <v>1</v>
      </c>
      <c r="I152" s="69">
        <f>(E152*0.98+G152)*H152*0.9</f>
        <v>3.4668000000000001</v>
      </c>
      <c r="J152" s="61">
        <f>E152*0.02*H152*0.9</f>
        <v>6.1200000000000004E-2</v>
      </c>
      <c r="K152" s="61">
        <f>F152*0.22*H152*0.9</f>
        <v>0.20592000000000002</v>
      </c>
      <c r="L152" s="58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 t="s">
        <v>372</v>
      </c>
      <c r="B153" s="32" t="s">
        <v>23</v>
      </c>
      <c r="C153" s="10">
        <v>8650027</v>
      </c>
      <c r="D153" s="32" t="s">
        <v>1337</v>
      </c>
      <c r="E153" s="32">
        <v>271.35000000000002</v>
      </c>
      <c r="F153" s="32">
        <v>21.77</v>
      </c>
      <c r="G153" s="69">
        <f t="shared" si="114"/>
        <v>10.885</v>
      </c>
      <c r="H153" s="70">
        <v>0.20366598799999999</v>
      </c>
      <c r="I153" s="69">
        <f>(E153*0.98+G153)*H153</f>
        <v>56.376374806304</v>
      </c>
      <c r="J153" s="61">
        <f>E153*0.02*H153</f>
        <v>1.105295316876</v>
      </c>
      <c r="K153" s="61">
        <f>F153*0.2*H153</f>
        <v>0.88676171175200003</v>
      </c>
      <c r="L153" s="58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 t="s">
        <v>372</v>
      </c>
      <c r="B154" s="2" t="s">
        <v>148</v>
      </c>
      <c r="C154" s="10">
        <v>8405860</v>
      </c>
      <c r="D154" s="10" t="s">
        <v>1346</v>
      </c>
      <c r="E154" s="32">
        <v>72.260000000000005</v>
      </c>
      <c r="F154" s="32">
        <v>3.12</v>
      </c>
      <c r="G154" s="69">
        <f t="shared" si="114"/>
        <v>1.56</v>
      </c>
      <c r="H154" s="70">
        <v>0.20202000000000001</v>
      </c>
      <c r="I154" s="69">
        <f>(E154+G154)*H154*0.9</f>
        <v>13.421804760000002</v>
      </c>
      <c r="J154" s="61">
        <f>E154*0.05*H154</f>
        <v>0.72989826000000013</v>
      </c>
      <c r="K154" s="61">
        <f>(F154*0.25*0.95+G154*0.05)*H154</f>
        <v>0.16545437999999998</v>
      </c>
      <c r="L154" s="58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 t="s">
        <v>372</v>
      </c>
      <c r="B155" s="32" t="s">
        <v>263</v>
      </c>
      <c r="C155" s="10">
        <v>9275501</v>
      </c>
      <c r="D155" s="32" t="s">
        <v>1351</v>
      </c>
      <c r="E155" s="32">
        <v>-965</v>
      </c>
      <c r="F155" s="32">
        <v>30</v>
      </c>
      <c r="G155" s="69">
        <f t="shared" ref="G155:G156" si="128">F155*0.575</f>
        <v>17.25</v>
      </c>
      <c r="H155" s="70">
        <v>1.7861999999999999E-2</v>
      </c>
      <c r="I155" s="69">
        <f>(E155+G155)*H155*0.8</f>
        <v>-13.542968400000001</v>
      </c>
      <c r="J155" s="61">
        <f>E155*0.1*H155</f>
        <v>-1.7236829999999999</v>
      </c>
      <c r="K155" s="61">
        <f t="shared" ref="K155:K156" si="129">(F155*0.125*0.9+G155*0.1)*H155</f>
        <v>9.1096199999999988E-2</v>
      </c>
      <c r="L155" s="58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 t="s">
        <v>372</v>
      </c>
      <c r="B156" s="32" t="s">
        <v>263</v>
      </c>
      <c r="C156" s="10">
        <v>8749308</v>
      </c>
      <c r="D156" s="10" t="s">
        <v>1352</v>
      </c>
      <c r="E156" s="32">
        <v>12299</v>
      </c>
      <c r="F156" s="32">
        <v>562</v>
      </c>
      <c r="G156" s="69">
        <f t="shared" si="128"/>
        <v>323.14999999999998</v>
      </c>
      <c r="H156" s="70">
        <v>1.7861999999999999E-2</v>
      </c>
      <c r="I156" s="69">
        <f>(E156*0.95+G156)*H156*0.8</f>
        <v>171.57808511999997</v>
      </c>
      <c r="J156" s="61">
        <f>(E156*0.1+E156*0.05*0.8)*H156</f>
        <v>30.75586332</v>
      </c>
      <c r="K156" s="61">
        <f t="shared" si="129"/>
        <v>1.7065354799999999</v>
      </c>
      <c r="L156" s="58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 t="s">
        <v>372</v>
      </c>
      <c r="B157" s="2" t="s">
        <v>10</v>
      </c>
      <c r="C157" s="10">
        <v>1064905</v>
      </c>
      <c r="D157" s="10" t="s">
        <v>1355</v>
      </c>
      <c r="E157" s="32">
        <v>104</v>
      </c>
      <c r="F157" s="32">
        <v>5</v>
      </c>
      <c r="G157" s="69">
        <f t="shared" ref="G157:G167" si="130">F157*0.5</f>
        <v>2.5</v>
      </c>
      <c r="H157" s="70">
        <v>0.20202000000000001</v>
      </c>
      <c r="I157" s="69">
        <f t="shared" ref="I157:I158" si="131">(E157*0.98+G157)*H157</f>
        <v>21.094928400000001</v>
      </c>
      <c r="J157" s="61">
        <f t="shared" ref="J157:J158" si="132">E157*0.02*H157</f>
        <v>0.42020160000000001</v>
      </c>
      <c r="K157" s="61">
        <f t="shared" ref="K157:K162" si="133">F157*0.25*H157</f>
        <v>0.252525</v>
      </c>
      <c r="L157" s="58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 t="s">
        <v>372</v>
      </c>
      <c r="B158" s="2" t="s">
        <v>10</v>
      </c>
      <c r="C158" s="10">
        <v>1064998</v>
      </c>
      <c r="D158" s="10" t="s">
        <v>1356</v>
      </c>
      <c r="E158" s="32">
        <v>134.35</v>
      </c>
      <c r="F158" s="32">
        <v>24.35</v>
      </c>
      <c r="G158" s="69">
        <f t="shared" si="130"/>
        <v>12.175000000000001</v>
      </c>
      <c r="H158" s="70">
        <v>0.20202000000000001</v>
      </c>
      <c r="I158" s="69">
        <f t="shared" si="131"/>
        <v>29.058152759999999</v>
      </c>
      <c r="J158" s="61">
        <f t="shared" si="132"/>
        <v>0.54282774</v>
      </c>
      <c r="K158" s="61">
        <f t="shared" si="133"/>
        <v>1.22979675</v>
      </c>
      <c r="L158" s="58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 t="s">
        <v>372</v>
      </c>
      <c r="B159" s="2" t="s">
        <v>10</v>
      </c>
      <c r="C159" s="10">
        <v>1065228</v>
      </c>
      <c r="D159" s="32" t="s">
        <v>1357</v>
      </c>
      <c r="E159" s="69">
        <v>-735</v>
      </c>
      <c r="F159" s="69">
        <v>95.85</v>
      </c>
      <c r="G159" s="69">
        <f t="shared" si="130"/>
        <v>47.924999999999997</v>
      </c>
      <c r="H159" s="70">
        <v>0.20202000000000001</v>
      </c>
      <c r="I159" s="69">
        <f t="shared" ref="I159:I162" si="134">(E159+G159)*H159</f>
        <v>-138.80289150000002</v>
      </c>
      <c r="J159" s="61">
        <v>0</v>
      </c>
      <c r="K159" s="61">
        <f t="shared" si="133"/>
        <v>4.8409042499999995</v>
      </c>
      <c r="L159" s="58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 t="s">
        <v>372</v>
      </c>
      <c r="B160" s="46" t="s">
        <v>268</v>
      </c>
      <c r="C160" s="10">
        <v>1063108</v>
      </c>
      <c r="D160" s="32" t="s">
        <v>1341</v>
      </c>
      <c r="E160" s="69">
        <v>-175.25</v>
      </c>
      <c r="F160" s="69">
        <v>57.95</v>
      </c>
      <c r="G160" s="69">
        <f t="shared" si="130"/>
        <v>28.975000000000001</v>
      </c>
      <c r="H160" s="70">
        <v>0.20202000000000001</v>
      </c>
      <c r="I160" s="69">
        <f t="shared" si="134"/>
        <v>-29.550475500000001</v>
      </c>
      <c r="J160" s="61">
        <v>0</v>
      </c>
      <c r="K160" s="61">
        <f t="shared" si="133"/>
        <v>2.9267647500000002</v>
      </c>
      <c r="L160" s="58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 t="s">
        <v>372</v>
      </c>
      <c r="B161" s="46" t="s">
        <v>268</v>
      </c>
      <c r="C161" s="10">
        <v>1063111</v>
      </c>
      <c r="D161" s="32" t="s">
        <v>1342</v>
      </c>
      <c r="E161" s="69">
        <v>-595.1</v>
      </c>
      <c r="F161" s="69">
        <v>81.75</v>
      </c>
      <c r="G161" s="69">
        <f t="shared" si="130"/>
        <v>40.875</v>
      </c>
      <c r="H161" s="70">
        <v>0.20202000000000001</v>
      </c>
      <c r="I161" s="69">
        <f t="shared" si="134"/>
        <v>-111.96453450000001</v>
      </c>
      <c r="J161" s="61">
        <v>0</v>
      </c>
      <c r="K161" s="61">
        <f t="shared" si="133"/>
        <v>4.1287837500000002</v>
      </c>
      <c r="L161" s="58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 t="s">
        <v>372</v>
      </c>
      <c r="B162" s="46" t="s">
        <v>268</v>
      </c>
      <c r="C162" s="10">
        <v>1063113</v>
      </c>
      <c r="D162" s="10" t="s">
        <v>1343</v>
      </c>
      <c r="E162" s="32">
        <v>-702.95</v>
      </c>
      <c r="F162" s="32">
        <v>85.3</v>
      </c>
      <c r="G162" s="69">
        <f t="shared" si="130"/>
        <v>42.65</v>
      </c>
      <c r="H162" s="70">
        <v>0.20202000000000001</v>
      </c>
      <c r="I162" s="69">
        <f t="shared" si="134"/>
        <v>-133.39380600000001</v>
      </c>
      <c r="J162" s="61">
        <v>0</v>
      </c>
      <c r="K162" s="61">
        <f t="shared" si="133"/>
        <v>4.3080765000000003</v>
      </c>
      <c r="L162" s="58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 t="s">
        <v>372</v>
      </c>
      <c r="B163" s="46" t="s">
        <v>271</v>
      </c>
      <c r="C163" s="10">
        <v>1065125</v>
      </c>
      <c r="D163" s="10" t="s">
        <v>1360</v>
      </c>
      <c r="E163" s="32">
        <v>14.44</v>
      </c>
      <c r="F163" s="32">
        <v>4.49</v>
      </c>
      <c r="G163" s="69">
        <f t="shared" si="130"/>
        <v>2.2450000000000001</v>
      </c>
      <c r="H163" s="70">
        <v>1</v>
      </c>
      <c r="I163" s="69">
        <f t="shared" ref="I163:I164" si="135">(E163*0.98+G163)*H163*0.9</f>
        <v>14.756580000000001</v>
      </c>
      <c r="J163" s="61">
        <f t="shared" ref="J163:J164" si="136">E163*0.02*H163*0.9</f>
        <v>0.25991999999999998</v>
      </c>
      <c r="K163" s="61">
        <f t="shared" ref="K163:K164" si="137">F163*0.22*H163*0.9</f>
        <v>0.88902000000000003</v>
      </c>
      <c r="L163" s="58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 t="s">
        <v>372</v>
      </c>
      <c r="B164" s="46" t="s">
        <v>271</v>
      </c>
      <c r="C164" s="10">
        <v>1065626</v>
      </c>
      <c r="D164" s="32" t="s">
        <v>1361</v>
      </c>
      <c r="E164" s="69">
        <v>30.22</v>
      </c>
      <c r="F164" s="69">
        <v>6.18</v>
      </c>
      <c r="G164" s="69">
        <f t="shared" si="130"/>
        <v>3.09</v>
      </c>
      <c r="H164" s="70">
        <v>1</v>
      </c>
      <c r="I164" s="69">
        <f t="shared" si="135"/>
        <v>29.435039999999997</v>
      </c>
      <c r="J164" s="61">
        <f t="shared" si="136"/>
        <v>0.54396</v>
      </c>
      <c r="K164" s="61">
        <f t="shared" si="137"/>
        <v>1.2236400000000001</v>
      </c>
      <c r="L164" s="58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 t="s">
        <v>377</v>
      </c>
      <c r="B165" s="32" t="s">
        <v>23</v>
      </c>
      <c r="C165" s="10">
        <v>8650027</v>
      </c>
      <c r="D165" s="32" t="s">
        <v>1337</v>
      </c>
      <c r="E165" s="69">
        <v>-781.4</v>
      </c>
      <c r="F165" s="69">
        <v>32.659999999999997</v>
      </c>
      <c r="G165" s="69">
        <f t="shared" si="130"/>
        <v>16.329999999999998</v>
      </c>
      <c r="H165" s="70">
        <v>0.20283999999999999</v>
      </c>
      <c r="I165" s="69">
        <f t="shared" ref="I165:I166" si="138">(E165+G165)*H165</f>
        <v>-155.18679879999999</v>
      </c>
      <c r="J165" s="61">
        <v>0</v>
      </c>
      <c r="K165" s="61">
        <f t="shared" ref="K165:K166" si="139">F165*0.2*H165</f>
        <v>1.3249508800000001</v>
      </c>
      <c r="L165" s="58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 t="s">
        <v>377</v>
      </c>
      <c r="B166" s="32" t="s">
        <v>23</v>
      </c>
      <c r="C166" s="10">
        <v>9125209</v>
      </c>
      <c r="D166" s="32" t="s">
        <v>1338</v>
      </c>
      <c r="E166" s="32">
        <v>-1</v>
      </c>
      <c r="F166" s="32">
        <v>0</v>
      </c>
      <c r="G166" s="69">
        <f t="shared" si="130"/>
        <v>0</v>
      </c>
      <c r="H166" s="70">
        <v>0.20283999999999999</v>
      </c>
      <c r="I166" s="69">
        <f t="shared" si="138"/>
        <v>-0.20283999999999999</v>
      </c>
      <c r="J166" s="61">
        <v>0</v>
      </c>
      <c r="K166" s="61">
        <f t="shared" si="139"/>
        <v>0</v>
      </c>
      <c r="L166" s="58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 t="s">
        <v>377</v>
      </c>
      <c r="B167" s="2" t="s">
        <v>148</v>
      </c>
      <c r="C167" s="10">
        <v>8388558</v>
      </c>
      <c r="D167" s="10" t="s">
        <v>1347</v>
      </c>
      <c r="E167" s="69">
        <v>-147.30000000000001</v>
      </c>
      <c r="F167" s="69">
        <v>10.73</v>
      </c>
      <c r="G167" s="69">
        <f t="shared" si="130"/>
        <v>5.3650000000000002</v>
      </c>
      <c r="H167" s="70">
        <v>0.20080300000000001</v>
      </c>
      <c r="I167" s="69">
        <f>(E167+G167)*H167*0.9</f>
        <v>-25.650876424500002</v>
      </c>
      <c r="J167" s="61">
        <f>E167*0.05*H167</f>
        <v>-1.4789140950000004</v>
      </c>
      <c r="K167" s="61">
        <f>(F167*0.25*0.95+G167*0.05)*H167</f>
        <v>0.56558674987500002</v>
      </c>
      <c r="L167" s="58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 t="s">
        <v>377</v>
      </c>
      <c r="B168" s="32" t="s">
        <v>263</v>
      </c>
      <c r="C168" s="10">
        <v>9275501</v>
      </c>
      <c r="D168" s="10" t="s">
        <v>1351</v>
      </c>
      <c r="E168" s="32">
        <v>-2031</v>
      </c>
      <c r="F168" s="32">
        <v>103</v>
      </c>
      <c r="G168" s="69">
        <f t="shared" ref="G168:G170" si="140">F168*0.575</f>
        <v>59.224999999999994</v>
      </c>
      <c r="H168" s="70">
        <v>1.7993100000000001E-2</v>
      </c>
      <c r="I168" s="69">
        <f t="shared" ref="I168:I169" si="141">(E168+G168)*H168*0.8</f>
        <v>-28.382675802000009</v>
      </c>
      <c r="J168" s="61">
        <f t="shared" ref="J168:J169" si="142">E168*0.1*H168</f>
        <v>-3.6543986100000008</v>
      </c>
      <c r="K168" s="61">
        <f t="shared" ref="K168:K170" si="143">(F168*0.125*0.9+G168*0.1)*H168</f>
        <v>0.31505918099999997</v>
      </c>
      <c r="L168" s="58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2" t="s">
        <v>377</v>
      </c>
      <c r="B169" s="32" t="s">
        <v>263</v>
      </c>
      <c r="C169" s="10">
        <v>8749308</v>
      </c>
      <c r="D169" s="32" t="s">
        <v>1352</v>
      </c>
      <c r="E169" s="69">
        <v>-6171</v>
      </c>
      <c r="F169" s="69">
        <v>599</v>
      </c>
      <c r="G169" s="69">
        <f t="shared" si="140"/>
        <v>344.42499999999995</v>
      </c>
      <c r="H169" s="70">
        <v>1.7993100000000001E-2</v>
      </c>
      <c r="I169" s="69">
        <f t="shared" si="141"/>
        <v>-83.870517306000011</v>
      </c>
      <c r="J169" s="61">
        <f t="shared" si="142"/>
        <v>-11.103542010000002</v>
      </c>
      <c r="K169" s="61">
        <f t="shared" si="143"/>
        <v>1.8322373730000001</v>
      </c>
      <c r="L169" s="58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2" t="s">
        <v>377</v>
      </c>
      <c r="B170" s="32" t="s">
        <v>263</v>
      </c>
      <c r="C170" s="10">
        <v>9471267</v>
      </c>
      <c r="D170" s="10" t="s">
        <v>1350</v>
      </c>
      <c r="E170" s="32">
        <v>30</v>
      </c>
      <c r="F170" s="32">
        <v>0</v>
      </c>
      <c r="G170" s="69">
        <f t="shared" si="140"/>
        <v>0</v>
      </c>
      <c r="H170" s="70">
        <v>1.7993100000000001E-2</v>
      </c>
      <c r="I170" s="69">
        <f>(E170*0.95+G170)*H170*0.8</f>
        <v>0.41024268000000003</v>
      </c>
      <c r="J170" s="61">
        <f>(E170*0.1+E170*0.05*0.8)*H170</f>
        <v>7.5571020000000003E-2</v>
      </c>
      <c r="K170" s="61">
        <f t="shared" si="143"/>
        <v>0</v>
      </c>
      <c r="L170" s="58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2" t="s">
        <v>377</v>
      </c>
      <c r="B171" s="2" t="s">
        <v>10</v>
      </c>
      <c r="C171" s="10">
        <v>1064905</v>
      </c>
      <c r="D171" s="10" t="s">
        <v>1355</v>
      </c>
      <c r="E171" s="32">
        <v>194.15</v>
      </c>
      <c r="F171" s="32">
        <v>39.75</v>
      </c>
      <c r="G171" s="69">
        <f t="shared" ref="G171:G177" si="144">F171*0.5</f>
        <v>19.875</v>
      </c>
      <c r="H171" s="70">
        <v>0.20080300000000001</v>
      </c>
      <c r="I171" s="69">
        <f t="shared" ref="I171:I175" si="145">(E171*0.98+G171)*H171</f>
        <v>42.197144026000004</v>
      </c>
      <c r="J171" s="61">
        <f t="shared" ref="J171:J175" si="146">E171*0.02*H171</f>
        <v>0.77971804900000008</v>
      </c>
      <c r="K171" s="61">
        <f t="shared" ref="K171:K177" si="147">F171*0.25*H171</f>
        <v>1.9954798125000002</v>
      </c>
      <c r="L171" s="58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2" t="s">
        <v>377</v>
      </c>
      <c r="B172" s="2" t="s">
        <v>10</v>
      </c>
      <c r="C172" s="10">
        <v>1064998</v>
      </c>
      <c r="D172" s="10" t="s">
        <v>1356</v>
      </c>
      <c r="E172" s="32">
        <v>273.5</v>
      </c>
      <c r="F172" s="32">
        <v>27.45</v>
      </c>
      <c r="G172" s="69">
        <f t="shared" si="144"/>
        <v>13.725</v>
      </c>
      <c r="H172" s="70">
        <v>0.20080300000000001</v>
      </c>
      <c r="I172" s="69">
        <f t="shared" si="145"/>
        <v>56.577249264999999</v>
      </c>
      <c r="J172" s="61">
        <f t="shared" si="146"/>
        <v>1.09839241</v>
      </c>
      <c r="K172" s="61">
        <f t="shared" si="147"/>
        <v>1.3780105874999999</v>
      </c>
      <c r="L172" s="58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 t="s">
        <v>377</v>
      </c>
      <c r="B173" s="2" t="s">
        <v>10</v>
      </c>
      <c r="C173" s="10">
        <v>1065228</v>
      </c>
      <c r="D173" s="32" t="s">
        <v>1357</v>
      </c>
      <c r="E173" s="32">
        <v>52.25</v>
      </c>
      <c r="F173" s="32">
        <v>78.900000000000006</v>
      </c>
      <c r="G173" s="69">
        <f t="shared" si="144"/>
        <v>39.450000000000003</v>
      </c>
      <c r="H173" s="70">
        <v>0.20080300000000001</v>
      </c>
      <c r="I173" s="69">
        <f t="shared" si="145"/>
        <v>18.203795965000001</v>
      </c>
      <c r="J173" s="61">
        <f t="shared" si="146"/>
        <v>0.20983913499999998</v>
      </c>
      <c r="K173" s="61">
        <f t="shared" si="147"/>
        <v>3.9608391750000003</v>
      </c>
      <c r="L173" s="58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 t="s">
        <v>377</v>
      </c>
      <c r="B174" s="46" t="s">
        <v>268</v>
      </c>
      <c r="C174" s="10">
        <v>1063108</v>
      </c>
      <c r="D174" s="10" t="s">
        <v>1341</v>
      </c>
      <c r="E174" s="32">
        <v>257.14999999999998</v>
      </c>
      <c r="F174" s="32">
        <v>14.2</v>
      </c>
      <c r="G174" s="69">
        <f t="shared" si="144"/>
        <v>7.1</v>
      </c>
      <c r="H174" s="70">
        <v>0.20080300000000001</v>
      </c>
      <c r="I174" s="69">
        <f t="shared" si="145"/>
        <v>52.029462920999997</v>
      </c>
      <c r="J174" s="61">
        <f t="shared" si="146"/>
        <v>1.032729829</v>
      </c>
      <c r="K174" s="61">
        <f t="shared" si="147"/>
        <v>0.71285065000000003</v>
      </c>
      <c r="L174" s="58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2" t="s">
        <v>377</v>
      </c>
      <c r="B175" s="46" t="s">
        <v>268</v>
      </c>
      <c r="C175" s="10">
        <v>1063111</v>
      </c>
      <c r="D175" s="32" t="s">
        <v>1342</v>
      </c>
      <c r="E175" s="69">
        <v>26.95</v>
      </c>
      <c r="F175" s="69">
        <v>2.6</v>
      </c>
      <c r="G175" s="69">
        <f t="shared" si="144"/>
        <v>1.3</v>
      </c>
      <c r="H175" s="70">
        <v>0.20080300000000001</v>
      </c>
      <c r="I175" s="69">
        <f t="shared" si="145"/>
        <v>5.564451933</v>
      </c>
      <c r="J175" s="61">
        <f t="shared" si="146"/>
        <v>0.10823281700000001</v>
      </c>
      <c r="K175" s="61">
        <f t="shared" si="147"/>
        <v>0.13052195</v>
      </c>
      <c r="L175" s="58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2" t="s">
        <v>377</v>
      </c>
      <c r="B176" s="46" t="s">
        <v>268</v>
      </c>
      <c r="C176" s="10">
        <v>1063113</v>
      </c>
      <c r="D176" s="32" t="s">
        <v>1343</v>
      </c>
      <c r="E176" s="69">
        <v>-178.15</v>
      </c>
      <c r="F176" s="69">
        <v>62.45</v>
      </c>
      <c r="G176" s="69">
        <f t="shared" si="144"/>
        <v>31.225000000000001</v>
      </c>
      <c r="H176" s="70">
        <v>0.20080300000000001</v>
      </c>
      <c r="I176" s="69">
        <f>(E176+G176)*H176</f>
        <v>-29.502980775000005</v>
      </c>
      <c r="J176" s="61">
        <v>0</v>
      </c>
      <c r="K176" s="61">
        <f t="shared" si="147"/>
        <v>3.1350368375000004</v>
      </c>
      <c r="L176" s="58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2" t="s">
        <v>377</v>
      </c>
      <c r="B177" s="46" t="s">
        <v>268</v>
      </c>
      <c r="C177" s="10">
        <v>1063115</v>
      </c>
      <c r="D177" s="32" t="s">
        <v>1345</v>
      </c>
      <c r="E177" s="69">
        <v>281.89999999999998</v>
      </c>
      <c r="F177" s="69">
        <v>31.2</v>
      </c>
      <c r="G177" s="69">
        <f t="shared" si="144"/>
        <v>15.6</v>
      </c>
      <c r="H177" s="70">
        <v>0.20080300000000001</v>
      </c>
      <c r="I177" s="69">
        <f>(E177*0.98+G177)*H177</f>
        <v>58.606765186000004</v>
      </c>
      <c r="J177" s="61">
        <f>E177*0.02*H177</f>
        <v>1.1321273140000001</v>
      </c>
      <c r="K177" s="61">
        <f t="shared" si="147"/>
        <v>1.5662634</v>
      </c>
      <c r="L177" s="58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2" t="s">
        <v>377</v>
      </c>
      <c r="B178" s="2" t="s">
        <v>30</v>
      </c>
      <c r="C178" s="10">
        <v>8650056</v>
      </c>
      <c r="D178" s="10" t="s">
        <v>1359</v>
      </c>
      <c r="E178" s="69">
        <v>2</v>
      </c>
      <c r="F178" s="69">
        <v>0</v>
      </c>
      <c r="G178" s="69">
        <f>F178*0.55</f>
        <v>0</v>
      </c>
      <c r="H178" s="70">
        <v>0.20088900000000001</v>
      </c>
      <c r="I178" s="69">
        <f>(E178+G178)*H178*0.95</f>
        <v>0.3816891</v>
      </c>
      <c r="J178" s="61">
        <f>E178*0.05*H178</f>
        <v>2.0088900000000003E-2</v>
      </c>
      <c r="K178" s="61">
        <f>(F178*0.18+G178*0.05)*H178</f>
        <v>0</v>
      </c>
      <c r="L178" s="58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2" t="s">
        <v>377</v>
      </c>
      <c r="B179" s="46" t="s">
        <v>271</v>
      </c>
      <c r="C179" s="10">
        <v>1065125</v>
      </c>
      <c r="D179" s="10" t="s">
        <v>1360</v>
      </c>
      <c r="E179" s="32">
        <v>18.100000000000001</v>
      </c>
      <c r="F179" s="32">
        <v>0.77</v>
      </c>
      <c r="G179" s="69">
        <f t="shared" ref="G179:G195" si="148">F179*0.5</f>
        <v>0.38500000000000001</v>
      </c>
      <c r="H179" s="70">
        <v>1</v>
      </c>
      <c r="I179" s="69">
        <f>(E179*0.98+G179)*H179*0.9</f>
        <v>16.310700000000001</v>
      </c>
      <c r="J179" s="61">
        <f>E179*0.02*H179*0.9</f>
        <v>0.32580000000000003</v>
      </c>
      <c r="K179" s="61">
        <f t="shared" ref="K179:K181" si="149">F179*0.22*H179*0.9</f>
        <v>0.15246000000000001</v>
      </c>
      <c r="L179" s="58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2" t="s">
        <v>377</v>
      </c>
      <c r="B180" s="46" t="s">
        <v>271</v>
      </c>
      <c r="C180" s="10">
        <v>1065626</v>
      </c>
      <c r="D180" s="10" t="s">
        <v>1361</v>
      </c>
      <c r="E180" s="32">
        <v>-4.1500000000000004</v>
      </c>
      <c r="F180" s="32">
        <v>0.38</v>
      </c>
      <c r="G180" s="69">
        <f t="shared" si="148"/>
        <v>0.19</v>
      </c>
      <c r="H180" s="70">
        <v>1</v>
      </c>
      <c r="I180" s="69">
        <f t="shared" ref="I180:I181" si="150">(E180+G180)*H180*0.9</f>
        <v>-3.5640000000000005</v>
      </c>
      <c r="J180" s="61">
        <v>0</v>
      </c>
      <c r="K180" s="61">
        <f t="shared" si="149"/>
        <v>7.5240000000000015E-2</v>
      </c>
      <c r="L180" s="58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2" t="s">
        <v>377</v>
      </c>
      <c r="B181" s="46" t="s">
        <v>271</v>
      </c>
      <c r="C181" s="10">
        <v>1066552</v>
      </c>
      <c r="D181" s="10" t="s">
        <v>1362</v>
      </c>
      <c r="E181" s="32">
        <v>-304.08999999999997</v>
      </c>
      <c r="F181" s="32">
        <v>22.56</v>
      </c>
      <c r="G181" s="69">
        <f t="shared" si="148"/>
        <v>11.28</v>
      </c>
      <c r="H181" s="70">
        <v>1</v>
      </c>
      <c r="I181" s="69">
        <f t="shared" si="150"/>
        <v>-263.529</v>
      </c>
      <c r="J181" s="61">
        <v>0</v>
      </c>
      <c r="K181" s="61">
        <f t="shared" si="149"/>
        <v>4.4668799999999997</v>
      </c>
      <c r="L181" s="58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2" t="s">
        <v>379</v>
      </c>
      <c r="B182" s="32" t="s">
        <v>23</v>
      </c>
      <c r="C182" s="10">
        <v>8650027</v>
      </c>
      <c r="D182" s="32" t="s">
        <v>1337</v>
      </c>
      <c r="E182" s="32">
        <v>62.01</v>
      </c>
      <c r="F182" s="32">
        <v>1.35</v>
      </c>
      <c r="G182" s="69">
        <f t="shared" si="148"/>
        <v>0.67500000000000004</v>
      </c>
      <c r="H182" s="70">
        <v>0.19763</v>
      </c>
      <c r="I182" s="69">
        <f>(E182*0.98+G182)*H182</f>
        <v>12.143335823999999</v>
      </c>
      <c r="J182" s="61">
        <f>E182*0.02*H182</f>
        <v>0.24510072599999999</v>
      </c>
      <c r="K182" s="61">
        <f>F182*0.2*H182</f>
        <v>5.3360100000000001E-2</v>
      </c>
      <c r="L182" s="58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2" t="s">
        <v>379</v>
      </c>
      <c r="B183" s="2" t="s">
        <v>148</v>
      </c>
      <c r="C183" s="10">
        <v>8405860</v>
      </c>
      <c r="D183" s="10" t="s">
        <v>1346</v>
      </c>
      <c r="E183" s="32">
        <v>-24</v>
      </c>
      <c r="F183" s="32">
        <v>0.48</v>
      </c>
      <c r="G183" s="69">
        <f t="shared" si="148"/>
        <v>0.24</v>
      </c>
      <c r="H183" s="70">
        <v>0.19920299999999999</v>
      </c>
      <c r="I183" s="69">
        <f>(E183+G183)*H183*0.9</f>
        <v>-4.2597569520000009</v>
      </c>
      <c r="J183" s="61">
        <f>E183*0.05*H183</f>
        <v>-0.23904360000000002</v>
      </c>
      <c r="K183" s="61">
        <f>(F183*0.25*0.95+G183*0.05)*H183</f>
        <v>2.5099577999999997E-2</v>
      </c>
      <c r="L183" s="58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2" t="s">
        <v>379</v>
      </c>
      <c r="B184" s="2" t="s">
        <v>10</v>
      </c>
      <c r="C184" s="10">
        <v>1064905</v>
      </c>
      <c r="D184" s="10" t="s">
        <v>1355</v>
      </c>
      <c r="E184" s="32">
        <v>114.55</v>
      </c>
      <c r="F184" s="32">
        <v>7.95</v>
      </c>
      <c r="G184" s="69">
        <f t="shared" si="148"/>
        <v>3.9750000000000001</v>
      </c>
      <c r="H184" s="70">
        <v>0.19920299999999999</v>
      </c>
      <c r="I184" s="69">
        <f t="shared" ref="I184:I186" si="151">(E184*0.98+G184)*H184</f>
        <v>23.154161501999997</v>
      </c>
      <c r="J184" s="61">
        <f t="shared" ref="J184:J186" si="152">E184*0.02*H184</f>
        <v>0.45637407299999999</v>
      </c>
      <c r="K184" s="61">
        <f t="shared" ref="K184:K187" si="153">F184*0.25*H184</f>
        <v>0.3959159625</v>
      </c>
      <c r="L184" s="58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2" t="s">
        <v>379</v>
      </c>
      <c r="B185" s="2" t="s">
        <v>10</v>
      </c>
      <c r="C185" s="10">
        <v>1064998</v>
      </c>
      <c r="D185" s="10" t="s">
        <v>1356</v>
      </c>
      <c r="E185" s="32">
        <v>187.7</v>
      </c>
      <c r="F185" s="32">
        <v>4.3</v>
      </c>
      <c r="G185" s="69">
        <f t="shared" si="148"/>
        <v>2.15</v>
      </c>
      <c r="H185" s="70">
        <v>0.19920299999999999</v>
      </c>
      <c r="I185" s="69">
        <f t="shared" si="151"/>
        <v>37.070881487999998</v>
      </c>
      <c r="J185" s="61">
        <f t="shared" si="152"/>
        <v>0.74780806199999994</v>
      </c>
      <c r="K185" s="61">
        <f t="shared" si="153"/>
        <v>0.21414322499999999</v>
      </c>
      <c r="L185" s="58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 t="s">
        <v>379</v>
      </c>
      <c r="B186" s="46" t="s">
        <v>268</v>
      </c>
      <c r="C186" s="10">
        <v>1063108</v>
      </c>
      <c r="D186" s="10" t="s">
        <v>1341</v>
      </c>
      <c r="E186" s="32">
        <v>32.9</v>
      </c>
      <c r="F186" s="32">
        <v>36.200000000000003</v>
      </c>
      <c r="G186" s="69">
        <f t="shared" si="148"/>
        <v>18.100000000000001</v>
      </c>
      <c r="H186" s="70">
        <v>0.19920299999999999</v>
      </c>
      <c r="I186" s="69">
        <f t="shared" si="151"/>
        <v>10.028277425999999</v>
      </c>
      <c r="J186" s="61">
        <f t="shared" si="152"/>
        <v>0.131075574</v>
      </c>
      <c r="K186" s="61">
        <f t="shared" si="153"/>
        <v>1.8027871500000001</v>
      </c>
      <c r="L186" s="58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 t="s">
        <v>379</v>
      </c>
      <c r="B187" s="46" t="s">
        <v>268</v>
      </c>
      <c r="C187" s="10">
        <v>1063111</v>
      </c>
      <c r="D187" s="10" t="s">
        <v>1342</v>
      </c>
      <c r="E187" s="32">
        <v>-297.05</v>
      </c>
      <c r="F187" s="32">
        <v>21.4</v>
      </c>
      <c r="G187" s="69">
        <f t="shared" si="148"/>
        <v>10.7</v>
      </c>
      <c r="H187" s="70">
        <v>0.19920299999999999</v>
      </c>
      <c r="I187" s="69">
        <f>(E187+G187)*H187</f>
        <v>-57.041779050000002</v>
      </c>
      <c r="J187" s="61">
        <v>0</v>
      </c>
      <c r="K187" s="61">
        <f t="shared" si="153"/>
        <v>1.0657360499999999</v>
      </c>
      <c r="L187" s="58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 t="s">
        <v>379</v>
      </c>
      <c r="B188" s="46" t="s">
        <v>271</v>
      </c>
      <c r="C188" s="10">
        <v>1065125</v>
      </c>
      <c r="D188" s="32" t="s">
        <v>1360</v>
      </c>
      <c r="E188" s="69">
        <v>-18.440000000000001</v>
      </c>
      <c r="F188" s="69">
        <v>1.63</v>
      </c>
      <c r="G188" s="69">
        <f t="shared" si="148"/>
        <v>0.81499999999999995</v>
      </c>
      <c r="H188" s="70">
        <v>1</v>
      </c>
      <c r="I188" s="69">
        <f t="shared" ref="I188:I189" si="154">(E188+G188)*H188*0.9</f>
        <v>-15.862500000000001</v>
      </c>
      <c r="J188" s="61">
        <v>0</v>
      </c>
      <c r="K188" s="61">
        <f t="shared" ref="K188:K189" si="155">F188*0.22*H188*0.9</f>
        <v>0.32273999999999997</v>
      </c>
      <c r="L188" s="58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2" t="s">
        <v>379</v>
      </c>
      <c r="B189" s="46" t="s">
        <v>271</v>
      </c>
      <c r="C189" s="10">
        <v>1065626</v>
      </c>
      <c r="D189" s="32" t="s">
        <v>1361</v>
      </c>
      <c r="E189" s="69">
        <v>-15.05</v>
      </c>
      <c r="F189" s="69">
        <v>3.07</v>
      </c>
      <c r="G189" s="69">
        <f t="shared" si="148"/>
        <v>1.5349999999999999</v>
      </c>
      <c r="H189" s="70">
        <v>1</v>
      </c>
      <c r="I189" s="69">
        <f t="shared" si="154"/>
        <v>-12.163500000000001</v>
      </c>
      <c r="J189" s="61">
        <v>0</v>
      </c>
      <c r="K189" s="61">
        <f t="shared" si="155"/>
        <v>0.60786000000000007</v>
      </c>
      <c r="L189" s="58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 t="s">
        <v>380</v>
      </c>
      <c r="B190" s="32" t="s">
        <v>23</v>
      </c>
      <c r="C190" s="10">
        <v>8650027</v>
      </c>
      <c r="D190" s="32" t="s">
        <v>1337</v>
      </c>
      <c r="E190" s="69">
        <v>-78.42</v>
      </c>
      <c r="F190" s="69">
        <v>1.98</v>
      </c>
      <c r="G190" s="69">
        <f t="shared" si="148"/>
        <v>0.99</v>
      </c>
      <c r="H190" s="70">
        <v>0.202429</v>
      </c>
      <c r="I190" s="69">
        <f>(E190+G190)*H190</f>
        <v>-15.674077470000002</v>
      </c>
      <c r="J190" s="61">
        <v>0</v>
      </c>
      <c r="K190" s="61">
        <f>F190*0.2*H190</f>
        <v>8.0161884000000003E-2</v>
      </c>
      <c r="L190" s="58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 t="s">
        <v>380</v>
      </c>
      <c r="B191" s="46" t="s">
        <v>271</v>
      </c>
      <c r="C191" s="10">
        <v>1065125</v>
      </c>
      <c r="D191" s="10" t="s">
        <v>1360</v>
      </c>
      <c r="E191" s="69">
        <v>37.56</v>
      </c>
      <c r="F191" s="69">
        <v>2.54</v>
      </c>
      <c r="G191" s="69">
        <f t="shared" si="148"/>
        <v>1.27</v>
      </c>
      <c r="H191" s="70">
        <v>1</v>
      </c>
      <c r="I191" s="69">
        <f t="shared" ref="I191:I193" si="156">(E191+G191)*H191*0.9</f>
        <v>34.947000000000003</v>
      </c>
      <c r="J191" s="61">
        <v>0</v>
      </c>
      <c r="K191" s="61">
        <f t="shared" ref="K191:K194" si="157">F191*0.22*H191*0.9</f>
        <v>0.50292000000000003</v>
      </c>
      <c r="L191" s="58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 t="s">
        <v>380</v>
      </c>
      <c r="B192" s="46" t="s">
        <v>271</v>
      </c>
      <c r="C192" s="10">
        <v>1065626</v>
      </c>
      <c r="D192" s="10" t="s">
        <v>1361</v>
      </c>
      <c r="E192" s="32">
        <v>-25.09</v>
      </c>
      <c r="F192" s="32">
        <v>2.11</v>
      </c>
      <c r="G192" s="69">
        <f t="shared" si="148"/>
        <v>1.0549999999999999</v>
      </c>
      <c r="H192" s="70">
        <v>1</v>
      </c>
      <c r="I192" s="69">
        <f t="shared" si="156"/>
        <v>-21.631499999999999</v>
      </c>
      <c r="J192" s="61">
        <v>0</v>
      </c>
      <c r="K192" s="61">
        <f t="shared" si="157"/>
        <v>0.41777999999999998</v>
      </c>
      <c r="L192" s="58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 t="s">
        <v>380</v>
      </c>
      <c r="B193" s="46" t="s">
        <v>271</v>
      </c>
      <c r="C193" s="10">
        <v>1066552</v>
      </c>
      <c r="D193" s="10" t="s">
        <v>1362</v>
      </c>
      <c r="E193" s="32">
        <v>-2.46</v>
      </c>
      <c r="F193" s="32">
        <v>2.4500000000000002</v>
      </c>
      <c r="G193" s="69">
        <f t="shared" si="148"/>
        <v>1.2250000000000001</v>
      </c>
      <c r="H193" s="70">
        <v>1</v>
      </c>
      <c r="I193" s="69">
        <f t="shared" si="156"/>
        <v>-1.1114999999999999</v>
      </c>
      <c r="J193" s="61">
        <v>0</v>
      </c>
      <c r="K193" s="61">
        <f t="shared" si="157"/>
        <v>0.48510000000000003</v>
      </c>
      <c r="L193" s="58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 t="s">
        <v>380</v>
      </c>
      <c r="B194" s="46" t="s">
        <v>271</v>
      </c>
      <c r="C194" s="10">
        <v>1066693</v>
      </c>
      <c r="D194" s="32" t="s">
        <v>1363</v>
      </c>
      <c r="E194" s="69">
        <v>47.66</v>
      </c>
      <c r="F194" s="69">
        <v>1.1599999999999999</v>
      </c>
      <c r="G194" s="69">
        <f t="shared" si="148"/>
        <v>0.57999999999999996</v>
      </c>
      <c r="H194" s="70">
        <v>1</v>
      </c>
      <c r="I194" s="69">
        <f>(E194*0.98+G194)*H194*0.9</f>
        <v>42.558119999999995</v>
      </c>
      <c r="J194" s="61">
        <f>E194*0.02*H194*0.9</f>
        <v>0.85787999999999998</v>
      </c>
      <c r="K194" s="61">
        <f t="shared" si="157"/>
        <v>0.22968</v>
      </c>
      <c r="L194" s="58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 t="s">
        <v>380</v>
      </c>
      <c r="B195" s="2" t="s">
        <v>148</v>
      </c>
      <c r="C195" s="10">
        <v>8405860</v>
      </c>
      <c r="D195" s="10" t="s">
        <v>1346</v>
      </c>
      <c r="E195" s="32">
        <v>266.54000000000002</v>
      </c>
      <c r="F195" s="32">
        <v>7.92</v>
      </c>
      <c r="G195" s="69">
        <f t="shared" si="148"/>
        <v>3.96</v>
      </c>
      <c r="H195" s="70">
        <v>0.201207</v>
      </c>
      <c r="I195" s="69">
        <f>(E195+G195)*H195*0.9</f>
        <v>48.983844150000003</v>
      </c>
      <c r="J195" s="61">
        <f>E195*0.05*H195</f>
        <v>2.6814856890000005</v>
      </c>
      <c r="K195" s="61">
        <f>(F195*0.25*0.95+G195*0.05)*H195</f>
        <v>0.41830935300000005</v>
      </c>
      <c r="L195" s="58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 t="s">
        <v>380</v>
      </c>
      <c r="B196" s="32" t="s">
        <v>263</v>
      </c>
      <c r="C196" s="10">
        <v>9017225</v>
      </c>
      <c r="D196" s="10" t="s">
        <v>1348</v>
      </c>
      <c r="E196" s="69">
        <v>4816</v>
      </c>
      <c r="F196" s="69">
        <v>130</v>
      </c>
      <c r="G196" s="69">
        <f t="shared" ref="G196:G197" si="158">F196*0.575</f>
        <v>74.75</v>
      </c>
      <c r="H196" s="70">
        <v>1.7853000000000001E-2</v>
      </c>
      <c r="I196" s="69">
        <f>(E196*0.95+G196)*H196*0.8</f>
        <v>66.412445879999993</v>
      </c>
      <c r="J196" s="61">
        <f>(E196*0.1+E196*0.05*0.8)*H196</f>
        <v>12.03720672</v>
      </c>
      <c r="K196" s="61">
        <f t="shared" ref="K196:K197" si="159">(F196*0.125*0.9+G196*0.1)*H196</f>
        <v>0.39455130000000005</v>
      </c>
      <c r="L196" s="58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 t="s">
        <v>380</v>
      </c>
      <c r="B197" s="32" t="s">
        <v>263</v>
      </c>
      <c r="C197" s="10">
        <v>9275501</v>
      </c>
      <c r="D197" s="10" t="s">
        <v>1351</v>
      </c>
      <c r="E197" s="32">
        <v>-25</v>
      </c>
      <c r="F197" s="32">
        <v>6</v>
      </c>
      <c r="G197" s="69">
        <f t="shared" si="158"/>
        <v>3.4499999999999997</v>
      </c>
      <c r="H197" s="70">
        <v>1.7853000000000001E-2</v>
      </c>
      <c r="I197" s="69">
        <f>(E197+G197)*H197*0.8</f>
        <v>-0.30778572000000004</v>
      </c>
      <c r="J197" s="61">
        <f>E197*0.1*H197</f>
        <v>-4.4632500000000006E-2</v>
      </c>
      <c r="K197" s="61">
        <f t="shared" si="159"/>
        <v>1.821006E-2</v>
      </c>
      <c r="L197" s="58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 t="s">
        <v>380</v>
      </c>
      <c r="B198" s="2" t="s">
        <v>10</v>
      </c>
      <c r="C198" s="10">
        <v>1064905</v>
      </c>
      <c r="D198" s="10" t="s">
        <v>1355</v>
      </c>
      <c r="E198" s="32">
        <v>16.75</v>
      </c>
      <c r="F198" s="32">
        <v>4.5</v>
      </c>
      <c r="G198" s="69">
        <f t="shared" ref="G198:G205" si="160">F198*0.5</f>
        <v>2.25</v>
      </c>
      <c r="H198" s="70">
        <v>0.201207</v>
      </c>
      <c r="I198" s="69">
        <f>(E198*0.98+G198)*H198</f>
        <v>3.755528655</v>
      </c>
      <c r="J198" s="61">
        <f>E198*0.02*H198</f>
        <v>6.7404345000000004E-2</v>
      </c>
      <c r="K198" s="61">
        <f t="shared" ref="K198:K204" si="161">F198*0.25*H198</f>
        <v>0.22635787499999999</v>
      </c>
      <c r="L198" s="58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 t="s">
        <v>380</v>
      </c>
      <c r="B199" s="2" t="s">
        <v>10</v>
      </c>
      <c r="C199" s="10">
        <v>1064998</v>
      </c>
      <c r="D199" s="10" t="s">
        <v>1356</v>
      </c>
      <c r="E199" s="32">
        <v>-226.7</v>
      </c>
      <c r="F199" s="32">
        <v>43.45</v>
      </c>
      <c r="G199" s="69">
        <f t="shared" si="160"/>
        <v>21.725000000000001</v>
      </c>
      <c r="H199" s="70">
        <v>0.201207</v>
      </c>
      <c r="I199" s="69">
        <f t="shared" ref="I199:I200" si="162">(E199+G199)*H199</f>
        <v>-41.242404825000001</v>
      </c>
      <c r="J199" s="61">
        <v>0</v>
      </c>
      <c r="K199" s="61">
        <f t="shared" si="161"/>
        <v>2.1856110375000002</v>
      </c>
      <c r="L199" s="58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 t="s">
        <v>380</v>
      </c>
      <c r="B200" s="2" t="s">
        <v>10</v>
      </c>
      <c r="C200" s="10">
        <v>1065228</v>
      </c>
      <c r="D200" s="10" t="s">
        <v>1357</v>
      </c>
      <c r="E200" s="32">
        <v>-103</v>
      </c>
      <c r="F200" s="32">
        <v>3.9</v>
      </c>
      <c r="G200" s="69">
        <f t="shared" si="160"/>
        <v>1.95</v>
      </c>
      <c r="H200" s="70">
        <v>0.201207</v>
      </c>
      <c r="I200" s="69">
        <f t="shared" si="162"/>
        <v>-20.331967349999999</v>
      </c>
      <c r="J200" s="61">
        <v>0</v>
      </c>
      <c r="K200" s="61">
        <f t="shared" si="161"/>
        <v>0.196176825</v>
      </c>
      <c r="L200" s="58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 t="s">
        <v>380</v>
      </c>
      <c r="B201" s="2" t="s">
        <v>10</v>
      </c>
      <c r="C201" s="10">
        <v>1066453</v>
      </c>
      <c r="D201" s="32" t="s">
        <v>1358</v>
      </c>
      <c r="E201" s="69">
        <v>11.25</v>
      </c>
      <c r="F201" s="69">
        <v>0.25</v>
      </c>
      <c r="G201" s="69">
        <f t="shared" si="160"/>
        <v>0.125</v>
      </c>
      <c r="H201" s="70">
        <v>0.201207</v>
      </c>
      <c r="I201" s="69">
        <f t="shared" ref="I201:I205" si="163">(E201*0.98+G201)*H201</f>
        <v>2.2434580500000001</v>
      </c>
      <c r="J201" s="61">
        <f t="shared" ref="J201:J205" si="164">E201*0.02*H201</f>
        <v>4.5271575000000001E-2</v>
      </c>
      <c r="K201" s="61">
        <f t="shared" si="161"/>
        <v>1.25754375E-2</v>
      </c>
      <c r="L201" s="58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 t="s">
        <v>380</v>
      </c>
      <c r="B202" s="46" t="s">
        <v>268</v>
      </c>
      <c r="C202" s="10">
        <v>1063108</v>
      </c>
      <c r="D202" s="32" t="s">
        <v>1341</v>
      </c>
      <c r="E202" s="69">
        <v>219.35</v>
      </c>
      <c r="F202" s="69">
        <v>15.4</v>
      </c>
      <c r="G202" s="69">
        <f t="shared" si="160"/>
        <v>7.7</v>
      </c>
      <c r="H202" s="70">
        <v>0.201207</v>
      </c>
      <c r="I202" s="69">
        <f t="shared" si="163"/>
        <v>44.801354240999999</v>
      </c>
      <c r="J202" s="61">
        <f t="shared" si="164"/>
        <v>0.88269510899999992</v>
      </c>
      <c r="K202" s="61">
        <f t="shared" si="161"/>
        <v>0.77464695000000006</v>
      </c>
      <c r="L202" s="58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 t="s">
        <v>380</v>
      </c>
      <c r="B203" s="46" t="s">
        <v>268</v>
      </c>
      <c r="C203" s="10">
        <v>1063111</v>
      </c>
      <c r="D203" s="10" t="s">
        <v>1342</v>
      </c>
      <c r="E203" s="69">
        <v>35.200000000000003</v>
      </c>
      <c r="F203" s="69">
        <v>29.3</v>
      </c>
      <c r="G203" s="69">
        <f t="shared" si="160"/>
        <v>14.65</v>
      </c>
      <c r="H203" s="70">
        <v>0.201207</v>
      </c>
      <c r="I203" s="69">
        <f t="shared" si="163"/>
        <v>9.8885192219999993</v>
      </c>
      <c r="J203" s="61">
        <f t="shared" si="164"/>
        <v>0.141649728</v>
      </c>
      <c r="K203" s="61">
        <f t="shared" si="161"/>
        <v>1.4738412750000001</v>
      </c>
      <c r="L203" s="58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 t="s">
        <v>380</v>
      </c>
      <c r="B204" s="46" t="s">
        <v>268</v>
      </c>
      <c r="C204" s="10">
        <v>1063113</v>
      </c>
      <c r="D204" s="10" t="s">
        <v>1343</v>
      </c>
      <c r="E204" s="32">
        <v>390.35</v>
      </c>
      <c r="F204" s="32">
        <v>23.15</v>
      </c>
      <c r="G204" s="69">
        <f t="shared" si="160"/>
        <v>11.574999999999999</v>
      </c>
      <c r="H204" s="70">
        <v>0.201207</v>
      </c>
      <c r="I204" s="69">
        <f t="shared" si="163"/>
        <v>79.299300426000002</v>
      </c>
      <c r="J204" s="61">
        <f t="shared" si="164"/>
        <v>1.5708230490000001</v>
      </c>
      <c r="K204" s="61">
        <f t="shared" si="161"/>
        <v>1.1644855125</v>
      </c>
      <c r="L204" s="58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 t="s">
        <v>381</v>
      </c>
      <c r="B205" s="32" t="s">
        <v>23</v>
      </c>
      <c r="C205" s="10">
        <v>8650027</v>
      </c>
      <c r="D205" s="32" t="s">
        <v>1337</v>
      </c>
      <c r="E205" s="32">
        <v>11.91</v>
      </c>
      <c r="F205" s="32">
        <v>10.85</v>
      </c>
      <c r="G205" s="69">
        <f t="shared" si="160"/>
        <v>5.4249999999999998</v>
      </c>
      <c r="H205" s="70">
        <v>0.196464</v>
      </c>
      <c r="I205" s="69">
        <f t="shared" si="163"/>
        <v>3.3589057151999997</v>
      </c>
      <c r="J205" s="61">
        <f t="shared" si="164"/>
        <v>4.6797724799999996E-2</v>
      </c>
      <c r="K205" s="61">
        <f>F205*0.2*H205</f>
        <v>0.42632687999999996</v>
      </c>
      <c r="L205" s="58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 t="s">
        <v>381</v>
      </c>
      <c r="B206" s="32" t="s">
        <v>263</v>
      </c>
      <c r="C206" s="10">
        <v>9275501</v>
      </c>
      <c r="D206" s="10" t="s">
        <v>1351</v>
      </c>
      <c r="E206" s="69">
        <v>86</v>
      </c>
      <c r="F206" s="69">
        <v>176</v>
      </c>
      <c r="G206" s="69">
        <f>F206*0.575</f>
        <v>101.19999999999999</v>
      </c>
      <c r="H206" s="70">
        <v>1.7645000000000001E-2</v>
      </c>
      <c r="I206" s="69">
        <f>(E206*0.95+G206)*H206*0.8</f>
        <v>2.5818164000000001</v>
      </c>
      <c r="J206" s="61">
        <f>(E206*0.1+E206*0.05*0.8)*H206</f>
        <v>0.21244579999999999</v>
      </c>
      <c r="K206" s="61">
        <f>(F206*0.125*0.9+G206*0.1)*H206</f>
        <v>0.52793840000000003</v>
      </c>
      <c r="L206" s="58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 t="s">
        <v>381</v>
      </c>
      <c r="B207" s="2" t="s">
        <v>148</v>
      </c>
      <c r="C207" s="10">
        <v>8405860</v>
      </c>
      <c r="D207" s="10" t="s">
        <v>1346</v>
      </c>
      <c r="E207" s="32">
        <v>68.98</v>
      </c>
      <c r="F207" s="32">
        <v>9.5299999999999994</v>
      </c>
      <c r="G207" s="69">
        <f t="shared" ref="G207:G213" si="165">F207*0.5</f>
        <v>4.7649999999999997</v>
      </c>
      <c r="H207" s="70">
        <v>0.197628</v>
      </c>
      <c r="I207" s="69">
        <f>(E207+G207)*H207*0.9</f>
        <v>13.116669174</v>
      </c>
      <c r="J207" s="61">
        <f>E207*0.05*H207</f>
        <v>0.6816189720000001</v>
      </c>
      <c r="K207" s="61">
        <f>(F207*0.25*0.95+G207*0.05)*H207</f>
        <v>0.49439114549999996</v>
      </c>
      <c r="L207" s="58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 t="s">
        <v>381</v>
      </c>
      <c r="B208" s="2" t="s">
        <v>10</v>
      </c>
      <c r="C208" s="10">
        <v>1064905</v>
      </c>
      <c r="D208" s="10" t="s">
        <v>1355</v>
      </c>
      <c r="E208" s="32">
        <v>163.5</v>
      </c>
      <c r="F208" s="32">
        <v>8.6999999999999993</v>
      </c>
      <c r="G208" s="69">
        <f t="shared" si="165"/>
        <v>4.3499999999999996</v>
      </c>
      <c r="H208" s="70">
        <v>0.197628</v>
      </c>
      <c r="I208" s="69">
        <f>(E208*0.98+G208)*H208</f>
        <v>32.525616239999998</v>
      </c>
      <c r="J208" s="61">
        <f>E208*0.02*H208</f>
        <v>0.64624356000000005</v>
      </c>
      <c r="K208" s="61">
        <f t="shared" ref="K208:K213" si="166">F208*0.25*H208</f>
        <v>0.42984089999999997</v>
      </c>
      <c r="L208" s="58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 t="s">
        <v>381</v>
      </c>
      <c r="B209" s="2" t="s">
        <v>10</v>
      </c>
      <c r="C209" s="10">
        <v>1064998</v>
      </c>
      <c r="D209" s="32" t="s">
        <v>1356</v>
      </c>
      <c r="E209" s="69">
        <v>-185.2</v>
      </c>
      <c r="F209" s="69">
        <v>5.25</v>
      </c>
      <c r="G209" s="69">
        <f t="shared" si="165"/>
        <v>2.625</v>
      </c>
      <c r="H209" s="70">
        <v>0.197628</v>
      </c>
      <c r="I209" s="69">
        <f t="shared" ref="I209:I210" si="167">(E209+G209)*H209</f>
        <v>-36.081932099999996</v>
      </c>
      <c r="J209" s="61">
        <v>0</v>
      </c>
      <c r="K209" s="61">
        <f t="shared" si="166"/>
        <v>0.25938675</v>
      </c>
      <c r="L209" s="58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 t="s">
        <v>381</v>
      </c>
      <c r="B210" s="2" t="s">
        <v>10</v>
      </c>
      <c r="C210" s="10">
        <v>1066453</v>
      </c>
      <c r="D210" s="32" t="s">
        <v>1358</v>
      </c>
      <c r="E210" s="69">
        <v>-286.3</v>
      </c>
      <c r="F210" s="69">
        <v>38.4</v>
      </c>
      <c r="G210" s="69">
        <f t="shared" si="165"/>
        <v>19.2</v>
      </c>
      <c r="H210" s="70">
        <v>0.197628</v>
      </c>
      <c r="I210" s="69">
        <f t="shared" si="167"/>
        <v>-52.786438800000006</v>
      </c>
      <c r="J210" s="61">
        <v>0</v>
      </c>
      <c r="K210" s="61">
        <f t="shared" si="166"/>
        <v>1.8972287999999999</v>
      </c>
      <c r="L210" s="58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 t="s">
        <v>381</v>
      </c>
      <c r="B211" s="46" t="s">
        <v>268</v>
      </c>
      <c r="C211" s="10">
        <v>1063108</v>
      </c>
      <c r="D211" s="10" t="s">
        <v>1341</v>
      </c>
      <c r="E211" s="32">
        <v>217.1</v>
      </c>
      <c r="F211" s="32">
        <v>22.4</v>
      </c>
      <c r="G211" s="69">
        <f t="shared" si="165"/>
        <v>11.2</v>
      </c>
      <c r="H211" s="70">
        <v>0.197628</v>
      </c>
      <c r="I211" s="69">
        <f t="shared" ref="I211:I212" si="168">(E211*0.98+G211)*H211</f>
        <v>44.260371623999994</v>
      </c>
      <c r="J211" s="61">
        <f t="shared" ref="J211:J212" si="169">E211*0.02*H211</f>
        <v>0.8581007759999999</v>
      </c>
      <c r="K211" s="61">
        <f t="shared" si="166"/>
        <v>1.1067167999999998</v>
      </c>
      <c r="L211" s="58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 t="s">
        <v>381</v>
      </c>
      <c r="B212" s="46" t="s">
        <v>268</v>
      </c>
      <c r="C212" s="10">
        <v>1063111</v>
      </c>
      <c r="D212" s="10" t="s">
        <v>1342</v>
      </c>
      <c r="E212" s="32">
        <v>152.94999999999999</v>
      </c>
      <c r="F212" s="32">
        <v>16.55</v>
      </c>
      <c r="G212" s="69">
        <f t="shared" si="165"/>
        <v>8.2750000000000004</v>
      </c>
      <c r="H212" s="70">
        <v>0.197628</v>
      </c>
      <c r="I212" s="69">
        <f t="shared" si="168"/>
        <v>31.258030248000001</v>
      </c>
      <c r="J212" s="61">
        <f t="shared" si="169"/>
        <v>0.60454405199999994</v>
      </c>
      <c r="K212" s="61">
        <f t="shared" si="166"/>
        <v>0.81768585000000005</v>
      </c>
      <c r="L212" s="58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32" t="s">
        <v>381</v>
      </c>
      <c r="B213" s="46" t="s">
        <v>268</v>
      </c>
      <c r="C213" s="10">
        <v>1063113</v>
      </c>
      <c r="D213" s="10" t="s">
        <v>1343</v>
      </c>
      <c r="E213" s="32">
        <v>-35</v>
      </c>
      <c r="F213" s="32">
        <v>1.4</v>
      </c>
      <c r="G213" s="69">
        <f t="shared" si="165"/>
        <v>0.7</v>
      </c>
      <c r="H213" s="70">
        <v>0.197628</v>
      </c>
      <c r="I213" s="69">
        <f>(E213+G213)*H213</f>
        <v>-6.7786403999999996</v>
      </c>
      <c r="J213" s="61">
        <v>0</v>
      </c>
      <c r="K213" s="61">
        <f t="shared" si="166"/>
        <v>6.916979999999999E-2</v>
      </c>
      <c r="L213" s="58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 t="s">
        <v>381</v>
      </c>
      <c r="B214" s="32" t="s">
        <v>756</v>
      </c>
      <c r="C214" s="10" t="s">
        <v>1364</v>
      </c>
      <c r="D214" s="32" t="s">
        <v>1365</v>
      </c>
      <c r="E214" s="69">
        <v>490.16</v>
      </c>
      <c r="F214" s="69">
        <v>27.98</v>
      </c>
      <c r="G214" s="32">
        <f t="shared" ref="G214:G215" si="170">F214*0.35</f>
        <v>9.7929999999999993</v>
      </c>
      <c r="H214" s="75">
        <v>1</v>
      </c>
      <c r="I214" s="69">
        <f t="shared" ref="I214:I215" si="171">(E214+G214)*H214*0.75</f>
        <v>374.96475000000004</v>
      </c>
      <c r="J214" s="61">
        <f t="shared" ref="J214:J215" si="172">E214*H214*0.25-E214*H214*0.03</f>
        <v>107.8352</v>
      </c>
      <c r="K214" s="61">
        <f t="shared" ref="K214:K215" si="173">G214*H214*0.25-G214*0.03</f>
        <v>2.1544599999999998</v>
      </c>
      <c r="L214" s="58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 t="s">
        <v>381</v>
      </c>
      <c r="B215" s="32" t="s">
        <v>1366</v>
      </c>
      <c r="C215" s="10" t="s">
        <v>1367</v>
      </c>
      <c r="D215" s="10" t="s">
        <v>1368</v>
      </c>
      <c r="E215" s="69">
        <v>186.7</v>
      </c>
      <c r="F215" s="69">
        <v>15.54</v>
      </c>
      <c r="G215" s="32">
        <f t="shared" si="170"/>
        <v>5.4389999999999992</v>
      </c>
      <c r="H215" s="75">
        <v>1</v>
      </c>
      <c r="I215" s="69">
        <f t="shared" si="171"/>
        <v>144.10424999999998</v>
      </c>
      <c r="J215" s="61">
        <f t="shared" si="172"/>
        <v>41.073999999999998</v>
      </c>
      <c r="K215" s="61">
        <f t="shared" si="173"/>
        <v>1.1965799999999998</v>
      </c>
      <c r="L215" s="58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 t="s">
        <v>381</v>
      </c>
      <c r="B216" s="46" t="s">
        <v>271</v>
      </c>
      <c r="C216" s="10">
        <v>1065125</v>
      </c>
      <c r="D216" s="32" t="s">
        <v>1360</v>
      </c>
      <c r="E216" s="32">
        <v>17.46</v>
      </c>
      <c r="F216" s="32">
        <v>3.7</v>
      </c>
      <c r="G216" s="69">
        <f t="shared" ref="G216:G220" si="174">F216*0.5</f>
        <v>1.85</v>
      </c>
      <c r="H216" s="70">
        <v>1</v>
      </c>
      <c r="I216" s="69">
        <f>(E216*0.98+G216)*H216*0.9</f>
        <v>17.064720000000001</v>
      </c>
      <c r="J216" s="61">
        <f>E216*0.02*H216*0.9</f>
        <v>0.31428</v>
      </c>
      <c r="K216" s="61">
        <f t="shared" ref="K216:K219" si="175">F216*0.22*H216*0.9</f>
        <v>0.73260000000000003</v>
      </c>
      <c r="L216" s="58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 t="s">
        <v>381</v>
      </c>
      <c r="B217" s="46" t="s">
        <v>271</v>
      </c>
      <c r="C217" s="10">
        <v>1065626</v>
      </c>
      <c r="D217" s="10" t="s">
        <v>1361</v>
      </c>
      <c r="E217" s="32">
        <v>-0.6</v>
      </c>
      <c r="F217" s="32">
        <v>0</v>
      </c>
      <c r="G217" s="69">
        <f t="shared" si="174"/>
        <v>0</v>
      </c>
      <c r="H217" s="70">
        <v>1</v>
      </c>
      <c r="I217" s="69">
        <f>(E217+G217)*H217*0.9</f>
        <v>-0.54</v>
      </c>
      <c r="J217" s="61">
        <v>0</v>
      </c>
      <c r="K217" s="61">
        <f t="shared" si="175"/>
        <v>0</v>
      </c>
      <c r="L217" s="58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 t="s">
        <v>381</v>
      </c>
      <c r="B218" s="46" t="s">
        <v>271</v>
      </c>
      <c r="C218" s="10">
        <v>1066552</v>
      </c>
      <c r="D218" s="10" t="s">
        <v>1362</v>
      </c>
      <c r="E218" s="32">
        <v>3.9</v>
      </c>
      <c r="F218" s="32">
        <v>0.11</v>
      </c>
      <c r="G218" s="69">
        <f t="shared" si="174"/>
        <v>5.5E-2</v>
      </c>
      <c r="H218" s="70">
        <v>1</v>
      </c>
      <c r="I218" s="69">
        <f>(E218*0.98+G218)*H218*0.9</f>
        <v>3.4893000000000001</v>
      </c>
      <c r="J218" s="61">
        <f>E218*0.02*H218*0.9</f>
        <v>7.0199999999999999E-2</v>
      </c>
      <c r="K218" s="61">
        <f t="shared" si="175"/>
        <v>2.1780000000000001E-2</v>
      </c>
      <c r="L218" s="58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32" t="s">
        <v>381</v>
      </c>
      <c r="B219" s="46" t="s">
        <v>271</v>
      </c>
      <c r="C219" s="10">
        <v>1066693</v>
      </c>
      <c r="D219" s="10" t="s">
        <v>1363</v>
      </c>
      <c r="E219" s="32">
        <v>-3.06</v>
      </c>
      <c r="F219" s="32">
        <v>0.21</v>
      </c>
      <c r="G219" s="69">
        <f t="shared" si="174"/>
        <v>0.105</v>
      </c>
      <c r="H219" s="70">
        <v>1</v>
      </c>
      <c r="I219" s="69">
        <f>(E219+G219)*H219*0.9</f>
        <v>-2.6595</v>
      </c>
      <c r="J219" s="61">
        <v>0</v>
      </c>
      <c r="K219" s="61">
        <f t="shared" si="175"/>
        <v>4.1579999999999999E-2</v>
      </c>
      <c r="L219" s="58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2" t="s">
        <v>382</v>
      </c>
      <c r="B220" s="32" t="s">
        <v>23</v>
      </c>
      <c r="C220" s="10">
        <v>8650027</v>
      </c>
      <c r="D220" s="32" t="s">
        <v>1337</v>
      </c>
      <c r="E220" s="32">
        <v>19.28</v>
      </c>
      <c r="F220" s="32">
        <v>0.24</v>
      </c>
      <c r="G220" s="69">
        <f t="shared" si="174"/>
        <v>0.12</v>
      </c>
      <c r="H220" s="70">
        <v>0.19685</v>
      </c>
      <c r="I220" s="69">
        <f>(E220*0.98+G220)*H220</f>
        <v>3.7429846400000004</v>
      </c>
      <c r="J220" s="61">
        <f>E220*0.02*H220</f>
        <v>7.5905360000000005E-2</v>
      </c>
      <c r="K220" s="61">
        <f>F220*0.2*H220</f>
        <v>9.4488000000000003E-3</v>
      </c>
      <c r="L220" s="58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2" t="s">
        <v>382</v>
      </c>
      <c r="B221" s="32" t="s">
        <v>263</v>
      </c>
      <c r="C221" s="10">
        <v>9275501</v>
      </c>
      <c r="D221" s="10" t="s">
        <v>1351</v>
      </c>
      <c r="E221" s="32">
        <v>-50</v>
      </c>
      <c r="F221" s="32">
        <v>0</v>
      </c>
      <c r="G221" s="69">
        <f t="shared" ref="G221:G222" si="176">F221*0.575</f>
        <v>0</v>
      </c>
      <c r="H221" s="70">
        <v>1.78E-2</v>
      </c>
      <c r="I221" s="69">
        <f t="shared" ref="I221:I222" si="177">(E221+G221)*H221*0.8</f>
        <v>-0.71200000000000008</v>
      </c>
      <c r="J221" s="61">
        <f t="shared" ref="J221:J222" si="178">E221*0.1*H221</f>
        <v>-8.8999999999999996E-2</v>
      </c>
      <c r="K221" s="61">
        <f t="shared" ref="K221:K222" si="179">(F221*0.125*0.9+G221*0.1)*H221</f>
        <v>0</v>
      </c>
      <c r="L221" s="58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 t="s">
        <v>382</v>
      </c>
      <c r="B222" s="32" t="s">
        <v>263</v>
      </c>
      <c r="C222" s="10">
        <v>9017225</v>
      </c>
      <c r="D222" s="10" t="s">
        <v>1348</v>
      </c>
      <c r="E222" s="32">
        <v>-199</v>
      </c>
      <c r="F222" s="32">
        <v>49</v>
      </c>
      <c r="G222" s="69">
        <f t="shared" si="176"/>
        <v>28.174999999999997</v>
      </c>
      <c r="H222" s="70">
        <v>1.78E-2</v>
      </c>
      <c r="I222" s="69">
        <f t="shared" si="177"/>
        <v>-2.4325480000000002</v>
      </c>
      <c r="J222" s="61">
        <f t="shared" si="178"/>
        <v>-0.35422000000000003</v>
      </c>
      <c r="K222" s="61">
        <f t="shared" si="179"/>
        <v>0.14827399999999999</v>
      </c>
      <c r="L222" s="58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 t="s">
        <v>382</v>
      </c>
      <c r="B223" s="10" t="s">
        <v>1369</v>
      </c>
      <c r="C223" s="10" t="s">
        <v>1364</v>
      </c>
      <c r="D223" s="32" t="s">
        <v>1365</v>
      </c>
      <c r="E223" s="69">
        <v>273</v>
      </c>
      <c r="F223" s="69">
        <v>12</v>
      </c>
      <c r="G223" s="32">
        <f t="shared" ref="G223:G228" si="180">F223*0.35</f>
        <v>4.1999999999999993</v>
      </c>
      <c r="H223" s="75">
        <v>1</v>
      </c>
      <c r="I223" s="69">
        <f t="shared" ref="I223:I228" si="181">(E223+G223)*H223*0.75</f>
        <v>207.89999999999998</v>
      </c>
      <c r="J223" s="61">
        <f t="shared" ref="J223:J228" si="182">E223*H223*0.25-E223*H223*0.03</f>
        <v>60.06</v>
      </c>
      <c r="K223" s="61">
        <f t="shared" ref="K223:K228" si="183">G223*H223*0.25-G223*0.03</f>
        <v>0.92399999999999982</v>
      </c>
      <c r="L223" s="58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 t="s">
        <v>382</v>
      </c>
      <c r="B224" s="10" t="s">
        <v>756</v>
      </c>
      <c r="C224" s="10" t="s">
        <v>1364</v>
      </c>
      <c r="D224" s="32" t="s">
        <v>1365</v>
      </c>
      <c r="E224" s="69">
        <v>-1283.97</v>
      </c>
      <c r="F224" s="69">
        <v>105.66</v>
      </c>
      <c r="G224" s="32">
        <f t="shared" si="180"/>
        <v>36.980999999999995</v>
      </c>
      <c r="H224" s="75">
        <v>1</v>
      </c>
      <c r="I224" s="69">
        <f t="shared" si="181"/>
        <v>-935.24175000000002</v>
      </c>
      <c r="J224" s="61">
        <f t="shared" si="182"/>
        <v>-282.47340000000003</v>
      </c>
      <c r="K224" s="61">
        <f t="shared" si="183"/>
        <v>8.1358199999999989</v>
      </c>
      <c r="L224" s="58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 t="s">
        <v>382</v>
      </c>
      <c r="B225" s="10" t="s">
        <v>1366</v>
      </c>
      <c r="C225" s="10" t="s">
        <v>1370</v>
      </c>
      <c r="D225" s="32" t="s">
        <v>1371</v>
      </c>
      <c r="E225" s="69">
        <v>-38</v>
      </c>
      <c r="F225" s="69">
        <v>0.33</v>
      </c>
      <c r="G225" s="32">
        <f t="shared" si="180"/>
        <v>0.11549999999999999</v>
      </c>
      <c r="H225" s="75">
        <v>1</v>
      </c>
      <c r="I225" s="69">
        <f t="shared" si="181"/>
        <v>-28.413375000000002</v>
      </c>
      <c r="J225" s="61">
        <f t="shared" si="182"/>
        <v>-8.36</v>
      </c>
      <c r="K225" s="61">
        <f t="shared" si="183"/>
        <v>2.5409999999999999E-2</v>
      </c>
      <c r="L225" s="58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 t="s">
        <v>382</v>
      </c>
      <c r="B226" s="32" t="s">
        <v>1372</v>
      </c>
      <c r="C226" s="10" t="s">
        <v>1373</v>
      </c>
      <c r="D226" s="10" t="s">
        <v>1374</v>
      </c>
      <c r="E226" s="32">
        <v>-200</v>
      </c>
      <c r="F226" s="32">
        <v>0</v>
      </c>
      <c r="G226" s="32">
        <f t="shared" si="180"/>
        <v>0</v>
      </c>
      <c r="H226" s="75">
        <v>1</v>
      </c>
      <c r="I226" s="69">
        <f t="shared" si="181"/>
        <v>-150</v>
      </c>
      <c r="J226" s="61">
        <f t="shared" si="182"/>
        <v>-44</v>
      </c>
      <c r="K226" s="61">
        <f t="shared" si="183"/>
        <v>0</v>
      </c>
      <c r="L226" s="58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2" t="s">
        <v>382</v>
      </c>
      <c r="B227" s="32" t="s">
        <v>1372</v>
      </c>
      <c r="C227" s="10" t="s">
        <v>1375</v>
      </c>
      <c r="D227" s="10" t="s">
        <v>1374</v>
      </c>
      <c r="E227" s="32">
        <v>-7.31</v>
      </c>
      <c r="F227" s="32">
        <v>78.36</v>
      </c>
      <c r="G227" s="32">
        <f t="shared" si="180"/>
        <v>27.425999999999998</v>
      </c>
      <c r="H227" s="75">
        <v>1</v>
      </c>
      <c r="I227" s="69">
        <f t="shared" si="181"/>
        <v>15.087</v>
      </c>
      <c r="J227" s="61">
        <f t="shared" si="182"/>
        <v>-1.6081999999999999</v>
      </c>
      <c r="K227" s="61">
        <f t="shared" si="183"/>
        <v>6.0337199999999998</v>
      </c>
      <c r="L227" s="58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2" t="s">
        <v>382</v>
      </c>
      <c r="B228" s="10" t="s">
        <v>1376</v>
      </c>
      <c r="C228" s="10" t="s">
        <v>1377</v>
      </c>
      <c r="D228" s="10" t="s">
        <v>1378</v>
      </c>
      <c r="E228" s="32">
        <v>-193.88</v>
      </c>
      <c r="F228" s="32">
        <v>76.47</v>
      </c>
      <c r="G228" s="32">
        <f t="shared" si="180"/>
        <v>26.764499999999998</v>
      </c>
      <c r="H228" s="75">
        <v>1</v>
      </c>
      <c r="I228" s="69">
        <f t="shared" si="181"/>
        <v>-125.336625</v>
      </c>
      <c r="J228" s="61">
        <f t="shared" si="182"/>
        <v>-42.653599999999997</v>
      </c>
      <c r="K228" s="61">
        <f t="shared" si="183"/>
        <v>5.8881899999999998</v>
      </c>
      <c r="L228" s="58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 t="s">
        <v>382</v>
      </c>
      <c r="B229" s="2" t="s">
        <v>10</v>
      </c>
      <c r="C229" s="10">
        <v>1064905</v>
      </c>
      <c r="D229" s="32" t="s">
        <v>1355</v>
      </c>
      <c r="E229" s="69">
        <v>388</v>
      </c>
      <c r="F229" s="69">
        <v>11.4</v>
      </c>
      <c r="G229" s="69">
        <f t="shared" ref="G229:G239" si="184">F229*0.5</f>
        <v>5.7</v>
      </c>
      <c r="H229" s="70">
        <v>0.19880999999999999</v>
      </c>
      <c r="I229" s="69">
        <f t="shared" ref="I229:I232" si="185">(E229*0.98+G229)*H229</f>
        <v>76.728731400000001</v>
      </c>
      <c r="J229" s="61">
        <f t="shared" ref="J229:J232" si="186">E229*0.02*H229</f>
        <v>1.5427655999999998</v>
      </c>
      <c r="K229" s="61">
        <f t="shared" ref="K229:K235" si="187">F229*0.25*H229</f>
        <v>0.56660849999999996</v>
      </c>
      <c r="L229" s="58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 t="s">
        <v>382</v>
      </c>
      <c r="B230" s="2" t="s">
        <v>10</v>
      </c>
      <c r="C230" s="10">
        <v>1064998</v>
      </c>
      <c r="D230" s="32" t="s">
        <v>1356</v>
      </c>
      <c r="E230" s="69">
        <v>252.3</v>
      </c>
      <c r="F230" s="69">
        <v>16.5</v>
      </c>
      <c r="G230" s="69">
        <f t="shared" si="184"/>
        <v>8.25</v>
      </c>
      <c r="H230" s="70">
        <v>0.19880999999999999</v>
      </c>
      <c r="I230" s="69">
        <f t="shared" si="185"/>
        <v>50.796750240000001</v>
      </c>
      <c r="J230" s="61">
        <f t="shared" si="186"/>
        <v>1.00319526</v>
      </c>
      <c r="K230" s="61">
        <f t="shared" si="187"/>
        <v>0.82009124999999994</v>
      </c>
      <c r="L230" s="58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 t="s">
        <v>382</v>
      </c>
      <c r="B231" s="2" t="s">
        <v>10</v>
      </c>
      <c r="C231" s="10">
        <v>1066453</v>
      </c>
      <c r="D231" s="10" t="s">
        <v>1358</v>
      </c>
      <c r="E231" s="32">
        <v>77.45</v>
      </c>
      <c r="F231" s="32">
        <v>10.3</v>
      </c>
      <c r="G231" s="69">
        <f t="shared" si="184"/>
        <v>5.15</v>
      </c>
      <c r="H231" s="70">
        <v>0.19880999999999999</v>
      </c>
      <c r="I231" s="69">
        <f t="shared" si="185"/>
        <v>16.113749309999999</v>
      </c>
      <c r="J231" s="61">
        <f t="shared" si="186"/>
        <v>0.30795669000000003</v>
      </c>
      <c r="K231" s="61">
        <f t="shared" si="187"/>
        <v>0.51193575000000002</v>
      </c>
      <c r="L231" s="58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 t="s">
        <v>382</v>
      </c>
      <c r="B232" s="46" t="s">
        <v>268</v>
      </c>
      <c r="C232" s="10">
        <v>1063108</v>
      </c>
      <c r="D232" s="10" t="s">
        <v>1341</v>
      </c>
      <c r="E232" s="32">
        <v>53.2</v>
      </c>
      <c r="F232" s="32">
        <v>38.4</v>
      </c>
      <c r="G232" s="69">
        <f t="shared" si="184"/>
        <v>19.2</v>
      </c>
      <c r="H232" s="70">
        <v>0.19880999999999999</v>
      </c>
      <c r="I232" s="69">
        <f t="shared" si="185"/>
        <v>14.182310159999998</v>
      </c>
      <c r="J232" s="61">
        <f t="shared" si="186"/>
        <v>0.21153384</v>
      </c>
      <c r="K232" s="61">
        <f t="shared" si="187"/>
        <v>1.9085759999999998</v>
      </c>
      <c r="L232" s="58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32" t="s">
        <v>382</v>
      </c>
      <c r="B233" s="46" t="s">
        <v>268</v>
      </c>
      <c r="C233" s="10">
        <v>1063111</v>
      </c>
      <c r="D233" s="10" t="s">
        <v>1342</v>
      </c>
      <c r="E233" s="32">
        <v>-168.1</v>
      </c>
      <c r="F233" s="32">
        <v>34.6</v>
      </c>
      <c r="G233" s="69">
        <f t="shared" si="184"/>
        <v>17.3</v>
      </c>
      <c r="H233" s="70">
        <v>0.19880999999999999</v>
      </c>
      <c r="I233" s="69">
        <f t="shared" ref="I233:I235" si="188">(E233+G233)*H233</f>
        <v>-29.980547999999995</v>
      </c>
      <c r="J233" s="61">
        <v>0</v>
      </c>
      <c r="K233" s="61">
        <f t="shared" si="187"/>
        <v>1.7197065</v>
      </c>
      <c r="L233" s="58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32" t="s">
        <v>382</v>
      </c>
      <c r="B234" s="46" t="s">
        <v>268</v>
      </c>
      <c r="C234" s="10">
        <v>1063113</v>
      </c>
      <c r="D234" s="10" t="s">
        <v>1343</v>
      </c>
      <c r="E234" s="32">
        <v>-240</v>
      </c>
      <c r="F234" s="32">
        <v>5.7</v>
      </c>
      <c r="G234" s="69">
        <f t="shared" si="184"/>
        <v>2.85</v>
      </c>
      <c r="H234" s="70">
        <v>0.19880999999999999</v>
      </c>
      <c r="I234" s="69">
        <f t="shared" si="188"/>
        <v>-47.147791499999997</v>
      </c>
      <c r="J234" s="61">
        <v>0</v>
      </c>
      <c r="K234" s="61">
        <f t="shared" si="187"/>
        <v>0.28330424999999998</v>
      </c>
      <c r="L234" s="58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32" t="s">
        <v>382</v>
      </c>
      <c r="B235" s="46" t="s">
        <v>268</v>
      </c>
      <c r="C235" s="10">
        <v>1063115</v>
      </c>
      <c r="D235" s="10" t="s">
        <v>1345</v>
      </c>
      <c r="E235" s="32">
        <v>-2</v>
      </c>
      <c r="F235" s="32">
        <v>0</v>
      </c>
      <c r="G235" s="69">
        <f t="shared" si="184"/>
        <v>0</v>
      </c>
      <c r="H235" s="70">
        <v>0.19880999999999999</v>
      </c>
      <c r="I235" s="69">
        <f t="shared" si="188"/>
        <v>-0.39761999999999997</v>
      </c>
      <c r="J235" s="61">
        <v>0</v>
      </c>
      <c r="K235" s="61">
        <f t="shared" si="187"/>
        <v>0</v>
      </c>
      <c r="L235" s="58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32" t="s">
        <v>382</v>
      </c>
      <c r="B236" s="46" t="s">
        <v>271</v>
      </c>
      <c r="C236" s="10">
        <v>1065125</v>
      </c>
      <c r="D236" s="10" t="s">
        <v>1360</v>
      </c>
      <c r="E236" s="32">
        <v>33.020000000000003</v>
      </c>
      <c r="F236" s="32">
        <v>1.65</v>
      </c>
      <c r="G236" s="69">
        <f t="shared" si="184"/>
        <v>0.82499999999999996</v>
      </c>
      <c r="H236" s="70">
        <v>1</v>
      </c>
      <c r="I236" s="69">
        <f t="shared" ref="I236:I237" si="189">(E236*0.98+G236)*H236*0.9</f>
        <v>29.866140000000005</v>
      </c>
      <c r="J236" s="61">
        <f t="shared" ref="J236:J237" si="190">E236*0.02*H236*0.9</f>
        <v>0.59436000000000011</v>
      </c>
      <c r="K236" s="61">
        <f t="shared" ref="K236:K237" si="191">F236*0.22*H236*0.9</f>
        <v>0.32669999999999999</v>
      </c>
      <c r="L236" s="58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32" t="s">
        <v>382</v>
      </c>
      <c r="B237" s="46" t="s">
        <v>271</v>
      </c>
      <c r="C237" s="10">
        <v>1065626</v>
      </c>
      <c r="D237" s="10" t="s">
        <v>1361</v>
      </c>
      <c r="E237" s="32">
        <v>1.51</v>
      </c>
      <c r="F237" s="32">
        <v>0.25</v>
      </c>
      <c r="G237" s="69">
        <f t="shared" si="184"/>
        <v>0.125</v>
      </c>
      <c r="H237" s="70">
        <v>1</v>
      </c>
      <c r="I237" s="69">
        <f t="shared" si="189"/>
        <v>1.44432</v>
      </c>
      <c r="J237" s="61">
        <f t="shared" si="190"/>
        <v>2.7180000000000003E-2</v>
      </c>
      <c r="K237" s="61">
        <f t="shared" si="191"/>
        <v>4.9500000000000002E-2</v>
      </c>
      <c r="L237" s="58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32" t="s">
        <v>383</v>
      </c>
      <c r="B238" s="32" t="s">
        <v>23</v>
      </c>
      <c r="C238" s="10">
        <v>8650027</v>
      </c>
      <c r="D238" s="32" t="s">
        <v>1337</v>
      </c>
      <c r="E238" s="69">
        <v>-303.39</v>
      </c>
      <c r="F238" s="69">
        <v>12.79</v>
      </c>
      <c r="G238" s="69">
        <f t="shared" si="184"/>
        <v>6.3949999999999996</v>
      </c>
      <c r="H238" s="70">
        <v>0.19417499999999999</v>
      </c>
      <c r="I238" s="69">
        <f>(E238+G238)*H238</f>
        <v>-57.669004124999994</v>
      </c>
      <c r="J238" s="61">
        <v>0</v>
      </c>
      <c r="K238" s="61">
        <f>F238*0.2*H238</f>
        <v>0.49669964999999994</v>
      </c>
      <c r="L238" s="58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32" t="s">
        <v>383</v>
      </c>
      <c r="B239" s="2" t="s">
        <v>148</v>
      </c>
      <c r="C239" s="10">
        <v>8405860</v>
      </c>
      <c r="D239" s="10" t="s">
        <v>1346</v>
      </c>
      <c r="E239" s="32">
        <v>164.24</v>
      </c>
      <c r="F239" s="32">
        <v>1.92</v>
      </c>
      <c r="G239" s="69">
        <f t="shared" si="184"/>
        <v>0.96</v>
      </c>
      <c r="H239" s="70">
        <v>0.19305</v>
      </c>
      <c r="I239" s="69">
        <f>(E239+G239)*H239*0.9</f>
        <v>28.702674000000005</v>
      </c>
      <c r="J239" s="61">
        <f>E239*0.05*H239</f>
        <v>1.5853266000000004</v>
      </c>
      <c r="K239" s="61">
        <f>(F239*0.25*0.95+G239*0.05)*H239</f>
        <v>9.72972E-2</v>
      </c>
      <c r="L239" s="58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 t="s">
        <v>383</v>
      </c>
      <c r="B240" s="32" t="s">
        <v>263</v>
      </c>
      <c r="C240" s="10">
        <v>9017225</v>
      </c>
      <c r="D240" s="32" t="s">
        <v>1348</v>
      </c>
      <c r="E240" s="69">
        <v>-1725</v>
      </c>
      <c r="F240" s="69">
        <v>321</v>
      </c>
      <c r="G240" s="69">
        <f t="shared" ref="G240:G241" si="192">F240*0.575</f>
        <v>184.57499999999999</v>
      </c>
      <c r="H240" s="70">
        <v>1.74705E-2</v>
      </c>
      <c r="I240" s="69">
        <f>(E240+G240)*H240*0.8</f>
        <v>-21.529595970000003</v>
      </c>
      <c r="J240" s="61">
        <f>E240*0.1*H240</f>
        <v>-3.0136612500000002</v>
      </c>
      <c r="K240" s="61">
        <f t="shared" ref="K240:K241" si="193">(F240*0.125*0.9+G240*0.1)*H240</f>
        <v>0.95336518500000011</v>
      </c>
      <c r="L240" s="58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 t="s">
        <v>383</v>
      </c>
      <c r="B241" s="32" t="s">
        <v>263</v>
      </c>
      <c r="C241" s="10">
        <v>9275501</v>
      </c>
      <c r="D241" s="32" t="s">
        <v>1351</v>
      </c>
      <c r="E241" s="69">
        <v>5963.2</v>
      </c>
      <c r="F241" s="69">
        <v>262</v>
      </c>
      <c r="G241" s="69">
        <f t="shared" si="192"/>
        <v>150.64999999999998</v>
      </c>
      <c r="H241" s="70">
        <v>1.74705E-2</v>
      </c>
      <c r="I241" s="69">
        <f>(E241*0.95+G241)*H241*0.8</f>
        <v>81.282409716000004</v>
      </c>
      <c r="J241" s="61">
        <f>(E241*0.1+E241*0.05*0.8)*H241</f>
        <v>14.585211984000001</v>
      </c>
      <c r="K241" s="61">
        <f t="shared" si="193"/>
        <v>0.77813606999999996</v>
      </c>
      <c r="L241" s="58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 t="s">
        <v>383</v>
      </c>
      <c r="B242" s="2" t="s">
        <v>10</v>
      </c>
      <c r="C242" s="10">
        <v>1064905</v>
      </c>
      <c r="D242" s="32" t="s">
        <v>1355</v>
      </c>
      <c r="E242" s="69">
        <v>-208.15</v>
      </c>
      <c r="F242" s="69">
        <v>38.950000000000003</v>
      </c>
      <c r="G242" s="69">
        <f t="shared" ref="G242:G253" si="194">F242*0.5</f>
        <v>19.475000000000001</v>
      </c>
      <c r="H242" s="70">
        <v>0.19305</v>
      </c>
      <c r="I242" s="69">
        <f>(E242+G242)*H242</f>
        <v>-36.423708750000003</v>
      </c>
      <c r="J242" s="61">
        <v>0</v>
      </c>
      <c r="K242" s="61">
        <f t="shared" ref="K242:K248" si="195">F242*0.25*H242</f>
        <v>1.8798243750000001</v>
      </c>
      <c r="L242" s="58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32" t="s">
        <v>383</v>
      </c>
      <c r="B243" s="2" t="s">
        <v>10</v>
      </c>
      <c r="C243" s="10">
        <v>1064998</v>
      </c>
      <c r="D243" s="32" t="s">
        <v>1356</v>
      </c>
      <c r="E243" s="69">
        <v>35.9</v>
      </c>
      <c r="F243" s="69">
        <v>26.3</v>
      </c>
      <c r="G243" s="69">
        <f t="shared" si="194"/>
        <v>13.15</v>
      </c>
      <c r="H243" s="70">
        <v>0.19305</v>
      </c>
      <c r="I243" s="69">
        <f>(E243*0.98+G243)*H243</f>
        <v>9.3304925999999995</v>
      </c>
      <c r="J243" s="61">
        <f>E243*0.02*H243</f>
        <v>0.13860989999999998</v>
      </c>
      <c r="K243" s="61">
        <f t="shared" si="195"/>
        <v>1.26930375</v>
      </c>
      <c r="L243" s="58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32" t="s">
        <v>383</v>
      </c>
      <c r="B244" s="2" t="s">
        <v>10</v>
      </c>
      <c r="C244" s="10">
        <v>1066453</v>
      </c>
      <c r="D244" s="10" t="s">
        <v>1358</v>
      </c>
      <c r="E244" s="32">
        <v>-26</v>
      </c>
      <c r="F244" s="32">
        <v>53.3</v>
      </c>
      <c r="G244" s="69">
        <f t="shared" si="194"/>
        <v>26.65</v>
      </c>
      <c r="H244" s="70">
        <v>0.19305</v>
      </c>
      <c r="I244" s="69">
        <f>(E244+G244)*H244</f>
        <v>0.12548249999999972</v>
      </c>
      <c r="J244" s="61">
        <v>0</v>
      </c>
      <c r="K244" s="61">
        <f t="shared" si="195"/>
        <v>2.5723912499999999</v>
      </c>
      <c r="L244" s="58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32" t="s">
        <v>383</v>
      </c>
      <c r="B245" s="46" t="s">
        <v>268</v>
      </c>
      <c r="C245" s="10">
        <v>1063108</v>
      </c>
      <c r="D245" s="10" t="s">
        <v>1341</v>
      </c>
      <c r="E245" s="32">
        <v>94.95</v>
      </c>
      <c r="F245" s="32">
        <v>93.65</v>
      </c>
      <c r="G245" s="69">
        <f t="shared" si="194"/>
        <v>46.825000000000003</v>
      </c>
      <c r="H245" s="70">
        <v>0.19305</v>
      </c>
      <c r="I245" s="69">
        <f>(E245*0.98+G245)*H245</f>
        <v>27.003061800000001</v>
      </c>
      <c r="J245" s="61">
        <f>E245*0.02*H245</f>
        <v>0.36660195000000001</v>
      </c>
      <c r="K245" s="61">
        <f t="shared" si="195"/>
        <v>4.519783125</v>
      </c>
      <c r="L245" s="58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32" t="s">
        <v>383</v>
      </c>
      <c r="B246" s="46" t="s">
        <v>268</v>
      </c>
      <c r="C246" s="10">
        <v>1063111</v>
      </c>
      <c r="D246" s="10" t="s">
        <v>1342</v>
      </c>
      <c r="E246" s="32">
        <v>-53.55</v>
      </c>
      <c r="F246" s="32">
        <v>21.6</v>
      </c>
      <c r="G246" s="69">
        <f t="shared" si="194"/>
        <v>10.8</v>
      </c>
      <c r="H246" s="70">
        <v>0.19305</v>
      </c>
      <c r="I246" s="69">
        <f>(E246+G246)*H246</f>
        <v>-8.2528874999999999</v>
      </c>
      <c r="J246" s="61">
        <v>0</v>
      </c>
      <c r="K246" s="61">
        <f t="shared" si="195"/>
        <v>1.04247</v>
      </c>
      <c r="L246" s="58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32" t="s">
        <v>383</v>
      </c>
      <c r="B247" s="46" t="s">
        <v>268</v>
      </c>
      <c r="C247" s="10">
        <v>1063113</v>
      </c>
      <c r="D247" s="10" t="s">
        <v>1343</v>
      </c>
      <c r="E247" s="32">
        <v>464.75</v>
      </c>
      <c r="F247" s="32">
        <v>10.85</v>
      </c>
      <c r="G247" s="69">
        <f t="shared" si="194"/>
        <v>5.4249999999999998</v>
      </c>
      <c r="H247" s="70">
        <v>0.19305</v>
      </c>
      <c r="I247" s="69">
        <f>(E247*0.98+G247)*H247</f>
        <v>88.972883999999993</v>
      </c>
      <c r="J247" s="61">
        <f>E247*0.02*H247</f>
        <v>1.79439975</v>
      </c>
      <c r="K247" s="61">
        <f t="shared" si="195"/>
        <v>0.52364812500000002</v>
      </c>
      <c r="L247" s="58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 t="s">
        <v>383</v>
      </c>
      <c r="B248" s="46" t="s">
        <v>268</v>
      </c>
      <c r="C248" s="10">
        <v>1063115</v>
      </c>
      <c r="D248" s="10" t="s">
        <v>1345</v>
      </c>
      <c r="E248" s="32">
        <v>-89.5</v>
      </c>
      <c r="F248" s="32">
        <v>12.1</v>
      </c>
      <c r="G248" s="69">
        <f t="shared" si="194"/>
        <v>6.05</v>
      </c>
      <c r="H248" s="70">
        <v>0.19305</v>
      </c>
      <c r="I248" s="69">
        <f>(E248+G248)*H248</f>
        <v>-16.110022499999999</v>
      </c>
      <c r="J248" s="61">
        <v>0</v>
      </c>
      <c r="K248" s="61">
        <f t="shared" si="195"/>
        <v>0.58397624999999997</v>
      </c>
      <c r="L248" s="58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 t="s">
        <v>383</v>
      </c>
      <c r="B249" s="46" t="s">
        <v>271</v>
      </c>
      <c r="C249" s="10">
        <v>1065125</v>
      </c>
      <c r="D249" s="32" t="s">
        <v>1360</v>
      </c>
      <c r="E249" s="69">
        <v>46.03</v>
      </c>
      <c r="F249" s="69">
        <v>2.31</v>
      </c>
      <c r="G249" s="69">
        <f t="shared" si="194"/>
        <v>1.155</v>
      </c>
      <c r="H249" s="70">
        <v>1</v>
      </c>
      <c r="I249" s="69">
        <f t="shared" ref="I249:I252" si="196">(E249*0.98+G249)*H249*0.9</f>
        <v>41.63796</v>
      </c>
      <c r="J249" s="61">
        <f t="shared" ref="J249:J252" si="197">E249*0.02*H249*0.9</f>
        <v>0.82854000000000005</v>
      </c>
      <c r="K249" s="61">
        <f t="shared" ref="K249:K252" si="198">F249*0.22*H249*0.9</f>
        <v>0.45738000000000001</v>
      </c>
      <c r="L249" s="58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 t="s">
        <v>383</v>
      </c>
      <c r="B250" s="46" t="s">
        <v>271</v>
      </c>
      <c r="C250" s="10">
        <v>1065626</v>
      </c>
      <c r="D250" s="32" t="s">
        <v>1361</v>
      </c>
      <c r="E250" s="69">
        <v>0.76</v>
      </c>
      <c r="F250" s="69">
        <v>0.53</v>
      </c>
      <c r="G250" s="69">
        <f t="shared" si="194"/>
        <v>0.26500000000000001</v>
      </c>
      <c r="H250" s="70">
        <v>1</v>
      </c>
      <c r="I250" s="69">
        <f t="shared" si="196"/>
        <v>0.90882000000000007</v>
      </c>
      <c r="J250" s="61">
        <f t="shared" si="197"/>
        <v>1.3679999999999999E-2</v>
      </c>
      <c r="K250" s="61">
        <f t="shared" si="198"/>
        <v>0.10494000000000001</v>
      </c>
      <c r="L250" s="58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32" t="s">
        <v>383</v>
      </c>
      <c r="B251" s="46" t="s">
        <v>271</v>
      </c>
      <c r="C251" s="10">
        <v>1066552</v>
      </c>
      <c r="D251" s="32" t="s">
        <v>1362</v>
      </c>
      <c r="E251" s="69">
        <v>14.76</v>
      </c>
      <c r="F251" s="69">
        <v>0.68</v>
      </c>
      <c r="G251" s="69">
        <f t="shared" si="194"/>
        <v>0.34</v>
      </c>
      <c r="H251" s="70">
        <v>1</v>
      </c>
      <c r="I251" s="69">
        <f t="shared" si="196"/>
        <v>13.32432</v>
      </c>
      <c r="J251" s="61">
        <f t="shared" si="197"/>
        <v>0.26568000000000003</v>
      </c>
      <c r="K251" s="61">
        <f t="shared" si="198"/>
        <v>0.13464000000000001</v>
      </c>
      <c r="L251" s="58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32" t="s">
        <v>383</v>
      </c>
      <c r="B252" s="46" t="s">
        <v>271</v>
      </c>
      <c r="C252" s="10">
        <v>1066693</v>
      </c>
      <c r="D252" s="32" t="s">
        <v>1363</v>
      </c>
      <c r="E252" s="69">
        <v>24.83</v>
      </c>
      <c r="F252" s="69">
        <v>3.59</v>
      </c>
      <c r="G252" s="69">
        <f t="shared" si="194"/>
        <v>1.7949999999999999</v>
      </c>
      <c r="H252" s="70">
        <v>1</v>
      </c>
      <c r="I252" s="69">
        <f t="shared" si="196"/>
        <v>23.515560000000001</v>
      </c>
      <c r="J252" s="61">
        <f t="shared" si="197"/>
        <v>0.44694</v>
      </c>
      <c r="K252" s="61">
        <f t="shared" si="198"/>
        <v>0.71082000000000001</v>
      </c>
      <c r="L252" s="58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 t="s">
        <v>384</v>
      </c>
      <c r="B253" s="32" t="s">
        <v>23</v>
      </c>
      <c r="C253" s="10">
        <v>8650027</v>
      </c>
      <c r="D253" s="32" t="s">
        <v>1337</v>
      </c>
      <c r="E253" s="32">
        <v>27.49</v>
      </c>
      <c r="F253" s="32">
        <v>4.54</v>
      </c>
      <c r="G253" s="69">
        <f t="shared" si="194"/>
        <v>2.27</v>
      </c>
      <c r="H253" s="70">
        <v>0.19417499999999999</v>
      </c>
      <c r="I253" s="69">
        <f>(E253*0.98+G253)*H253</f>
        <v>5.671890584999999</v>
      </c>
      <c r="J253" s="61">
        <f>E253*0.02*H253</f>
        <v>0.10675741499999998</v>
      </c>
      <c r="K253" s="61">
        <f>F253*0.2*H253</f>
        <v>0.17631089999999999</v>
      </c>
      <c r="L253" s="58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 t="s">
        <v>384</v>
      </c>
      <c r="B254" s="32" t="s">
        <v>263</v>
      </c>
      <c r="C254" s="10">
        <v>9017225</v>
      </c>
      <c r="D254" s="10" t="s">
        <v>1348</v>
      </c>
      <c r="E254" s="32">
        <v>3463</v>
      </c>
      <c r="F254" s="32">
        <v>235</v>
      </c>
      <c r="G254" s="69">
        <f t="shared" ref="G254:G255" si="199">F254*0.575</f>
        <v>135.125</v>
      </c>
      <c r="H254" s="70">
        <v>1.74728E-2</v>
      </c>
      <c r="I254" s="69">
        <f>(E254*0.95+G254)*H254*0.8</f>
        <v>47.875122544</v>
      </c>
      <c r="J254" s="61">
        <f>(E254*0.1+E254*0.05*0.8)*H254</f>
        <v>8.4711628960000009</v>
      </c>
      <c r="K254" s="61">
        <f t="shared" ref="K254:K255" si="200">(F254*0.125*0.9+G254*0.1)*H254</f>
        <v>0.69803836000000008</v>
      </c>
      <c r="L254" s="58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 t="s">
        <v>384</v>
      </c>
      <c r="B255" s="32" t="s">
        <v>263</v>
      </c>
      <c r="C255" s="10">
        <v>9275501</v>
      </c>
      <c r="D255" s="10" t="s">
        <v>1351</v>
      </c>
      <c r="E255" s="32">
        <v>-188</v>
      </c>
      <c r="F255" s="32">
        <v>111</v>
      </c>
      <c r="G255" s="69">
        <f t="shared" si="199"/>
        <v>63.824999999999996</v>
      </c>
      <c r="H255" s="70">
        <v>1.74728E-2</v>
      </c>
      <c r="I255" s="69">
        <f>(E255+G255)*H255*0.8</f>
        <v>-1.7357479520000003</v>
      </c>
      <c r="J255" s="61">
        <f>E255*0.1*H255</f>
        <v>-0.32848864</v>
      </c>
      <c r="K255" s="61">
        <f t="shared" si="200"/>
        <v>0.32971173600000003</v>
      </c>
      <c r="L255" s="58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32" t="s">
        <v>384</v>
      </c>
      <c r="B256" s="2" t="s">
        <v>10</v>
      </c>
      <c r="C256" s="10">
        <v>1064905</v>
      </c>
      <c r="D256" s="10" t="s">
        <v>1355</v>
      </c>
      <c r="E256" s="32">
        <v>206.3</v>
      </c>
      <c r="F256" s="32">
        <v>4</v>
      </c>
      <c r="G256" s="69">
        <f t="shared" ref="G256:G259" si="201">F256*0.5</f>
        <v>2</v>
      </c>
      <c r="H256" s="70">
        <v>0.19342400000000001</v>
      </c>
      <c r="I256" s="69">
        <f>(E256*0.98+G256)*H256</f>
        <v>39.492151776000007</v>
      </c>
      <c r="J256" s="61">
        <f>E256*0.02*H256</f>
        <v>0.79806742400000008</v>
      </c>
      <c r="K256" s="61">
        <f t="shared" ref="K256:K258" si="202">F256*0.25*H256</f>
        <v>0.19342400000000001</v>
      </c>
      <c r="L256" s="58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32" t="s">
        <v>384</v>
      </c>
      <c r="B257" s="46" t="s">
        <v>268</v>
      </c>
      <c r="C257" s="10">
        <v>1063108</v>
      </c>
      <c r="D257" s="10" t="s">
        <v>1341</v>
      </c>
      <c r="E257" s="32">
        <v>-62.8</v>
      </c>
      <c r="F257" s="32">
        <v>3.3</v>
      </c>
      <c r="G257" s="69">
        <f t="shared" si="201"/>
        <v>1.65</v>
      </c>
      <c r="H257" s="70">
        <v>0.19342400000000001</v>
      </c>
      <c r="I257" s="69">
        <f>(E257+G257)*H257</f>
        <v>-11.827877600000001</v>
      </c>
      <c r="J257" s="61">
        <v>0</v>
      </c>
      <c r="K257" s="61">
        <f t="shared" si="202"/>
        <v>0.15957479999999999</v>
      </c>
      <c r="L257" s="58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32" t="s">
        <v>384</v>
      </c>
      <c r="B258" s="46" t="s">
        <v>268</v>
      </c>
      <c r="C258" s="10">
        <v>1063111</v>
      </c>
      <c r="D258" s="10" t="s">
        <v>1342</v>
      </c>
      <c r="E258" s="32">
        <v>62.1</v>
      </c>
      <c r="F258" s="32">
        <v>4.55</v>
      </c>
      <c r="G258" s="69">
        <f t="shared" si="201"/>
        <v>2.2749999999999999</v>
      </c>
      <c r="H258" s="70">
        <v>0.19342400000000001</v>
      </c>
      <c r="I258" s="69">
        <f>(E258*0.98+G258)*H258</f>
        <v>12.211437392000001</v>
      </c>
      <c r="J258" s="61">
        <f>E258*0.02*H258</f>
        <v>0.24023260800000001</v>
      </c>
      <c r="K258" s="61">
        <f t="shared" si="202"/>
        <v>0.22001980000000002</v>
      </c>
      <c r="L258" s="58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32" t="s">
        <v>384</v>
      </c>
      <c r="B259" s="46" t="s">
        <v>271</v>
      </c>
      <c r="C259" s="10">
        <v>1065125</v>
      </c>
      <c r="D259" s="10" t="s">
        <v>1360</v>
      </c>
      <c r="E259" s="32">
        <v>-5.79</v>
      </c>
      <c r="F259" s="32">
        <v>1.1299999999999999</v>
      </c>
      <c r="G259" s="69">
        <f t="shared" si="201"/>
        <v>0.56499999999999995</v>
      </c>
      <c r="H259" s="70">
        <v>1</v>
      </c>
      <c r="I259" s="69">
        <f>(E259+G259)*H259*0.9</f>
        <v>-4.7024999999999997</v>
      </c>
      <c r="J259" s="61">
        <v>0</v>
      </c>
      <c r="K259" s="61">
        <f>F259*0.22*H259*0.9</f>
        <v>0.22373999999999999</v>
      </c>
      <c r="L259" s="58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10" t="s">
        <v>603</v>
      </c>
      <c r="B2" s="10" t="s">
        <v>603</v>
      </c>
      <c r="C2" s="10" t="s">
        <v>603</v>
      </c>
      <c r="D2" s="10" t="s">
        <v>603</v>
      </c>
      <c r="E2" s="10" t="s">
        <v>603</v>
      </c>
      <c r="F2" s="10" t="s">
        <v>603</v>
      </c>
      <c r="G2" s="10" t="s">
        <v>603</v>
      </c>
      <c r="H2" s="10" t="s">
        <v>603</v>
      </c>
      <c r="I2" s="10" t="s">
        <v>603</v>
      </c>
      <c r="J2" s="7" t="s">
        <v>603</v>
      </c>
      <c r="K2" s="7" t="s">
        <v>603</v>
      </c>
      <c r="L2" s="58">
        <f>SUM(J:K)</f>
        <v>0</v>
      </c>
      <c r="M2" s="2" t="s">
        <v>412</v>
      </c>
      <c r="N2" s="2" t="s">
        <v>413</v>
      </c>
      <c r="O2" s="32">
        <v>-135589.26</v>
      </c>
      <c r="P2" s="32">
        <f>SUM(I:I)</f>
        <v>0</v>
      </c>
      <c r="Q2" s="32">
        <f>SUM(O:O)</f>
        <v>-135373.40000000002</v>
      </c>
      <c r="R2" s="32">
        <f>P2+Q2</f>
        <v>-135373.40000000002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/>
      <c r="B3" s="10"/>
      <c r="C3" s="10"/>
      <c r="D3" s="10"/>
      <c r="E3" s="32"/>
      <c r="F3" s="32"/>
      <c r="G3" s="32"/>
      <c r="H3" s="73"/>
      <c r="I3" s="32"/>
      <c r="J3" s="32"/>
      <c r="K3" s="32"/>
      <c r="L3" s="32"/>
      <c r="M3" s="2" t="s">
        <v>475</v>
      </c>
      <c r="N3" s="83" t="s">
        <v>1379</v>
      </c>
      <c r="O3" s="32">
        <v>215.86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/>
      <c r="B4" s="10"/>
      <c r="C4" s="10"/>
      <c r="D4" s="10"/>
      <c r="E4" s="32"/>
      <c r="F4" s="32"/>
      <c r="G4" s="32"/>
      <c r="H4" s="73"/>
      <c r="I4" s="32"/>
      <c r="J4" s="32"/>
      <c r="K4" s="32"/>
      <c r="L4" s="32"/>
      <c r="M4" s="2"/>
      <c r="N4" s="2"/>
      <c r="O4" s="32"/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/>
      <c r="B5" s="10"/>
      <c r="C5" s="10"/>
      <c r="D5" s="10"/>
      <c r="E5" s="32"/>
      <c r="F5" s="32"/>
      <c r="G5" s="32"/>
      <c r="H5" s="73"/>
      <c r="I5" s="32"/>
      <c r="J5" s="32"/>
      <c r="K5" s="32"/>
      <c r="L5" s="32"/>
      <c r="M5" s="2"/>
      <c r="N5" s="2"/>
      <c r="O5" s="32"/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/>
      <c r="B6" s="46"/>
      <c r="C6" s="10"/>
      <c r="D6" s="10"/>
      <c r="E6" s="32"/>
      <c r="F6" s="32"/>
      <c r="G6" s="32"/>
      <c r="H6" s="73"/>
      <c r="I6" s="32"/>
      <c r="J6" s="32"/>
      <c r="K6" s="32"/>
      <c r="L6" s="32"/>
      <c r="M6" s="2"/>
      <c r="N6" s="2"/>
      <c r="O6" s="32"/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/>
      <c r="B7" s="32"/>
      <c r="C7" s="10"/>
      <c r="D7" s="32"/>
      <c r="E7" s="69"/>
      <c r="F7" s="69"/>
      <c r="G7" s="32"/>
      <c r="H7" s="75"/>
      <c r="I7" s="32"/>
      <c r="J7" s="32"/>
      <c r="K7" s="32"/>
      <c r="L7" s="32"/>
      <c r="M7" s="2"/>
      <c r="N7" s="2"/>
      <c r="O7" s="32"/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/>
      <c r="B8" s="32"/>
      <c r="C8" s="10"/>
      <c r="D8" s="32"/>
      <c r="E8" s="69"/>
      <c r="F8" s="69"/>
      <c r="G8" s="32"/>
      <c r="H8" s="75"/>
      <c r="I8" s="32"/>
      <c r="J8" s="32"/>
      <c r="K8" s="32"/>
      <c r="L8" s="32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/>
      <c r="B9" s="10"/>
      <c r="C9" s="10"/>
      <c r="D9" s="10"/>
      <c r="E9" s="32"/>
      <c r="F9" s="32"/>
      <c r="G9" s="32"/>
      <c r="H9" s="73"/>
      <c r="I9" s="32"/>
      <c r="J9" s="32"/>
      <c r="K9" s="32"/>
      <c r="L9" s="32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/>
      <c r="B10" s="10"/>
      <c r="C10" s="10"/>
      <c r="D10" s="10"/>
      <c r="E10" s="32"/>
      <c r="F10" s="32"/>
      <c r="G10" s="32"/>
      <c r="H10" s="73"/>
      <c r="I10" s="32"/>
      <c r="J10" s="32"/>
      <c r="K10" s="32"/>
      <c r="L10" s="32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/>
      <c r="B11" s="10"/>
      <c r="C11" s="10"/>
      <c r="D11" s="10"/>
      <c r="E11" s="32"/>
      <c r="F11" s="32"/>
      <c r="G11" s="32"/>
      <c r="H11" s="73"/>
      <c r="I11" s="32"/>
      <c r="J11" s="32"/>
      <c r="K11" s="32"/>
      <c r="L11" s="32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46"/>
      <c r="C12" s="10"/>
      <c r="D12" s="10"/>
      <c r="E12" s="32"/>
      <c r="F12" s="32"/>
      <c r="G12" s="32"/>
      <c r="H12" s="73"/>
      <c r="I12" s="32"/>
      <c r="J12" s="32"/>
      <c r="K12" s="32"/>
      <c r="L12" s="32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32"/>
      <c r="E13" s="69"/>
      <c r="F13" s="69"/>
      <c r="G13" s="32"/>
      <c r="H13" s="75"/>
      <c r="I13" s="32"/>
      <c r="J13" s="32"/>
      <c r="K13" s="32"/>
      <c r="L13" s="32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69"/>
      <c r="H14" s="75"/>
      <c r="I14" s="69"/>
      <c r="J14" s="32"/>
      <c r="K14" s="32"/>
      <c r="L14" s="32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2"/>
      <c r="E15" s="32"/>
      <c r="F15" s="32"/>
      <c r="G15" s="32"/>
      <c r="H15" s="73"/>
      <c r="I15" s="32"/>
      <c r="J15" s="32"/>
      <c r="K15" s="32"/>
      <c r="L15" s="32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32"/>
      <c r="E16" s="32"/>
      <c r="F16" s="32"/>
      <c r="G16" s="32"/>
      <c r="H16" s="73"/>
      <c r="I16" s="32"/>
      <c r="J16" s="32"/>
      <c r="K16" s="32"/>
      <c r="L16" s="32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32"/>
      <c r="F17" s="32"/>
      <c r="G17" s="32"/>
      <c r="H17" s="73"/>
      <c r="I17" s="32"/>
      <c r="J17" s="32"/>
      <c r="K17" s="32"/>
      <c r="L17" s="32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10" t="s">
        <v>603</v>
      </c>
      <c r="B2" s="10" t="s">
        <v>603</v>
      </c>
      <c r="C2" s="10" t="s">
        <v>603</v>
      </c>
      <c r="D2" s="10" t="s">
        <v>603</v>
      </c>
      <c r="E2" s="10" t="s">
        <v>603</v>
      </c>
      <c r="F2" s="10" t="s">
        <v>603</v>
      </c>
      <c r="G2" s="10" t="s">
        <v>603</v>
      </c>
      <c r="H2" s="10" t="s">
        <v>603</v>
      </c>
      <c r="I2" s="10" t="s">
        <v>603</v>
      </c>
      <c r="J2" s="7" t="s">
        <v>603</v>
      </c>
      <c r="K2" s="7" t="s">
        <v>603</v>
      </c>
      <c r="L2" s="58">
        <f>SUM(J:K)</f>
        <v>0</v>
      </c>
      <c r="M2" s="2" t="s">
        <v>412</v>
      </c>
      <c r="N2" s="2" t="s">
        <v>413</v>
      </c>
      <c r="O2" s="32">
        <v>-0.63</v>
      </c>
      <c r="P2" s="32">
        <f>SUM(I:I)</f>
        <v>0</v>
      </c>
      <c r="Q2" s="32">
        <f>SUM(O:O)</f>
        <v>-0.63</v>
      </c>
      <c r="R2" s="32">
        <f>P2+Q2</f>
        <v>-0.63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/>
      <c r="B3" s="10"/>
      <c r="C3" s="10"/>
      <c r="D3" s="10"/>
      <c r="E3" s="32"/>
      <c r="F3" s="32"/>
      <c r="G3" s="32"/>
      <c r="H3" s="73"/>
      <c r="I3" s="32"/>
      <c r="J3" s="32"/>
      <c r="K3" s="32"/>
      <c r="L3" s="32"/>
      <c r="M3" s="2"/>
      <c r="N3" s="2"/>
      <c r="O3" s="32"/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/>
      <c r="B4" s="10"/>
      <c r="C4" s="10"/>
      <c r="D4" s="10"/>
      <c r="E4" s="32"/>
      <c r="F4" s="32"/>
      <c r="G4" s="32"/>
      <c r="H4" s="73"/>
      <c r="I4" s="32"/>
      <c r="J4" s="32"/>
      <c r="K4" s="32"/>
      <c r="L4" s="32"/>
      <c r="M4" s="2"/>
      <c r="N4" s="2"/>
      <c r="O4" s="32"/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/>
      <c r="B5" s="10"/>
      <c r="C5" s="10"/>
      <c r="D5" s="10"/>
      <c r="E5" s="32"/>
      <c r="F5" s="32"/>
      <c r="G5" s="32"/>
      <c r="H5" s="73"/>
      <c r="I5" s="32"/>
      <c r="J5" s="32"/>
      <c r="K5" s="32"/>
      <c r="L5" s="32"/>
      <c r="M5" s="2"/>
      <c r="N5" s="2"/>
      <c r="O5" s="32"/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/>
      <c r="B6" s="46"/>
      <c r="C6" s="10"/>
      <c r="D6" s="10"/>
      <c r="E6" s="32"/>
      <c r="F6" s="32"/>
      <c r="G6" s="32"/>
      <c r="H6" s="73"/>
      <c r="I6" s="32"/>
      <c r="J6" s="32"/>
      <c r="K6" s="32"/>
      <c r="L6" s="32"/>
      <c r="M6" s="2"/>
      <c r="N6" s="2"/>
      <c r="O6" s="32"/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/>
      <c r="B7" s="32"/>
      <c r="C7" s="10"/>
      <c r="D7" s="32"/>
      <c r="E7" s="69"/>
      <c r="F7" s="69"/>
      <c r="G7" s="32"/>
      <c r="H7" s="75"/>
      <c r="I7" s="32"/>
      <c r="J7" s="32"/>
      <c r="K7" s="32"/>
      <c r="L7" s="32"/>
      <c r="M7" s="2"/>
      <c r="N7" s="2"/>
      <c r="O7" s="32"/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/>
      <c r="B8" s="32"/>
      <c r="C8" s="10"/>
      <c r="D8" s="32"/>
      <c r="E8" s="69"/>
      <c r="F8" s="69"/>
      <c r="G8" s="32"/>
      <c r="H8" s="75"/>
      <c r="I8" s="32"/>
      <c r="J8" s="32"/>
      <c r="K8" s="32"/>
      <c r="L8" s="32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/>
      <c r="B9" s="10"/>
      <c r="C9" s="10"/>
      <c r="D9" s="10"/>
      <c r="E9" s="32"/>
      <c r="F9" s="32"/>
      <c r="G9" s="32"/>
      <c r="H9" s="73"/>
      <c r="I9" s="32"/>
      <c r="J9" s="32"/>
      <c r="K9" s="32"/>
      <c r="L9" s="32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/>
      <c r="B10" s="10"/>
      <c r="C10" s="10"/>
      <c r="D10" s="10"/>
      <c r="E10" s="32"/>
      <c r="F10" s="32"/>
      <c r="G10" s="32"/>
      <c r="H10" s="73"/>
      <c r="I10" s="32"/>
      <c r="J10" s="32"/>
      <c r="K10" s="32"/>
      <c r="L10" s="32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/>
      <c r="B11" s="10"/>
      <c r="C11" s="10"/>
      <c r="D11" s="10"/>
      <c r="E11" s="32"/>
      <c r="F11" s="32"/>
      <c r="G11" s="32"/>
      <c r="H11" s="73"/>
      <c r="I11" s="32"/>
      <c r="J11" s="32"/>
      <c r="K11" s="32"/>
      <c r="L11" s="32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46"/>
      <c r="C12" s="10"/>
      <c r="D12" s="10"/>
      <c r="E12" s="32"/>
      <c r="F12" s="32"/>
      <c r="G12" s="32"/>
      <c r="H12" s="73"/>
      <c r="I12" s="32"/>
      <c r="J12" s="32"/>
      <c r="K12" s="32"/>
      <c r="L12" s="32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32"/>
      <c r="E13" s="69"/>
      <c r="F13" s="69"/>
      <c r="G13" s="32"/>
      <c r="H13" s="75"/>
      <c r="I13" s="32"/>
      <c r="J13" s="32"/>
      <c r="K13" s="32"/>
      <c r="L13" s="32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69"/>
      <c r="H14" s="75"/>
      <c r="I14" s="69"/>
      <c r="J14" s="32"/>
      <c r="K14" s="32"/>
      <c r="L14" s="32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2"/>
      <c r="E15" s="32"/>
      <c r="F15" s="32"/>
      <c r="G15" s="32"/>
      <c r="H15" s="73"/>
      <c r="I15" s="32"/>
      <c r="J15" s="32"/>
      <c r="K15" s="32"/>
      <c r="L15" s="32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32"/>
      <c r="E16" s="32"/>
      <c r="F16" s="32"/>
      <c r="G16" s="32"/>
      <c r="H16" s="73"/>
      <c r="I16" s="32"/>
      <c r="J16" s="32"/>
      <c r="K16" s="32"/>
      <c r="L16" s="32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32"/>
      <c r="F17" s="32"/>
      <c r="G17" s="32"/>
      <c r="H17" s="73"/>
      <c r="I17" s="32"/>
      <c r="J17" s="32"/>
      <c r="K17" s="32"/>
      <c r="L17" s="32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3" width="12.6640625" customWidth="1"/>
    <col min="14" max="20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521</v>
      </c>
      <c r="D1" s="63" t="s">
        <v>522</v>
      </c>
      <c r="E1" s="63" t="s">
        <v>399</v>
      </c>
      <c r="F1" s="62" t="s">
        <v>400</v>
      </c>
      <c r="G1" s="62" t="s">
        <v>401</v>
      </c>
      <c r="H1" s="62" t="s">
        <v>402</v>
      </c>
      <c r="I1" s="62" t="s">
        <v>403</v>
      </c>
      <c r="J1" s="64" t="s">
        <v>404</v>
      </c>
      <c r="K1" s="62" t="s">
        <v>405</v>
      </c>
      <c r="L1" s="65" t="s">
        <v>406</v>
      </c>
      <c r="M1" s="65" t="s">
        <v>407</v>
      </c>
      <c r="N1" s="65" t="s">
        <v>408</v>
      </c>
      <c r="O1" s="66" t="s">
        <v>409</v>
      </c>
      <c r="P1" s="66" t="s">
        <v>294</v>
      </c>
      <c r="Q1" s="66" t="s">
        <v>410</v>
      </c>
      <c r="R1" s="67" t="s">
        <v>283</v>
      </c>
      <c r="S1" s="67" t="s">
        <v>284</v>
      </c>
      <c r="T1" s="68" t="s">
        <v>285</v>
      </c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81</v>
      </c>
      <c r="C2" s="2" t="s">
        <v>1380</v>
      </c>
      <c r="D2" s="2" t="s">
        <v>1381</v>
      </c>
      <c r="E2" s="2" t="s">
        <v>1382</v>
      </c>
      <c r="F2" s="32" t="s">
        <v>1383</v>
      </c>
      <c r="G2" s="69">
        <v>-133.55000000000001</v>
      </c>
      <c r="H2" s="69">
        <v>40.47</v>
      </c>
      <c r="I2" s="69">
        <f t="shared" ref="I2:I4" si="0">H2*1</f>
        <v>40.47</v>
      </c>
      <c r="J2" s="70">
        <v>1</v>
      </c>
      <c r="K2" s="69">
        <f t="shared" ref="K2:K4" si="1">(G2+I2)*J2-(G2+H2)*0.1*J2-H2*0.1*J2</f>
        <v>-87.819000000000003</v>
      </c>
      <c r="L2" s="58">
        <v>0</v>
      </c>
      <c r="M2" s="58">
        <v>0</v>
      </c>
      <c r="N2" s="58">
        <f>SUM(L:M)</f>
        <v>0</v>
      </c>
      <c r="O2" s="2" t="s">
        <v>412</v>
      </c>
      <c r="P2" s="2" t="s">
        <v>413</v>
      </c>
      <c r="Q2" s="32">
        <v>0</v>
      </c>
      <c r="R2" s="32">
        <f>SUM(K:K)</f>
        <v>386.79300000000006</v>
      </c>
      <c r="S2" s="32">
        <f>SUM(Q:Q)</f>
        <v>0</v>
      </c>
      <c r="T2" s="32">
        <f>R2+S2</f>
        <v>386.79300000000006</v>
      </c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32" t="s">
        <v>81</v>
      </c>
      <c r="C3" s="2" t="s">
        <v>1380</v>
      </c>
      <c r="D3" s="2" t="s">
        <v>1381</v>
      </c>
      <c r="E3" s="2" t="s">
        <v>1384</v>
      </c>
      <c r="F3" s="32" t="s">
        <v>1385</v>
      </c>
      <c r="G3" s="69">
        <v>-508.48</v>
      </c>
      <c r="H3" s="69">
        <v>71.83</v>
      </c>
      <c r="I3" s="69">
        <f t="shared" si="0"/>
        <v>71.83</v>
      </c>
      <c r="J3" s="70">
        <v>1</v>
      </c>
      <c r="K3" s="69">
        <f t="shared" si="1"/>
        <v>-400.16800000000001</v>
      </c>
      <c r="L3" s="58">
        <v>0</v>
      </c>
      <c r="M3" s="58">
        <v>0</v>
      </c>
      <c r="N3" s="58"/>
      <c r="O3" s="2"/>
      <c r="P3" s="2"/>
      <c r="Q3" s="32"/>
      <c r="R3" s="32"/>
      <c r="S3" s="32"/>
      <c r="T3" s="32"/>
      <c r="U3" s="2"/>
      <c r="V3" s="2"/>
      <c r="W3" s="2"/>
      <c r="X3" s="2"/>
      <c r="Y3" s="2"/>
      <c r="Z3" s="2"/>
    </row>
    <row r="4" spans="1:26" ht="15.75" customHeight="1" x14ac:dyDescent="0.3">
      <c r="A4" s="32" t="s">
        <v>317</v>
      </c>
      <c r="B4" s="32" t="s">
        <v>81</v>
      </c>
      <c r="C4" s="2" t="s">
        <v>1380</v>
      </c>
      <c r="D4" s="2" t="s">
        <v>1381</v>
      </c>
      <c r="E4" s="2" t="s">
        <v>1384</v>
      </c>
      <c r="F4" s="32" t="s">
        <v>1385</v>
      </c>
      <c r="G4" s="69">
        <v>909.73</v>
      </c>
      <c r="H4" s="69">
        <v>82.18</v>
      </c>
      <c r="I4" s="69">
        <f t="shared" si="0"/>
        <v>82.18</v>
      </c>
      <c r="J4" s="70">
        <v>1</v>
      </c>
      <c r="K4" s="69">
        <f t="shared" si="1"/>
        <v>884.50100000000009</v>
      </c>
      <c r="L4" s="58">
        <v>0</v>
      </c>
      <c r="M4" s="58">
        <v>0</v>
      </c>
      <c r="N4" s="58"/>
      <c r="O4" s="2"/>
      <c r="P4" s="2"/>
      <c r="Q4" s="32"/>
      <c r="R4" s="32"/>
      <c r="S4" s="32"/>
      <c r="T4" s="32"/>
      <c r="U4" s="2"/>
      <c r="V4" s="2"/>
      <c r="W4" s="2"/>
      <c r="X4" s="2"/>
      <c r="Y4" s="2"/>
      <c r="Z4" s="2"/>
    </row>
    <row r="5" spans="1:26" ht="15.75" customHeight="1" x14ac:dyDescent="0.3">
      <c r="A5" s="2" t="s">
        <v>325</v>
      </c>
      <c r="B5" s="46" t="s">
        <v>468</v>
      </c>
      <c r="C5" s="10" t="s">
        <v>468</v>
      </c>
      <c r="D5" s="10" t="s">
        <v>468</v>
      </c>
      <c r="E5" s="10" t="s">
        <v>468</v>
      </c>
      <c r="F5" s="46" t="s">
        <v>468</v>
      </c>
      <c r="G5" s="46" t="s">
        <v>468</v>
      </c>
      <c r="H5" s="46" t="s">
        <v>468</v>
      </c>
      <c r="I5" s="46" t="s">
        <v>468</v>
      </c>
      <c r="J5" s="81" t="s">
        <v>468</v>
      </c>
      <c r="K5" s="46" t="s">
        <v>468</v>
      </c>
      <c r="L5" s="82" t="s">
        <v>468</v>
      </c>
      <c r="M5" s="82" t="s">
        <v>468</v>
      </c>
      <c r="N5" s="58"/>
      <c r="O5" s="2"/>
      <c r="P5" s="2"/>
      <c r="Q5" s="32"/>
      <c r="R5" s="32"/>
      <c r="S5" s="32"/>
      <c r="T5" s="32"/>
      <c r="U5" s="2"/>
      <c r="V5" s="2"/>
      <c r="W5" s="2"/>
      <c r="X5" s="2"/>
      <c r="Y5" s="2"/>
      <c r="Z5" s="2"/>
    </row>
    <row r="6" spans="1:26" ht="15.75" customHeight="1" x14ac:dyDescent="0.3">
      <c r="A6" s="2" t="s">
        <v>332</v>
      </c>
      <c r="B6" s="32" t="s">
        <v>81</v>
      </c>
      <c r="C6" s="2" t="s">
        <v>1380</v>
      </c>
      <c r="D6" s="2" t="s">
        <v>1381</v>
      </c>
      <c r="E6" s="2" t="s">
        <v>1382</v>
      </c>
      <c r="F6" s="32" t="s">
        <v>1383</v>
      </c>
      <c r="G6" s="69">
        <v>-12.97</v>
      </c>
      <c r="H6" s="69">
        <v>2.44</v>
      </c>
      <c r="I6" s="69">
        <f>H6*1</f>
        <v>2.44</v>
      </c>
      <c r="J6" s="70">
        <v>1</v>
      </c>
      <c r="K6" s="69">
        <f>(G6+I6)*J6-(G6+H6)*0.1*J6-H6*0.1*J6</f>
        <v>-9.7210000000000001</v>
      </c>
      <c r="L6" s="58">
        <v>0</v>
      </c>
      <c r="M6" s="58">
        <v>0</v>
      </c>
      <c r="N6" s="58"/>
      <c r="O6" s="2"/>
      <c r="P6" s="2"/>
      <c r="Q6" s="32"/>
      <c r="R6" s="32"/>
      <c r="S6" s="32"/>
      <c r="T6" s="3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340</v>
      </c>
      <c r="B7" s="46" t="s">
        <v>468</v>
      </c>
      <c r="C7" s="10" t="s">
        <v>468</v>
      </c>
      <c r="D7" s="10" t="s">
        <v>468</v>
      </c>
      <c r="E7" s="10" t="s">
        <v>468</v>
      </c>
      <c r="F7" s="46" t="s">
        <v>468</v>
      </c>
      <c r="G7" s="46" t="s">
        <v>468</v>
      </c>
      <c r="H7" s="46" t="s">
        <v>468</v>
      </c>
      <c r="I7" s="46" t="s">
        <v>468</v>
      </c>
      <c r="J7" s="81" t="s">
        <v>468</v>
      </c>
      <c r="K7" s="46" t="s">
        <v>468</v>
      </c>
      <c r="L7" s="82" t="s">
        <v>468</v>
      </c>
      <c r="M7" s="82" t="s">
        <v>468</v>
      </c>
      <c r="N7" s="58"/>
      <c r="O7" s="2"/>
      <c r="P7" s="2"/>
      <c r="Q7" s="32"/>
      <c r="R7" s="32"/>
      <c r="S7" s="32"/>
      <c r="T7" s="3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359</v>
      </c>
      <c r="B8" s="46" t="s">
        <v>468</v>
      </c>
      <c r="C8" s="10" t="s">
        <v>468</v>
      </c>
      <c r="D8" s="10" t="s">
        <v>468</v>
      </c>
      <c r="E8" s="10" t="s">
        <v>468</v>
      </c>
      <c r="F8" s="46" t="s">
        <v>468</v>
      </c>
      <c r="G8" s="46" t="s">
        <v>468</v>
      </c>
      <c r="H8" s="46" t="s">
        <v>468</v>
      </c>
      <c r="I8" s="46" t="s">
        <v>468</v>
      </c>
      <c r="J8" s="81" t="s">
        <v>468</v>
      </c>
      <c r="K8" s="46" t="s">
        <v>468</v>
      </c>
      <c r="L8" s="82" t="s">
        <v>468</v>
      </c>
      <c r="M8" s="82" t="s">
        <v>468</v>
      </c>
      <c r="N8" s="58"/>
      <c r="O8" s="2"/>
      <c r="P8" s="2"/>
      <c r="Q8" s="32"/>
      <c r="R8" s="32"/>
      <c r="S8" s="32"/>
      <c r="T8" s="32"/>
      <c r="U8" s="2"/>
      <c r="V8" s="2"/>
      <c r="W8" s="2"/>
      <c r="X8" s="2"/>
      <c r="Y8" s="2"/>
      <c r="Z8" s="2"/>
    </row>
    <row r="9" spans="1:26" ht="15.75" customHeight="1" x14ac:dyDescent="0.3">
      <c r="A9" s="2" t="s">
        <v>603</v>
      </c>
      <c r="B9" s="10" t="s">
        <v>603</v>
      </c>
      <c r="C9" s="10" t="s">
        <v>603</v>
      </c>
      <c r="D9" s="10" t="s">
        <v>603</v>
      </c>
      <c r="E9" s="10" t="s">
        <v>603</v>
      </c>
      <c r="F9" s="10" t="s">
        <v>603</v>
      </c>
      <c r="G9" s="10" t="s">
        <v>603</v>
      </c>
      <c r="H9" s="10" t="s">
        <v>603</v>
      </c>
      <c r="I9" s="10" t="s">
        <v>603</v>
      </c>
      <c r="J9" s="10" t="s">
        <v>603</v>
      </c>
      <c r="K9" s="10" t="s">
        <v>603</v>
      </c>
      <c r="L9" s="7" t="s">
        <v>603</v>
      </c>
      <c r="M9" s="7" t="s">
        <v>603</v>
      </c>
      <c r="N9" s="58"/>
      <c r="O9" s="2"/>
      <c r="P9" s="2"/>
      <c r="Q9" s="32"/>
      <c r="R9" s="32"/>
      <c r="S9" s="32"/>
      <c r="T9" s="32"/>
      <c r="U9" s="2"/>
      <c r="V9" s="2"/>
      <c r="W9" s="2"/>
      <c r="X9" s="2"/>
      <c r="Y9" s="2"/>
      <c r="Z9" s="2"/>
    </row>
    <row r="10" spans="1:26" ht="15.75" customHeight="1" x14ac:dyDescent="0.3">
      <c r="A10" s="32"/>
      <c r="B10" s="10"/>
      <c r="C10" s="10"/>
      <c r="D10" s="10"/>
      <c r="E10" s="10"/>
      <c r="F10" s="10"/>
      <c r="G10" s="32"/>
      <c r="H10" s="32"/>
      <c r="I10" s="32"/>
      <c r="J10" s="73"/>
      <c r="K10" s="32"/>
      <c r="L10" s="32"/>
      <c r="M10" s="32"/>
      <c r="N10" s="32"/>
      <c r="O10" s="2"/>
      <c r="P10" s="2"/>
      <c r="Q10" s="32"/>
      <c r="R10" s="32"/>
      <c r="S10" s="32"/>
      <c r="T10" s="32"/>
      <c r="U10" s="2"/>
      <c r="V10" s="2"/>
      <c r="W10" s="2"/>
      <c r="X10" s="2"/>
      <c r="Y10" s="2"/>
      <c r="Z10" s="2"/>
    </row>
    <row r="11" spans="1:26" ht="15.75" customHeight="1" x14ac:dyDescent="0.3">
      <c r="A11" s="32"/>
      <c r="B11" s="10"/>
      <c r="C11" s="10"/>
      <c r="D11" s="10"/>
      <c r="E11" s="10"/>
      <c r="F11" s="10"/>
      <c r="G11" s="32"/>
      <c r="H11" s="32"/>
      <c r="I11" s="32"/>
      <c r="J11" s="73"/>
      <c r="K11" s="32"/>
      <c r="L11" s="32"/>
      <c r="M11" s="32"/>
      <c r="N11" s="32"/>
      <c r="O11" s="2"/>
      <c r="P11" s="2"/>
      <c r="Q11" s="32"/>
      <c r="R11" s="32"/>
      <c r="S11" s="32"/>
      <c r="T11" s="3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46"/>
      <c r="C12" s="10"/>
      <c r="D12" s="10"/>
      <c r="E12" s="10"/>
      <c r="F12" s="10"/>
      <c r="G12" s="32"/>
      <c r="H12" s="32"/>
      <c r="I12" s="32"/>
      <c r="J12" s="73"/>
      <c r="K12" s="32"/>
      <c r="L12" s="32"/>
      <c r="M12" s="32"/>
      <c r="N12" s="32"/>
      <c r="O12" s="2"/>
      <c r="P12" s="2"/>
      <c r="Q12" s="32"/>
      <c r="R12" s="32"/>
      <c r="S12" s="32"/>
      <c r="T12" s="3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10"/>
      <c r="E13" s="10"/>
      <c r="F13" s="32"/>
      <c r="G13" s="69"/>
      <c r="H13" s="69"/>
      <c r="I13" s="32"/>
      <c r="J13" s="75"/>
      <c r="K13" s="32"/>
      <c r="L13" s="32"/>
      <c r="M13" s="32"/>
      <c r="N13" s="32"/>
      <c r="O13" s="2"/>
      <c r="P13" s="2"/>
      <c r="Q13" s="32"/>
      <c r="R13" s="32"/>
      <c r="S13" s="32"/>
      <c r="T13" s="3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10"/>
      <c r="E14" s="10"/>
      <c r="F14" s="32"/>
      <c r="G14" s="69"/>
      <c r="H14" s="69"/>
      <c r="I14" s="69"/>
      <c r="J14" s="75"/>
      <c r="K14" s="69"/>
      <c r="L14" s="32"/>
      <c r="M14" s="32"/>
      <c r="N14" s="32"/>
      <c r="O14" s="2"/>
      <c r="P14" s="2"/>
      <c r="Q14" s="32"/>
      <c r="R14" s="32"/>
      <c r="S14" s="32"/>
      <c r="T14" s="3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10"/>
      <c r="E15" s="10"/>
      <c r="F15" s="2"/>
      <c r="G15" s="32"/>
      <c r="H15" s="32"/>
      <c r="I15" s="32"/>
      <c r="J15" s="73"/>
      <c r="K15" s="32"/>
      <c r="L15" s="32"/>
      <c r="M15" s="32"/>
      <c r="N15" s="32"/>
      <c r="O15" s="2"/>
      <c r="P15" s="2"/>
      <c r="Q15" s="32"/>
      <c r="R15" s="32"/>
      <c r="S15" s="32"/>
      <c r="T15" s="3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10"/>
      <c r="E16" s="10"/>
      <c r="F16" s="32"/>
      <c r="G16" s="32"/>
      <c r="H16" s="32"/>
      <c r="I16" s="32"/>
      <c r="J16" s="73"/>
      <c r="K16" s="32"/>
      <c r="L16" s="32"/>
      <c r="M16" s="32"/>
      <c r="N16" s="32"/>
      <c r="O16" s="2"/>
      <c r="P16" s="2"/>
      <c r="Q16" s="32"/>
      <c r="R16" s="32"/>
      <c r="S16" s="32"/>
      <c r="T16" s="3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10"/>
      <c r="F17" s="10"/>
      <c r="G17" s="32"/>
      <c r="H17" s="32"/>
      <c r="I17" s="32"/>
      <c r="J17" s="73"/>
      <c r="K17" s="32"/>
      <c r="L17" s="32"/>
      <c r="M17" s="32"/>
      <c r="N17" s="32"/>
      <c r="O17" s="2"/>
      <c r="P17" s="2"/>
      <c r="Q17" s="32"/>
      <c r="R17" s="32"/>
      <c r="S17" s="32"/>
      <c r="T17" s="3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10"/>
      <c r="F18" s="10"/>
      <c r="G18" s="32"/>
      <c r="H18" s="32"/>
      <c r="I18" s="32"/>
      <c r="J18" s="73"/>
      <c r="K18" s="32"/>
      <c r="L18" s="32"/>
      <c r="M18" s="32"/>
      <c r="N18" s="32"/>
      <c r="O18" s="2"/>
      <c r="P18" s="2"/>
      <c r="Q18" s="32"/>
      <c r="R18" s="32"/>
      <c r="S18" s="32"/>
      <c r="T18" s="3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10"/>
      <c r="F19" s="10"/>
      <c r="G19" s="32"/>
      <c r="H19" s="32"/>
      <c r="I19" s="32"/>
      <c r="J19" s="73"/>
      <c r="K19" s="32"/>
      <c r="L19" s="32"/>
      <c r="M19" s="32"/>
      <c r="N19" s="32"/>
      <c r="O19" s="2"/>
      <c r="P19" s="2"/>
      <c r="Q19" s="32"/>
      <c r="R19" s="32"/>
      <c r="S19" s="32"/>
      <c r="T19" s="3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10"/>
      <c r="E20" s="10"/>
      <c r="F20" s="32"/>
      <c r="G20" s="69"/>
      <c r="H20" s="69"/>
      <c r="I20" s="32"/>
      <c r="J20" s="75"/>
      <c r="K20" s="32"/>
      <c r="L20" s="32"/>
      <c r="M20" s="32"/>
      <c r="N20" s="32"/>
      <c r="O20" s="2"/>
      <c r="P20" s="2"/>
      <c r="Q20" s="32"/>
      <c r="R20" s="32"/>
      <c r="S20" s="32"/>
      <c r="T20" s="3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10"/>
      <c r="E21" s="10"/>
      <c r="F21" s="32"/>
      <c r="G21" s="69"/>
      <c r="H21" s="69"/>
      <c r="I21" s="69"/>
      <c r="J21" s="75"/>
      <c r="K21" s="69"/>
      <c r="L21" s="32"/>
      <c r="M21" s="32"/>
      <c r="N21" s="32"/>
      <c r="O21" s="2"/>
      <c r="P21" s="2"/>
      <c r="Q21" s="32"/>
      <c r="R21" s="32"/>
      <c r="S21" s="32"/>
      <c r="T21" s="3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10"/>
      <c r="E22" s="10"/>
      <c r="F22" s="2"/>
      <c r="G22" s="32"/>
      <c r="H22" s="32"/>
      <c r="I22" s="32"/>
      <c r="J22" s="73"/>
      <c r="K22" s="32"/>
      <c r="L22" s="32"/>
      <c r="M22" s="32"/>
      <c r="N22" s="32"/>
      <c r="O22" s="2"/>
      <c r="P22" s="2"/>
      <c r="Q22" s="32"/>
      <c r="R22" s="32"/>
      <c r="S22" s="32"/>
      <c r="T22" s="3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10"/>
      <c r="E23" s="10"/>
      <c r="F23" s="32"/>
      <c r="G23" s="32"/>
      <c r="H23" s="32"/>
      <c r="I23" s="32"/>
      <c r="J23" s="73"/>
      <c r="K23" s="32"/>
      <c r="L23" s="32"/>
      <c r="M23" s="32"/>
      <c r="N23" s="32"/>
      <c r="O23" s="2"/>
      <c r="P23" s="2"/>
      <c r="Q23" s="32"/>
      <c r="R23" s="32"/>
      <c r="S23" s="32"/>
      <c r="T23" s="3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10"/>
      <c r="E24" s="10"/>
      <c r="F24" s="32"/>
      <c r="G24" s="32"/>
      <c r="H24" s="32"/>
      <c r="I24" s="32"/>
      <c r="J24" s="73"/>
      <c r="K24" s="32"/>
      <c r="L24" s="32"/>
      <c r="M24" s="32"/>
      <c r="N24" s="32"/>
      <c r="O24" s="2"/>
      <c r="P24" s="2"/>
      <c r="Q24" s="32"/>
      <c r="R24" s="32"/>
      <c r="S24" s="32"/>
      <c r="T24" s="3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10"/>
      <c r="F25" s="10"/>
      <c r="G25" s="32"/>
      <c r="H25" s="32"/>
      <c r="I25" s="32"/>
      <c r="J25" s="73"/>
      <c r="K25" s="32"/>
      <c r="L25" s="32"/>
      <c r="M25" s="32"/>
      <c r="N25" s="32"/>
      <c r="O25" s="2"/>
      <c r="P25" s="2"/>
      <c r="Q25" s="32"/>
      <c r="R25" s="32"/>
      <c r="S25" s="32"/>
      <c r="T25" s="3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10"/>
      <c r="F26" s="10"/>
      <c r="G26" s="32"/>
      <c r="H26" s="32"/>
      <c r="I26" s="32"/>
      <c r="J26" s="73"/>
      <c r="K26" s="32"/>
      <c r="L26" s="32"/>
      <c r="M26" s="32"/>
      <c r="N26" s="32"/>
      <c r="O26" s="2"/>
      <c r="P26" s="2"/>
      <c r="Q26" s="32"/>
      <c r="R26" s="32"/>
      <c r="S26" s="32"/>
      <c r="T26" s="3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10"/>
      <c r="E27" s="10"/>
      <c r="F27" s="32"/>
      <c r="G27" s="69"/>
      <c r="H27" s="69"/>
      <c r="I27" s="69"/>
      <c r="J27" s="75"/>
      <c r="K27" s="69"/>
      <c r="L27" s="32"/>
      <c r="M27" s="32"/>
      <c r="N27" s="32"/>
      <c r="O27" s="2"/>
      <c r="P27" s="2"/>
      <c r="Q27" s="32"/>
      <c r="R27" s="32"/>
      <c r="S27" s="32"/>
      <c r="T27" s="3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10"/>
      <c r="F28" s="10"/>
      <c r="G28" s="32"/>
      <c r="H28" s="32"/>
      <c r="I28" s="32"/>
      <c r="J28" s="73"/>
      <c r="K28" s="32"/>
      <c r="L28" s="32"/>
      <c r="M28" s="32"/>
      <c r="N28" s="32"/>
      <c r="O28" s="2"/>
      <c r="P28" s="2"/>
      <c r="Q28" s="32"/>
      <c r="R28" s="32"/>
      <c r="S28" s="32"/>
      <c r="T28" s="3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10"/>
      <c r="F29" s="10"/>
      <c r="G29" s="32"/>
      <c r="H29" s="32"/>
      <c r="I29" s="32"/>
      <c r="J29" s="73"/>
      <c r="K29" s="32"/>
      <c r="L29" s="32"/>
      <c r="M29" s="32"/>
      <c r="N29" s="32"/>
      <c r="O29" s="2"/>
      <c r="P29" s="2"/>
      <c r="Q29" s="32"/>
      <c r="R29" s="32"/>
      <c r="S29" s="32"/>
      <c r="T29" s="3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10"/>
      <c r="F30" s="10"/>
      <c r="G30" s="32"/>
      <c r="H30" s="32"/>
      <c r="I30" s="32"/>
      <c r="J30" s="73"/>
      <c r="K30" s="32"/>
      <c r="L30" s="32"/>
      <c r="M30" s="32"/>
      <c r="N30" s="32"/>
      <c r="O30" s="2"/>
      <c r="P30" s="2"/>
      <c r="Q30" s="32"/>
      <c r="R30" s="32"/>
      <c r="S30" s="32"/>
      <c r="T30" s="3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10"/>
      <c r="E31" s="10"/>
      <c r="F31" s="32"/>
      <c r="G31" s="32"/>
      <c r="H31" s="32"/>
      <c r="I31" s="32"/>
      <c r="J31" s="73"/>
      <c r="K31" s="32"/>
      <c r="L31" s="32"/>
      <c r="M31" s="32"/>
      <c r="N31" s="32"/>
      <c r="O31" s="2"/>
      <c r="P31" s="2"/>
      <c r="Q31" s="32"/>
      <c r="R31" s="32"/>
      <c r="S31" s="32"/>
      <c r="T31" s="3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10"/>
      <c r="E32" s="10"/>
      <c r="F32" s="32"/>
      <c r="G32" s="32"/>
      <c r="H32" s="32"/>
      <c r="I32" s="32"/>
      <c r="J32" s="73"/>
      <c r="K32" s="32"/>
      <c r="L32" s="32"/>
      <c r="M32" s="32"/>
      <c r="N32" s="32"/>
      <c r="O32" s="2"/>
      <c r="P32" s="2"/>
      <c r="Q32" s="32"/>
      <c r="R32" s="32"/>
      <c r="S32" s="32"/>
      <c r="T32" s="3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10"/>
      <c r="E33" s="10"/>
      <c r="F33" s="32"/>
      <c r="G33" s="69"/>
      <c r="H33" s="69"/>
      <c r="I33" s="69"/>
      <c r="J33" s="75"/>
      <c r="K33" s="69"/>
      <c r="L33" s="32"/>
      <c r="M33" s="32"/>
      <c r="N33" s="32"/>
      <c r="O33" s="2"/>
      <c r="P33" s="2"/>
      <c r="Q33" s="32"/>
      <c r="R33" s="32"/>
      <c r="S33" s="32"/>
      <c r="T33" s="3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10"/>
      <c r="E34" s="10"/>
      <c r="F34" s="32"/>
      <c r="G34" s="69"/>
      <c r="H34" s="69"/>
      <c r="I34" s="69"/>
      <c r="J34" s="75"/>
      <c r="K34" s="69"/>
      <c r="L34" s="32"/>
      <c r="M34" s="32"/>
      <c r="N34" s="32"/>
      <c r="O34" s="2"/>
      <c r="P34" s="2"/>
      <c r="Q34" s="32"/>
      <c r="R34" s="32"/>
      <c r="S34" s="32"/>
      <c r="T34" s="3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10"/>
      <c r="E35" s="10"/>
      <c r="F35" s="32"/>
      <c r="G35" s="32"/>
      <c r="H35" s="32"/>
      <c r="I35" s="32"/>
      <c r="J35" s="73"/>
      <c r="K35" s="32"/>
      <c r="L35" s="32"/>
      <c r="M35" s="32"/>
      <c r="N35" s="32"/>
      <c r="O35" s="2"/>
      <c r="P35" s="2"/>
      <c r="Q35" s="32"/>
      <c r="R35" s="32"/>
      <c r="S35" s="32"/>
      <c r="T35" s="3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10"/>
      <c r="E36" s="10"/>
      <c r="F36" s="32"/>
      <c r="G36" s="32"/>
      <c r="H36" s="32"/>
      <c r="I36" s="32"/>
      <c r="J36" s="73"/>
      <c r="K36" s="32"/>
      <c r="L36" s="32"/>
      <c r="M36" s="32"/>
      <c r="N36" s="32"/>
      <c r="O36" s="2"/>
      <c r="P36" s="2"/>
      <c r="Q36" s="32"/>
      <c r="R36" s="32"/>
      <c r="S36" s="32"/>
      <c r="T36" s="3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10"/>
      <c r="E37" s="10"/>
      <c r="F37" s="32"/>
      <c r="G37" s="69"/>
      <c r="H37" s="69"/>
      <c r="I37" s="69"/>
      <c r="J37" s="70"/>
      <c r="K37" s="69"/>
      <c r="L37" s="32"/>
      <c r="M37" s="32"/>
      <c r="N37" s="32"/>
      <c r="O37" s="2"/>
      <c r="P37" s="2"/>
      <c r="Q37" s="32"/>
      <c r="R37" s="32"/>
      <c r="S37" s="32"/>
      <c r="T37" s="3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10"/>
      <c r="F38" s="10"/>
      <c r="G38" s="32"/>
      <c r="H38" s="32"/>
      <c r="I38" s="32"/>
      <c r="J38" s="73"/>
      <c r="K38" s="32"/>
      <c r="L38" s="32"/>
      <c r="M38" s="32"/>
      <c r="N38" s="32"/>
      <c r="O38" s="2"/>
      <c r="P38" s="2"/>
      <c r="Q38" s="32"/>
      <c r="R38" s="32"/>
      <c r="S38" s="32"/>
      <c r="T38" s="3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2"/>
      <c r="E39" s="2"/>
      <c r="F39" s="32"/>
      <c r="G39" s="69"/>
      <c r="H39" s="69"/>
      <c r="I39" s="69"/>
      <c r="J39" s="75"/>
      <c r="K39" s="69"/>
      <c r="L39" s="69"/>
      <c r="M39" s="69"/>
      <c r="N39" s="32"/>
      <c r="O39" s="2"/>
      <c r="P39" s="2"/>
      <c r="Q39" s="32"/>
      <c r="R39" s="32"/>
      <c r="S39" s="32"/>
      <c r="T39" s="3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2"/>
      <c r="E40" s="2"/>
      <c r="F40" s="32"/>
      <c r="G40" s="69"/>
      <c r="H40" s="69"/>
      <c r="I40" s="69"/>
      <c r="J40" s="75"/>
      <c r="K40" s="69"/>
      <c r="L40" s="69"/>
      <c r="M40" s="69"/>
      <c r="N40" s="32"/>
      <c r="O40" s="2"/>
      <c r="P40" s="2"/>
      <c r="Q40" s="32"/>
      <c r="R40" s="32"/>
      <c r="S40" s="32"/>
      <c r="T40" s="3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10"/>
      <c r="F41" s="10"/>
      <c r="G41" s="32"/>
      <c r="H41" s="32"/>
      <c r="I41" s="32"/>
      <c r="J41" s="73"/>
      <c r="K41" s="32"/>
      <c r="L41" s="32"/>
      <c r="M41" s="32"/>
      <c r="N41" s="32"/>
      <c r="O41" s="2"/>
      <c r="P41" s="2"/>
      <c r="Q41" s="32"/>
      <c r="R41" s="32"/>
      <c r="S41" s="32"/>
      <c r="T41" s="3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10"/>
      <c r="F42" s="10"/>
      <c r="G42" s="32"/>
      <c r="H42" s="32"/>
      <c r="I42" s="32"/>
      <c r="J42" s="73"/>
      <c r="K42" s="32"/>
      <c r="L42" s="32"/>
      <c r="M42" s="32"/>
      <c r="N42" s="32"/>
      <c r="O42" s="2"/>
      <c r="P42" s="2"/>
      <c r="Q42" s="32"/>
      <c r="R42" s="32"/>
      <c r="S42" s="32"/>
      <c r="T42" s="3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10"/>
      <c r="F43" s="10"/>
      <c r="G43" s="32"/>
      <c r="H43" s="32"/>
      <c r="I43" s="32"/>
      <c r="J43" s="73"/>
      <c r="K43" s="32"/>
      <c r="L43" s="32"/>
      <c r="M43" s="32"/>
      <c r="N43" s="32"/>
      <c r="O43" s="2"/>
      <c r="P43" s="2"/>
      <c r="Q43" s="32"/>
      <c r="R43" s="32"/>
      <c r="S43" s="32"/>
      <c r="T43" s="3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10"/>
      <c r="E44" s="10"/>
      <c r="F44" s="32"/>
      <c r="G44" s="69"/>
      <c r="H44" s="69"/>
      <c r="I44" s="69"/>
      <c r="J44" s="70"/>
      <c r="K44" s="69"/>
      <c r="L44" s="32"/>
      <c r="M44" s="32"/>
      <c r="N44" s="32"/>
      <c r="O44" s="2"/>
      <c r="P44" s="2"/>
      <c r="Q44" s="32"/>
      <c r="R44" s="32"/>
      <c r="S44" s="32"/>
      <c r="T44" s="3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2"/>
      <c r="E45" s="2"/>
      <c r="F45" s="32"/>
      <c r="G45" s="69"/>
      <c r="H45" s="69"/>
      <c r="I45" s="69"/>
      <c r="J45" s="75"/>
      <c r="K45" s="69"/>
      <c r="L45" s="69"/>
      <c r="M45" s="69"/>
      <c r="N45" s="32"/>
      <c r="O45" s="2"/>
      <c r="P45" s="2"/>
      <c r="Q45" s="32"/>
      <c r="R45" s="32"/>
      <c r="S45" s="32"/>
      <c r="T45" s="3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10"/>
      <c r="F46" s="10"/>
      <c r="G46" s="32"/>
      <c r="H46" s="32"/>
      <c r="I46" s="32"/>
      <c r="J46" s="73"/>
      <c r="K46" s="32"/>
      <c r="L46" s="32"/>
      <c r="M46" s="32"/>
      <c r="N46" s="32"/>
      <c r="O46" s="2"/>
      <c r="P46" s="2"/>
      <c r="Q46" s="32"/>
      <c r="R46" s="32"/>
      <c r="S46" s="32"/>
      <c r="T46" s="3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10"/>
      <c r="E47" s="10"/>
      <c r="F47" s="32"/>
      <c r="G47" s="32"/>
      <c r="H47" s="32"/>
      <c r="I47" s="32"/>
      <c r="J47" s="73"/>
      <c r="K47" s="32"/>
      <c r="L47" s="32"/>
      <c r="M47" s="32"/>
      <c r="N47" s="32"/>
      <c r="O47" s="2"/>
      <c r="P47" s="2"/>
      <c r="Q47" s="32"/>
      <c r="R47" s="32"/>
      <c r="S47" s="32"/>
      <c r="T47" s="3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10"/>
      <c r="F48" s="10"/>
      <c r="G48" s="32"/>
      <c r="H48" s="32"/>
      <c r="I48" s="32"/>
      <c r="J48" s="73"/>
      <c r="K48" s="32"/>
      <c r="L48" s="32"/>
      <c r="M48" s="32"/>
      <c r="N48" s="32"/>
      <c r="O48" s="2"/>
      <c r="P48" s="2"/>
      <c r="Q48" s="32"/>
      <c r="R48" s="32"/>
      <c r="S48" s="32"/>
      <c r="T48" s="3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10"/>
      <c r="F49" s="10"/>
      <c r="G49" s="32"/>
      <c r="H49" s="32"/>
      <c r="I49" s="32"/>
      <c r="J49" s="73"/>
      <c r="K49" s="32"/>
      <c r="L49" s="32"/>
      <c r="M49" s="32"/>
      <c r="N49" s="32"/>
      <c r="O49" s="2"/>
      <c r="P49" s="2"/>
      <c r="Q49" s="32"/>
      <c r="R49" s="32"/>
      <c r="S49" s="32"/>
      <c r="T49" s="3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10"/>
      <c r="F50" s="10"/>
      <c r="G50" s="32"/>
      <c r="H50" s="32"/>
      <c r="I50" s="32"/>
      <c r="J50" s="73"/>
      <c r="K50" s="32"/>
      <c r="L50" s="32"/>
      <c r="M50" s="32"/>
      <c r="N50" s="32"/>
      <c r="O50" s="2"/>
      <c r="P50" s="2"/>
      <c r="Q50" s="32"/>
      <c r="R50" s="32"/>
      <c r="S50" s="32"/>
      <c r="T50" s="3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10"/>
      <c r="F51" s="10"/>
      <c r="G51" s="32"/>
      <c r="H51" s="32"/>
      <c r="I51" s="32"/>
      <c r="J51" s="73"/>
      <c r="K51" s="32"/>
      <c r="L51" s="32"/>
      <c r="M51" s="32"/>
      <c r="N51" s="32"/>
      <c r="O51" s="2"/>
      <c r="P51" s="2"/>
      <c r="Q51" s="32"/>
      <c r="R51" s="32"/>
      <c r="S51" s="32"/>
      <c r="T51" s="3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10"/>
      <c r="E52" s="10"/>
      <c r="F52" s="32"/>
      <c r="G52" s="32"/>
      <c r="H52" s="32"/>
      <c r="I52" s="32"/>
      <c r="J52" s="73"/>
      <c r="K52" s="32"/>
      <c r="L52" s="32"/>
      <c r="M52" s="32"/>
      <c r="N52" s="32"/>
      <c r="O52" s="2"/>
      <c r="P52" s="2"/>
      <c r="Q52" s="32"/>
      <c r="R52" s="32"/>
      <c r="S52" s="32"/>
      <c r="T52" s="3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10"/>
      <c r="E53" s="10"/>
      <c r="F53" s="32"/>
      <c r="G53" s="32"/>
      <c r="H53" s="32"/>
      <c r="I53" s="32"/>
      <c r="J53" s="73"/>
      <c r="K53" s="32"/>
      <c r="L53" s="32"/>
      <c r="M53" s="32"/>
      <c r="N53" s="32"/>
      <c r="O53" s="2"/>
      <c r="P53" s="2"/>
      <c r="Q53" s="32"/>
      <c r="R53" s="32"/>
      <c r="S53" s="32"/>
      <c r="T53" s="3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10"/>
      <c r="F54" s="10"/>
      <c r="G54" s="32"/>
      <c r="H54" s="32"/>
      <c r="I54" s="32"/>
      <c r="J54" s="73"/>
      <c r="K54" s="32"/>
      <c r="L54" s="32"/>
      <c r="M54" s="32"/>
      <c r="N54" s="32"/>
      <c r="O54" s="2"/>
      <c r="P54" s="2"/>
      <c r="Q54" s="32"/>
      <c r="R54" s="32"/>
      <c r="S54" s="32"/>
      <c r="T54" s="3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10"/>
      <c r="F55" s="10"/>
      <c r="G55" s="32"/>
      <c r="H55" s="32"/>
      <c r="I55" s="32"/>
      <c r="J55" s="73"/>
      <c r="K55" s="32"/>
      <c r="L55" s="32"/>
      <c r="M55" s="32"/>
      <c r="N55" s="32"/>
      <c r="O55" s="2"/>
      <c r="P55" s="2"/>
      <c r="Q55" s="32"/>
      <c r="R55" s="32"/>
      <c r="S55" s="32"/>
      <c r="T55" s="3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2"/>
      <c r="E56" s="2"/>
      <c r="F56" s="32"/>
      <c r="G56" s="69"/>
      <c r="H56" s="69"/>
      <c r="I56" s="69"/>
      <c r="J56" s="75"/>
      <c r="K56" s="69"/>
      <c r="L56" s="69"/>
      <c r="M56" s="69"/>
      <c r="N56" s="32"/>
      <c r="O56" s="2"/>
      <c r="P56" s="2"/>
      <c r="Q56" s="32"/>
      <c r="R56" s="32"/>
      <c r="S56" s="32"/>
      <c r="T56" s="3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10"/>
      <c r="F57" s="10"/>
      <c r="G57" s="32"/>
      <c r="H57" s="32"/>
      <c r="I57" s="69"/>
      <c r="J57" s="70"/>
      <c r="K57" s="69"/>
      <c r="L57" s="69"/>
      <c r="M57" s="69"/>
      <c r="N57" s="32"/>
      <c r="O57" s="2"/>
      <c r="P57" s="2"/>
      <c r="Q57" s="32"/>
      <c r="R57" s="32"/>
      <c r="S57" s="32"/>
      <c r="T57" s="3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10"/>
      <c r="F58" s="10"/>
      <c r="G58" s="32"/>
      <c r="H58" s="32"/>
      <c r="I58" s="32"/>
      <c r="J58" s="73"/>
      <c r="K58" s="32"/>
      <c r="L58" s="32"/>
      <c r="M58" s="32"/>
      <c r="N58" s="32"/>
      <c r="O58" s="2"/>
      <c r="P58" s="2"/>
      <c r="Q58" s="32"/>
      <c r="R58" s="32"/>
      <c r="S58" s="32"/>
      <c r="T58" s="3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10"/>
      <c r="F59" s="10"/>
      <c r="G59" s="32"/>
      <c r="H59" s="32"/>
      <c r="I59" s="32"/>
      <c r="J59" s="73"/>
      <c r="K59" s="32"/>
      <c r="L59" s="32"/>
      <c r="M59" s="32"/>
      <c r="N59" s="32"/>
      <c r="O59" s="2"/>
      <c r="P59" s="2"/>
      <c r="Q59" s="32"/>
      <c r="R59" s="32"/>
      <c r="S59" s="32"/>
      <c r="T59" s="3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2"/>
      <c r="E60" s="2"/>
      <c r="F60" s="32"/>
      <c r="G60" s="69"/>
      <c r="H60" s="69"/>
      <c r="I60" s="69"/>
      <c r="J60" s="75"/>
      <c r="K60" s="69"/>
      <c r="L60" s="69"/>
      <c r="M60" s="69"/>
      <c r="N60" s="32"/>
      <c r="O60" s="2"/>
      <c r="P60" s="2"/>
      <c r="Q60" s="32"/>
      <c r="R60" s="32"/>
      <c r="S60" s="32"/>
      <c r="T60" s="3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10"/>
      <c r="F61" s="10"/>
      <c r="G61" s="32"/>
      <c r="H61" s="32"/>
      <c r="I61" s="69"/>
      <c r="J61" s="73"/>
      <c r="K61" s="69"/>
      <c r="L61" s="32"/>
      <c r="M61" s="32"/>
      <c r="N61" s="32"/>
      <c r="O61" s="2"/>
      <c r="P61" s="2"/>
      <c r="Q61" s="32"/>
      <c r="R61" s="32"/>
      <c r="S61" s="32"/>
      <c r="T61" s="3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10"/>
      <c r="F62" s="10"/>
      <c r="G62" s="32"/>
      <c r="H62" s="32"/>
      <c r="I62" s="69"/>
      <c r="J62" s="70"/>
      <c r="K62" s="69"/>
      <c r="L62" s="69"/>
      <c r="M62" s="69"/>
      <c r="N62" s="32"/>
      <c r="O62" s="2"/>
      <c r="P62" s="2"/>
      <c r="Q62" s="32"/>
      <c r="R62" s="32"/>
      <c r="S62" s="32"/>
      <c r="T62" s="3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10"/>
      <c r="F63" s="10"/>
      <c r="G63" s="32"/>
      <c r="H63" s="32"/>
      <c r="I63" s="69"/>
      <c r="J63" s="70"/>
      <c r="K63" s="69"/>
      <c r="L63" s="69"/>
      <c r="M63" s="69"/>
      <c r="N63" s="32"/>
      <c r="O63" s="2"/>
      <c r="P63" s="2"/>
      <c r="Q63" s="32"/>
      <c r="R63" s="32"/>
      <c r="S63" s="32"/>
      <c r="T63" s="3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10"/>
      <c r="F64" s="10"/>
      <c r="G64" s="32"/>
      <c r="H64" s="32"/>
      <c r="I64" s="32"/>
      <c r="J64" s="73"/>
      <c r="K64" s="69"/>
      <c r="L64" s="69"/>
      <c r="M64" s="69"/>
      <c r="N64" s="32"/>
      <c r="O64" s="2"/>
      <c r="P64" s="2"/>
      <c r="Q64" s="32"/>
      <c r="R64" s="32"/>
      <c r="S64" s="32"/>
      <c r="T64" s="3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10"/>
      <c r="F65" s="10"/>
      <c r="G65" s="32"/>
      <c r="H65" s="32"/>
      <c r="I65" s="32"/>
      <c r="J65" s="73"/>
      <c r="K65" s="32"/>
      <c r="L65" s="32"/>
      <c r="M65" s="32"/>
      <c r="N65" s="32"/>
      <c r="O65" s="2"/>
      <c r="P65" s="2"/>
      <c r="Q65" s="32"/>
      <c r="R65" s="32"/>
      <c r="S65" s="32"/>
      <c r="T65" s="3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10"/>
      <c r="F66" s="10"/>
      <c r="G66" s="32"/>
      <c r="H66" s="32"/>
      <c r="I66" s="32"/>
      <c r="J66" s="73"/>
      <c r="K66" s="32"/>
      <c r="L66" s="32"/>
      <c r="M66" s="32"/>
      <c r="N66" s="32"/>
      <c r="O66" s="2"/>
      <c r="P66" s="2"/>
      <c r="Q66" s="32"/>
      <c r="R66" s="32"/>
      <c r="S66" s="32"/>
      <c r="T66" s="3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2"/>
      <c r="E67" s="2"/>
      <c r="F67" s="32"/>
      <c r="G67" s="69"/>
      <c r="H67" s="69"/>
      <c r="I67" s="69"/>
      <c r="J67" s="75"/>
      <c r="K67" s="69"/>
      <c r="L67" s="69"/>
      <c r="M67" s="69"/>
      <c r="N67" s="32"/>
      <c r="O67" s="2"/>
      <c r="P67" s="2"/>
      <c r="Q67" s="32"/>
      <c r="R67" s="32"/>
      <c r="S67" s="32"/>
      <c r="T67" s="3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10"/>
      <c r="F68" s="10"/>
      <c r="G68" s="32"/>
      <c r="H68" s="32"/>
      <c r="I68" s="69"/>
      <c r="J68" s="70"/>
      <c r="K68" s="69"/>
      <c r="L68" s="69"/>
      <c r="M68" s="69"/>
      <c r="N68" s="32"/>
      <c r="O68" s="2"/>
      <c r="P68" s="2"/>
      <c r="Q68" s="32"/>
      <c r="R68" s="32"/>
      <c r="S68" s="32"/>
      <c r="T68" s="3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10"/>
      <c r="F69" s="10"/>
      <c r="G69" s="32"/>
      <c r="H69" s="32"/>
      <c r="I69" s="69"/>
      <c r="J69" s="70"/>
      <c r="K69" s="69"/>
      <c r="L69" s="69"/>
      <c r="M69" s="69"/>
      <c r="N69" s="32"/>
      <c r="O69" s="2"/>
      <c r="P69" s="2"/>
      <c r="Q69" s="32"/>
      <c r="R69" s="32"/>
      <c r="S69" s="32"/>
      <c r="T69" s="3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10"/>
      <c r="F70" s="10"/>
      <c r="G70" s="32"/>
      <c r="H70" s="32"/>
      <c r="I70" s="32"/>
      <c r="J70" s="73"/>
      <c r="K70" s="69"/>
      <c r="L70" s="69"/>
      <c r="M70" s="69"/>
      <c r="N70" s="32"/>
      <c r="O70" s="2"/>
      <c r="P70" s="2"/>
      <c r="Q70" s="32"/>
      <c r="R70" s="32"/>
      <c r="S70" s="32"/>
      <c r="T70" s="3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10"/>
      <c r="F71" s="10"/>
      <c r="G71" s="32"/>
      <c r="H71" s="32"/>
      <c r="I71" s="32"/>
      <c r="J71" s="73"/>
      <c r="K71" s="32"/>
      <c r="L71" s="32"/>
      <c r="M71" s="32"/>
      <c r="N71" s="32"/>
      <c r="O71" s="2"/>
      <c r="P71" s="2"/>
      <c r="Q71" s="32"/>
      <c r="R71" s="32"/>
      <c r="S71" s="32"/>
      <c r="T71" s="3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10"/>
      <c r="F72" s="10"/>
      <c r="G72" s="32"/>
      <c r="H72" s="32"/>
      <c r="I72" s="32"/>
      <c r="J72" s="73"/>
      <c r="K72" s="32"/>
      <c r="L72" s="32"/>
      <c r="M72" s="32"/>
      <c r="N72" s="32"/>
      <c r="O72" s="2"/>
      <c r="P72" s="2"/>
      <c r="Q72" s="32"/>
      <c r="R72" s="32"/>
      <c r="S72" s="32"/>
      <c r="T72" s="3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2"/>
      <c r="E73" s="2"/>
      <c r="F73" s="32"/>
      <c r="G73" s="69"/>
      <c r="H73" s="69"/>
      <c r="I73" s="69"/>
      <c r="J73" s="75"/>
      <c r="K73" s="69"/>
      <c r="L73" s="69"/>
      <c r="M73" s="69"/>
      <c r="N73" s="32"/>
      <c r="O73" s="2"/>
      <c r="P73" s="2"/>
      <c r="Q73" s="32"/>
      <c r="R73" s="32"/>
      <c r="S73" s="32"/>
      <c r="T73" s="3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10"/>
      <c r="E74" s="10"/>
      <c r="F74" s="32"/>
      <c r="G74" s="32"/>
      <c r="H74" s="32"/>
      <c r="I74" s="32"/>
      <c r="J74" s="73"/>
      <c r="K74" s="32"/>
      <c r="L74" s="32"/>
      <c r="M74" s="32"/>
      <c r="N74" s="32"/>
      <c r="O74" s="2"/>
      <c r="P74" s="2"/>
      <c r="Q74" s="32"/>
      <c r="R74" s="32"/>
      <c r="S74" s="32"/>
      <c r="T74" s="3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10"/>
      <c r="E75" s="10"/>
      <c r="F75" s="32"/>
      <c r="G75" s="32"/>
      <c r="H75" s="32"/>
      <c r="I75" s="32"/>
      <c r="J75" s="73"/>
      <c r="K75" s="32"/>
      <c r="L75" s="32"/>
      <c r="M75" s="32"/>
      <c r="N75" s="32"/>
      <c r="O75" s="2"/>
      <c r="P75" s="2"/>
      <c r="Q75" s="32"/>
      <c r="R75" s="32"/>
      <c r="S75" s="32"/>
      <c r="T75" s="3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10"/>
      <c r="E76" s="10"/>
      <c r="F76" s="32"/>
      <c r="G76" s="32"/>
      <c r="H76" s="32"/>
      <c r="I76" s="32"/>
      <c r="J76" s="73"/>
      <c r="K76" s="32"/>
      <c r="L76" s="32"/>
      <c r="M76" s="32"/>
      <c r="N76" s="32"/>
      <c r="O76" s="2"/>
      <c r="P76" s="2"/>
      <c r="Q76" s="32"/>
      <c r="R76" s="32"/>
      <c r="S76" s="32"/>
      <c r="T76" s="3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10"/>
      <c r="F77" s="10"/>
      <c r="G77" s="32"/>
      <c r="H77" s="32"/>
      <c r="I77" s="69"/>
      <c r="J77" s="70"/>
      <c r="K77" s="69"/>
      <c r="L77" s="69"/>
      <c r="M77" s="69"/>
      <c r="N77" s="32"/>
      <c r="O77" s="2"/>
      <c r="P77" s="2"/>
      <c r="Q77" s="32"/>
      <c r="R77" s="32"/>
      <c r="S77" s="32"/>
      <c r="T77" s="3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10"/>
      <c r="F78" s="10"/>
      <c r="G78" s="32"/>
      <c r="H78" s="32"/>
      <c r="I78" s="69"/>
      <c r="J78" s="70"/>
      <c r="K78" s="69"/>
      <c r="L78" s="69"/>
      <c r="M78" s="69"/>
      <c r="N78" s="32"/>
      <c r="O78" s="2"/>
      <c r="P78" s="2"/>
      <c r="Q78" s="32"/>
      <c r="R78" s="32"/>
      <c r="S78" s="32"/>
      <c r="T78" s="3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10"/>
      <c r="F79" s="10"/>
      <c r="G79" s="32"/>
      <c r="H79" s="32"/>
      <c r="I79" s="32"/>
      <c r="J79" s="73"/>
      <c r="K79" s="32"/>
      <c r="L79" s="32"/>
      <c r="M79" s="32"/>
      <c r="N79" s="32"/>
      <c r="O79" s="2"/>
      <c r="P79" s="2"/>
      <c r="Q79" s="32"/>
      <c r="R79" s="32"/>
      <c r="S79" s="32"/>
      <c r="T79" s="3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10"/>
      <c r="F80" s="10"/>
      <c r="G80" s="32"/>
      <c r="H80" s="32"/>
      <c r="I80" s="32"/>
      <c r="J80" s="73"/>
      <c r="K80" s="32"/>
      <c r="L80" s="32"/>
      <c r="M80" s="32"/>
      <c r="N80" s="32"/>
      <c r="O80" s="2"/>
      <c r="P80" s="2"/>
      <c r="Q80" s="32"/>
      <c r="R80" s="32"/>
      <c r="S80" s="32"/>
      <c r="T80" s="3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2"/>
      <c r="E81" s="2"/>
      <c r="F81" s="32"/>
      <c r="G81" s="69"/>
      <c r="H81" s="69"/>
      <c r="I81" s="69"/>
      <c r="J81" s="75"/>
      <c r="K81" s="69"/>
      <c r="L81" s="69"/>
      <c r="M81" s="69"/>
      <c r="N81" s="32"/>
      <c r="O81" s="2"/>
      <c r="P81" s="2"/>
      <c r="Q81" s="32"/>
      <c r="R81" s="32"/>
      <c r="S81" s="32"/>
      <c r="T81" s="3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10"/>
      <c r="F82" s="10"/>
      <c r="G82" s="32"/>
      <c r="H82" s="32"/>
      <c r="I82" s="69"/>
      <c r="J82" s="70"/>
      <c r="K82" s="69"/>
      <c r="L82" s="69"/>
      <c r="M82" s="69"/>
      <c r="N82" s="32"/>
      <c r="O82" s="2"/>
      <c r="P82" s="2"/>
      <c r="Q82" s="32"/>
      <c r="R82" s="32"/>
      <c r="S82" s="32"/>
      <c r="T82" s="3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10"/>
      <c r="F83" s="10"/>
      <c r="G83" s="32"/>
      <c r="H83" s="32"/>
      <c r="I83" s="32"/>
      <c r="J83" s="73"/>
      <c r="K83" s="32"/>
      <c r="L83" s="32"/>
      <c r="M83" s="32"/>
      <c r="N83" s="32"/>
      <c r="O83" s="2"/>
      <c r="P83" s="2"/>
      <c r="Q83" s="32"/>
      <c r="R83" s="32"/>
      <c r="S83" s="32"/>
      <c r="T83" s="3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10"/>
      <c r="F84" s="10"/>
      <c r="G84" s="32"/>
      <c r="H84" s="32"/>
      <c r="I84" s="32"/>
      <c r="J84" s="73"/>
      <c r="K84" s="32"/>
      <c r="L84" s="32"/>
      <c r="M84" s="32"/>
      <c r="N84" s="32"/>
      <c r="O84" s="2"/>
      <c r="P84" s="2"/>
      <c r="Q84" s="32"/>
      <c r="R84" s="32"/>
      <c r="S84" s="32"/>
      <c r="T84" s="3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2"/>
      <c r="E85" s="2"/>
      <c r="F85" s="32"/>
      <c r="G85" s="69"/>
      <c r="H85" s="69"/>
      <c r="I85" s="69"/>
      <c r="J85" s="75"/>
      <c r="K85" s="69"/>
      <c r="L85" s="69"/>
      <c r="M85" s="69"/>
      <c r="N85" s="32"/>
      <c r="O85" s="2"/>
      <c r="P85" s="2"/>
      <c r="Q85" s="32"/>
      <c r="R85" s="32"/>
      <c r="S85" s="32"/>
      <c r="T85" s="3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10"/>
      <c r="F86" s="10"/>
      <c r="G86" s="32"/>
      <c r="H86" s="32"/>
      <c r="I86" s="69"/>
      <c r="J86" s="70"/>
      <c r="K86" s="69"/>
      <c r="L86" s="69"/>
      <c r="M86" s="69"/>
      <c r="N86" s="32"/>
      <c r="O86" s="2"/>
      <c r="P86" s="2"/>
      <c r="Q86" s="32"/>
      <c r="R86" s="32"/>
      <c r="S86" s="32"/>
      <c r="T86" s="3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10"/>
      <c r="F87" s="10"/>
      <c r="G87" s="32"/>
      <c r="H87" s="32"/>
      <c r="I87" s="32"/>
      <c r="J87" s="73"/>
      <c r="K87" s="32"/>
      <c r="L87" s="32"/>
      <c r="M87" s="32"/>
      <c r="N87" s="32"/>
      <c r="O87" s="2"/>
      <c r="P87" s="2"/>
      <c r="Q87" s="32"/>
      <c r="R87" s="32"/>
      <c r="S87" s="32"/>
      <c r="T87" s="3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10"/>
      <c r="F88" s="10"/>
      <c r="G88" s="32"/>
      <c r="H88" s="32"/>
      <c r="I88" s="32"/>
      <c r="J88" s="73"/>
      <c r="K88" s="32"/>
      <c r="L88" s="32"/>
      <c r="M88" s="32"/>
      <c r="N88" s="32"/>
      <c r="O88" s="2"/>
      <c r="P88" s="2"/>
      <c r="Q88" s="32"/>
      <c r="R88" s="32"/>
      <c r="S88" s="32"/>
      <c r="T88" s="3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10"/>
      <c r="F89" s="10"/>
      <c r="G89" s="32"/>
      <c r="H89" s="32"/>
      <c r="I89" s="69"/>
      <c r="J89" s="70"/>
      <c r="K89" s="69"/>
      <c r="L89" s="69"/>
      <c r="M89" s="69"/>
      <c r="N89" s="32"/>
      <c r="O89" s="2"/>
      <c r="P89" s="2"/>
      <c r="Q89" s="32"/>
      <c r="R89" s="32"/>
      <c r="S89" s="32"/>
      <c r="T89" s="3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10"/>
      <c r="F90" s="10"/>
      <c r="G90" s="32"/>
      <c r="H90" s="32"/>
      <c r="I90" s="32"/>
      <c r="J90" s="73"/>
      <c r="K90" s="32"/>
      <c r="L90" s="32"/>
      <c r="M90" s="32"/>
      <c r="N90" s="32"/>
      <c r="O90" s="2"/>
      <c r="P90" s="2"/>
      <c r="Q90" s="32"/>
      <c r="R90" s="32"/>
      <c r="S90" s="32"/>
      <c r="T90" s="3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10"/>
      <c r="F91" s="10"/>
      <c r="G91" s="32"/>
      <c r="H91" s="32"/>
      <c r="I91" s="32"/>
      <c r="J91" s="73"/>
      <c r="K91" s="32"/>
      <c r="L91" s="32"/>
      <c r="M91" s="32"/>
      <c r="N91" s="32"/>
      <c r="O91" s="2"/>
      <c r="P91" s="2"/>
      <c r="Q91" s="32"/>
      <c r="R91" s="32"/>
      <c r="S91" s="32"/>
      <c r="T91" s="3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2"/>
      <c r="E92" s="2"/>
      <c r="F92" s="32"/>
      <c r="G92" s="69"/>
      <c r="H92" s="69"/>
      <c r="I92" s="69"/>
      <c r="J92" s="75"/>
      <c r="K92" s="69"/>
      <c r="L92" s="69"/>
      <c r="M92" s="69"/>
      <c r="N92" s="32"/>
      <c r="O92" s="2"/>
      <c r="P92" s="2"/>
      <c r="Q92" s="32"/>
      <c r="R92" s="32"/>
      <c r="S92" s="32"/>
      <c r="T92" s="3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10"/>
      <c r="F93" s="10"/>
      <c r="G93" s="32"/>
      <c r="H93" s="32"/>
      <c r="I93" s="69"/>
      <c r="J93" s="70"/>
      <c r="K93" s="69"/>
      <c r="L93" s="69"/>
      <c r="M93" s="69"/>
      <c r="N93" s="32"/>
      <c r="O93" s="2"/>
      <c r="P93" s="2"/>
      <c r="Q93" s="32"/>
      <c r="R93" s="32"/>
      <c r="S93" s="32"/>
      <c r="T93" s="3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10"/>
      <c r="F94" s="10"/>
      <c r="G94" s="32"/>
      <c r="H94" s="32"/>
      <c r="I94" s="32"/>
      <c r="J94" s="73"/>
      <c r="K94" s="32"/>
      <c r="L94" s="32"/>
      <c r="M94" s="32"/>
      <c r="N94" s="32"/>
      <c r="O94" s="2"/>
      <c r="P94" s="2"/>
      <c r="Q94" s="32"/>
      <c r="R94" s="32"/>
      <c r="S94" s="32"/>
      <c r="T94" s="3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10"/>
      <c r="F95" s="10"/>
      <c r="G95" s="32"/>
      <c r="H95" s="32"/>
      <c r="I95" s="32"/>
      <c r="J95" s="73"/>
      <c r="K95" s="32"/>
      <c r="L95" s="32"/>
      <c r="M95" s="32"/>
      <c r="N95" s="32"/>
      <c r="O95" s="2"/>
      <c r="P95" s="2"/>
      <c r="Q95" s="32"/>
      <c r="R95" s="32"/>
      <c r="S95" s="32"/>
      <c r="T95" s="3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10"/>
      <c r="F96" s="10"/>
      <c r="G96" s="32"/>
      <c r="H96" s="32"/>
      <c r="I96" s="32"/>
      <c r="J96" s="73"/>
      <c r="K96" s="32"/>
      <c r="L96" s="32"/>
      <c r="M96" s="32"/>
      <c r="N96" s="32"/>
      <c r="O96" s="2"/>
      <c r="P96" s="2"/>
      <c r="Q96" s="32"/>
      <c r="R96" s="32"/>
      <c r="S96" s="32"/>
      <c r="T96" s="3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10"/>
      <c r="F97" s="10"/>
      <c r="G97" s="32"/>
      <c r="H97" s="32"/>
      <c r="I97" s="69"/>
      <c r="J97" s="70"/>
      <c r="K97" s="69"/>
      <c r="L97" s="69"/>
      <c r="M97" s="69"/>
      <c r="N97" s="32"/>
      <c r="O97" s="2"/>
      <c r="P97" s="2"/>
      <c r="Q97" s="32"/>
      <c r="R97" s="32"/>
      <c r="S97" s="32"/>
      <c r="T97" s="3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10"/>
      <c r="F98" s="10"/>
      <c r="G98" s="32"/>
      <c r="H98" s="32"/>
      <c r="I98" s="32"/>
      <c r="J98" s="73"/>
      <c r="K98" s="32"/>
      <c r="L98" s="32"/>
      <c r="M98" s="32"/>
      <c r="N98" s="32"/>
      <c r="O98" s="2"/>
      <c r="P98" s="2"/>
      <c r="Q98" s="32"/>
      <c r="R98" s="32"/>
      <c r="S98" s="32"/>
      <c r="T98" s="3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10"/>
      <c r="F99" s="10"/>
      <c r="G99" s="32"/>
      <c r="H99" s="32"/>
      <c r="I99" s="32"/>
      <c r="J99" s="73"/>
      <c r="K99" s="32"/>
      <c r="L99" s="32"/>
      <c r="M99" s="32"/>
      <c r="N99" s="32"/>
      <c r="O99" s="2"/>
      <c r="P99" s="2"/>
      <c r="Q99" s="32"/>
      <c r="R99" s="32"/>
      <c r="S99" s="32"/>
      <c r="T99" s="3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2"/>
      <c r="E100" s="2"/>
      <c r="F100" s="32"/>
      <c r="G100" s="69"/>
      <c r="H100" s="69"/>
      <c r="I100" s="69"/>
      <c r="J100" s="75"/>
      <c r="K100" s="69"/>
      <c r="L100" s="69"/>
      <c r="M100" s="69"/>
      <c r="N100" s="32"/>
      <c r="O100" s="2"/>
      <c r="P100" s="2"/>
      <c r="Q100" s="32"/>
      <c r="R100" s="32"/>
      <c r="S100" s="32"/>
      <c r="T100" s="3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10"/>
      <c r="F101" s="10"/>
      <c r="G101" s="32"/>
      <c r="H101" s="32"/>
      <c r="I101" s="32"/>
      <c r="J101" s="73"/>
      <c r="K101" s="69"/>
      <c r="L101" s="69"/>
      <c r="M101" s="69"/>
      <c r="N101" s="32"/>
      <c r="O101" s="2"/>
      <c r="P101" s="2"/>
      <c r="Q101" s="32"/>
      <c r="R101" s="32"/>
      <c r="S101" s="32"/>
      <c r="T101" s="3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10"/>
      <c r="F102" s="10"/>
      <c r="G102" s="32"/>
      <c r="H102" s="32"/>
      <c r="I102" s="32"/>
      <c r="J102" s="73"/>
      <c r="K102" s="32"/>
      <c r="L102" s="32"/>
      <c r="M102" s="32"/>
      <c r="N102" s="32"/>
      <c r="O102" s="2"/>
      <c r="P102" s="2"/>
      <c r="Q102" s="32"/>
      <c r="R102" s="32"/>
      <c r="S102" s="32"/>
      <c r="T102" s="3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10"/>
      <c r="F103" s="10"/>
      <c r="G103" s="32"/>
      <c r="H103" s="32"/>
      <c r="I103" s="32"/>
      <c r="J103" s="73"/>
      <c r="K103" s="32"/>
      <c r="L103" s="32"/>
      <c r="M103" s="32"/>
      <c r="N103" s="32"/>
      <c r="O103" s="2"/>
      <c r="P103" s="2"/>
      <c r="Q103" s="32"/>
      <c r="R103" s="32"/>
      <c r="S103" s="32"/>
      <c r="T103" s="3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10"/>
      <c r="F104" s="10"/>
      <c r="G104" s="32"/>
      <c r="H104" s="32"/>
      <c r="I104" s="32"/>
      <c r="J104" s="73"/>
      <c r="K104" s="32"/>
      <c r="L104" s="32"/>
      <c r="M104" s="32"/>
      <c r="N104" s="32"/>
      <c r="O104" s="2"/>
      <c r="P104" s="2"/>
      <c r="Q104" s="32"/>
      <c r="R104" s="32"/>
      <c r="S104" s="32"/>
      <c r="T104" s="3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10"/>
      <c r="F105" s="10"/>
      <c r="G105" s="32"/>
      <c r="H105" s="32"/>
      <c r="I105" s="32"/>
      <c r="J105" s="73"/>
      <c r="K105" s="32"/>
      <c r="L105" s="32"/>
      <c r="M105" s="32"/>
      <c r="N105" s="32"/>
      <c r="O105" s="2"/>
      <c r="P105" s="2"/>
      <c r="Q105" s="32"/>
      <c r="R105" s="32"/>
      <c r="S105" s="32"/>
      <c r="T105" s="3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10"/>
      <c r="F106" s="10"/>
      <c r="G106" s="32"/>
      <c r="H106" s="32"/>
      <c r="I106" s="32"/>
      <c r="J106" s="73"/>
      <c r="K106" s="32"/>
      <c r="L106" s="32"/>
      <c r="M106" s="32"/>
      <c r="N106" s="32"/>
      <c r="O106" s="2"/>
      <c r="P106" s="2"/>
      <c r="Q106" s="32"/>
      <c r="R106" s="32"/>
      <c r="S106" s="32"/>
      <c r="T106" s="3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10"/>
      <c r="F107" s="10"/>
      <c r="G107" s="32"/>
      <c r="H107" s="32"/>
      <c r="I107" s="32"/>
      <c r="J107" s="73"/>
      <c r="K107" s="32"/>
      <c r="L107" s="32"/>
      <c r="M107" s="32"/>
      <c r="N107" s="32"/>
      <c r="O107" s="2"/>
      <c r="P107" s="2"/>
      <c r="Q107" s="32"/>
      <c r="R107" s="32"/>
      <c r="S107" s="32"/>
      <c r="T107" s="3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10"/>
      <c r="F108" s="10"/>
      <c r="G108" s="32"/>
      <c r="H108" s="32"/>
      <c r="I108" s="32"/>
      <c r="J108" s="70"/>
      <c r="K108" s="69"/>
      <c r="L108" s="69"/>
      <c r="M108" s="69"/>
      <c r="N108" s="32"/>
      <c r="O108" s="2"/>
      <c r="P108" s="2"/>
      <c r="Q108" s="32"/>
      <c r="R108" s="32"/>
      <c r="S108" s="32"/>
      <c r="T108" s="3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10"/>
      <c r="F109" s="10"/>
      <c r="G109" s="32"/>
      <c r="H109" s="32"/>
      <c r="I109" s="32"/>
      <c r="J109" s="73"/>
      <c r="K109" s="69"/>
      <c r="L109" s="69"/>
      <c r="M109" s="69"/>
      <c r="N109" s="32"/>
      <c r="O109" s="2"/>
      <c r="P109" s="2"/>
      <c r="Q109" s="32"/>
      <c r="R109" s="32"/>
      <c r="S109" s="32"/>
      <c r="T109" s="3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10"/>
      <c r="F110" s="10"/>
      <c r="G110" s="32"/>
      <c r="H110" s="32"/>
      <c r="I110" s="32"/>
      <c r="J110" s="73"/>
      <c r="K110" s="32"/>
      <c r="L110" s="32"/>
      <c r="M110" s="32"/>
      <c r="N110" s="32"/>
      <c r="O110" s="2"/>
      <c r="P110" s="2"/>
      <c r="Q110" s="32"/>
      <c r="R110" s="32"/>
      <c r="S110" s="32"/>
      <c r="T110" s="3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10"/>
      <c r="F111" s="10"/>
      <c r="G111" s="32"/>
      <c r="H111" s="32"/>
      <c r="I111" s="32"/>
      <c r="J111" s="70"/>
      <c r="K111" s="69"/>
      <c r="L111" s="69"/>
      <c r="M111" s="69"/>
      <c r="N111" s="32"/>
      <c r="O111" s="2"/>
      <c r="P111" s="2"/>
      <c r="Q111" s="32"/>
      <c r="R111" s="32"/>
      <c r="S111" s="32"/>
      <c r="T111" s="3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10"/>
      <c r="F112" s="10"/>
      <c r="G112" s="32"/>
      <c r="H112" s="32"/>
      <c r="I112" s="32"/>
      <c r="J112" s="73"/>
      <c r="K112" s="32"/>
      <c r="L112" s="32"/>
      <c r="M112" s="32"/>
      <c r="N112" s="32"/>
      <c r="O112" s="2"/>
      <c r="P112" s="2"/>
      <c r="Q112" s="32"/>
      <c r="R112" s="32"/>
      <c r="S112" s="32"/>
      <c r="T112" s="3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10"/>
      <c r="F113" s="10"/>
      <c r="G113" s="32"/>
      <c r="H113" s="32"/>
      <c r="I113" s="32"/>
      <c r="J113" s="73"/>
      <c r="K113" s="69"/>
      <c r="L113" s="69"/>
      <c r="M113" s="69"/>
      <c r="N113" s="32"/>
      <c r="O113" s="2"/>
      <c r="P113" s="2"/>
      <c r="Q113" s="32"/>
      <c r="R113" s="32"/>
      <c r="S113" s="32"/>
      <c r="T113" s="3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10"/>
      <c r="E114" s="10"/>
      <c r="F114" s="32"/>
      <c r="G114" s="69"/>
      <c r="H114" s="69"/>
      <c r="I114" s="32"/>
      <c r="J114" s="75"/>
      <c r="K114" s="32"/>
      <c r="L114" s="32"/>
      <c r="M114" s="32"/>
      <c r="N114" s="32"/>
      <c r="O114" s="2"/>
      <c r="P114" s="2"/>
      <c r="Q114" s="32"/>
      <c r="R114" s="32"/>
      <c r="S114" s="32"/>
      <c r="T114" s="3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10"/>
      <c r="F115" s="10"/>
      <c r="G115" s="32"/>
      <c r="H115" s="32"/>
      <c r="I115" s="32"/>
      <c r="J115" s="73"/>
      <c r="K115" s="32"/>
      <c r="L115" s="32"/>
      <c r="M115" s="32"/>
      <c r="N115" s="32"/>
      <c r="O115" s="2"/>
      <c r="P115" s="2"/>
      <c r="Q115" s="32"/>
      <c r="R115" s="32"/>
      <c r="S115" s="32"/>
      <c r="T115" s="3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10"/>
      <c r="E116" s="10"/>
      <c r="F116" s="32"/>
      <c r="G116" s="32"/>
      <c r="H116" s="32"/>
      <c r="I116" s="32"/>
      <c r="J116" s="70"/>
      <c r="K116" s="69"/>
      <c r="L116" s="69"/>
      <c r="M116" s="69"/>
      <c r="N116" s="32"/>
      <c r="O116" s="2"/>
      <c r="P116" s="2"/>
      <c r="Q116" s="32"/>
      <c r="R116" s="32"/>
      <c r="S116" s="32"/>
      <c r="T116" s="3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10"/>
      <c r="F117" s="10"/>
      <c r="G117" s="32"/>
      <c r="H117" s="32"/>
      <c r="I117" s="32"/>
      <c r="J117" s="70"/>
      <c r="K117" s="69"/>
      <c r="L117" s="69"/>
      <c r="M117" s="69"/>
      <c r="N117" s="32"/>
      <c r="O117" s="2"/>
      <c r="P117" s="2"/>
      <c r="Q117" s="32"/>
      <c r="R117" s="32"/>
      <c r="S117" s="32"/>
      <c r="T117" s="3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10"/>
      <c r="F118" s="10"/>
      <c r="G118" s="32"/>
      <c r="H118" s="32"/>
      <c r="I118" s="32"/>
      <c r="J118" s="70"/>
      <c r="K118" s="69"/>
      <c r="L118" s="69"/>
      <c r="M118" s="69"/>
      <c r="N118" s="32"/>
      <c r="O118" s="2"/>
      <c r="P118" s="2"/>
      <c r="Q118" s="32"/>
      <c r="R118" s="32"/>
      <c r="S118" s="32"/>
      <c r="T118" s="3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10"/>
      <c r="E119" s="10"/>
      <c r="F119" s="32"/>
      <c r="G119" s="32"/>
      <c r="H119" s="32"/>
      <c r="I119" s="32"/>
      <c r="J119" s="70"/>
      <c r="K119" s="69"/>
      <c r="L119" s="32"/>
      <c r="M119" s="32"/>
      <c r="N119" s="32"/>
      <c r="O119" s="2"/>
      <c r="P119" s="2"/>
      <c r="Q119" s="32"/>
      <c r="R119" s="32"/>
      <c r="S119" s="32"/>
      <c r="T119" s="3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10"/>
      <c r="F120" s="10"/>
      <c r="G120" s="32"/>
      <c r="H120" s="32"/>
      <c r="I120" s="32"/>
      <c r="J120" s="70"/>
      <c r="K120" s="69"/>
      <c r="L120" s="32"/>
      <c r="M120" s="32"/>
      <c r="N120" s="32"/>
      <c r="O120" s="2"/>
      <c r="P120" s="2"/>
      <c r="Q120" s="32"/>
      <c r="R120" s="32"/>
      <c r="S120" s="32"/>
      <c r="T120" s="3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10"/>
      <c r="F121" s="10"/>
      <c r="G121" s="32"/>
      <c r="H121" s="32"/>
      <c r="I121" s="32"/>
      <c r="J121" s="73"/>
      <c r="K121" s="32"/>
      <c r="L121" s="32"/>
      <c r="M121" s="32"/>
      <c r="N121" s="32"/>
      <c r="O121" s="2"/>
      <c r="P121" s="2"/>
      <c r="Q121" s="32"/>
      <c r="R121" s="32"/>
      <c r="S121" s="32"/>
      <c r="T121" s="3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10"/>
      <c r="F122" s="10"/>
      <c r="G122" s="32"/>
      <c r="H122" s="32"/>
      <c r="I122" s="32"/>
      <c r="J122" s="70"/>
      <c r="K122" s="69"/>
      <c r="L122" s="69"/>
      <c r="M122" s="69"/>
      <c r="N122" s="32"/>
      <c r="O122" s="2"/>
      <c r="P122" s="2"/>
      <c r="Q122" s="32"/>
      <c r="R122" s="32"/>
      <c r="S122" s="32"/>
      <c r="T122" s="3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10"/>
      <c r="E123" s="10"/>
      <c r="F123" s="32"/>
      <c r="G123" s="32"/>
      <c r="H123" s="32"/>
      <c r="I123" s="32"/>
      <c r="J123" s="70"/>
      <c r="K123" s="69"/>
      <c r="L123" s="69"/>
      <c r="M123" s="69"/>
      <c r="N123" s="32"/>
      <c r="O123" s="2"/>
      <c r="P123" s="2"/>
      <c r="Q123" s="32"/>
      <c r="R123" s="32"/>
      <c r="S123" s="32"/>
      <c r="T123" s="3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10"/>
      <c r="F124" s="10"/>
      <c r="G124" s="32"/>
      <c r="H124" s="32"/>
      <c r="I124" s="32"/>
      <c r="J124" s="70"/>
      <c r="K124" s="69"/>
      <c r="L124" s="69"/>
      <c r="M124" s="69"/>
      <c r="N124" s="32"/>
      <c r="O124" s="2"/>
      <c r="P124" s="2"/>
      <c r="Q124" s="32"/>
      <c r="R124" s="32"/>
      <c r="S124" s="32"/>
      <c r="T124" s="3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10"/>
      <c r="F125" s="10"/>
      <c r="G125" s="32"/>
      <c r="H125" s="32"/>
      <c r="I125" s="32"/>
      <c r="J125" s="70"/>
      <c r="K125" s="69"/>
      <c r="L125" s="32"/>
      <c r="M125" s="32"/>
      <c r="N125" s="32"/>
      <c r="O125" s="2"/>
      <c r="P125" s="2"/>
      <c r="Q125" s="32"/>
      <c r="R125" s="32"/>
      <c r="S125" s="32"/>
      <c r="T125" s="3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10"/>
      <c r="F126" s="10"/>
      <c r="G126" s="32"/>
      <c r="H126" s="32"/>
      <c r="I126" s="32"/>
      <c r="J126" s="73"/>
      <c r="K126" s="32"/>
      <c r="L126" s="32"/>
      <c r="M126" s="32"/>
      <c r="N126" s="32"/>
      <c r="O126" s="2"/>
      <c r="P126" s="2"/>
      <c r="Q126" s="32"/>
      <c r="R126" s="32"/>
      <c r="S126" s="32"/>
      <c r="T126" s="3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10"/>
      <c r="F127" s="10"/>
      <c r="G127" s="32"/>
      <c r="H127" s="32"/>
      <c r="I127" s="32"/>
      <c r="J127" s="73"/>
      <c r="K127" s="32"/>
      <c r="L127" s="32"/>
      <c r="M127" s="32"/>
      <c r="N127" s="32"/>
      <c r="O127" s="2"/>
      <c r="P127" s="2"/>
      <c r="Q127" s="32"/>
      <c r="R127" s="32"/>
      <c r="S127" s="32"/>
      <c r="T127" s="3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10"/>
      <c r="F128" s="10"/>
      <c r="G128" s="32"/>
      <c r="H128" s="32"/>
      <c r="I128" s="32"/>
      <c r="J128" s="73"/>
      <c r="K128" s="69"/>
      <c r="L128" s="69"/>
      <c r="M128" s="69"/>
      <c r="N128" s="32"/>
      <c r="O128" s="2"/>
      <c r="P128" s="2"/>
      <c r="Q128" s="32"/>
      <c r="R128" s="32"/>
      <c r="S128" s="32"/>
      <c r="T128" s="3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10"/>
      <c r="E129" s="10"/>
      <c r="F129" s="32"/>
      <c r="G129" s="69"/>
      <c r="H129" s="69"/>
      <c r="I129" s="32"/>
      <c r="J129" s="75"/>
      <c r="K129" s="32"/>
      <c r="L129" s="32"/>
      <c r="M129" s="32"/>
      <c r="N129" s="32"/>
      <c r="O129" s="2"/>
      <c r="P129" s="2"/>
      <c r="Q129" s="32"/>
      <c r="R129" s="32"/>
      <c r="S129" s="32"/>
      <c r="T129" s="3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10"/>
      <c r="E130" s="10"/>
      <c r="F130" s="32"/>
      <c r="G130" s="32"/>
      <c r="H130" s="32"/>
      <c r="I130" s="32"/>
      <c r="J130" s="70"/>
      <c r="K130" s="69"/>
      <c r="L130" s="69"/>
      <c r="M130" s="69"/>
      <c r="N130" s="32"/>
      <c r="O130" s="2"/>
      <c r="P130" s="2"/>
      <c r="Q130" s="32"/>
      <c r="R130" s="32"/>
      <c r="S130" s="32"/>
      <c r="T130" s="3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10"/>
      <c r="F131" s="10"/>
      <c r="G131" s="32"/>
      <c r="H131" s="32"/>
      <c r="I131" s="32"/>
      <c r="J131" s="70"/>
      <c r="K131" s="69"/>
      <c r="L131" s="69"/>
      <c r="M131" s="69"/>
      <c r="N131" s="32"/>
      <c r="O131" s="2"/>
      <c r="P131" s="2"/>
      <c r="Q131" s="32"/>
      <c r="R131" s="32"/>
      <c r="S131" s="32"/>
      <c r="T131" s="3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10"/>
      <c r="F132" s="10"/>
      <c r="G132" s="32"/>
      <c r="H132" s="32"/>
      <c r="I132" s="32"/>
      <c r="J132" s="73"/>
      <c r="K132" s="32"/>
      <c r="L132" s="32"/>
      <c r="M132" s="32"/>
      <c r="N132" s="32"/>
      <c r="O132" s="2"/>
      <c r="P132" s="2"/>
      <c r="Q132" s="32"/>
      <c r="R132" s="32"/>
      <c r="S132" s="32"/>
      <c r="T132" s="3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10"/>
      <c r="F133" s="10"/>
      <c r="G133" s="32"/>
      <c r="H133" s="32"/>
      <c r="I133" s="32"/>
      <c r="J133" s="73"/>
      <c r="K133" s="69"/>
      <c r="L133" s="69"/>
      <c r="M133" s="69"/>
      <c r="N133" s="32"/>
      <c r="O133" s="2"/>
      <c r="P133" s="2"/>
      <c r="Q133" s="32"/>
      <c r="R133" s="32"/>
      <c r="S133" s="32"/>
      <c r="T133" s="3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10"/>
      <c r="E134" s="10"/>
      <c r="F134" s="32"/>
      <c r="G134" s="69"/>
      <c r="H134" s="69"/>
      <c r="I134" s="32"/>
      <c r="J134" s="75"/>
      <c r="K134" s="32"/>
      <c r="L134" s="32"/>
      <c r="M134" s="32"/>
      <c r="N134" s="32"/>
      <c r="O134" s="2"/>
      <c r="P134" s="2"/>
      <c r="Q134" s="32"/>
      <c r="R134" s="32"/>
      <c r="S134" s="32"/>
      <c r="T134" s="3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2"/>
      <c r="E135" s="2"/>
      <c r="F135" s="32"/>
      <c r="G135" s="69"/>
      <c r="H135" s="69"/>
      <c r="I135" s="32"/>
      <c r="J135" s="75"/>
      <c r="K135" s="32"/>
      <c r="L135" s="32"/>
      <c r="M135" s="32"/>
      <c r="N135" s="32"/>
      <c r="O135" s="2"/>
      <c r="P135" s="2"/>
      <c r="Q135" s="32"/>
      <c r="R135" s="32"/>
      <c r="S135" s="32"/>
      <c r="T135" s="3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2"/>
      <c r="E136" s="2"/>
      <c r="F136" s="32"/>
      <c r="G136" s="69"/>
      <c r="H136" s="69"/>
      <c r="I136" s="32"/>
      <c r="J136" s="75"/>
      <c r="K136" s="32"/>
      <c r="L136" s="32"/>
      <c r="M136" s="32"/>
      <c r="N136" s="32"/>
      <c r="O136" s="2"/>
      <c r="P136" s="2"/>
      <c r="Q136" s="32"/>
      <c r="R136" s="32"/>
      <c r="S136" s="32"/>
      <c r="T136" s="3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10"/>
      <c r="F137" s="10"/>
      <c r="G137" s="69"/>
      <c r="H137" s="69"/>
      <c r="I137" s="32"/>
      <c r="J137" s="75"/>
      <c r="K137" s="32"/>
      <c r="L137" s="32"/>
      <c r="M137" s="32"/>
      <c r="N137" s="32"/>
      <c r="O137" s="2"/>
      <c r="P137" s="2"/>
      <c r="Q137" s="32"/>
      <c r="R137" s="32"/>
      <c r="S137" s="32"/>
      <c r="T137" s="3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10"/>
      <c r="F138" s="10"/>
      <c r="G138" s="32"/>
      <c r="H138" s="32"/>
      <c r="I138" s="32"/>
      <c r="J138" s="73"/>
      <c r="K138" s="32"/>
      <c r="L138" s="32"/>
      <c r="M138" s="32"/>
      <c r="N138" s="32"/>
      <c r="O138" s="2"/>
      <c r="P138" s="2"/>
      <c r="Q138" s="32"/>
      <c r="R138" s="32"/>
      <c r="S138" s="32"/>
      <c r="T138" s="3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10"/>
      <c r="F139" s="10"/>
      <c r="G139" s="69"/>
      <c r="H139" s="69"/>
      <c r="I139" s="32"/>
      <c r="J139" s="75"/>
      <c r="K139" s="32"/>
      <c r="L139" s="32"/>
      <c r="M139" s="32"/>
      <c r="N139" s="32"/>
      <c r="O139" s="2"/>
      <c r="P139" s="2"/>
      <c r="Q139" s="32"/>
      <c r="R139" s="32"/>
      <c r="S139" s="32"/>
      <c r="T139" s="3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10"/>
      <c r="F140" s="10"/>
      <c r="G140" s="32"/>
      <c r="H140" s="32"/>
      <c r="I140" s="32"/>
      <c r="J140" s="73"/>
      <c r="K140" s="32"/>
      <c r="L140" s="32"/>
      <c r="M140" s="32"/>
      <c r="N140" s="32"/>
      <c r="O140" s="2"/>
      <c r="P140" s="2"/>
      <c r="Q140" s="32"/>
      <c r="R140" s="32"/>
      <c r="S140" s="32"/>
      <c r="T140" s="3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10"/>
      <c r="F141" s="10"/>
      <c r="G141" s="69"/>
      <c r="H141" s="69"/>
      <c r="I141" s="32"/>
      <c r="J141" s="75"/>
      <c r="K141" s="32"/>
      <c r="L141" s="32"/>
      <c r="M141" s="32"/>
      <c r="N141" s="32"/>
      <c r="O141" s="2"/>
      <c r="P141" s="2"/>
      <c r="Q141" s="32"/>
      <c r="R141" s="32"/>
      <c r="S141" s="32"/>
      <c r="T141" s="3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10"/>
      <c r="F142" s="10"/>
      <c r="G142" s="69"/>
      <c r="H142" s="69"/>
      <c r="I142" s="32"/>
      <c r="J142" s="75"/>
      <c r="K142" s="32"/>
      <c r="L142" s="32"/>
      <c r="M142" s="32"/>
      <c r="N142" s="32"/>
      <c r="O142" s="2"/>
      <c r="P142" s="2"/>
      <c r="Q142" s="32"/>
      <c r="R142" s="32"/>
      <c r="S142" s="32"/>
      <c r="T142" s="3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10"/>
      <c r="F143" s="10"/>
      <c r="G143" s="32"/>
      <c r="H143" s="32"/>
      <c r="I143" s="32"/>
      <c r="J143" s="73"/>
      <c r="K143" s="32"/>
      <c r="L143" s="32"/>
      <c r="M143" s="32"/>
      <c r="N143" s="32"/>
      <c r="O143" s="2"/>
      <c r="P143" s="2"/>
      <c r="Q143" s="32"/>
      <c r="R143" s="32"/>
      <c r="S143" s="32"/>
      <c r="T143" s="3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10"/>
      <c r="F144" s="10"/>
      <c r="G144" s="32"/>
      <c r="H144" s="32"/>
      <c r="I144" s="32"/>
      <c r="J144" s="73"/>
      <c r="K144" s="69"/>
      <c r="L144" s="69"/>
      <c r="M144" s="69"/>
      <c r="N144" s="32"/>
      <c r="O144" s="2"/>
      <c r="P144" s="2"/>
      <c r="Q144" s="32"/>
      <c r="R144" s="32"/>
      <c r="S144" s="32"/>
      <c r="T144" s="3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10"/>
      <c r="F145" s="10"/>
      <c r="G145" s="69"/>
      <c r="H145" s="69"/>
      <c r="I145" s="32"/>
      <c r="J145" s="75"/>
      <c r="K145" s="32"/>
      <c r="L145" s="32"/>
      <c r="M145" s="32"/>
      <c r="N145" s="32"/>
      <c r="O145" s="2"/>
      <c r="P145" s="2"/>
      <c r="Q145" s="32"/>
      <c r="R145" s="32"/>
      <c r="S145" s="32"/>
      <c r="T145" s="3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10"/>
      <c r="F146" s="10"/>
      <c r="G146" s="32"/>
      <c r="H146" s="32"/>
      <c r="I146" s="32"/>
      <c r="J146" s="73"/>
      <c r="K146" s="69"/>
      <c r="L146" s="69"/>
      <c r="M146" s="69"/>
      <c r="N146" s="32"/>
      <c r="O146" s="2"/>
      <c r="P146" s="2"/>
      <c r="Q146" s="32"/>
      <c r="R146" s="32"/>
      <c r="S146" s="32"/>
      <c r="T146" s="3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10"/>
      <c r="F147" s="10"/>
      <c r="G147" s="69"/>
      <c r="H147" s="69"/>
      <c r="I147" s="32"/>
      <c r="J147" s="75"/>
      <c r="K147" s="32"/>
      <c r="L147" s="32"/>
      <c r="M147" s="32"/>
      <c r="N147" s="32"/>
      <c r="O147" s="2"/>
      <c r="P147" s="2"/>
      <c r="Q147" s="32"/>
      <c r="R147" s="32"/>
      <c r="S147" s="32"/>
      <c r="T147" s="3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10"/>
      <c r="F148" s="10"/>
      <c r="G148" s="32"/>
      <c r="H148" s="32"/>
      <c r="I148" s="32"/>
      <c r="J148" s="70"/>
      <c r="K148" s="69"/>
      <c r="L148" s="32"/>
      <c r="M148" s="32"/>
      <c r="N148" s="32"/>
      <c r="O148" s="2"/>
      <c r="P148" s="2"/>
      <c r="Q148" s="32"/>
      <c r="R148" s="32"/>
      <c r="S148" s="32"/>
      <c r="T148" s="3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10"/>
      <c r="F149" s="10"/>
      <c r="G149" s="32"/>
      <c r="H149" s="32"/>
      <c r="I149" s="32"/>
      <c r="J149" s="73"/>
      <c r="K149" s="32"/>
      <c r="L149" s="32"/>
      <c r="M149" s="32"/>
      <c r="N149" s="32"/>
      <c r="O149" s="2"/>
      <c r="P149" s="2"/>
      <c r="Q149" s="32"/>
      <c r="R149" s="32"/>
      <c r="S149" s="32"/>
      <c r="T149" s="3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10"/>
      <c r="F150" s="10"/>
      <c r="G150" s="32"/>
      <c r="H150" s="32"/>
      <c r="I150" s="32"/>
      <c r="J150" s="73"/>
      <c r="K150" s="32"/>
      <c r="L150" s="32"/>
      <c r="M150" s="32"/>
      <c r="N150" s="32"/>
      <c r="O150" s="2"/>
      <c r="P150" s="2"/>
      <c r="Q150" s="32"/>
      <c r="R150" s="32"/>
      <c r="S150" s="32"/>
      <c r="T150" s="3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10"/>
      <c r="F151" s="10"/>
      <c r="G151" s="32"/>
      <c r="H151" s="32"/>
      <c r="I151" s="32"/>
      <c r="J151" s="70"/>
      <c r="K151" s="69"/>
      <c r="L151" s="32"/>
      <c r="M151" s="32"/>
      <c r="N151" s="32"/>
      <c r="O151" s="2"/>
      <c r="P151" s="2"/>
      <c r="Q151" s="32"/>
      <c r="R151" s="32"/>
      <c r="S151" s="32"/>
      <c r="T151" s="3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2"/>
      <c r="E152" s="2"/>
      <c r="F152" s="32"/>
      <c r="G152" s="69"/>
      <c r="H152" s="69"/>
      <c r="I152" s="32"/>
      <c r="J152" s="75"/>
      <c r="K152" s="32"/>
      <c r="L152" s="32"/>
      <c r="M152" s="32"/>
      <c r="N152" s="32"/>
      <c r="O152" s="2"/>
      <c r="P152" s="2"/>
      <c r="Q152" s="32"/>
      <c r="R152" s="32"/>
      <c r="S152" s="32"/>
      <c r="T152" s="3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10"/>
      <c r="F153" s="10"/>
      <c r="G153" s="69"/>
      <c r="H153" s="69"/>
      <c r="I153" s="32"/>
      <c r="J153" s="75"/>
      <c r="K153" s="32"/>
      <c r="L153" s="32"/>
      <c r="M153" s="32"/>
      <c r="N153" s="32"/>
      <c r="O153" s="2"/>
      <c r="P153" s="2"/>
      <c r="Q153" s="32"/>
      <c r="R153" s="32"/>
      <c r="S153" s="32"/>
      <c r="T153" s="3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10"/>
      <c r="F154" s="10"/>
      <c r="G154" s="32"/>
      <c r="H154" s="32"/>
      <c r="I154" s="32"/>
      <c r="J154" s="70"/>
      <c r="K154" s="69"/>
      <c r="L154" s="69"/>
      <c r="M154" s="69"/>
      <c r="N154" s="32"/>
      <c r="O154" s="2"/>
      <c r="P154" s="2"/>
      <c r="Q154" s="32"/>
      <c r="R154" s="32"/>
      <c r="S154" s="32"/>
      <c r="T154" s="3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10"/>
      <c r="F155" s="10"/>
      <c r="G155" s="32"/>
      <c r="H155" s="32"/>
      <c r="I155" s="32"/>
      <c r="J155" s="73"/>
      <c r="K155" s="32"/>
      <c r="L155" s="32"/>
      <c r="M155" s="32"/>
      <c r="N155" s="32"/>
      <c r="O155" s="2"/>
      <c r="P155" s="2"/>
      <c r="Q155" s="32"/>
      <c r="R155" s="32"/>
      <c r="S155" s="32"/>
      <c r="T155" s="3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10"/>
      <c r="F156" s="10"/>
      <c r="G156" s="32"/>
      <c r="H156" s="32"/>
      <c r="I156" s="32"/>
      <c r="J156" s="73"/>
      <c r="K156" s="32"/>
      <c r="L156" s="32"/>
      <c r="M156" s="32"/>
      <c r="N156" s="32"/>
      <c r="O156" s="2"/>
      <c r="P156" s="2"/>
      <c r="Q156" s="32"/>
      <c r="R156" s="32"/>
      <c r="S156" s="32"/>
      <c r="T156" s="3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10"/>
      <c r="F157" s="10"/>
      <c r="G157" s="32"/>
      <c r="H157" s="32"/>
      <c r="I157" s="32"/>
      <c r="J157" s="73"/>
      <c r="K157" s="32"/>
      <c r="L157" s="32"/>
      <c r="M157" s="32"/>
      <c r="N157" s="32"/>
      <c r="O157" s="2"/>
      <c r="P157" s="2"/>
      <c r="Q157" s="32"/>
      <c r="R157" s="32"/>
      <c r="S157" s="32"/>
      <c r="T157" s="3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10"/>
      <c r="F158" s="10"/>
      <c r="G158" s="32"/>
      <c r="H158" s="32"/>
      <c r="I158" s="32"/>
      <c r="J158" s="73"/>
      <c r="K158" s="32"/>
      <c r="L158" s="32"/>
      <c r="M158" s="32"/>
      <c r="N158" s="32"/>
      <c r="O158" s="2"/>
      <c r="P158" s="2"/>
      <c r="Q158" s="32"/>
      <c r="R158" s="32"/>
      <c r="S158" s="32"/>
      <c r="T158" s="3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2"/>
      <c r="E159" s="2"/>
      <c r="F159" s="32"/>
      <c r="G159" s="69"/>
      <c r="H159" s="69"/>
      <c r="I159" s="32"/>
      <c r="J159" s="75"/>
      <c r="K159" s="32"/>
      <c r="L159" s="32"/>
      <c r="M159" s="32"/>
      <c r="N159" s="32"/>
      <c r="O159" s="2"/>
      <c r="P159" s="2"/>
      <c r="Q159" s="32"/>
      <c r="R159" s="32"/>
      <c r="S159" s="32"/>
      <c r="T159" s="3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2"/>
      <c r="E160" s="2"/>
      <c r="F160" s="32"/>
      <c r="G160" s="69"/>
      <c r="H160" s="69"/>
      <c r="I160" s="32"/>
      <c r="J160" s="75"/>
      <c r="K160" s="32"/>
      <c r="L160" s="32"/>
      <c r="M160" s="32"/>
      <c r="N160" s="32"/>
      <c r="O160" s="2"/>
      <c r="P160" s="2"/>
      <c r="Q160" s="32"/>
      <c r="R160" s="32"/>
      <c r="S160" s="32"/>
      <c r="T160" s="3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2"/>
      <c r="E161" s="2"/>
      <c r="F161" s="32"/>
      <c r="G161" s="69"/>
      <c r="H161" s="69"/>
      <c r="I161" s="32"/>
      <c r="J161" s="75"/>
      <c r="K161" s="32"/>
      <c r="L161" s="32"/>
      <c r="M161" s="32"/>
      <c r="N161" s="32"/>
      <c r="O161" s="2"/>
      <c r="P161" s="2"/>
      <c r="Q161" s="32"/>
      <c r="R161" s="32"/>
      <c r="S161" s="32"/>
      <c r="T161" s="3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10"/>
      <c r="F162" s="10"/>
      <c r="G162" s="32"/>
      <c r="H162" s="32"/>
      <c r="I162" s="32"/>
      <c r="J162" s="73"/>
      <c r="K162" s="69"/>
      <c r="L162" s="69"/>
      <c r="M162" s="69"/>
      <c r="N162" s="32"/>
      <c r="O162" s="2"/>
      <c r="P162" s="2"/>
      <c r="Q162" s="32"/>
      <c r="R162" s="32"/>
      <c r="S162" s="32"/>
      <c r="T162" s="3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10"/>
      <c r="F163" s="10"/>
      <c r="G163" s="32"/>
      <c r="H163" s="32"/>
      <c r="I163" s="32"/>
      <c r="J163" s="70"/>
      <c r="K163" s="69"/>
      <c r="L163" s="32"/>
      <c r="M163" s="32"/>
      <c r="N163" s="32"/>
      <c r="O163" s="2"/>
      <c r="P163" s="2"/>
      <c r="Q163" s="32"/>
      <c r="R163" s="32"/>
      <c r="S163" s="32"/>
      <c r="T163" s="3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2"/>
      <c r="E164" s="2"/>
      <c r="F164" s="32"/>
      <c r="G164" s="69"/>
      <c r="H164" s="69"/>
      <c r="I164" s="32"/>
      <c r="J164" s="75"/>
      <c r="K164" s="32"/>
      <c r="L164" s="32"/>
      <c r="M164" s="32"/>
      <c r="N164" s="32"/>
      <c r="O164" s="2"/>
      <c r="P164" s="2"/>
      <c r="Q164" s="32"/>
      <c r="R164" s="32"/>
      <c r="S164" s="32"/>
      <c r="T164" s="3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2"/>
      <c r="E165" s="2"/>
      <c r="F165" s="32"/>
      <c r="G165" s="69"/>
      <c r="H165" s="69"/>
      <c r="I165" s="32"/>
      <c r="J165" s="75"/>
      <c r="K165" s="32"/>
      <c r="L165" s="32"/>
      <c r="M165" s="32"/>
      <c r="N165" s="32"/>
      <c r="O165" s="2"/>
      <c r="P165" s="2"/>
      <c r="Q165" s="32"/>
      <c r="R165" s="32"/>
      <c r="S165" s="32"/>
      <c r="T165" s="3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10"/>
      <c r="F166" s="10"/>
      <c r="G166" s="32"/>
      <c r="H166" s="32"/>
      <c r="I166" s="32"/>
      <c r="J166" s="73"/>
      <c r="K166" s="32"/>
      <c r="L166" s="32"/>
      <c r="M166" s="32"/>
      <c r="N166" s="32"/>
      <c r="O166" s="2"/>
      <c r="P166" s="2"/>
      <c r="Q166" s="32"/>
      <c r="R166" s="32"/>
      <c r="S166" s="32"/>
      <c r="T166" s="3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10"/>
      <c r="F167" s="10"/>
      <c r="G167" s="32"/>
      <c r="H167" s="32"/>
      <c r="I167" s="32"/>
      <c r="J167" s="73"/>
      <c r="K167" s="32"/>
      <c r="L167" s="32"/>
      <c r="M167" s="32"/>
      <c r="N167" s="32"/>
      <c r="O167" s="2"/>
      <c r="P167" s="2"/>
      <c r="Q167" s="32"/>
      <c r="R167" s="32"/>
      <c r="S167" s="32"/>
      <c r="T167" s="3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10"/>
      <c r="F168" s="10"/>
      <c r="G168" s="32"/>
      <c r="H168" s="32"/>
      <c r="I168" s="32"/>
      <c r="J168" s="73"/>
      <c r="K168" s="32"/>
      <c r="L168" s="32"/>
      <c r="M168" s="32"/>
      <c r="N168" s="32"/>
      <c r="O168" s="2"/>
      <c r="P168" s="2"/>
      <c r="Q168" s="32"/>
      <c r="R168" s="32"/>
      <c r="S168" s="32"/>
      <c r="T168" s="3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2"/>
      <c r="E169" s="2"/>
      <c r="F169" s="32"/>
      <c r="G169" s="69"/>
      <c r="H169" s="69"/>
      <c r="I169" s="32"/>
      <c r="J169" s="75"/>
      <c r="K169" s="32"/>
      <c r="L169" s="32"/>
      <c r="M169" s="32"/>
      <c r="N169" s="32"/>
      <c r="O169" s="2"/>
      <c r="P169" s="2"/>
      <c r="Q169" s="32"/>
      <c r="R169" s="32"/>
      <c r="S169" s="32"/>
      <c r="T169" s="3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10"/>
      <c r="F170" s="10"/>
      <c r="G170" s="32"/>
      <c r="H170" s="32"/>
      <c r="I170" s="32"/>
      <c r="J170" s="73"/>
      <c r="K170" s="32"/>
      <c r="L170" s="32"/>
      <c r="M170" s="32"/>
      <c r="N170" s="32"/>
      <c r="O170" s="2"/>
      <c r="P170" s="2"/>
      <c r="Q170" s="32"/>
      <c r="R170" s="32"/>
      <c r="S170" s="32"/>
      <c r="T170" s="3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10"/>
      <c r="F171" s="10"/>
      <c r="G171" s="32"/>
      <c r="H171" s="32"/>
      <c r="I171" s="32"/>
      <c r="J171" s="73"/>
      <c r="K171" s="32"/>
      <c r="L171" s="32"/>
      <c r="M171" s="32"/>
      <c r="N171" s="32"/>
      <c r="O171" s="2"/>
      <c r="P171" s="2"/>
      <c r="Q171" s="32"/>
      <c r="R171" s="32"/>
      <c r="S171" s="32"/>
      <c r="T171" s="3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10"/>
      <c r="F172" s="10"/>
      <c r="G172" s="32"/>
      <c r="H172" s="32"/>
      <c r="I172" s="32"/>
      <c r="J172" s="73"/>
      <c r="K172" s="32"/>
      <c r="L172" s="32"/>
      <c r="M172" s="32"/>
      <c r="N172" s="32"/>
      <c r="O172" s="2"/>
      <c r="P172" s="2"/>
      <c r="Q172" s="32"/>
      <c r="R172" s="32"/>
      <c r="S172" s="32"/>
      <c r="T172" s="3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10"/>
      <c r="E173" s="10"/>
      <c r="F173" s="32"/>
      <c r="G173" s="32"/>
      <c r="H173" s="32"/>
      <c r="I173" s="32"/>
      <c r="J173" s="70"/>
      <c r="K173" s="69"/>
      <c r="L173" s="32"/>
      <c r="M173" s="32"/>
      <c r="N173" s="32"/>
      <c r="O173" s="2"/>
      <c r="P173" s="2"/>
      <c r="Q173" s="32"/>
      <c r="R173" s="32"/>
      <c r="S173" s="32"/>
      <c r="T173" s="3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10"/>
      <c r="F174" s="10"/>
      <c r="G174" s="32"/>
      <c r="H174" s="32"/>
      <c r="I174" s="32"/>
      <c r="J174" s="70"/>
      <c r="K174" s="69"/>
      <c r="L174" s="32"/>
      <c r="M174" s="32"/>
      <c r="N174" s="32"/>
      <c r="O174" s="2"/>
      <c r="P174" s="2"/>
      <c r="Q174" s="32"/>
      <c r="R174" s="32"/>
      <c r="S174" s="32"/>
      <c r="T174" s="3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2"/>
      <c r="E175" s="2"/>
      <c r="F175" s="32"/>
      <c r="G175" s="69"/>
      <c r="H175" s="69"/>
      <c r="I175" s="32"/>
      <c r="J175" s="70"/>
      <c r="K175" s="69"/>
      <c r="L175" s="32"/>
      <c r="M175" s="32"/>
      <c r="N175" s="32"/>
      <c r="O175" s="2"/>
      <c r="P175" s="2"/>
      <c r="Q175" s="32"/>
      <c r="R175" s="32"/>
      <c r="S175" s="32"/>
      <c r="T175" s="3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2"/>
      <c r="E176" s="2"/>
      <c r="F176" s="32"/>
      <c r="G176" s="69"/>
      <c r="H176" s="69"/>
      <c r="I176" s="32"/>
      <c r="J176" s="75"/>
      <c r="K176" s="32"/>
      <c r="L176" s="32"/>
      <c r="M176" s="32"/>
      <c r="N176" s="32"/>
      <c r="O176" s="2"/>
      <c r="P176" s="2"/>
      <c r="Q176" s="32"/>
      <c r="R176" s="32"/>
      <c r="S176" s="32"/>
      <c r="T176" s="3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2"/>
      <c r="E177" s="2"/>
      <c r="F177" s="32"/>
      <c r="G177" s="69"/>
      <c r="H177" s="69"/>
      <c r="I177" s="32"/>
      <c r="J177" s="75"/>
      <c r="K177" s="32"/>
      <c r="L177" s="32"/>
      <c r="M177" s="32"/>
      <c r="N177" s="32"/>
      <c r="O177" s="2"/>
      <c r="P177" s="2"/>
      <c r="Q177" s="32"/>
      <c r="R177" s="32"/>
      <c r="S177" s="32"/>
      <c r="T177" s="3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10"/>
      <c r="F178" s="10"/>
      <c r="G178" s="69"/>
      <c r="H178" s="69"/>
      <c r="I178" s="32"/>
      <c r="J178" s="75"/>
      <c r="K178" s="32"/>
      <c r="L178" s="32"/>
      <c r="M178" s="32"/>
      <c r="N178" s="32"/>
      <c r="O178" s="2"/>
      <c r="P178" s="2"/>
      <c r="Q178" s="32"/>
      <c r="R178" s="32"/>
      <c r="S178" s="32"/>
      <c r="T178" s="3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10"/>
      <c r="F179" s="10"/>
      <c r="G179" s="32"/>
      <c r="H179" s="32"/>
      <c r="I179" s="32"/>
      <c r="J179" s="73"/>
      <c r="K179" s="32"/>
      <c r="L179" s="32"/>
      <c r="M179" s="32"/>
      <c r="N179" s="32"/>
      <c r="O179" s="2"/>
      <c r="P179" s="2"/>
      <c r="Q179" s="32"/>
      <c r="R179" s="32"/>
      <c r="S179" s="32"/>
      <c r="T179" s="3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10"/>
      <c r="F180" s="10"/>
      <c r="G180" s="32"/>
      <c r="H180" s="32"/>
      <c r="I180" s="32"/>
      <c r="J180" s="73"/>
      <c r="K180" s="32"/>
      <c r="L180" s="32"/>
      <c r="M180" s="32"/>
      <c r="N180" s="32"/>
      <c r="O180" s="2"/>
      <c r="P180" s="2"/>
      <c r="Q180" s="32"/>
      <c r="R180" s="32"/>
      <c r="S180" s="32"/>
      <c r="T180" s="3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10"/>
      <c r="F181" s="10"/>
      <c r="G181" s="32"/>
      <c r="H181" s="32"/>
      <c r="I181" s="32"/>
      <c r="J181" s="73"/>
      <c r="K181" s="32"/>
      <c r="L181" s="32"/>
      <c r="M181" s="32"/>
      <c r="N181" s="32"/>
      <c r="O181" s="2"/>
      <c r="P181" s="2"/>
      <c r="Q181" s="32"/>
      <c r="R181" s="32"/>
      <c r="S181" s="32"/>
      <c r="T181" s="3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10"/>
      <c r="F182" s="10"/>
      <c r="G182" s="32"/>
      <c r="H182" s="32"/>
      <c r="I182" s="32"/>
      <c r="J182" s="73"/>
      <c r="K182" s="69"/>
      <c r="L182" s="69"/>
      <c r="M182" s="69"/>
      <c r="N182" s="32"/>
      <c r="O182" s="2"/>
      <c r="P182" s="2"/>
      <c r="Q182" s="32"/>
      <c r="R182" s="32"/>
      <c r="S182" s="32"/>
      <c r="T182" s="3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10"/>
      <c r="F183" s="10"/>
      <c r="G183" s="32"/>
      <c r="H183" s="32"/>
      <c r="I183" s="32"/>
      <c r="J183" s="73"/>
      <c r="K183" s="69"/>
      <c r="L183" s="69"/>
      <c r="M183" s="69"/>
      <c r="N183" s="32"/>
      <c r="O183" s="2"/>
      <c r="P183" s="2"/>
      <c r="Q183" s="32"/>
      <c r="R183" s="32"/>
      <c r="S183" s="32"/>
      <c r="T183" s="3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10"/>
      <c r="F184" s="10"/>
      <c r="G184" s="32"/>
      <c r="H184" s="32"/>
      <c r="I184" s="32"/>
      <c r="J184" s="73"/>
      <c r="K184" s="69"/>
      <c r="L184" s="69"/>
      <c r="M184" s="69"/>
      <c r="N184" s="32"/>
      <c r="O184" s="2"/>
      <c r="P184" s="2"/>
      <c r="Q184" s="32"/>
      <c r="R184" s="32"/>
      <c r="S184" s="32"/>
      <c r="T184" s="3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10"/>
      <c r="F185" s="10"/>
      <c r="G185" s="32"/>
      <c r="H185" s="32"/>
      <c r="I185" s="32"/>
      <c r="J185" s="73"/>
      <c r="K185" s="69"/>
      <c r="L185" s="69"/>
      <c r="M185" s="69"/>
      <c r="N185" s="32"/>
      <c r="O185" s="2"/>
      <c r="P185" s="2"/>
      <c r="Q185" s="32"/>
      <c r="R185" s="32"/>
      <c r="S185" s="32"/>
      <c r="T185" s="3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10"/>
      <c r="F186" s="10"/>
      <c r="G186" s="32"/>
      <c r="H186" s="32"/>
      <c r="I186" s="32"/>
      <c r="J186" s="73"/>
      <c r="K186" s="32"/>
      <c r="L186" s="32"/>
      <c r="M186" s="32"/>
      <c r="N186" s="32"/>
      <c r="O186" s="2"/>
      <c r="P186" s="2"/>
      <c r="Q186" s="32"/>
      <c r="R186" s="32"/>
      <c r="S186" s="32"/>
      <c r="T186" s="3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10"/>
      <c r="F187" s="10"/>
      <c r="G187" s="32"/>
      <c r="H187" s="32"/>
      <c r="I187" s="32"/>
      <c r="J187" s="73"/>
      <c r="K187" s="32"/>
      <c r="L187" s="32"/>
      <c r="M187" s="32"/>
      <c r="N187" s="32"/>
      <c r="O187" s="2"/>
      <c r="P187" s="2"/>
      <c r="Q187" s="32"/>
      <c r="R187" s="32"/>
      <c r="S187" s="32"/>
      <c r="T187" s="3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10"/>
      <c r="F188" s="10"/>
      <c r="G188" s="32"/>
      <c r="H188" s="32"/>
      <c r="I188" s="32"/>
      <c r="J188" s="73"/>
      <c r="K188" s="32"/>
      <c r="L188" s="32"/>
      <c r="M188" s="32"/>
      <c r="N188" s="32"/>
      <c r="O188" s="2"/>
      <c r="P188" s="2"/>
      <c r="Q188" s="32"/>
      <c r="R188" s="32"/>
      <c r="S188" s="32"/>
      <c r="T188" s="3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2"/>
      <c r="E189" s="2"/>
      <c r="F189" s="32"/>
      <c r="G189" s="69"/>
      <c r="H189" s="69"/>
      <c r="I189" s="32"/>
      <c r="J189" s="75"/>
      <c r="K189" s="32"/>
      <c r="L189" s="32"/>
      <c r="M189" s="32"/>
      <c r="N189" s="32"/>
      <c r="O189" s="2"/>
      <c r="P189" s="2"/>
      <c r="Q189" s="32"/>
      <c r="R189" s="32"/>
      <c r="S189" s="32"/>
      <c r="T189" s="3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2"/>
      <c r="E190" s="2"/>
      <c r="F190" s="32"/>
      <c r="G190" s="69"/>
      <c r="H190" s="69"/>
      <c r="I190" s="32"/>
      <c r="J190" s="75"/>
      <c r="K190" s="32"/>
      <c r="L190" s="32"/>
      <c r="M190" s="32"/>
      <c r="N190" s="32"/>
      <c r="O190" s="2"/>
      <c r="P190" s="2"/>
      <c r="Q190" s="32"/>
      <c r="R190" s="32"/>
      <c r="S190" s="32"/>
      <c r="T190" s="3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10"/>
      <c r="F191" s="10"/>
      <c r="G191" s="69"/>
      <c r="H191" s="69"/>
      <c r="I191" s="32"/>
      <c r="J191" s="75"/>
      <c r="K191" s="32"/>
      <c r="L191" s="32"/>
      <c r="M191" s="32"/>
      <c r="N191" s="32"/>
      <c r="O191" s="2"/>
      <c r="P191" s="2"/>
      <c r="Q191" s="32"/>
      <c r="R191" s="32"/>
      <c r="S191" s="32"/>
      <c r="T191" s="3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10"/>
      <c r="F192" s="10"/>
      <c r="G192" s="32"/>
      <c r="H192" s="32"/>
      <c r="I192" s="32"/>
      <c r="J192" s="73"/>
      <c r="K192" s="69"/>
      <c r="L192" s="69"/>
      <c r="M192" s="69"/>
      <c r="N192" s="32"/>
      <c r="O192" s="2"/>
      <c r="P192" s="2"/>
      <c r="Q192" s="32"/>
      <c r="R192" s="32"/>
      <c r="S192" s="32"/>
      <c r="T192" s="3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10"/>
      <c r="F193" s="10"/>
      <c r="G193" s="32"/>
      <c r="H193" s="32"/>
      <c r="I193" s="32"/>
      <c r="J193" s="73"/>
      <c r="K193" s="69"/>
      <c r="L193" s="69"/>
      <c r="M193" s="69"/>
      <c r="N193" s="32"/>
      <c r="O193" s="2"/>
      <c r="P193" s="2"/>
      <c r="Q193" s="32"/>
      <c r="R193" s="32"/>
      <c r="S193" s="32"/>
      <c r="T193" s="3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2"/>
      <c r="E194" s="2"/>
      <c r="F194" s="32"/>
      <c r="G194" s="69"/>
      <c r="H194" s="69"/>
      <c r="I194" s="32"/>
      <c r="J194" s="75"/>
      <c r="K194" s="32"/>
      <c r="L194" s="32"/>
      <c r="M194" s="32"/>
      <c r="N194" s="32"/>
      <c r="O194" s="2"/>
      <c r="P194" s="2"/>
      <c r="Q194" s="32"/>
      <c r="R194" s="32"/>
      <c r="S194" s="32"/>
      <c r="T194" s="3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2"/>
      <c r="E195" s="2"/>
      <c r="F195" s="32"/>
      <c r="G195" s="69"/>
      <c r="H195" s="69"/>
      <c r="I195" s="32"/>
      <c r="J195" s="75"/>
      <c r="K195" s="32"/>
      <c r="L195" s="32"/>
      <c r="M195" s="32"/>
      <c r="N195" s="32"/>
      <c r="O195" s="2"/>
      <c r="P195" s="2"/>
      <c r="Q195" s="32"/>
      <c r="R195" s="32"/>
      <c r="S195" s="32"/>
      <c r="T195" s="3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10"/>
      <c r="F196" s="10"/>
      <c r="G196" s="69"/>
      <c r="H196" s="69"/>
      <c r="I196" s="32"/>
      <c r="J196" s="75"/>
      <c r="K196" s="32"/>
      <c r="L196" s="32"/>
      <c r="M196" s="32"/>
      <c r="N196" s="32"/>
      <c r="O196" s="2"/>
      <c r="P196" s="2"/>
      <c r="Q196" s="32"/>
      <c r="R196" s="32"/>
      <c r="S196" s="32"/>
      <c r="T196" s="3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10"/>
      <c r="F197" s="10"/>
      <c r="G197" s="32"/>
      <c r="H197" s="32"/>
      <c r="I197" s="32"/>
      <c r="J197" s="73"/>
      <c r="K197" s="32"/>
      <c r="L197" s="32"/>
      <c r="M197" s="32"/>
      <c r="N197" s="32"/>
      <c r="O197" s="2"/>
      <c r="P197" s="2"/>
      <c r="Q197" s="32"/>
      <c r="R197" s="32"/>
      <c r="S197" s="32"/>
      <c r="T197" s="3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10"/>
      <c r="F198" s="10"/>
      <c r="G198" s="32"/>
      <c r="H198" s="32"/>
      <c r="I198" s="32"/>
      <c r="J198" s="73"/>
      <c r="K198" s="32"/>
      <c r="L198" s="32"/>
      <c r="M198" s="32"/>
      <c r="N198" s="32"/>
      <c r="O198" s="2"/>
      <c r="P198" s="2"/>
      <c r="Q198" s="32"/>
      <c r="R198" s="32"/>
      <c r="S198" s="32"/>
      <c r="T198" s="3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10"/>
      <c r="F199" s="10"/>
      <c r="G199" s="32"/>
      <c r="H199" s="32"/>
      <c r="I199" s="32"/>
      <c r="J199" s="73"/>
      <c r="K199" s="32"/>
      <c r="L199" s="32"/>
      <c r="M199" s="32"/>
      <c r="N199" s="32"/>
      <c r="O199" s="2"/>
      <c r="P199" s="2"/>
      <c r="Q199" s="32"/>
      <c r="R199" s="32"/>
      <c r="S199" s="32"/>
      <c r="T199" s="3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10"/>
      <c r="F200" s="10"/>
      <c r="G200" s="32"/>
      <c r="H200" s="32"/>
      <c r="I200" s="32"/>
      <c r="J200" s="73"/>
      <c r="K200" s="69"/>
      <c r="L200" s="69"/>
      <c r="M200" s="69"/>
      <c r="N200" s="32"/>
      <c r="O200" s="2"/>
      <c r="P200" s="2"/>
      <c r="Q200" s="32"/>
      <c r="R200" s="32"/>
      <c r="S200" s="32"/>
      <c r="T200" s="3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2"/>
      <c r="E201" s="2"/>
      <c r="F201" s="32"/>
      <c r="G201" s="69"/>
      <c r="H201" s="69"/>
      <c r="I201" s="32"/>
      <c r="J201" s="75"/>
      <c r="K201" s="32"/>
      <c r="L201" s="32"/>
      <c r="M201" s="32"/>
      <c r="N201" s="32"/>
      <c r="O201" s="2"/>
      <c r="P201" s="2"/>
      <c r="Q201" s="32"/>
      <c r="R201" s="32"/>
      <c r="S201" s="32"/>
      <c r="T201" s="3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2"/>
      <c r="E202" s="2"/>
      <c r="F202" s="32"/>
      <c r="G202" s="69"/>
      <c r="H202" s="69"/>
      <c r="I202" s="32"/>
      <c r="J202" s="75"/>
      <c r="K202" s="32"/>
      <c r="L202" s="32"/>
      <c r="M202" s="32"/>
      <c r="N202" s="32"/>
      <c r="O202" s="2"/>
      <c r="P202" s="2"/>
      <c r="Q202" s="32"/>
      <c r="R202" s="32"/>
      <c r="S202" s="32"/>
      <c r="T202" s="3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10"/>
      <c r="F203" s="10"/>
      <c r="G203" s="69"/>
      <c r="H203" s="69"/>
      <c r="I203" s="32"/>
      <c r="J203" s="75"/>
      <c r="K203" s="32"/>
      <c r="L203" s="32"/>
      <c r="M203" s="32"/>
      <c r="N203" s="32"/>
      <c r="O203" s="2"/>
      <c r="P203" s="2"/>
      <c r="Q203" s="32"/>
      <c r="R203" s="32"/>
      <c r="S203" s="32"/>
      <c r="T203" s="3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10"/>
      <c r="F204" s="10"/>
      <c r="G204" s="32"/>
      <c r="H204" s="32"/>
      <c r="I204" s="32"/>
      <c r="J204" s="75"/>
      <c r="K204" s="32"/>
      <c r="L204" s="32"/>
      <c r="M204" s="32"/>
      <c r="N204" s="32"/>
      <c r="O204" s="2"/>
      <c r="P204" s="2"/>
      <c r="Q204" s="32"/>
      <c r="R204" s="32"/>
      <c r="S204" s="32"/>
      <c r="T204" s="3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10"/>
      <c r="F205" s="10"/>
      <c r="G205" s="32"/>
      <c r="H205" s="32"/>
      <c r="I205" s="32"/>
      <c r="J205" s="73"/>
      <c r="K205" s="32"/>
      <c r="L205" s="76"/>
      <c r="M205" s="32"/>
      <c r="N205" s="32"/>
      <c r="O205" s="2"/>
      <c r="P205" s="2"/>
      <c r="Q205" s="32"/>
      <c r="R205" s="32"/>
      <c r="S205" s="32"/>
      <c r="T205" s="3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10"/>
      <c r="F206" s="10"/>
      <c r="G206" s="32"/>
      <c r="H206" s="32"/>
      <c r="I206" s="32"/>
      <c r="J206" s="73"/>
      <c r="K206" s="32"/>
      <c r="L206" s="76"/>
      <c r="M206" s="32"/>
      <c r="N206" s="32"/>
      <c r="O206" s="2"/>
      <c r="P206" s="2"/>
      <c r="Q206" s="32"/>
      <c r="R206" s="32"/>
      <c r="S206" s="32"/>
      <c r="T206" s="3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10"/>
      <c r="F207" s="10"/>
      <c r="G207" s="32"/>
      <c r="H207" s="32"/>
      <c r="I207" s="32"/>
      <c r="J207" s="73"/>
      <c r="K207" s="32"/>
      <c r="L207" s="76"/>
      <c r="M207" s="32"/>
      <c r="N207" s="32"/>
      <c r="O207" s="2"/>
      <c r="P207" s="2"/>
      <c r="Q207" s="32"/>
      <c r="R207" s="32"/>
      <c r="S207" s="32"/>
      <c r="T207" s="3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2"/>
      <c r="E208" s="2"/>
      <c r="F208" s="32"/>
      <c r="G208" s="69"/>
      <c r="H208" s="69"/>
      <c r="I208" s="32"/>
      <c r="J208" s="75"/>
      <c r="K208" s="32"/>
      <c r="L208" s="32"/>
      <c r="M208" s="32"/>
      <c r="N208" s="32"/>
      <c r="O208" s="2"/>
      <c r="P208" s="2"/>
      <c r="Q208" s="32"/>
      <c r="R208" s="32"/>
      <c r="S208" s="32"/>
      <c r="T208" s="3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2"/>
      <c r="E209" s="2"/>
      <c r="F209" s="32"/>
      <c r="G209" s="69"/>
      <c r="H209" s="69"/>
      <c r="I209" s="32"/>
      <c r="J209" s="75"/>
      <c r="K209" s="32"/>
      <c r="L209" s="32"/>
      <c r="M209" s="32"/>
      <c r="N209" s="32"/>
      <c r="O209" s="2"/>
      <c r="P209" s="2"/>
      <c r="Q209" s="32"/>
      <c r="R209" s="32"/>
      <c r="S209" s="32"/>
      <c r="T209" s="3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10"/>
      <c r="F210" s="10"/>
      <c r="G210" s="69"/>
      <c r="H210" s="69"/>
      <c r="I210" s="32"/>
      <c r="J210" s="75"/>
      <c r="K210" s="32"/>
      <c r="L210" s="32"/>
      <c r="M210" s="32"/>
      <c r="N210" s="32"/>
      <c r="O210" s="2"/>
      <c r="P210" s="2"/>
      <c r="Q210" s="32"/>
      <c r="R210" s="32"/>
      <c r="S210" s="32"/>
      <c r="T210" s="3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10"/>
      <c r="F211" s="10"/>
      <c r="G211" s="32"/>
      <c r="H211" s="32"/>
      <c r="I211" s="32"/>
      <c r="J211" s="73"/>
      <c r="K211" s="32"/>
      <c r="L211" s="32"/>
      <c r="M211" s="32"/>
      <c r="N211" s="32"/>
      <c r="O211" s="2"/>
      <c r="P211" s="2"/>
      <c r="Q211" s="32"/>
      <c r="R211" s="32"/>
      <c r="S211" s="32"/>
      <c r="T211" s="3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10"/>
      <c r="F212" s="10"/>
      <c r="G212" s="32"/>
      <c r="H212" s="32"/>
      <c r="I212" s="32"/>
      <c r="J212" s="73"/>
      <c r="K212" s="32"/>
      <c r="L212" s="32"/>
      <c r="M212" s="32"/>
      <c r="N212" s="32"/>
      <c r="O212" s="2"/>
      <c r="P212" s="2"/>
      <c r="Q212" s="32"/>
      <c r="R212" s="32"/>
      <c r="S212" s="32"/>
      <c r="T212" s="3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10"/>
      <c r="F213" s="10"/>
      <c r="G213" s="32"/>
      <c r="H213" s="32"/>
      <c r="I213" s="32"/>
      <c r="J213" s="73"/>
      <c r="K213" s="32"/>
      <c r="L213" s="76"/>
      <c r="M213" s="32"/>
      <c r="N213" s="32"/>
      <c r="O213" s="2"/>
      <c r="P213" s="2"/>
      <c r="Q213" s="32"/>
      <c r="R213" s="32"/>
      <c r="S213" s="32"/>
      <c r="T213" s="3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2"/>
      <c r="E214" s="2"/>
      <c r="F214" s="32"/>
      <c r="G214" s="69"/>
      <c r="H214" s="69"/>
      <c r="I214" s="32"/>
      <c r="J214" s="75"/>
      <c r="K214" s="32"/>
      <c r="L214" s="32"/>
      <c r="M214" s="32"/>
      <c r="N214" s="32"/>
      <c r="O214" s="2"/>
      <c r="P214" s="2"/>
      <c r="Q214" s="32"/>
      <c r="R214" s="32"/>
      <c r="S214" s="32"/>
      <c r="T214" s="3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2"/>
      <c r="E215" s="2"/>
      <c r="F215" s="32"/>
      <c r="G215" s="69"/>
      <c r="H215" s="69"/>
      <c r="I215" s="32"/>
      <c r="J215" s="75"/>
      <c r="K215" s="32"/>
      <c r="L215" s="32"/>
      <c r="M215" s="32"/>
      <c r="N215" s="32"/>
      <c r="O215" s="2"/>
      <c r="P215" s="2"/>
      <c r="Q215" s="32"/>
      <c r="R215" s="32"/>
      <c r="S215" s="32"/>
      <c r="T215" s="3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10"/>
      <c r="F216" s="10"/>
      <c r="G216" s="69"/>
      <c r="H216" s="69"/>
      <c r="I216" s="32"/>
      <c r="J216" s="75"/>
      <c r="K216" s="32"/>
      <c r="L216" s="32"/>
      <c r="M216" s="32"/>
      <c r="N216" s="32"/>
      <c r="O216" s="2"/>
      <c r="P216" s="2"/>
      <c r="Q216" s="32"/>
      <c r="R216" s="32"/>
      <c r="S216" s="32"/>
      <c r="T216" s="3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2"/>
      <c r="E217" s="2"/>
      <c r="F217" s="32"/>
      <c r="G217" s="32"/>
      <c r="H217" s="32"/>
      <c r="I217" s="32"/>
      <c r="J217" s="73"/>
      <c r="K217" s="32"/>
      <c r="L217" s="76"/>
      <c r="M217" s="32"/>
      <c r="N217" s="32"/>
      <c r="O217" s="2"/>
      <c r="P217" s="2"/>
      <c r="Q217" s="32"/>
      <c r="R217" s="32"/>
      <c r="S217" s="32"/>
      <c r="T217" s="3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10"/>
      <c r="F218" s="10"/>
      <c r="G218" s="32"/>
      <c r="H218" s="32"/>
      <c r="I218" s="32"/>
      <c r="J218" s="73"/>
      <c r="K218" s="32"/>
      <c r="L218" s="76"/>
      <c r="M218" s="32"/>
      <c r="N218" s="32"/>
      <c r="O218" s="2"/>
      <c r="P218" s="2"/>
      <c r="Q218" s="32"/>
      <c r="R218" s="32"/>
      <c r="S218" s="32"/>
      <c r="T218" s="3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10"/>
      <c r="F219" s="10"/>
      <c r="G219" s="32"/>
      <c r="H219" s="32"/>
      <c r="I219" s="32"/>
      <c r="J219" s="73"/>
      <c r="K219" s="32"/>
      <c r="L219" s="76"/>
      <c r="M219" s="32"/>
      <c r="N219" s="32"/>
      <c r="O219" s="2"/>
      <c r="P219" s="2"/>
      <c r="Q219" s="32"/>
      <c r="R219" s="32"/>
      <c r="S219" s="32"/>
      <c r="T219" s="3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10"/>
      <c r="F220" s="10"/>
      <c r="G220" s="32"/>
      <c r="H220" s="32"/>
      <c r="I220" s="32"/>
      <c r="J220" s="73"/>
      <c r="K220" s="32"/>
      <c r="L220" s="69"/>
      <c r="M220" s="32"/>
      <c r="N220" s="32"/>
      <c r="O220" s="2"/>
      <c r="P220" s="2"/>
      <c r="Q220" s="32"/>
      <c r="R220" s="32"/>
      <c r="S220" s="32"/>
      <c r="T220" s="3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10"/>
      <c r="F221" s="10"/>
      <c r="G221" s="32"/>
      <c r="H221" s="32"/>
      <c r="I221" s="32"/>
      <c r="J221" s="73"/>
      <c r="K221" s="32"/>
      <c r="L221" s="69"/>
      <c r="M221" s="32"/>
      <c r="N221" s="32"/>
      <c r="O221" s="2"/>
      <c r="P221" s="2"/>
      <c r="Q221" s="32"/>
      <c r="R221" s="32"/>
      <c r="S221" s="32"/>
      <c r="T221" s="3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2"/>
      <c r="E222" s="2"/>
      <c r="F222" s="32"/>
      <c r="G222" s="69"/>
      <c r="H222" s="69"/>
      <c r="I222" s="32"/>
      <c r="J222" s="75"/>
      <c r="K222" s="32"/>
      <c r="L222" s="32"/>
      <c r="M222" s="32"/>
      <c r="N222" s="32"/>
      <c r="O222" s="2"/>
      <c r="P222" s="2"/>
      <c r="Q222" s="32"/>
      <c r="R222" s="32"/>
      <c r="S222" s="32"/>
      <c r="T222" s="3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2"/>
      <c r="E223" s="2"/>
      <c r="F223" s="32"/>
      <c r="G223" s="69"/>
      <c r="H223" s="69"/>
      <c r="I223" s="32"/>
      <c r="J223" s="75"/>
      <c r="K223" s="32"/>
      <c r="L223" s="32"/>
      <c r="M223" s="32"/>
      <c r="N223" s="32"/>
      <c r="O223" s="2"/>
      <c r="P223" s="2"/>
      <c r="Q223" s="32"/>
      <c r="R223" s="32"/>
      <c r="S223" s="32"/>
      <c r="T223" s="3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2"/>
      <c r="E224" s="2"/>
      <c r="F224" s="32"/>
      <c r="G224" s="69"/>
      <c r="H224" s="69"/>
      <c r="I224" s="32"/>
      <c r="J224" s="75"/>
      <c r="K224" s="32"/>
      <c r="L224" s="32"/>
      <c r="M224" s="32"/>
      <c r="N224" s="32"/>
      <c r="O224" s="2"/>
      <c r="P224" s="2"/>
      <c r="Q224" s="32"/>
      <c r="R224" s="32"/>
      <c r="S224" s="32"/>
      <c r="T224" s="3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10"/>
      <c r="F225" s="10"/>
      <c r="G225" s="32"/>
      <c r="H225" s="32"/>
      <c r="I225" s="32"/>
      <c r="J225" s="73"/>
      <c r="K225" s="32"/>
      <c r="L225" s="32"/>
      <c r="M225" s="32"/>
      <c r="N225" s="32"/>
      <c r="O225" s="2"/>
      <c r="P225" s="2"/>
      <c r="Q225" s="32"/>
      <c r="R225" s="32"/>
      <c r="S225" s="32"/>
      <c r="T225" s="3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10"/>
      <c r="F226" s="10"/>
      <c r="G226" s="32"/>
      <c r="H226" s="32"/>
      <c r="I226" s="32"/>
      <c r="J226" s="73"/>
      <c r="K226" s="32"/>
      <c r="L226" s="32"/>
      <c r="M226" s="32"/>
      <c r="N226" s="32"/>
      <c r="O226" s="2"/>
      <c r="P226" s="2"/>
      <c r="Q226" s="32"/>
      <c r="R226" s="32"/>
      <c r="S226" s="32"/>
      <c r="T226" s="3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10"/>
      <c r="F227" s="10"/>
      <c r="G227" s="32"/>
      <c r="H227" s="32"/>
      <c r="I227" s="32"/>
      <c r="J227" s="73"/>
      <c r="K227" s="32"/>
      <c r="L227" s="76"/>
      <c r="M227" s="32"/>
      <c r="N227" s="32"/>
      <c r="O227" s="2"/>
      <c r="P227" s="2"/>
      <c r="Q227" s="32"/>
      <c r="R227" s="32"/>
      <c r="S227" s="32"/>
      <c r="T227" s="3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2"/>
      <c r="E228" s="2"/>
      <c r="F228" s="32"/>
      <c r="G228" s="69"/>
      <c r="H228" s="69"/>
      <c r="I228" s="32"/>
      <c r="J228" s="75"/>
      <c r="K228" s="32"/>
      <c r="L228" s="32"/>
      <c r="M228" s="32"/>
      <c r="N228" s="32"/>
      <c r="O228" s="2"/>
      <c r="P228" s="2"/>
      <c r="Q228" s="32"/>
      <c r="R228" s="32"/>
      <c r="S228" s="32"/>
      <c r="T228" s="3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2"/>
      <c r="E229" s="2"/>
      <c r="F229" s="32"/>
      <c r="G229" s="69"/>
      <c r="H229" s="69"/>
      <c r="I229" s="32"/>
      <c r="J229" s="75"/>
      <c r="K229" s="32"/>
      <c r="L229" s="32"/>
      <c r="M229" s="32"/>
      <c r="N229" s="32"/>
      <c r="O229" s="2"/>
      <c r="P229" s="2"/>
      <c r="Q229" s="32"/>
      <c r="R229" s="32"/>
      <c r="S229" s="32"/>
      <c r="T229" s="3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10"/>
      <c r="F230" s="10"/>
      <c r="G230" s="32"/>
      <c r="H230" s="32"/>
      <c r="I230" s="32"/>
      <c r="J230" s="73"/>
      <c r="K230" s="32"/>
      <c r="L230" s="69"/>
      <c r="M230" s="32"/>
      <c r="N230" s="32"/>
      <c r="O230" s="2"/>
      <c r="P230" s="2"/>
      <c r="Q230" s="32"/>
      <c r="R230" s="32"/>
      <c r="S230" s="32"/>
      <c r="T230" s="3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10"/>
      <c r="F231" s="10"/>
      <c r="G231" s="32"/>
      <c r="H231" s="32"/>
      <c r="I231" s="32"/>
      <c r="J231" s="73"/>
      <c r="K231" s="32"/>
      <c r="L231" s="69"/>
      <c r="M231" s="32"/>
      <c r="N231" s="32"/>
      <c r="O231" s="2"/>
      <c r="P231" s="2"/>
      <c r="Q231" s="32"/>
      <c r="R231" s="32"/>
      <c r="S231" s="32"/>
      <c r="T231" s="3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10"/>
      <c r="F232" s="10"/>
      <c r="G232" s="32"/>
      <c r="H232" s="32"/>
      <c r="I232" s="32"/>
      <c r="J232" s="73"/>
      <c r="K232" s="32"/>
      <c r="L232" s="69"/>
      <c r="M232" s="32"/>
      <c r="N232" s="32"/>
      <c r="O232" s="2"/>
      <c r="P232" s="2"/>
      <c r="Q232" s="32"/>
      <c r="R232" s="32"/>
      <c r="S232" s="32"/>
      <c r="T232" s="3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10"/>
      <c r="F233" s="10"/>
      <c r="G233" s="32"/>
      <c r="H233" s="32"/>
      <c r="I233" s="32"/>
      <c r="J233" s="73"/>
      <c r="K233" s="32"/>
      <c r="L233" s="76"/>
      <c r="M233" s="32"/>
      <c r="N233" s="32"/>
      <c r="O233" s="2"/>
      <c r="P233" s="2"/>
      <c r="Q233" s="32"/>
      <c r="R233" s="32"/>
      <c r="S233" s="32"/>
      <c r="T233" s="3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10"/>
      <c r="F234" s="10"/>
      <c r="G234" s="32"/>
      <c r="H234" s="32"/>
      <c r="I234" s="32"/>
      <c r="J234" s="73"/>
      <c r="K234" s="69"/>
      <c r="L234" s="69"/>
      <c r="M234" s="69"/>
      <c r="N234" s="32"/>
      <c r="O234" s="2"/>
      <c r="P234" s="2"/>
      <c r="Q234" s="32"/>
      <c r="R234" s="32"/>
      <c r="S234" s="32"/>
      <c r="T234" s="3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2"/>
      <c r="E235" s="2"/>
      <c r="F235" s="32"/>
      <c r="G235" s="69"/>
      <c r="H235" s="69"/>
      <c r="I235" s="32"/>
      <c r="J235" s="75"/>
      <c r="K235" s="32"/>
      <c r="L235" s="32"/>
      <c r="M235" s="32"/>
      <c r="N235" s="32"/>
      <c r="O235" s="2"/>
      <c r="P235" s="2"/>
      <c r="Q235" s="32"/>
      <c r="R235" s="32"/>
      <c r="S235" s="32"/>
      <c r="T235" s="3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10"/>
      <c r="F236" s="10"/>
      <c r="G236" s="32"/>
      <c r="H236" s="32"/>
      <c r="I236" s="32"/>
      <c r="J236" s="73"/>
      <c r="K236" s="32"/>
      <c r="L236" s="69"/>
      <c r="M236" s="32"/>
      <c r="N236" s="32"/>
      <c r="O236" s="2"/>
      <c r="P236" s="2"/>
      <c r="Q236" s="32"/>
      <c r="R236" s="32"/>
      <c r="S236" s="32"/>
      <c r="T236" s="3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10"/>
      <c r="F237" s="10"/>
      <c r="G237" s="32"/>
      <c r="H237" s="32"/>
      <c r="I237" s="32"/>
      <c r="J237" s="73"/>
      <c r="K237" s="32"/>
      <c r="L237" s="69"/>
      <c r="M237" s="32"/>
      <c r="N237" s="32"/>
      <c r="O237" s="2"/>
      <c r="P237" s="2"/>
      <c r="Q237" s="32"/>
      <c r="R237" s="32"/>
      <c r="S237" s="32"/>
      <c r="T237" s="3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10"/>
      <c r="F238" s="10"/>
      <c r="G238" s="32"/>
      <c r="H238" s="32"/>
      <c r="I238" s="32"/>
      <c r="J238" s="73"/>
      <c r="K238" s="32"/>
      <c r="L238" s="76"/>
      <c r="M238" s="32"/>
      <c r="N238" s="32"/>
      <c r="O238" s="2"/>
      <c r="P238" s="2"/>
      <c r="Q238" s="32"/>
      <c r="R238" s="32"/>
      <c r="S238" s="32"/>
      <c r="T238" s="3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10"/>
      <c r="F239" s="10"/>
      <c r="G239" s="32"/>
      <c r="H239" s="32"/>
      <c r="I239" s="32"/>
      <c r="J239" s="73"/>
      <c r="K239" s="69"/>
      <c r="L239" s="69"/>
      <c r="M239" s="69"/>
      <c r="N239" s="32"/>
      <c r="O239" s="2"/>
      <c r="P239" s="2"/>
      <c r="Q239" s="32"/>
      <c r="R239" s="32"/>
      <c r="S239" s="32"/>
      <c r="T239" s="3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2"/>
      <c r="E240" s="2"/>
      <c r="F240" s="32"/>
      <c r="G240" s="69"/>
      <c r="H240" s="69"/>
      <c r="I240" s="32"/>
      <c r="J240" s="75"/>
      <c r="K240" s="32"/>
      <c r="L240" s="32"/>
      <c r="M240" s="32"/>
      <c r="N240" s="32"/>
      <c r="O240" s="2"/>
      <c r="P240" s="2"/>
      <c r="Q240" s="32"/>
      <c r="R240" s="32"/>
      <c r="S240" s="32"/>
      <c r="T240" s="3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2"/>
      <c r="E241" s="2"/>
      <c r="F241" s="32"/>
      <c r="G241" s="69"/>
      <c r="H241" s="69"/>
      <c r="I241" s="32"/>
      <c r="J241" s="75"/>
      <c r="K241" s="32"/>
      <c r="L241" s="32"/>
      <c r="M241" s="32"/>
      <c r="N241" s="32"/>
      <c r="O241" s="2"/>
      <c r="P241" s="2"/>
      <c r="Q241" s="32"/>
      <c r="R241" s="32"/>
      <c r="S241" s="32"/>
      <c r="T241" s="3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2"/>
      <c r="E242" s="2"/>
      <c r="F242" s="32"/>
      <c r="G242" s="69"/>
      <c r="H242" s="69"/>
      <c r="I242" s="32"/>
      <c r="J242" s="75"/>
      <c r="K242" s="32"/>
      <c r="L242" s="32"/>
      <c r="M242" s="32"/>
      <c r="N242" s="32"/>
      <c r="O242" s="2"/>
      <c r="P242" s="2"/>
      <c r="Q242" s="32"/>
      <c r="R242" s="32"/>
      <c r="S242" s="32"/>
      <c r="T242" s="3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10"/>
      <c r="F243" s="10"/>
      <c r="G243" s="32"/>
      <c r="H243" s="32"/>
      <c r="I243" s="32"/>
      <c r="J243" s="73"/>
      <c r="K243" s="32"/>
      <c r="L243" s="69"/>
      <c r="M243" s="32"/>
      <c r="N243" s="32"/>
      <c r="O243" s="2"/>
      <c r="P243" s="2"/>
      <c r="Q243" s="32"/>
      <c r="R243" s="32"/>
      <c r="S243" s="32"/>
      <c r="T243" s="3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10"/>
      <c r="F244" s="10"/>
      <c r="G244" s="32"/>
      <c r="H244" s="32"/>
      <c r="I244" s="32"/>
      <c r="J244" s="73"/>
      <c r="K244" s="32"/>
      <c r="L244" s="69"/>
      <c r="M244" s="32"/>
      <c r="N244" s="32"/>
      <c r="O244" s="2"/>
      <c r="P244" s="2"/>
      <c r="Q244" s="32"/>
      <c r="R244" s="32"/>
      <c r="S244" s="32"/>
      <c r="T244" s="3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10"/>
      <c r="F245" s="10"/>
      <c r="G245" s="32"/>
      <c r="H245" s="32"/>
      <c r="I245" s="32"/>
      <c r="J245" s="73"/>
      <c r="K245" s="32"/>
      <c r="L245" s="69"/>
      <c r="M245" s="32"/>
      <c r="N245" s="32"/>
      <c r="O245" s="2"/>
      <c r="P245" s="2"/>
      <c r="Q245" s="32"/>
      <c r="R245" s="32"/>
      <c r="S245" s="32"/>
      <c r="T245" s="3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10"/>
      <c r="F246" s="10"/>
      <c r="G246" s="32"/>
      <c r="H246" s="32"/>
      <c r="I246" s="32"/>
      <c r="J246" s="73"/>
      <c r="K246" s="32"/>
      <c r="L246" s="76"/>
      <c r="M246" s="32"/>
      <c r="N246" s="32"/>
      <c r="O246" s="2"/>
      <c r="P246" s="2"/>
      <c r="Q246" s="32"/>
      <c r="R246" s="32"/>
      <c r="S246" s="32"/>
      <c r="T246" s="3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10"/>
      <c r="F247" s="10"/>
      <c r="G247" s="32"/>
      <c r="H247" s="32"/>
      <c r="I247" s="32"/>
      <c r="J247" s="73"/>
      <c r="K247" s="69"/>
      <c r="L247" s="69"/>
      <c r="M247" s="69"/>
      <c r="N247" s="32"/>
      <c r="O247" s="2"/>
      <c r="P247" s="2"/>
      <c r="Q247" s="32"/>
      <c r="R247" s="32"/>
      <c r="S247" s="32"/>
      <c r="T247" s="3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2"/>
      <c r="E248" s="2"/>
      <c r="F248" s="32"/>
      <c r="G248" s="69"/>
      <c r="H248" s="69"/>
      <c r="I248" s="32"/>
      <c r="J248" s="75"/>
      <c r="K248" s="32"/>
      <c r="L248" s="32"/>
      <c r="M248" s="32"/>
      <c r="N248" s="32"/>
      <c r="O248" s="2"/>
      <c r="P248" s="2"/>
      <c r="Q248" s="32"/>
      <c r="R248" s="32"/>
      <c r="S248" s="32"/>
      <c r="T248" s="3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2"/>
      <c r="E249" s="2"/>
      <c r="F249" s="32"/>
      <c r="G249" s="69"/>
      <c r="H249" s="69"/>
      <c r="I249" s="32"/>
      <c r="J249" s="75"/>
      <c r="K249" s="32"/>
      <c r="L249" s="32"/>
      <c r="M249" s="32"/>
      <c r="N249" s="32"/>
      <c r="O249" s="2"/>
      <c r="P249" s="2"/>
      <c r="Q249" s="32"/>
      <c r="R249" s="32"/>
      <c r="S249" s="32"/>
      <c r="T249" s="3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2"/>
      <c r="E250" s="2"/>
      <c r="F250" s="32"/>
      <c r="G250" s="69"/>
      <c r="H250" s="69"/>
      <c r="I250" s="32"/>
      <c r="J250" s="75"/>
      <c r="K250" s="32"/>
      <c r="L250" s="32"/>
      <c r="M250" s="32"/>
      <c r="N250" s="32"/>
      <c r="O250" s="2"/>
      <c r="P250" s="2"/>
      <c r="Q250" s="32"/>
      <c r="R250" s="32"/>
      <c r="S250" s="32"/>
      <c r="T250" s="3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2"/>
      <c r="E251" s="2"/>
      <c r="F251" s="32"/>
      <c r="G251" s="69"/>
      <c r="H251" s="69"/>
      <c r="I251" s="32"/>
      <c r="J251" s="70"/>
      <c r="K251" s="32"/>
      <c r="L251" s="32"/>
      <c r="M251" s="32"/>
      <c r="N251" s="32"/>
      <c r="O251" s="2"/>
      <c r="P251" s="2"/>
      <c r="Q251" s="32"/>
      <c r="R251" s="32"/>
      <c r="S251" s="32"/>
      <c r="T251" s="3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10"/>
      <c r="F252" s="10"/>
      <c r="G252" s="32"/>
      <c r="H252" s="32"/>
      <c r="I252" s="32"/>
      <c r="J252" s="73"/>
      <c r="K252" s="69"/>
      <c r="L252" s="69"/>
      <c r="M252" s="69"/>
      <c r="N252" s="32"/>
      <c r="O252" s="2"/>
      <c r="P252" s="2"/>
      <c r="Q252" s="32"/>
      <c r="R252" s="32"/>
      <c r="S252" s="32"/>
      <c r="T252" s="3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10"/>
      <c r="F253" s="10"/>
      <c r="G253" s="32"/>
      <c r="H253" s="32"/>
      <c r="I253" s="32"/>
      <c r="J253" s="73"/>
      <c r="K253" s="32"/>
      <c r="L253" s="69"/>
      <c r="M253" s="32"/>
      <c r="N253" s="32"/>
      <c r="O253" s="2"/>
      <c r="P253" s="2"/>
      <c r="Q253" s="32"/>
      <c r="R253" s="32"/>
      <c r="S253" s="32"/>
      <c r="T253" s="3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10"/>
      <c r="F254" s="10"/>
      <c r="G254" s="32"/>
      <c r="H254" s="32"/>
      <c r="I254" s="32"/>
      <c r="J254" s="73"/>
      <c r="K254" s="32"/>
      <c r="L254" s="69"/>
      <c r="M254" s="32"/>
      <c r="N254" s="32"/>
      <c r="O254" s="2"/>
      <c r="P254" s="2"/>
      <c r="Q254" s="32"/>
      <c r="R254" s="32"/>
      <c r="S254" s="32"/>
      <c r="T254" s="3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10"/>
      <c r="F255" s="10"/>
      <c r="G255" s="32"/>
      <c r="H255" s="32"/>
      <c r="I255" s="32"/>
      <c r="J255" s="73"/>
      <c r="K255" s="32"/>
      <c r="L255" s="69"/>
      <c r="M255" s="32"/>
      <c r="N255" s="32"/>
      <c r="O255" s="2"/>
      <c r="P255" s="2"/>
      <c r="Q255" s="32"/>
      <c r="R255" s="32"/>
      <c r="S255" s="32"/>
      <c r="T255" s="3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10"/>
      <c r="F256" s="10"/>
      <c r="G256" s="32"/>
      <c r="H256" s="32"/>
      <c r="I256" s="32"/>
      <c r="J256" s="73"/>
      <c r="K256" s="32"/>
      <c r="L256" s="69"/>
      <c r="M256" s="32"/>
      <c r="N256" s="32"/>
      <c r="O256" s="2"/>
      <c r="P256" s="2"/>
      <c r="Q256" s="32"/>
      <c r="R256" s="32"/>
      <c r="S256" s="32"/>
      <c r="T256" s="3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10"/>
      <c r="F257" s="10"/>
      <c r="G257" s="32"/>
      <c r="H257" s="32"/>
      <c r="I257" s="32"/>
      <c r="J257" s="73"/>
      <c r="K257" s="32"/>
      <c r="L257" s="69"/>
      <c r="M257" s="32"/>
      <c r="N257" s="32"/>
      <c r="O257" s="2"/>
      <c r="P257" s="2"/>
      <c r="Q257" s="32"/>
      <c r="R257" s="32"/>
      <c r="S257" s="32"/>
      <c r="T257" s="3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10"/>
      <c r="F258" s="10"/>
      <c r="G258" s="32"/>
      <c r="H258" s="32"/>
      <c r="I258" s="32"/>
      <c r="J258" s="73"/>
      <c r="K258" s="32"/>
      <c r="L258" s="69"/>
      <c r="M258" s="32"/>
      <c r="N258" s="32"/>
      <c r="O258" s="2"/>
      <c r="P258" s="2"/>
      <c r="Q258" s="32"/>
      <c r="R258" s="32"/>
      <c r="S258" s="32"/>
      <c r="T258" s="3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10"/>
      <c r="F259" s="10"/>
      <c r="G259" s="32"/>
      <c r="H259" s="32"/>
      <c r="I259" s="32"/>
      <c r="J259" s="73"/>
      <c r="K259" s="32"/>
      <c r="L259" s="32"/>
      <c r="M259" s="32"/>
      <c r="N259" s="32"/>
      <c r="O259" s="2"/>
      <c r="P259" s="2"/>
      <c r="Q259" s="32"/>
      <c r="R259" s="32"/>
      <c r="S259" s="32"/>
      <c r="T259" s="3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10"/>
      <c r="F260" s="10"/>
      <c r="G260" s="32"/>
      <c r="H260" s="32"/>
      <c r="I260" s="32"/>
      <c r="J260" s="73"/>
      <c r="K260" s="32"/>
      <c r="L260" s="32"/>
      <c r="M260" s="32"/>
      <c r="N260" s="32"/>
      <c r="O260" s="2"/>
      <c r="P260" s="2"/>
      <c r="Q260" s="32"/>
      <c r="R260" s="32"/>
      <c r="S260" s="32"/>
      <c r="T260" s="3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10"/>
      <c r="F261" s="10"/>
      <c r="G261" s="32"/>
      <c r="H261" s="32"/>
      <c r="I261" s="32"/>
      <c r="J261" s="73"/>
      <c r="K261" s="32"/>
      <c r="L261" s="32"/>
      <c r="M261" s="32"/>
      <c r="N261" s="32"/>
      <c r="O261" s="2"/>
      <c r="P261" s="2"/>
      <c r="Q261" s="32"/>
      <c r="R261" s="32"/>
      <c r="S261" s="32"/>
      <c r="T261" s="3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10"/>
      <c r="F262" s="10"/>
      <c r="G262" s="32"/>
      <c r="H262" s="32"/>
      <c r="I262" s="32"/>
      <c r="J262" s="73"/>
      <c r="K262" s="32"/>
      <c r="L262" s="32"/>
      <c r="M262" s="32"/>
      <c r="N262" s="32"/>
      <c r="O262" s="2"/>
      <c r="P262" s="2"/>
      <c r="Q262" s="32"/>
      <c r="R262" s="32"/>
      <c r="S262" s="32"/>
      <c r="T262" s="3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10"/>
      <c r="F263" s="10"/>
      <c r="G263" s="32"/>
      <c r="H263" s="32"/>
      <c r="I263" s="32"/>
      <c r="J263" s="73"/>
      <c r="K263" s="32"/>
      <c r="L263" s="32"/>
      <c r="M263" s="32"/>
      <c r="N263" s="32"/>
      <c r="O263" s="2"/>
      <c r="P263" s="2"/>
      <c r="Q263" s="32"/>
      <c r="R263" s="32"/>
      <c r="S263" s="32"/>
      <c r="T263" s="3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10"/>
      <c r="F264" s="10"/>
      <c r="G264" s="32"/>
      <c r="H264" s="32"/>
      <c r="I264" s="32"/>
      <c r="J264" s="73"/>
      <c r="K264" s="32"/>
      <c r="L264" s="32"/>
      <c r="M264" s="32"/>
      <c r="N264" s="32"/>
      <c r="O264" s="2"/>
      <c r="P264" s="2"/>
      <c r="Q264" s="32"/>
      <c r="R264" s="32"/>
      <c r="S264" s="32"/>
      <c r="T264" s="3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10"/>
      <c r="F265" s="10"/>
      <c r="G265" s="32"/>
      <c r="H265" s="32"/>
      <c r="I265" s="32"/>
      <c r="J265" s="73"/>
      <c r="K265" s="32"/>
      <c r="L265" s="32"/>
      <c r="M265" s="32"/>
      <c r="N265" s="32"/>
      <c r="O265" s="2"/>
      <c r="P265" s="2"/>
      <c r="Q265" s="32"/>
      <c r="R265" s="32"/>
      <c r="S265" s="32"/>
      <c r="T265" s="3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10"/>
      <c r="F266" s="10"/>
      <c r="G266" s="32"/>
      <c r="H266" s="32"/>
      <c r="I266" s="32"/>
      <c r="J266" s="73"/>
      <c r="K266" s="32"/>
      <c r="L266" s="32"/>
      <c r="M266" s="32"/>
      <c r="N266" s="32"/>
      <c r="O266" s="2"/>
      <c r="P266" s="2"/>
      <c r="Q266" s="32"/>
      <c r="R266" s="32"/>
      <c r="S266" s="32"/>
      <c r="T266" s="3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10"/>
      <c r="F267" s="10"/>
      <c r="G267" s="32"/>
      <c r="H267" s="32"/>
      <c r="I267" s="32"/>
      <c r="J267" s="73"/>
      <c r="K267" s="32"/>
      <c r="L267" s="32"/>
      <c r="M267" s="32"/>
      <c r="N267" s="32"/>
      <c r="O267" s="2"/>
      <c r="P267" s="2"/>
      <c r="Q267" s="32"/>
      <c r="R267" s="32"/>
      <c r="S267" s="32"/>
      <c r="T267" s="3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10"/>
      <c r="F268" s="10"/>
      <c r="G268" s="32"/>
      <c r="H268" s="32"/>
      <c r="I268" s="32"/>
      <c r="J268" s="73"/>
      <c r="K268" s="32"/>
      <c r="L268" s="32"/>
      <c r="M268" s="32"/>
      <c r="N268" s="32"/>
      <c r="O268" s="2"/>
      <c r="P268" s="2"/>
      <c r="Q268" s="32"/>
      <c r="R268" s="32"/>
      <c r="S268" s="32"/>
      <c r="T268" s="3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10"/>
      <c r="F269" s="10"/>
      <c r="G269" s="32"/>
      <c r="H269" s="32"/>
      <c r="I269" s="32"/>
      <c r="J269" s="73"/>
      <c r="K269" s="32"/>
      <c r="L269" s="32"/>
      <c r="M269" s="32"/>
      <c r="N269" s="32"/>
      <c r="O269" s="2"/>
      <c r="P269" s="2"/>
      <c r="Q269" s="32"/>
      <c r="R269" s="32"/>
      <c r="S269" s="32"/>
      <c r="T269" s="3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10"/>
      <c r="F270" s="10"/>
      <c r="G270" s="32"/>
      <c r="H270" s="32"/>
      <c r="I270" s="32"/>
      <c r="J270" s="73"/>
      <c r="K270" s="32"/>
      <c r="L270" s="32"/>
      <c r="M270" s="32"/>
      <c r="N270" s="32"/>
      <c r="O270" s="2"/>
      <c r="P270" s="2"/>
      <c r="Q270" s="32"/>
      <c r="R270" s="32"/>
      <c r="S270" s="32"/>
      <c r="T270" s="3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10"/>
      <c r="F271" s="10"/>
      <c r="G271" s="32"/>
      <c r="H271" s="32"/>
      <c r="I271" s="32"/>
      <c r="J271" s="73"/>
      <c r="K271" s="32"/>
      <c r="L271" s="32"/>
      <c r="M271" s="32"/>
      <c r="N271" s="32"/>
      <c r="O271" s="2"/>
      <c r="P271" s="2"/>
      <c r="Q271" s="32"/>
      <c r="R271" s="32"/>
      <c r="S271" s="32"/>
      <c r="T271" s="3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10"/>
      <c r="F272" s="10"/>
      <c r="G272" s="32"/>
      <c r="H272" s="32"/>
      <c r="I272" s="32"/>
      <c r="J272" s="73"/>
      <c r="K272" s="32"/>
      <c r="L272" s="32"/>
      <c r="M272" s="32"/>
      <c r="N272" s="32"/>
      <c r="O272" s="2"/>
      <c r="P272" s="2"/>
      <c r="Q272" s="32"/>
      <c r="R272" s="32"/>
      <c r="S272" s="32"/>
      <c r="T272" s="3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10"/>
      <c r="F273" s="10"/>
      <c r="G273" s="32"/>
      <c r="H273" s="32"/>
      <c r="I273" s="32"/>
      <c r="J273" s="73"/>
      <c r="K273" s="32"/>
      <c r="L273" s="32"/>
      <c r="M273" s="32"/>
      <c r="N273" s="32"/>
      <c r="O273" s="2"/>
      <c r="P273" s="2"/>
      <c r="Q273" s="32"/>
      <c r="R273" s="32"/>
      <c r="S273" s="32"/>
      <c r="T273" s="3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10"/>
      <c r="F274" s="10"/>
      <c r="G274" s="32"/>
      <c r="H274" s="32"/>
      <c r="I274" s="32"/>
      <c r="J274" s="73"/>
      <c r="K274" s="32"/>
      <c r="L274" s="32"/>
      <c r="M274" s="32"/>
      <c r="N274" s="32"/>
      <c r="O274" s="2"/>
      <c r="P274" s="2"/>
      <c r="Q274" s="32"/>
      <c r="R274" s="32"/>
      <c r="S274" s="32"/>
      <c r="T274" s="3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10"/>
      <c r="F275" s="10"/>
      <c r="G275" s="32"/>
      <c r="H275" s="32"/>
      <c r="I275" s="32"/>
      <c r="J275" s="73"/>
      <c r="K275" s="32"/>
      <c r="L275" s="32"/>
      <c r="M275" s="32"/>
      <c r="N275" s="32"/>
      <c r="O275" s="2"/>
      <c r="P275" s="2"/>
      <c r="Q275" s="32"/>
      <c r="R275" s="32"/>
      <c r="S275" s="32"/>
      <c r="T275" s="3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10"/>
      <c r="F276" s="10"/>
      <c r="G276" s="32"/>
      <c r="H276" s="32"/>
      <c r="I276" s="32"/>
      <c r="J276" s="73"/>
      <c r="K276" s="32"/>
      <c r="L276" s="32"/>
      <c r="M276" s="32"/>
      <c r="N276" s="32"/>
      <c r="O276" s="2"/>
      <c r="P276" s="2"/>
      <c r="Q276" s="32"/>
      <c r="R276" s="32"/>
      <c r="S276" s="32"/>
      <c r="T276" s="3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10"/>
      <c r="F277" s="10"/>
      <c r="G277" s="32"/>
      <c r="H277" s="32"/>
      <c r="I277" s="32"/>
      <c r="J277" s="73"/>
      <c r="K277" s="32"/>
      <c r="L277" s="32"/>
      <c r="M277" s="32"/>
      <c r="N277" s="32"/>
      <c r="O277" s="2"/>
      <c r="P277" s="2"/>
      <c r="Q277" s="32"/>
      <c r="R277" s="32"/>
      <c r="S277" s="32"/>
      <c r="T277" s="3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10"/>
      <c r="F278" s="10"/>
      <c r="G278" s="32"/>
      <c r="H278" s="32"/>
      <c r="I278" s="32"/>
      <c r="J278" s="73"/>
      <c r="K278" s="32"/>
      <c r="L278" s="32"/>
      <c r="M278" s="32"/>
      <c r="N278" s="32"/>
      <c r="O278" s="2"/>
      <c r="P278" s="2"/>
      <c r="Q278" s="32"/>
      <c r="R278" s="32"/>
      <c r="S278" s="32"/>
      <c r="T278" s="3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10"/>
      <c r="F279" s="10"/>
      <c r="G279" s="32"/>
      <c r="H279" s="32"/>
      <c r="I279" s="32"/>
      <c r="J279" s="73"/>
      <c r="K279" s="32"/>
      <c r="L279" s="32"/>
      <c r="M279" s="32"/>
      <c r="N279" s="32"/>
      <c r="O279" s="2"/>
      <c r="P279" s="2"/>
      <c r="Q279" s="32"/>
      <c r="R279" s="32"/>
      <c r="S279" s="32"/>
      <c r="T279" s="3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10"/>
      <c r="F280" s="10"/>
      <c r="G280" s="32"/>
      <c r="H280" s="32"/>
      <c r="I280" s="32"/>
      <c r="J280" s="73"/>
      <c r="K280" s="32"/>
      <c r="L280" s="32"/>
      <c r="M280" s="32"/>
      <c r="N280" s="32"/>
      <c r="O280" s="2"/>
      <c r="P280" s="2"/>
      <c r="Q280" s="32"/>
      <c r="R280" s="32"/>
      <c r="S280" s="32"/>
      <c r="T280" s="3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10"/>
      <c r="F281" s="10"/>
      <c r="G281" s="32"/>
      <c r="H281" s="32"/>
      <c r="I281" s="32"/>
      <c r="J281" s="73"/>
      <c r="K281" s="32"/>
      <c r="L281" s="32"/>
      <c r="M281" s="32"/>
      <c r="N281" s="32"/>
      <c r="O281" s="2"/>
      <c r="P281" s="2"/>
      <c r="Q281" s="32"/>
      <c r="R281" s="32"/>
      <c r="S281" s="32"/>
      <c r="T281" s="3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10"/>
      <c r="F282" s="10"/>
      <c r="G282" s="32"/>
      <c r="H282" s="32"/>
      <c r="I282" s="32"/>
      <c r="J282" s="73"/>
      <c r="K282" s="32"/>
      <c r="L282" s="32"/>
      <c r="M282" s="32"/>
      <c r="N282" s="32"/>
      <c r="O282" s="2"/>
      <c r="P282" s="2"/>
      <c r="Q282" s="32"/>
      <c r="R282" s="32"/>
      <c r="S282" s="32"/>
      <c r="T282" s="3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10"/>
      <c r="F283" s="10"/>
      <c r="G283" s="32"/>
      <c r="H283" s="32"/>
      <c r="I283" s="32"/>
      <c r="J283" s="73"/>
      <c r="K283" s="32"/>
      <c r="L283" s="32"/>
      <c r="M283" s="32"/>
      <c r="N283" s="32"/>
      <c r="O283" s="2"/>
      <c r="P283" s="2"/>
      <c r="Q283" s="32"/>
      <c r="R283" s="32"/>
      <c r="S283" s="32"/>
      <c r="T283" s="3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10"/>
      <c r="F284" s="10"/>
      <c r="G284" s="32"/>
      <c r="H284" s="32"/>
      <c r="I284" s="32"/>
      <c r="J284" s="73"/>
      <c r="K284" s="32"/>
      <c r="L284" s="32"/>
      <c r="M284" s="32"/>
      <c r="N284" s="32"/>
      <c r="O284" s="2"/>
      <c r="P284" s="2"/>
      <c r="Q284" s="32"/>
      <c r="R284" s="32"/>
      <c r="S284" s="32"/>
      <c r="T284" s="3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10"/>
      <c r="F285" s="10"/>
      <c r="G285" s="32"/>
      <c r="H285" s="32"/>
      <c r="I285" s="32"/>
      <c r="J285" s="73"/>
      <c r="K285" s="32"/>
      <c r="L285" s="32"/>
      <c r="M285" s="32"/>
      <c r="N285" s="32"/>
      <c r="O285" s="2"/>
      <c r="P285" s="2"/>
      <c r="Q285" s="32"/>
      <c r="R285" s="32"/>
      <c r="S285" s="32"/>
      <c r="T285" s="3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10"/>
      <c r="F286" s="10"/>
      <c r="G286" s="32"/>
      <c r="H286" s="32"/>
      <c r="I286" s="32"/>
      <c r="J286" s="73"/>
      <c r="K286" s="32"/>
      <c r="L286" s="32"/>
      <c r="M286" s="32"/>
      <c r="N286" s="32"/>
      <c r="O286" s="2"/>
      <c r="P286" s="2"/>
      <c r="Q286" s="32"/>
      <c r="R286" s="32"/>
      <c r="S286" s="32"/>
      <c r="T286" s="3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10"/>
      <c r="F287" s="10"/>
      <c r="G287" s="32"/>
      <c r="H287" s="32"/>
      <c r="I287" s="32"/>
      <c r="J287" s="73"/>
      <c r="K287" s="32"/>
      <c r="L287" s="32"/>
      <c r="M287" s="32"/>
      <c r="N287" s="32"/>
      <c r="O287" s="2"/>
      <c r="P287" s="2"/>
      <c r="Q287" s="32"/>
      <c r="R287" s="32"/>
      <c r="S287" s="32"/>
      <c r="T287" s="3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10"/>
      <c r="F288" s="10"/>
      <c r="G288" s="32"/>
      <c r="H288" s="32"/>
      <c r="I288" s="32"/>
      <c r="J288" s="73"/>
      <c r="K288" s="32"/>
      <c r="L288" s="32"/>
      <c r="M288" s="32"/>
      <c r="N288" s="32"/>
      <c r="O288" s="2"/>
      <c r="P288" s="2"/>
      <c r="Q288" s="32"/>
      <c r="R288" s="32"/>
      <c r="S288" s="32"/>
      <c r="T288" s="3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10"/>
      <c r="F289" s="10"/>
      <c r="G289" s="32"/>
      <c r="H289" s="32"/>
      <c r="I289" s="32"/>
      <c r="J289" s="73"/>
      <c r="K289" s="32"/>
      <c r="L289" s="32"/>
      <c r="M289" s="32"/>
      <c r="N289" s="32"/>
      <c r="O289" s="2"/>
      <c r="P289" s="2"/>
      <c r="Q289" s="32"/>
      <c r="R289" s="32"/>
      <c r="S289" s="32"/>
      <c r="T289" s="3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10"/>
      <c r="F290" s="10"/>
      <c r="G290" s="32"/>
      <c r="H290" s="32"/>
      <c r="I290" s="32"/>
      <c r="J290" s="73"/>
      <c r="K290" s="32"/>
      <c r="L290" s="32"/>
      <c r="M290" s="32"/>
      <c r="N290" s="32"/>
      <c r="O290" s="2"/>
      <c r="P290" s="2"/>
      <c r="Q290" s="32"/>
      <c r="R290" s="32"/>
      <c r="S290" s="32"/>
      <c r="T290" s="3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10"/>
      <c r="F291" s="10"/>
      <c r="G291" s="32"/>
      <c r="H291" s="32"/>
      <c r="I291" s="32"/>
      <c r="J291" s="73"/>
      <c r="K291" s="32"/>
      <c r="L291" s="32"/>
      <c r="M291" s="32"/>
      <c r="N291" s="32"/>
      <c r="O291" s="2"/>
      <c r="P291" s="2"/>
      <c r="Q291" s="32"/>
      <c r="R291" s="32"/>
      <c r="S291" s="32"/>
      <c r="T291" s="3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10"/>
      <c r="F292" s="10"/>
      <c r="G292" s="32"/>
      <c r="H292" s="32"/>
      <c r="I292" s="32"/>
      <c r="J292" s="73"/>
      <c r="K292" s="32"/>
      <c r="L292" s="32"/>
      <c r="M292" s="32"/>
      <c r="N292" s="32"/>
      <c r="O292" s="2"/>
      <c r="P292" s="2"/>
      <c r="Q292" s="32"/>
      <c r="R292" s="32"/>
      <c r="S292" s="32"/>
      <c r="T292" s="3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10"/>
      <c r="F293" s="10"/>
      <c r="G293" s="32"/>
      <c r="H293" s="32"/>
      <c r="I293" s="32"/>
      <c r="J293" s="73"/>
      <c r="K293" s="32"/>
      <c r="L293" s="32"/>
      <c r="M293" s="32"/>
      <c r="N293" s="32"/>
      <c r="O293" s="2"/>
      <c r="P293" s="2"/>
      <c r="Q293" s="32"/>
      <c r="R293" s="32"/>
      <c r="S293" s="32"/>
      <c r="T293" s="3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10"/>
      <c r="F294" s="10"/>
      <c r="G294" s="32"/>
      <c r="H294" s="32"/>
      <c r="I294" s="32"/>
      <c r="J294" s="73"/>
      <c r="K294" s="32"/>
      <c r="L294" s="32"/>
      <c r="M294" s="32"/>
      <c r="N294" s="32"/>
      <c r="O294" s="2"/>
      <c r="P294" s="2"/>
      <c r="Q294" s="32"/>
      <c r="R294" s="32"/>
      <c r="S294" s="32"/>
      <c r="T294" s="3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10"/>
      <c r="F295" s="10"/>
      <c r="G295" s="32"/>
      <c r="H295" s="32"/>
      <c r="I295" s="32"/>
      <c r="J295" s="73"/>
      <c r="K295" s="32"/>
      <c r="L295" s="32"/>
      <c r="M295" s="32"/>
      <c r="N295" s="32"/>
      <c r="O295" s="2"/>
      <c r="P295" s="2"/>
      <c r="Q295" s="32"/>
      <c r="R295" s="32"/>
      <c r="S295" s="32"/>
      <c r="T295" s="3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10"/>
      <c r="F296" s="10"/>
      <c r="G296" s="32"/>
      <c r="H296" s="32"/>
      <c r="I296" s="32"/>
      <c r="J296" s="73"/>
      <c r="K296" s="32"/>
      <c r="L296" s="32"/>
      <c r="M296" s="32"/>
      <c r="N296" s="32"/>
      <c r="O296" s="2"/>
      <c r="P296" s="2"/>
      <c r="Q296" s="32"/>
      <c r="R296" s="32"/>
      <c r="S296" s="32"/>
      <c r="T296" s="3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10"/>
      <c r="F297" s="10"/>
      <c r="G297" s="32"/>
      <c r="H297" s="32"/>
      <c r="I297" s="32"/>
      <c r="J297" s="73"/>
      <c r="K297" s="32"/>
      <c r="L297" s="32"/>
      <c r="M297" s="32"/>
      <c r="N297" s="32"/>
      <c r="O297" s="2"/>
      <c r="P297" s="2"/>
      <c r="Q297" s="32"/>
      <c r="R297" s="32"/>
      <c r="S297" s="32"/>
      <c r="T297" s="3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10"/>
      <c r="F298" s="10"/>
      <c r="G298" s="32"/>
      <c r="H298" s="32"/>
      <c r="I298" s="32"/>
      <c r="J298" s="73"/>
      <c r="K298" s="32"/>
      <c r="L298" s="32"/>
      <c r="M298" s="32"/>
      <c r="N298" s="32"/>
      <c r="O298" s="2"/>
      <c r="P298" s="2"/>
      <c r="Q298" s="32"/>
      <c r="R298" s="32"/>
      <c r="S298" s="32"/>
      <c r="T298" s="3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10"/>
      <c r="F299" s="10"/>
      <c r="G299" s="32"/>
      <c r="H299" s="32"/>
      <c r="I299" s="32"/>
      <c r="J299" s="73"/>
      <c r="K299" s="32"/>
      <c r="L299" s="32"/>
      <c r="M299" s="32"/>
      <c r="N299" s="32"/>
      <c r="O299" s="2"/>
      <c r="P299" s="2"/>
      <c r="Q299" s="32"/>
      <c r="R299" s="32"/>
      <c r="S299" s="32"/>
      <c r="T299" s="3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10"/>
      <c r="F300" s="10"/>
      <c r="G300" s="32"/>
      <c r="H300" s="32"/>
      <c r="I300" s="32"/>
      <c r="J300" s="73"/>
      <c r="K300" s="32"/>
      <c r="L300" s="32"/>
      <c r="M300" s="32"/>
      <c r="N300" s="32"/>
      <c r="O300" s="2"/>
      <c r="P300" s="2"/>
      <c r="Q300" s="32"/>
      <c r="R300" s="32"/>
      <c r="S300" s="32"/>
      <c r="T300" s="3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10"/>
      <c r="F301" s="10"/>
      <c r="G301" s="32"/>
      <c r="H301" s="32"/>
      <c r="I301" s="32"/>
      <c r="J301" s="73"/>
      <c r="K301" s="32"/>
      <c r="L301" s="32"/>
      <c r="M301" s="32"/>
      <c r="N301" s="32"/>
      <c r="O301" s="2"/>
      <c r="P301" s="2"/>
      <c r="Q301" s="32"/>
      <c r="R301" s="32"/>
      <c r="S301" s="32"/>
      <c r="T301" s="3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10"/>
      <c r="F302" s="10"/>
      <c r="G302" s="32"/>
      <c r="H302" s="32"/>
      <c r="I302" s="32"/>
      <c r="J302" s="73"/>
      <c r="K302" s="32"/>
      <c r="L302" s="32"/>
      <c r="M302" s="32"/>
      <c r="N302" s="32"/>
      <c r="O302" s="2"/>
      <c r="P302" s="2"/>
      <c r="Q302" s="32"/>
      <c r="R302" s="32"/>
      <c r="S302" s="32"/>
      <c r="T302" s="3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10"/>
      <c r="F303" s="10"/>
      <c r="G303" s="32"/>
      <c r="H303" s="32"/>
      <c r="I303" s="32"/>
      <c r="J303" s="73"/>
      <c r="K303" s="32"/>
      <c r="L303" s="32"/>
      <c r="M303" s="32"/>
      <c r="N303" s="32"/>
      <c r="O303" s="2"/>
      <c r="P303" s="2"/>
      <c r="Q303" s="32"/>
      <c r="R303" s="32"/>
      <c r="S303" s="32"/>
      <c r="T303" s="3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10"/>
      <c r="F304" s="10"/>
      <c r="G304" s="32"/>
      <c r="H304" s="32"/>
      <c r="I304" s="32"/>
      <c r="J304" s="73"/>
      <c r="K304" s="32"/>
      <c r="L304" s="32"/>
      <c r="M304" s="32"/>
      <c r="N304" s="32"/>
      <c r="O304" s="2"/>
      <c r="P304" s="2"/>
      <c r="Q304" s="32"/>
      <c r="R304" s="32"/>
      <c r="S304" s="32"/>
      <c r="T304" s="3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10"/>
      <c r="F305" s="10"/>
      <c r="G305" s="32"/>
      <c r="H305" s="32"/>
      <c r="I305" s="32"/>
      <c r="J305" s="73"/>
      <c r="K305" s="32"/>
      <c r="L305" s="32"/>
      <c r="M305" s="32"/>
      <c r="N305" s="32"/>
      <c r="O305" s="2"/>
      <c r="P305" s="2"/>
      <c r="Q305" s="32"/>
      <c r="R305" s="32"/>
      <c r="S305" s="32"/>
      <c r="T305" s="3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10"/>
      <c r="F306" s="10"/>
      <c r="G306" s="32"/>
      <c r="H306" s="32"/>
      <c r="I306" s="32"/>
      <c r="J306" s="73"/>
      <c r="K306" s="32"/>
      <c r="L306" s="32"/>
      <c r="M306" s="32"/>
      <c r="N306" s="32"/>
      <c r="O306" s="2"/>
      <c r="P306" s="2"/>
      <c r="Q306" s="32"/>
      <c r="R306" s="32"/>
      <c r="S306" s="32"/>
      <c r="T306" s="3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10"/>
      <c r="F307" s="10"/>
      <c r="G307" s="32"/>
      <c r="H307" s="32"/>
      <c r="I307" s="32"/>
      <c r="J307" s="73"/>
      <c r="K307" s="32"/>
      <c r="L307" s="32"/>
      <c r="M307" s="32"/>
      <c r="N307" s="32"/>
      <c r="O307" s="2"/>
      <c r="P307" s="2"/>
      <c r="Q307" s="32"/>
      <c r="R307" s="32"/>
      <c r="S307" s="32"/>
      <c r="T307" s="3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10"/>
      <c r="F308" s="10"/>
      <c r="G308" s="32"/>
      <c r="H308" s="32"/>
      <c r="I308" s="32"/>
      <c r="J308" s="73"/>
      <c r="K308" s="32"/>
      <c r="L308" s="32"/>
      <c r="M308" s="32"/>
      <c r="N308" s="32"/>
      <c r="O308" s="2"/>
      <c r="P308" s="2"/>
      <c r="Q308" s="32"/>
      <c r="R308" s="32"/>
      <c r="S308" s="32"/>
      <c r="T308" s="3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10"/>
      <c r="F309" s="10"/>
      <c r="G309" s="32"/>
      <c r="H309" s="32"/>
      <c r="I309" s="32"/>
      <c r="J309" s="73"/>
      <c r="K309" s="32"/>
      <c r="L309" s="32"/>
      <c r="M309" s="32"/>
      <c r="N309" s="32"/>
      <c r="O309" s="2"/>
      <c r="P309" s="2"/>
      <c r="Q309" s="32"/>
      <c r="R309" s="32"/>
      <c r="S309" s="32"/>
      <c r="T309" s="3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10"/>
      <c r="F310" s="10"/>
      <c r="G310" s="32"/>
      <c r="H310" s="32"/>
      <c r="I310" s="32"/>
      <c r="J310" s="73"/>
      <c r="K310" s="32"/>
      <c r="L310" s="32"/>
      <c r="M310" s="32"/>
      <c r="N310" s="32"/>
      <c r="O310" s="2"/>
      <c r="P310" s="2"/>
      <c r="Q310" s="32"/>
      <c r="R310" s="32"/>
      <c r="S310" s="32"/>
      <c r="T310" s="3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10"/>
      <c r="F311" s="10"/>
      <c r="G311" s="32"/>
      <c r="H311" s="32"/>
      <c r="I311" s="32"/>
      <c r="J311" s="73"/>
      <c r="K311" s="32"/>
      <c r="L311" s="32"/>
      <c r="M311" s="32"/>
      <c r="N311" s="32"/>
      <c r="O311" s="2"/>
      <c r="P311" s="2"/>
      <c r="Q311" s="32"/>
      <c r="R311" s="32"/>
      <c r="S311" s="32"/>
      <c r="T311" s="3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10"/>
      <c r="F312" s="10"/>
      <c r="G312" s="32"/>
      <c r="H312" s="32"/>
      <c r="I312" s="32"/>
      <c r="J312" s="73"/>
      <c r="K312" s="32"/>
      <c r="L312" s="32"/>
      <c r="M312" s="32"/>
      <c r="N312" s="32"/>
      <c r="O312" s="2"/>
      <c r="P312" s="2"/>
      <c r="Q312" s="32"/>
      <c r="R312" s="32"/>
      <c r="S312" s="32"/>
      <c r="T312" s="3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10"/>
      <c r="F313" s="10"/>
      <c r="G313" s="32"/>
      <c r="H313" s="32"/>
      <c r="I313" s="32"/>
      <c r="J313" s="73"/>
      <c r="K313" s="32"/>
      <c r="L313" s="32"/>
      <c r="M313" s="32"/>
      <c r="N313" s="32"/>
      <c r="O313" s="2"/>
      <c r="P313" s="2"/>
      <c r="Q313" s="32"/>
      <c r="R313" s="32"/>
      <c r="S313" s="32"/>
      <c r="T313" s="3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10"/>
      <c r="F314" s="10"/>
      <c r="G314" s="32"/>
      <c r="H314" s="32"/>
      <c r="I314" s="32"/>
      <c r="J314" s="73"/>
      <c r="K314" s="32"/>
      <c r="L314" s="32"/>
      <c r="M314" s="32"/>
      <c r="N314" s="32"/>
      <c r="O314" s="2"/>
      <c r="P314" s="2"/>
      <c r="Q314" s="32"/>
      <c r="R314" s="32"/>
      <c r="S314" s="32"/>
      <c r="T314" s="3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10"/>
      <c r="F315" s="10"/>
      <c r="G315" s="32"/>
      <c r="H315" s="32"/>
      <c r="I315" s="32"/>
      <c r="J315" s="73"/>
      <c r="K315" s="32"/>
      <c r="L315" s="32"/>
      <c r="M315" s="32"/>
      <c r="N315" s="32"/>
      <c r="O315" s="2"/>
      <c r="P315" s="2"/>
      <c r="Q315" s="32"/>
      <c r="R315" s="32"/>
      <c r="S315" s="32"/>
      <c r="T315" s="3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10"/>
      <c r="F316" s="10"/>
      <c r="G316" s="32"/>
      <c r="H316" s="32"/>
      <c r="I316" s="32"/>
      <c r="J316" s="73"/>
      <c r="K316" s="32"/>
      <c r="L316" s="32"/>
      <c r="M316" s="32"/>
      <c r="N316" s="32"/>
      <c r="O316" s="2"/>
      <c r="P316" s="2"/>
      <c r="Q316" s="32"/>
      <c r="R316" s="32"/>
      <c r="S316" s="32"/>
      <c r="T316" s="3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10"/>
      <c r="F317" s="10"/>
      <c r="G317" s="32"/>
      <c r="H317" s="32"/>
      <c r="I317" s="32"/>
      <c r="J317" s="73"/>
      <c r="K317" s="32"/>
      <c r="L317" s="32"/>
      <c r="M317" s="32"/>
      <c r="N317" s="32"/>
      <c r="O317" s="2"/>
      <c r="P317" s="2"/>
      <c r="Q317" s="32"/>
      <c r="R317" s="32"/>
      <c r="S317" s="32"/>
      <c r="T317" s="3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10"/>
      <c r="F318" s="10"/>
      <c r="G318" s="32"/>
      <c r="H318" s="32"/>
      <c r="I318" s="32"/>
      <c r="J318" s="73"/>
      <c r="K318" s="32"/>
      <c r="L318" s="32"/>
      <c r="M318" s="32"/>
      <c r="N318" s="32"/>
      <c r="O318" s="2"/>
      <c r="P318" s="2"/>
      <c r="Q318" s="32"/>
      <c r="R318" s="32"/>
      <c r="S318" s="32"/>
      <c r="T318" s="3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10"/>
      <c r="F319" s="10"/>
      <c r="G319" s="32"/>
      <c r="H319" s="32"/>
      <c r="I319" s="32"/>
      <c r="J319" s="73"/>
      <c r="K319" s="32"/>
      <c r="L319" s="32"/>
      <c r="M319" s="32"/>
      <c r="N319" s="32"/>
      <c r="O319" s="2"/>
      <c r="P319" s="2"/>
      <c r="Q319" s="32"/>
      <c r="R319" s="32"/>
      <c r="S319" s="32"/>
      <c r="T319" s="3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10"/>
      <c r="F320" s="10"/>
      <c r="G320" s="32"/>
      <c r="H320" s="32"/>
      <c r="I320" s="32"/>
      <c r="J320" s="73"/>
      <c r="K320" s="32"/>
      <c r="L320" s="32"/>
      <c r="M320" s="32"/>
      <c r="N320" s="32"/>
      <c r="O320" s="2"/>
      <c r="P320" s="2"/>
      <c r="Q320" s="32"/>
      <c r="R320" s="32"/>
      <c r="S320" s="32"/>
      <c r="T320" s="3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10"/>
      <c r="F321" s="10"/>
      <c r="G321" s="32"/>
      <c r="H321" s="32"/>
      <c r="I321" s="32"/>
      <c r="J321" s="73"/>
      <c r="K321" s="32"/>
      <c r="L321" s="32"/>
      <c r="M321" s="32"/>
      <c r="N321" s="32"/>
      <c r="O321" s="2"/>
      <c r="P321" s="2"/>
      <c r="Q321" s="32"/>
      <c r="R321" s="32"/>
      <c r="S321" s="32"/>
      <c r="T321" s="3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10"/>
      <c r="F322" s="10"/>
      <c r="G322" s="32"/>
      <c r="H322" s="32"/>
      <c r="I322" s="32"/>
      <c r="J322" s="73"/>
      <c r="K322" s="32"/>
      <c r="L322" s="32"/>
      <c r="M322" s="32"/>
      <c r="N322" s="32"/>
      <c r="O322" s="2"/>
      <c r="P322" s="2"/>
      <c r="Q322" s="32"/>
      <c r="R322" s="32"/>
      <c r="S322" s="32"/>
      <c r="T322" s="3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10"/>
      <c r="F323" s="10"/>
      <c r="G323" s="32"/>
      <c r="H323" s="32"/>
      <c r="I323" s="32"/>
      <c r="J323" s="73"/>
      <c r="K323" s="32"/>
      <c r="L323" s="32"/>
      <c r="M323" s="32"/>
      <c r="N323" s="32"/>
      <c r="O323" s="2"/>
      <c r="P323" s="2"/>
      <c r="Q323" s="32"/>
      <c r="R323" s="32"/>
      <c r="S323" s="32"/>
      <c r="T323" s="3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10"/>
      <c r="F324" s="10"/>
      <c r="G324" s="32"/>
      <c r="H324" s="32"/>
      <c r="I324" s="32"/>
      <c r="J324" s="73"/>
      <c r="K324" s="32"/>
      <c r="L324" s="32"/>
      <c r="M324" s="32"/>
      <c r="N324" s="32"/>
      <c r="O324" s="2"/>
      <c r="P324" s="2"/>
      <c r="Q324" s="32"/>
      <c r="R324" s="32"/>
      <c r="S324" s="32"/>
      <c r="T324" s="3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10"/>
      <c r="F325" s="10"/>
      <c r="G325" s="32"/>
      <c r="H325" s="32"/>
      <c r="I325" s="32"/>
      <c r="J325" s="73"/>
      <c r="K325" s="32"/>
      <c r="L325" s="32"/>
      <c r="M325" s="32"/>
      <c r="N325" s="32"/>
      <c r="O325" s="2"/>
      <c r="P325" s="2"/>
      <c r="Q325" s="32"/>
      <c r="R325" s="32"/>
      <c r="S325" s="32"/>
      <c r="T325" s="3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10"/>
      <c r="F326" s="10"/>
      <c r="G326" s="32"/>
      <c r="H326" s="32"/>
      <c r="I326" s="32"/>
      <c r="J326" s="73"/>
      <c r="K326" s="32"/>
      <c r="L326" s="32"/>
      <c r="M326" s="32"/>
      <c r="N326" s="32"/>
      <c r="O326" s="2"/>
      <c r="P326" s="2"/>
      <c r="Q326" s="32"/>
      <c r="R326" s="32"/>
      <c r="S326" s="32"/>
      <c r="T326" s="3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10"/>
      <c r="F327" s="10"/>
      <c r="G327" s="32"/>
      <c r="H327" s="32"/>
      <c r="I327" s="32"/>
      <c r="J327" s="73"/>
      <c r="K327" s="32"/>
      <c r="L327" s="32"/>
      <c r="M327" s="32"/>
      <c r="N327" s="32"/>
      <c r="O327" s="2"/>
      <c r="P327" s="2"/>
      <c r="Q327" s="32"/>
      <c r="R327" s="32"/>
      <c r="S327" s="32"/>
      <c r="T327" s="3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10"/>
      <c r="F328" s="10"/>
      <c r="G328" s="32"/>
      <c r="H328" s="32"/>
      <c r="I328" s="32"/>
      <c r="J328" s="73"/>
      <c r="K328" s="32"/>
      <c r="L328" s="32"/>
      <c r="M328" s="32"/>
      <c r="N328" s="32"/>
      <c r="O328" s="2"/>
      <c r="P328" s="2"/>
      <c r="Q328" s="32"/>
      <c r="R328" s="32"/>
      <c r="S328" s="32"/>
      <c r="T328" s="3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10"/>
      <c r="F329" s="10"/>
      <c r="G329" s="32"/>
      <c r="H329" s="32"/>
      <c r="I329" s="32"/>
      <c r="J329" s="73"/>
      <c r="K329" s="32"/>
      <c r="L329" s="32"/>
      <c r="M329" s="32"/>
      <c r="N329" s="32"/>
      <c r="O329" s="2"/>
      <c r="P329" s="2"/>
      <c r="Q329" s="32"/>
      <c r="R329" s="32"/>
      <c r="S329" s="32"/>
      <c r="T329" s="3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10"/>
      <c r="F330" s="10"/>
      <c r="G330" s="32"/>
      <c r="H330" s="32"/>
      <c r="I330" s="32"/>
      <c r="J330" s="73"/>
      <c r="K330" s="32"/>
      <c r="L330" s="32"/>
      <c r="M330" s="32"/>
      <c r="N330" s="32"/>
      <c r="O330" s="2"/>
      <c r="P330" s="2"/>
      <c r="Q330" s="32"/>
      <c r="R330" s="32"/>
      <c r="S330" s="32"/>
      <c r="T330" s="3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10"/>
      <c r="F331" s="10"/>
      <c r="G331" s="32"/>
      <c r="H331" s="32"/>
      <c r="I331" s="32"/>
      <c r="J331" s="73"/>
      <c r="K331" s="32"/>
      <c r="L331" s="32"/>
      <c r="M331" s="32"/>
      <c r="N331" s="32"/>
      <c r="O331" s="2"/>
      <c r="P331" s="2"/>
      <c r="Q331" s="32"/>
      <c r="R331" s="32"/>
      <c r="S331" s="32"/>
      <c r="T331" s="3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10"/>
      <c r="F332" s="10"/>
      <c r="G332" s="32"/>
      <c r="H332" s="32"/>
      <c r="I332" s="32"/>
      <c r="J332" s="73"/>
      <c r="K332" s="32"/>
      <c r="L332" s="32"/>
      <c r="M332" s="32"/>
      <c r="N332" s="32"/>
      <c r="O332" s="2"/>
      <c r="P332" s="2"/>
      <c r="Q332" s="32"/>
      <c r="R332" s="32"/>
      <c r="S332" s="32"/>
      <c r="T332" s="3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10"/>
      <c r="F333" s="10"/>
      <c r="G333" s="32"/>
      <c r="H333" s="32"/>
      <c r="I333" s="32"/>
      <c r="J333" s="73"/>
      <c r="K333" s="32"/>
      <c r="L333" s="32"/>
      <c r="M333" s="32"/>
      <c r="N333" s="32"/>
      <c r="O333" s="2"/>
      <c r="P333" s="2"/>
      <c r="Q333" s="32"/>
      <c r="R333" s="32"/>
      <c r="S333" s="32"/>
      <c r="T333" s="3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10"/>
      <c r="F334" s="10"/>
      <c r="G334" s="32"/>
      <c r="H334" s="32"/>
      <c r="I334" s="32"/>
      <c r="J334" s="73"/>
      <c r="K334" s="32"/>
      <c r="L334" s="32"/>
      <c r="M334" s="32"/>
      <c r="N334" s="32"/>
      <c r="O334" s="2"/>
      <c r="P334" s="2"/>
      <c r="Q334" s="32"/>
      <c r="R334" s="32"/>
      <c r="S334" s="32"/>
      <c r="T334" s="3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10"/>
      <c r="F335" s="10"/>
      <c r="G335" s="32"/>
      <c r="H335" s="32"/>
      <c r="I335" s="32"/>
      <c r="J335" s="73"/>
      <c r="K335" s="32"/>
      <c r="L335" s="32"/>
      <c r="M335" s="32"/>
      <c r="N335" s="32"/>
      <c r="O335" s="2"/>
      <c r="P335" s="2"/>
      <c r="Q335" s="32"/>
      <c r="R335" s="32"/>
      <c r="S335" s="32"/>
      <c r="T335" s="3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10"/>
      <c r="F336" s="10"/>
      <c r="G336" s="32"/>
      <c r="H336" s="32"/>
      <c r="I336" s="32"/>
      <c r="J336" s="73"/>
      <c r="K336" s="32"/>
      <c r="L336" s="32"/>
      <c r="M336" s="32"/>
      <c r="N336" s="32"/>
      <c r="O336" s="2"/>
      <c r="P336" s="2"/>
      <c r="Q336" s="32"/>
      <c r="R336" s="32"/>
      <c r="S336" s="32"/>
      <c r="T336" s="3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10"/>
      <c r="F337" s="10"/>
      <c r="G337" s="32"/>
      <c r="H337" s="32"/>
      <c r="I337" s="32"/>
      <c r="J337" s="73"/>
      <c r="K337" s="32"/>
      <c r="L337" s="32"/>
      <c r="M337" s="32"/>
      <c r="N337" s="32"/>
      <c r="O337" s="2"/>
      <c r="P337" s="2"/>
      <c r="Q337" s="32"/>
      <c r="R337" s="32"/>
      <c r="S337" s="32"/>
      <c r="T337" s="3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10"/>
      <c r="F338" s="10"/>
      <c r="G338" s="32"/>
      <c r="H338" s="32"/>
      <c r="I338" s="32"/>
      <c r="J338" s="73"/>
      <c r="K338" s="32"/>
      <c r="L338" s="32"/>
      <c r="M338" s="32"/>
      <c r="N338" s="32"/>
      <c r="O338" s="2"/>
      <c r="P338" s="2"/>
      <c r="Q338" s="32"/>
      <c r="R338" s="32"/>
      <c r="S338" s="32"/>
      <c r="T338" s="3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10"/>
      <c r="F339" s="10"/>
      <c r="G339" s="32"/>
      <c r="H339" s="32"/>
      <c r="I339" s="32"/>
      <c r="J339" s="73"/>
      <c r="K339" s="32"/>
      <c r="L339" s="32"/>
      <c r="M339" s="32"/>
      <c r="N339" s="32"/>
      <c r="O339" s="2"/>
      <c r="P339" s="2"/>
      <c r="Q339" s="32"/>
      <c r="R339" s="32"/>
      <c r="S339" s="32"/>
      <c r="T339" s="3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10"/>
      <c r="F340" s="10"/>
      <c r="G340" s="32"/>
      <c r="H340" s="32"/>
      <c r="I340" s="32"/>
      <c r="J340" s="73"/>
      <c r="K340" s="32"/>
      <c r="L340" s="32"/>
      <c r="M340" s="32"/>
      <c r="N340" s="32"/>
      <c r="O340" s="2"/>
      <c r="P340" s="2"/>
      <c r="Q340" s="32"/>
      <c r="R340" s="32"/>
      <c r="S340" s="32"/>
      <c r="T340" s="3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10"/>
      <c r="F341" s="10"/>
      <c r="G341" s="32"/>
      <c r="H341" s="32"/>
      <c r="I341" s="32"/>
      <c r="J341" s="73"/>
      <c r="K341" s="32"/>
      <c r="L341" s="32"/>
      <c r="M341" s="32"/>
      <c r="N341" s="32"/>
      <c r="O341" s="2"/>
      <c r="P341" s="2"/>
      <c r="Q341" s="32"/>
      <c r="R341" s="32"/>
      <c r="S341" s="32"/>
      <c r="T341" s="3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10"/>
      <c r="F342" s="10"/>
      <c r="G342" s="32"/>
      <c r="H342" s="32"/>
      <c r="I342" s="32"/>
      <c r="J342" s="73"/>
      <c r="K342" s="32"/>
      <c r="L342" s="32"/>
      <c r="M342" s="32"/>
      <c r="N342" s="32"/>
      <c r="O342" s="2"/>
      <c r="P342" s="2"/>
      <c r="Q342" s="32"/>
      <c r="R342" s="32"/>
      <c r="S342" s="32"/>
      <c r="T342" s="3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10"/>
      <c r="F343" s="10"/>
      <c r="G343" s="32"/>
      <c r="H343" s="32"/>
      <c r="I343" s="32"/>
      <c r="J343" s="73"/>
      <c r="K343" s="32"/>
      <c r="L343" s="32"/>
      <c r="M343" s="32"/>
      <c r="N343" s="32"/>
      <c r="O343" s="2"/>
      <c r="P343" s="2"/>
      <c r="Q343" s="32"/>
      <c r="R343" s="32"/>
      <c r="S343" s="32"/>
      <c r="T343" s="3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10"/>
      <c r="F344" s="10"/>
      <c r="G344" s="32"/>
      <c r="H344" s="32"/>
      <c r="I344" s="32"/>
      <c r="J344" s="73"/>
      <c r="K344" s="32"/>
      <c r="L344" s="32"/>
      <c r="M344" s="32"/>
      <c r="N344" s="32"/>
      <c r="O344" s="2"/>
      <c r="P344" s="2"/>
      <c r="Q344" s="32"/>
      <c r="R344" s="32"/>
      <c r="S344" s="32"/>
      <c r="T344" s="3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10"/>
      <c r="F345" s="10"/>
      <c r="G345" s="32"/>
      <c r="H345" s="32"/>
      <c r="I345" s="32"/>
      <c r="J345" s="73"/>
      <c r="K345" s="32"/>
      <c r="L345" s="32"/>
      <c r="M345" s="32"/>
      <c r="N345" s="32"/>
      <c r="O345" s="2"/>
      <c r="P345" s="2"/>
      <c r="Q345" s="32"/>
      <c r="R345" s="32"/>
      <c r="S345" s="32"/>
      <c r="T345" s="3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10"/>
      <c r="F346" s="10"/>
      <c r="G346" s="32"/>
      <c r="H346" s="32"/>
      <c r="I346" s="32"/>
      <c r="J346" s="73"/>
      <c r="K346" s="32"/>
      <c r="L346" s="32"/>
      <c r="M346" s="32"/>
      <c r="N346" s="32"/>
      <c r="O346" s="2"/>
      <c r="P346" s="2"/>
      <c r="Q346" s="32"/>
      <c r="R346" s="32"/>
      <c r="S346" s="32"/>
      <c r="T346" s="3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10"/>
      <c r="F347" s="10"/>
      <c r="G347" s="32"/>
      <c r="H347" s="32"/>
      <c r="I347" s="32"/>
      <c r="J347" s="73"/>
      <c r="K347" s="32"/>
      <c r="L347" s="32"/>
      <c r="M347" s="32"/>
      <c r="N347" s="32"/>
      <c r="O347" s="2"/>
      <c r="P347" s="2"/>
      <c r="Q347" s="32"/>
      <c r="R347" s="32"/>
      <c r="S347" s="32"/>
      <c r="T347" s="3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10"/>
      <c r="F348" s="10"/>
      <c r="G348" s="32"/>
      <c r="H348" s="32"/>
      <c r="I348" s="32"/>
      <c r="J348" s="73"/>
      <c r="K348" s="32"/>
      <c r="L348" s="32"/>
      <c r="M348" s="32"/>
      <c r="N348" s="32"/>
      <c r="O348" s="2"/>
      <c r="P348" s="2"/>
      <c r="Q348" s="32"/>
      <c r="R348" s="32"/>
      <c r="S348" s="32"/>
      <c r="T348" s="3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10"/>
      <c r="F349" s="10"/>
      <c r="G349" s="32"/>
      <c r="H349" s="32"/>
      <c r="I349" s="32"/>
      <c r="J349" s="73"/>
      <c r="K349" s="32"/>
      <c r="L349" s="32"/>
      <c r="M349" s="32"/>
      <c r="N349" s="32"/>
      <c r="O349" s="2"/>
      <c r="P349" s="2"/>
      <c r="Q349" s="32"/>
      <c r="R349" s="32"/>
      <c r="S349" s="32"/>
      <c r="T349" s="3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10"/>
      <c r="F350" s="10"/>
      <c r="G350" s="32"/>
      <c r="H350" s="32"/>
      <c r="I350" s="32"/>
      <c r="J350" s="73"/>
      <c r="K350" s="32"/>
      <c r="L350" s="32"/>
      <c r="M350" s="32"/>
      <c r="N350" s="32"/>
      <c r="O350" s="2"/>
      <c r="P350" s="2"/>
      <c r="Q350" s="32"/>
      <c r="R350" s="32"/>
      <c r="S350" s="32"/>
      <c r="T350" s="3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10"/>
      <c r="F351" s="10"/>
      <c r="G351" s="32"/>
      <c r="H351" s="32"/>
      <c r="I351" s="32"/>
      <c r="J351" s="73"/>
      <c r="K351" s="32"/>
      <c r="L351" s="32"/>
      <c r="M351" s="32"/>
      <c r="N351" s="32"/>
      <c r="O351" s="2"/>
      <c r="P351" s="2"/>
      <c r="Q351" s="32"/>
      <c r="R351" s="32"/>
      <c r="S351" s="32"/>
      <c r="T351" s="3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10"/>
      <c r="F352" s="10"/>
      <c r="G352" s="32"/>
      <c r="H352" s="32"/>
      <c r="I352" s="32"/>
      <c r="J352" s="73"/>
      <c r="K352" s="32"/>
      <c r="L352" s="32"/>
      <c r="M352" s="32"/>
      <c r="N352" s="32"/>
      <c r="O352" s="2"/>
      <c r="P352" s="2"/>
      <c r="Q352" s="32"/>
      <c r="R352" s="32"/>
      <c r="S352" s="32"/>
      <c r="T352" s="3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10"/>
      <c r="F353" s="10"/>
      <c r="G353" s="32"/>
      <c r="H353" s="32"/>
      <c r="I353" s="32"/>
      <c r="J353" s="73"/>
      <c r="K353" s="32"/>
      <c r="L353" s="32"/>
      <c r="M353" s="32"/>
      <c r="N353" s="32"/>
      <c r="O353" s="2"/>
      <c r="P353" s="2"/>
      <c r="Q353" s="32"/>
      <c r="R353" s="32"/>
      <c r="S353" s="32"/>
      <c r="T353" s="3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10"/>
      <c r="F354" s="10"/>
      <c r="G354" s="32"/>
      <c r="H354" s="32"/>
      <c r="I354" s="32"/>
      <c r="J354" s="73"/>
      <c r="K354" s="32"/>
      <c r="L354" s="32"/>
      <c r="M354" s="32"/>
      <c r="N354" s="32"/>
      <c r="O354" s="2"/>
      <c r="P354" s="2"/>
      <c r="Q354" s="32"/>
      <c r="R354" s="32"/>
      <c r="S354" s="32"/>
      <c r="T354" s="3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10"/>
      <c r="F355" s="10"/>
      <c r="G355" s="32"/>
      <c r="H355" s="32"/>
      <c r="I355" s="32"/>
      <c r="J355" s="73"/>
      <c r="K355" s="32"/>
      <c r="L355" s="32"/>
      <c r="M355" s="32"/>
      <c r="N355" s="32"/>
      <c r="O355" s="2"/>
      <c r="P355" s="2"/>
      <c r="Q355" s="32"/>
      <c r="R355" s="32"/>
      <c r="S355" s="32"/>
      <c r="T355" s="3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10"/>
      <c r="F356" s="10"/>
      <c r="G356" s="32"/>
      <c r="H356" s="32"/>
      <c r="I356" s="32"/>
      <c r="J356" s="73"/>
      <c r="K356" s="32"/>
      <c r="L356" s="32"/>
      <c r="M356" s="32"/>
      <c r="N356" s="32"/>
      <c r="O356" s="2"/>
      <c r="P356" s="2"/>
      <c r="Q356" s="32"/>
      <c r="R356" s="32"/>
      <c r="S356" s="32"/>
      <c r="T356" s="3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10"/>
      <c r="F357" s="10"/>
      <c r="G357" s="32"/>
      <c r="H357" s="32"/>
      <c r="I357" s="32"/>
      <c r="J357" s="73"/>
      <c r="K357" s="32"/>
      <c r="L357" s="32"/>
      <c r="M357" s="32"/>
      <c r="N357" s="32"/>
      <c r="O357" s="2"/>
      <c r="P357" s="2"/>
      <c r="Q357" s="32"/>
      <c r="R357" s="32"/>
      <c r="S357" s="32"/>
      <c r="T357" s="3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10"/>
      <c r="F358" s="10"/>
      <c r="G358" s="32"/>
      <c r="H358" s="32"/>
      <c r="I358" s="32"/>
      <c r="J358" s="73"/>
      <c r="K358" s="32"/>
      <c r="L358" s="32"/>
      <c r="M358" s="32"/>
      <c r="N358" s="32"/>
      <c r="O358" s="2"/>
      <c r="P358" s="2"/>
      <c r="Q358" s="32"/>
      <c r="R358" s="32"/>
      <c r="S358" s="32"/>
      <c r="T358" s="3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10"/>
      <c r="F359" s="10"/>
      <c r="G359" s="32"/>
      <c r="H359" s="32"/>
      <c r="I359" s="32"/>
      <c r="J359" s="73"/>
      <c r="K359" s="32"/>
      <c r="L359" s="32"/>
      <c r="M359" s="32"/>
      <c r="N359" s="32"/>
      <c r="O359" s="2"/>
      <c r="P359" s="2"/>
      <c r="Q359" s="32"/>
      <c r="R359" s="32"/>
      <c r="S359" s="32"/>
      <c r="T359" s="3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10"/>
      <c r="F360" s="10"/>
      <c r="G360" s="32"/>
      <c r="H360" s="32"/>
      <c r="I360" s="32"/>
      <c r="J360" s="73"/>
      <c r="K360" s="32"/>
      <c r="L360" s="32"/>
      <c r="M360" s="32"/>
      <c r="N360" s="32"/>
      <c r="O360" s="2"/>
      <c r="P360" s="2"/>
      <c r="Q360" s="32"/>
      <c r="R360" s="32"/>
      <c r="S360" s="32"/>
      <c r="T360" s="3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10"/>
      <c r="F361" s="10"/>
      <c r="G361" s="32"/>
      <c r="H361" s="32"/>
      <c r="I361" s="32"/>
      <c r="J361" s="73"/>
      <c r="K361" s="32"/>
      <c r="L361" s="32"/>
      <c r="M361" s="32"/>
      <c r="N361" s="32"/>
      <c r="O361" s="2"/>
      <c r="P361" s="2"/>
      <c r="Q361" s="32"/>
      <c r="R361" s="32"/>
      <c r="S361" s="32"/>
      <c r="T361" s="3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10"/>
      <c r="F362" s="10"/>
      <c r="G362" s="32"/>
      <c r="H362" s="32"/>
      <c r="I362" s="32"/>
      <c r="J362" s="73"/>
      <c r="K362" s="32"/>
      <c r="L362" s="32"/>
      <c r="M362" s="32"/>
      <c r="N362" s="32"/>
      <c r="O362" s="2"/>
      <c r="P362" s="2"/>
      <c r="Q362" s="32"/>
      <c r="R362" s="32"/>
      <c r="S362" s="32"/>
      <c r="T362" s="3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10"/>
      <c r="F363" s="10"/>
      <c r="G363" s="32"/>
      <c r="H363" s="32"/>
      <c r="I363" s="32"/>
      <c r="J363" s="73"/>
      <c r="K363" s="32"/>
      <c r="L363" s="32"/>
      <c r="M363" s="32"/>
      <c r="N363" s="32"/>
      <c r="O363" s="2"/>
      <c r="P363" s="2"/>
      <c r="Q363" s="32"/>
      <c r="R363" s="32"/>
      <c r="S363" s="32"/>
      <c r="T363" s="3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10"/>
      <c r="F364" s="10"/>
      <c r="G364" s="32"/>
      <c r="H364" s="32"/>
      <c r="I364" s="32"/>
      <c r="J364" s="73"/>
      <c r="K364" s="32"/>
      <c r="L364" s="32"/>
      <c r="M364" s="32"/>
      <c r="N364" s="32"/>
      <c r="O364" s="2"/>
      <c r="P364" s="2"/>
      <c r="Q364" s="32"/>
      <c r="R364" s="32"/>
      <c r="S364" s="32"/>
      <c r="T364" s="3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10"/>
      <c r="F365" s="10"/>
      <c r="G365" s="32"/>
      <c r="H365" s="32"/>
      <c r="I365" s="32"/>
      <c r="J365" s="73"/>
      <c r="K365" s="32"/>
      <c r="L365" s="32"/>
      <c r="M365" s="32"/>
      <c r="N365" s="32"/>
      <c r="O365" s="2"/>
      <c r="P365" s="2"/>
      <c r="Q365" s="32"/>
      <c r="R365" s="32"/>
      <c r="S365" s="32"/>
      <c r="T365" s="3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10"/>
      <c r="F366" s="10"/>
      <c r="G366" s="32"/>
      <c r="H366" s="32"/>
      <c r="I366" s="32"/>
      <c r="J366" s="73"/>
      <c r="K366" s="32"/>
      <c r="L366" s="32"/>
      <c r="M366" s="32"/>
      <c r="N366" s="32"/>
      <c r="O366" s="2"/>
      <c r="P366" s="2"/>
      <c r="Q366" s="32"/>
      <c r="R366" s="32"/>
      <c r="S366" s="32"/>
      <c r="T366" s="3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10"/>
      <c r="F367" s="10"/>
      <c r="G367" s="32"/>
      <c r="H367" s="32"/>
      <c r="I367" s="32"/>
      <c r="J367" s="73"/>
      <c r="K367" s="32"/>
      <c r="L367" s="32"/>
      <c r="M367" s="32"/>
      <c r="N367" s="32"/>
      <c r="O367" s="2"/>
      <c r="P367" s="2"/>
      <c r="Q367" s="32"/>
      <c r="R367" s="32"/>
      <c r="S367" s="32"/>
      <c r="T367" s="3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10"/>
      <c r="F368" s="10"/>
      <c r="G368" s="32"/>
      <c r="H368" s="32"/>
      <c r="I368" s="32"/>
      <c r="J368" s="73"/>
      <c r="K368" s="32"/>
      <c r="L368" s="32"/>
      <c r="M368" s="32"/>
      <c r="N368" s="32"/>
      <c r="O368" s="2"/>
      <c r="P368" s="2"/>
      <c r="Q368" s="32"/>
      <c r="R368" s="32"/>
      <c r="S368" s="32"/>
      <c r="T368" s="3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10"/>
      <c r="F369" s="10"/>
      <c r="G369" s="32"/>
      <c r="H369" s="32"/>
      <c r="I369" s="32"/>
      <c r="J369" s="73"/>
      <c r="K369" s="32"/>
      <c r="L369" s="32"/>
      <c r="M369" s="32"/>
      <c r="N369" s="32"/>
      <c r="O369" s="2"/>
      <c r="P369" s="2"/>
      <c r="Q369" s="32"/>
      <c r="R369" s="32"/>
      <c r="S369" s="32"/>
      <c r="T369" s="3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10"/>
      <c r="F370" s="10"/>
      <c r="G370" s="32"/>
      <c r="H370" s="32"/>
      <c r="I370" s="32"/>
      <c r="J370" s="73"/>
      <c r="K370" s="32"/>
      <c r="L370" s="32"/>
      <c r="M370" s="32"/>
      <c r="N370" s="32"/>
      <c r="O370" s="2"/>
      <c r="P370" s="2"/>
      <c r="Q370" s="32"/>
      <c r="R370" s="32"/>
      <c r="S370" s="32"/>
      <c r="T370" s="3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10"/>
      <c r="F371" s="10"/>
      <c r="G371" s="32"/>
      <c r="H371" s="32"/>
      <c r="I371" s="32"/>
      <c r="J371" s="73"/>
      <c r="K371" s="32"/>
      <c r="L371" s="32"/>
      <c r="M371" s="32"/>
      <c r="N371" s="32"/>
      <c r="O371" s="2"/>
      <c r="P371" s="2"/>
      <c r="Q371" s="32"/>
      <c r="R371" s="32"/>
      <c r="S371" s="32"/>
      <c r="T371" s="3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10"/>
      <c r="F372" s="10"/>
      <c r="G372" s="32"/>
      <c r="H372" s="32"/>
      <c r="I372" s="32"/>
      <c r="J372" s="73"/>
      <c r="K372" s="32"/>
      <c r="L372" s="32"/>
      <c r="M372" s="32"/>
      <c r="N372" s="32"/>
      <c r="O372" s="2"/>
      <c r="P372" s="2"/>
      <c r="Q372" s="32"/>
      <c r="R372" s="32"/>
      <c r="S372" s="32"/>
      <c r="T372" s="3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10"/>
      <c r="F373" s="10"/>
      <c r="G373" s="32"/>
      <c r="H373" s="32"/>
      <c r="I373" s="32"/>
      <c r="J373" s="73"/>
      <c r="K373" s="32"/>
      <c r="L373" s="32"/>
      <c r="M373" s="32"/>
      <c r="N373" s="32"/>
      <c r="O373" s="2"/>
      <c r="P373" s="2"/>
      <c r="Q373" s="32"/>
      <c r="R373" s="32"/>
      <c r="S373" s="32"/>
      <c r="T373" s="3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10"/>
      <c r="F374" s="10"/>
      <c r="G374" s="32"/>
      <c r="H374" s="32"/>
      <c r="I374" s="32"/>
      <c r="J374" s="73"/>
      <c r="K374" s="32"/>
      <c r="L374" s="32"/>
      <c r="M374" s="32"/>
      <c r="N374" s="32"/>
      <c r="O374" s="2"/>
      <c r="P374" s="2"/>
      <c r="Q374" s="32"/>
      <c r="R374" s="32"/>
      <c r="S374" s="32"/>
      <c r="T374" s="3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10"/>
      <c r="F375" s="10"/>
      <c r="G375" s="32"/>
      <c r="H375" s="32"/>
      <c r="I375" s="32"/>
      <c r="J375" s="73"/>
      <c r="K375" s="32"/>
      <c r="L375" s="32"/>
      <c r="M375" s="32"/>
      <c r="N375" s="32"/>
      <c r="O375" s="2"/>
      <c r="P375" s="2"/>
      <c r="Q375" s="32"/>
      <c r="R375" s="32"/>
      <c r="S375" s="32"/>
      <c r="T375" s="3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10"/>
      <c r="F376" s="10"/>
      <c r="G376" s="32"/>
      <c r="H376" s="32"/>
      <c r="I376" s="32"/>
      <c r="J376" s="73"/>
      <c r="K376" s="32"/>
      <c r="L376" s="32"/>
      <c r="M376" s="32"/>
      <c r="N376" s="32"/>
      <c r="O376" s="2"/>
      <c r="P376" s="2"/>
      <c r="Q376" s="32"/>
      <c r="R376" s="32"/>
      <c r="S376" s="32"/>
      <c r="T376" s="3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10"/>
      <c r="F377" s="10"/>
      <c r="G377" s="32"/>
      <c r="H377" s="32"/>
      <c r="I377" s="32"/>
      <c r="J377" s="73"/>
      <c r="K377" s="32"/>
      <c r="L377" s="32"/>
      <c r="M377" s="32"/>
      <c r="N377" s="32"/>
      <c r="O377" s="2"/>
      <c r="P377" s="2"/>
      <c r="Q377" s="32"/>
      <c r="R377" s="32"/>
      <c r="S377" s="32"/>
      <c r="T377" s="3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10"/>
      <c r="F378" s="10"/>
      <c r="G378" s="32"/>
      <c r="H378" s="32"/>
      <c r="I378" s="32"/>
      <c r="J378" s="73"/>
      <c r="K378" s="32"/>
      <c r="L378" s="32"/>
      <c r="M378" s="32"/>
      <c r="N378" s="32"/>
      <c r="O378" s="2"/>
      <c r="P378" s="2"/>
      <c r="Q378" s="32"/>
      <c r="R378" s="32"/>
      <c r="S378" s="32"/>
      <c r="T378" s="3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10"/>
      <c r="F379" s="10"/>
      <c r="G379" s="32"/>
      <c r="H379" s="32"/>
      <c r="I379" s="32"/>
      <c r="J379" s="73"/>
      <c r="K379" s="32"/>
      <c r="L379" s="32"/>
      <c r="M379" s="32"/>
      <c r="N379" s="32"/>
      <c r="O379" s="2"/>
      <c r="P379" s="2"/>
      <c r="Q379" s="32"/>
      <c r="R379" s="32"/>
      <c r="S379" s="32"/>
      <c r="T379" s="3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10"/>
      <c r="F380" s="10"/>
      <c r="G380" s="32"/>
      <c r="H380" s="32"/>
      <c r="I380" s="32"/>
      <c r="J380" s="73"/>
      <c r="K380" s="32"/>
      <c r="L380" s="32"/>
      <c r="M380" s="32"/>
      <c r="N380" s="32"/>
      <c r="O380" s="2"/>
      <c r="P380" s="2"/>
      <c r="Q380" s="32"/>
      <c r="R380" s="32"/>
      <c r="S380" s="32"/>
      <c r="T380" s="3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10"/>
      <c r="F381" s="10"/>
      <c r="G381" s="32"/>
      <c r="H381" s="32"/>
      <c r="I381" s="32"/>
      <c r="J381" s="73"/>
      <c r="K381" s="32"/>
      <c r="L381" s="32"/>
      <c r="M381" s="32"/>
      <c r="N381" s="32"/>
      <c r="O381" s="2"/>
      <c r="P381" s="2"/>
      <c r="Q381" s="32"/>
      <c r="R381" s="32"/>
      <c r="S381" s="32"/>
      <c r="T381" s="3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10"/>
      <c r="F382" s="10"/>
      <c r="G382" s="32"/>
      <c r="H382" s="32"/>
      <c r="I382" s="32"/>
      <c r="J382" s="73"/>
      <c r="K382" s="32"/>
      <c r="L382" s="32"/>
      <c r="M382" s="32"/>
      <c r="N382" s="32"/>
      <c r="O382" s="2"/>
      <c r="P382" s="2"/>
      <c r="Q382" s="32"/>
      <c r="R382" s="32"/>
      <c r="S382" s="32"/>
      <c r="T382" s="3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10"/>
      <c r="F383" s="10"/>
      <c r="G383" s="32"/>
      <c r="H383" s="32"/>
      <c r="I383" s="32"/>
      <c r="J383" s="73"/>
      <c r="K383" s="32"/>
      <c r="L383" s="32"/>
      <c r="M383" s="32"/>
      <c r="N383" s="32"/>
      <c r="O383" s="2"/>
      <c r="P383" s="2"/>
      <c r="Q383" s="32"/>
      <c r="R383" s="32"/>
      <c r="S383" s="32"/>
      <c r="T383" s="3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10"/>
      <c r="F384" s="10"/>
      <c r="G384" s="32"/>
      <c r="H384" s="32"/>
      <c r="I384" s="32"/>
      <c r="J384" s="73"/>
      <c r="K384" s="32"/>
      <c r="L384" s="32"/>
      <c r="M384" s="32"/>
      <c r="N384" s="32"/>
      <c r="O384" s="2"/>
      <c r="P384" s="2"/>
      <c r="Q384" s="32"/>
      <c r="R384" s="32"/>
      <c r="S384" s="32"/>
      <c r="T384" s="3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10"/>
      <c r="F385" s="10"/>
      <c r="G385" s="32"/>
      <c r="H385" s="32"/>
      <c r="I385" s="32"/>
      <c r="J385" s="73"/>
      <c r="K385" s="32"/>
      <c r="L385" s="32"/>
      <c r="M385" s="32"/>
      <c r="N385" s="32"/>
      <c r="O385" s="2"/>
      <c r="P385" s="2"/>
      <c r="Q385" s="32"/>
      <c r="R385" s="32"/>
      <c r="S385" s="32"/>
      <c r="T385" s="3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10"/>
      <c r="F386" s="10"/>
      <c r="G386" s="32"/>
      <c r="H386" s="32"/>
      <c r="I386" s="32"/>
      <c r="J386" s="73"/>
      <c r="K386" s="32"/>
      <c r="L386" s="32"/>
      <c r="M386" s="32"/>
      <c r="N386" s="32"/>
      <c r="O386" s="2"/>
      <c r="P386" s="2"/>
      <c r="Q386" s="32"/>
      <c r="R386" s="32"/>
      <c r="S386" s="32"/>
      <c r="T386" s="3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10"/>
      <c r="F387" s="10"/>
      <c r="G387" s="32"/>
      <c r="H387" s="32"/>
      <c r="I387" s="32"/>
      <c r="J387" s="73"/>
      <c r="K387" s="32"/>
      <c r="L387" s="32"/>
      <c r="M387" s="32"/>
      <c r="N387" s="32"/>
      <c r="O387" s="2"/>
      <c r="P387" s="2"/>
      <c r="Q387" s="32"/>
      <c r="R387" s="32"/>
      <c r="S387" s="32"/>
      <c r="T387" s="3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10"/>
      <c r="F388" s="10"/>
      <c r="G388" s="32"/>
      <c r="H388" s="32"/>
      <c r="I388" s="32"/>
      <c r="J388" s="73"/>
      <c r="K388" s="32"/>
      <c r="L388" s="32"/>
      <c r="M388" s="32"/>
      <c r="N388" s="32"/>
      <c r="O388" s="2"/>
      <c r="P388" s="2"/>
      <c r="Q388" s="32"/>
      <c r="R388" s="32"/>
      <c r="S388" s="32"/>
      <c r="T388" s="3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10"/>
      <c r="F389" s="10"/>
      <c r="G389" s="32"/>
      <c r="H389" s="32"/>
      <c r="I389" s="32"/>
      <c r="J389" s="73"/>
      <c r="K389" s="32"/>
      <c r="L389" s="32"/>
      <c r="M389" s="32"/>
      <c r="N389" s="32"/>
      <c r="O389" s="2"/>
      <c r="P389" s="2"/>
      <c r="Q389" s="32"/>
      <c r="R389" s="32"/>
      <c r="S389" s="32"/>
      <c r="T389" s="3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10"/>
      <c r="F390" s="10"/>
      <c r="G390" s="32"/>
      <c r="H390" s="32"/>
      <c r="I390" s="32"/>
      <c r="J390" s="73"/>
      <c r="K390" s="32"/>
      <c r="L390" s="32"/>
      <c r="M390" s="32"/>
      <c r="N390" s="32"/>
      <c r="O390" s="2"/>
      <c r="P390" s="2"/>
      <c r="Q390" s="32"/>
      <c r="R390" s="32"/>
      <c r="S390" s="32"/>
      <c r="T390" s="3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10"/>
      <c r="F391" s="10"/>
      <c r="G391" s="32"/>
      <c r="H391" s="32"/>
      <c r="I391" s="32"/>
      <c r="J391" s="73"/>
      <c r="K391" s="32"/>
      <c r="L391" s="32"/>
      <c r="M391" s="32"/>
      <c r="N391" s="32"/>
      <c r="O391" s="2"/>
      <c r="P391" s="2"/>
      <c r="Q391" s="32"/>
      <c r="R391" s="32"/>
      <c r="S391" s="32"/>
      <c r="T391" s="3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10"/>
      <c r="F392" s="10"/>
      <c r="G392" s="32"/>
      <c r="H392" s="32"/>
      <c r="I392" s="32"/>
      <c r="J392" s="73"/>
      <c r="K392" s="32"/>
      <c r="L392" s="32"/>
      <c r="M392" s="32"/>
      <c r="N392" s="32"/>
      <c r="O392" s="2"/>
      <c r="P392" s="2"/>
      <c r="Q392" s="32"/>
      <c r="R392" s="32"/>
      <c r="S392" s="32"/>
      <c r="T392" s="3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10"/>
      <c r="F393" s="10"/>
      <c r="G393" s="32"/>
      <c r="H393" s="32"/>
      <c r="I393" s="32"/>
      <c r="J393" s="73"/>
      <c r="K393" s="32"/>
      <c r="L393" s="32"/>
      <c r="M393" s="32"/>
      <c r="N393" s="32"/>
      <c r="O393" s="2"/>
      <c r="P393" s="2"/>
      <c r="Q393" s="32"/>
      <c r="R393" s="32"/>
      <c r="S393" s="32"/>
      <c r="T393" s="3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10"/>
      <c r="F394" s="10"/>
      <c r="G394" s="32"/>
      <c r="H394" s="32"/>
      <c r="I394" s="32"/>
      <c r="J394" s="73"/>
      <c r="K394" s="32"/>
      <c r="L394" s="32"/>
      <c r="M394" s="32"/>
      <c r="N394" s="32"/>
      <c r="O394" s="2"/>
      <c r="P394" s="2"/>
      <c r="Q394" s="32"/>
      <c r="R394" s="32"/>
      <c r="S394" s="32"/>
      <c r="T394" s="3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10"/>
      <c r="F395" s="10"/>
      <c r="G395" s="32"/>
      <c r="H395" s="32"/>
      <c r="I395" s="32"/>
      <c r="J395" s="73"/>
      <c r="K395" s="32"/>
      <c r="L395" s="32"/>
      <c r="M395" s="32"/>
      <c r="N395" s="32"/>
      <c r="O395" s="2"/>
      <c r="P395" s="2"/>
      <c r="Q395" s="32"/>
      <c r="R395" s="32"/>
      <c r="S395" s="32"/>
      <c r="T395" s="3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10"/>
      <c r="F396" s="10"/>
      <c r="G396" s="32"/>
      <c r="H396" s="32"/>
      <c r="I396" s="32"/>
      <c r="J396" s="73"/>
      <c r="K396" s="32"/>
      <c r="L396" s="32"/>
      <c r="M396" s="32"/>
      <c r="N396" s="32"/>
      <c r="O396" s="2"/>
      <c r="P396" s="2"/>
      <c r="Q396" s="32"/>
      <c r="R396" s="32"/>
      <c r="S396" s="32"/>
      <c r="T396" s="3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10"/>
      <c r="F397" s="10"/>
      <c r="G397" s="32"/>
      <c r="H397" s="32"/>
      <c r="I397" s="32"/>
      <c r="J397" s="73"/>
      <c r="K397" s="32"/>
      <c r="L397" s="32"/>
      <c r="M397" s="32"/>
      <c r="N397" s="32"/>
      <c r="O397" s="2"/>
      <c r="P397" s="2"/>
      <c r="Q397" s="32"/>
      <c r="R397" s="32"/>
      <c r="S397" s="32"/>
      <c r="T397" s="3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10"/>
      <c r="F398" s="10"/>
      <c r="G398" s="32"/>
      <c r="H398" s="32"/>
      <c r="I398" s="32"/>
      <c r="J398" s="73"/>
      <c r="K398" s="32"/>
      <c r="L398" s="32"/>
      <c r="M398" s="32"/>
      <c r="N398" s="32"/>
      <c r="O398" s="2"/>
      <c r="P398" s="2"/>
      <c r="Q398" s="32"/>
      <c r="R398" s="32"/>
      <c r="S398" s="32"/>
      <c r="T398" s="3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10"/>
      <c r="F399" s="10"/>
      <c r="G399" s="32"/>
      <c r="H399" s="32"/>
      <c r="I399" s="32"/>
      <c r="J399" s="73"/>
      <c r="K399" s="32"/>
      <c r="L399" s="32"/>
      <c r="M399" s="32"/>
      <c r="N399" s="32"/>
      <c r="O399" s="2"/>
      <c r="P399" s="2"/>
      <c r="Q399" s="32"/>
      <c r="R399" s="32"/>
      <c r="S399" s="32"/>
      <c r="T399" s="3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10"/>
      <c r="F400" s="10"/>
      <c r="G400" s="32"/>
      <c r="H400" s="32"/>
      <c r="I400" s="32"/>
      <c r="J400" s="73"/>
      <c r="K400" s="32"/>
      <c r="L400" s="32"/>
      <c r="M400" s="32"/>
      <c r="N400" s="32"/>
      <c r="O400" s="2"/>
      <c r="P400" s="2"/>
      <c r="Q400" s="32"/>
      <c r="R400" s="32"/>
      <c r="S400" s="32"/>
      <c r="T400" s="3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10"/>
      <c r="F401" s="10"/>
      <c r="G401" s="32"/>
      <c r="H401" s="32"/>
      <c r="I401" s="32"/>
      <c r="J401" s="73"/>
      <c r="K401" s="32"/>
      <c r="L401" s="32"/>
      <c r="M401" s="32"/>
      <c r="N401" s="32"/>
      <c r="O401" s="2"/>
      <c r="P401" s="2"/>
      <c r="Q401" s="32"/>
      <c r="R401" s="32"/>
      <c r="S401" s="32"/>
      <c r="T401" s="3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10"/>
      <c r="F402" s="10"/>
      <c r="G402" s="32"/>
      <c r="H402" s="32"/>
      <c r="I402" s="32"/>
      <c r="J402" s="73"/>
      <c r="K402" s="32"/>
      <c r="L402" s="32"/>
      <c r="M402" s="32"/>
      <c r="N402" s="32"/>
      <c r="O402" s="2"/>
      <c r="P402" s="2"/>
      <c r="Q402" s="32"/>
      <c r="R402" s="32"/>
      <c r="S402" s="32"/>
      <c r="T402" s="3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10"/>
      <c r="F403" s="10"/>
      <c r="G403" s="32"/>
      <c r="H403" s="32"/>
      <c r="I403" s="32"/>
      <c r="J403" s="73"/>
      <c r="K403" s="32"/>
      <c r="L403" s="32"/>
      <c r="M403" s="32"/>
      <c r="N403" s="32"/>
      <c r="O403" s="2"/>
      <c r="P403" s="2"/>
      <c r="Q403" s="32"/>
      <c r="R403" s="32"/>
      <c r="S403" s="32"/>
      <c r="T403" s="3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10"/>
      <c r="F404" s="10"/>
      <c r="G404" s="32"/>
      <c r="H404" s="32"/>
      <c r="I404" s="32"/>
      <c r="J404" s="73"/>
      <c r="K404" s="32"/>
      <c r="L404" s="32"/>
      <c r="M404" s="32"/>
      <c r="N404" s="32"/>
      <c r="O404" s="2"/>
      <c r="P404" s="2"/>
      <c r="Q404" s="32"/>
      <c r="R404" s="32"/>
      <c r="S404" s="32"/>
      <c r="T404" s="3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10"/>
      <c r="F405" s="10"/>
      <c r="G405" s="32"/>
      <c r="H405" s="32"/>
      <c r="I405" s="32"/>
      <c r="J405" s="73"/>
      <c r="K405" s="32"/>
      <c r="L405" s="32"/>
      <c r="M405" s="32"/>
      <c r="N405" s="32"/>
      <c r="O405" s="2"/>
      <c r="P405" s="2"/>
      <c r="Q405" s="32"/>
      <c r="R405" s="32"/>
      <c r="S405" s="32"/>
      <c r="T405" s="3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10"/>
      <c r="F406" s="10"/>
      <c r="G406" s="32"/>
      <c r="H406" s="32"/>
      <c r="I406" s="32"/>
      <c r="J406" s="73"/>
      <c r="K406" s="32"/>
      <c r="L406" s="32"/>
      <c r="M406" s="32"/>
      <c r="N406" s="32"/>
      <c r="O406" s="2"/>
      <c r="P406" s="2"/>
      <c r="Q406" s="32"/>
      <c r="R406" s="32"/>
      <c r="S406" s="32"/>
      <c r="T406" s="3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10"/>
      <c r="F407" s="10"/>
      <c r="G407" s="32"/>
      <c r="H407" s="32"/>
      <c r="I407" s="32"/>
      <c r="J407" s="73"/>
      <c r="K407" s="32"/>
      <c r="L407" s="32"/>
      <c r="M407" s="32"/>
      <c r="N407" s="32"/>
      <c r="O407" s="2"/>
      <c r="P407" s="2"/>
      <c r="Q407" s="32"/>
      <c r="R407" s="32"/>
      <c r="S407" s="32"/>
      <c r="T407" s="3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10"/>
      <c r="F408" s="10"/>
      <c r="G408" s="32"/>
      <c r="H408" s="32"/>
      <c r="I408" s="32"/>
      <c r="J408" s="73"/>
      <c r="K408" s="32"/>
      <c r="L408" s="32"/>
      <c r="M408" s="32"/>
      <c r="N408" s="32"/>
      <c r="O408" s="2"/>
      <c r="P408" s="2"/>
      <c r="Q408" s="32"/>
      <c r="R408" s="32"/>
      <c r="S408" s="32"/>
      <c r="T408" s="3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10"/>
      <c r="F409" s="10"/>
      <c r="G409" s="32"/>
      <c r="H409" s="32"/>
      <c r="I409" s="32"/>
      <c r="J409" s="73"/>
      <c r="K409" s="32"/>
      <c r="L409" s="32"/>
      <c r="M409" s="32"/>
      <c r="N409" s="32"/>
      <c r="O409" s="2"/>
      <c r="P409" s="2"/>
      <c r="Q409" s="32"/>
      <c r="R409" s="32"/>
      <c r="S409" s="32"/>
      <c r="T409" s="3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10"/>
      <c r="F410" s="10"/>
      <c r="G410" s="32"/>
      <c r="H410" s="32"/>
      <c r="I410" s="32"/>
      <c r="J410" s="73"/>
      <c r="K410" s="32"/>
      <c r="L410" s="32"/>
      <c r="M410" s="32"/>
      <c r="N410" s="32"/>
      <c r="O410" s="2"/>
      <c r="P410" s="2"/>
      <c r="Q410" s="32"/>
      <c r="R410" s="32"/>
      <c r="S410" s="32"/>
      <c r="T410" s="3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10"/>
      <c r="F411" s="10"/>
      <c r="G411" s="32"/>
      <c r="H411" s="32"/>
      <c r="I411" s="32"/>
      <c r="J411" s="73"/>
      <c r="K411" s="32"/>
      <c r="L411" s="32"/>
      <c r="M411" s="32"/>
      <c r="N411" s="32"/>
      <c r="O411" s="2"/>
      <c r="P411" s="2"/>
      <c r="Q411" s="32"/>
      <c r="R411" s="32"/>
      <c r="S411" s="32"/>
      <c r="T411" s="3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10"/>
      <c r="F412" s="10"/>
      <c r="G412" s="32"/>
      <c r="H412" s="32"/>
      <c r="I412" s="32"/>
      <c r="J412" s="73"/>
      <c r="K412" s="32"/>
      <c r="L412" s="32"/>
      <c r="M412" s="32"/>
      <c r="N412" s="32"/>
      <c r="O412" s="2"/>
      <c r="P412" s="2"/>
      <c r="Q412" s="32"/>
      <c r="R412" s="32"/>
      <c r="S412" s="32"/>
      <c r="T412" s="3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10"/>
      <c r="F413" s="10"/>
      <c r="G413" s="32"/>
      <c r="H413" s="32"/>
      <c r="I413" s="32"/>
      <c r="J413" s="73"/>
      <c r="K413" s="32"/>
      <c r="L413" s="32"/>
      <c r="M413" s="32"/>
      <c r="N413" s="32"/>
      <c r="O413" s="2"/>
      <c r="P413" s="2"/>
      <c r="Q413" s="32"/>
      <c r="R413" s="32"/>
      <c r="S413" s="32"/>
      <c r="T413" s="3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10"/>
      <c r="F414" s="10"/>
      <c r="G414" s="32"/>
      <c r="H414" s="32"/>
      <c r="I414" s="32"/>
      <c r="J414" s="73"/>
      <c r="K414" s="32"/>
      <c r="L414" s="32"/>
      <c r="M414" s="32"/>
      <c r="N414" s="32"/>
      <c r="O414" s="2"/>
      <c r="P414" s="2"/>
      <c r="Q414" s="32"/>
      <c r="R414" s="32"/>
      <c r="S414" s="32"/>
      <c r="T414" s="3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10"/>
      <c r="F415" s="10"/>
      <c r="G415" s="32"/>
      <c r="H415" s="32"/>
      <c r="I415" s="32"/>
      <c r="J415" s="73"/>
      <c r="K415" s="32"/>
      <c r="L415" s="32"/>
      <c r="M415" s="32"/>
      <c r="N415" s="32"/>
      <c r="O415" s="2"/>
      <c r="P415" s="2"/>
      <c r="Q415" s="32"/>
      <c r="R415" s="32"/>
      <c r="S415" s="32"/>
      <c r="T415" s="3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10"/>
      <c r="F416" s="10"/>
      <c r="G416" s="32"/>
      <c r="H416" s="32"/>
      <c r="I416" s="32"/>
      <c r="J416" s="73"/>
      <c r="K416" s="32"/>
      <c r="L416" s="32"/>
      <c r="M416" s="32"/>
      <c r="N416" s="32"/>
      <c r="O416" s="2"/>
      <c r="P416" s="2"/>
      <c r="Q416" s="32"/>
      <c r="R416" s="32"/>
      <c r="S416" s="32"/>
      <c r="T416" s="3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10"/>
      <c r="F417" s="10"/>
      <c r="G417" s="32"/>
      <c r="H417" s="32"/>
      <c r="I417" s="32"/>
      <c r="J417" s="73"/>
      <c r="K417" s="32"/>
      <c r="L417" s="32"/>
      <c r="M417" s="32"/>
      <c r="N417" s="32"/>
      <c r="O417" s="2"/>
      <c r="P417" s="2"/>
      <c r="Q417" s="32"/>
      <c r="R417" s="32"/>
      <c r="S417" s="32"/>
      <c r="T417" s="3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10"/>
      <c r="F418" s="10"/>
      <c r="G418" s="32"/>
      <c r="H418" s="32"/>
      <c r="I418" s="32"/>
      <c r="J418" s="73"/>
      <c r="K418" s="32"/>
      <c r="L418" s="32"/>
      <c r="M418" s="32"/>
      <c r="N418" s="32"/>
      <c r="O418" s="2"/>
      <c r="P418" s="2"/>
      <c r="Q418" s="32"/>
      <c r="R418" s="32"/>
      <c r="S418" s="32"/>
      <c r="T418" s="3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10"/>
      <c r="F419" s="10"/>
      <c r="G419" s="32"/>
      <c r="H419" s="32"/>
      <c r="I419" s="32"/>
      <c r="J419" s="73"/>
      <c r="K419" s="32"/>
      <c r="L419" s="32"/>
      <c r="M419" s="32"/>
      <c r="N419" s="32"/>
      <c r="O419" s="2"/>
      <c r="P419" s="2"/>
      <c r="Q419" s="32"/>
      <c r="R419" s="32"/>
      <c r="S419" s="32"/>
      <c r="T419" s="3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10"/>
      <c r="F420" s="10"/>
      <c r="G420" s="32"/>
      <c r="H420" s="32"/>
      <c r="I420" s="32"/>
      <c r="J420" s="73"/>
      <c r="K420" s="32"/>
      <c r="L420" s="32"/>
      <c r="M420" s="32"/>
      <c r="N420" s="32"/>
      <c r="O420" s="2"/>
      <c r="P420" s="2"/>
      <c r="Q420" s="32"/>
      <c r="R420" s="32"/>
      <c r="S420" s="32"/>
      <c r="T420" s="3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10"/>
      <c r="F421" s="10"/>
      <c r="G421" s="32"/>
      <c r="H421" s="32"/>
      <c r="I421" s="32"/>
      <c r="J421" s="73"/>
      <c r="K421" s="32"/>
      <c r="L421" s="32"/>
      <c r="M421" s="32"/>
      <c r="N421" s="32"/>
      <c r="O421" s="2"/>
      <c r="P421" s="2"/>
      <c r="Q421" s="32"/>
      <c r="R421" s="32"/>
      <c r="S421" s="32"/>
      <c r="T421" s="3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10"/>
      <c r="F422" s="10"/>
      <c r="G422" s="32"/>
      <c r="H422" s="32"/>
      <c r="I422" s="32"/>
      <c r="J422" s="73"/>
      <c r="K422" s="32"/>
      <c r="L422" s="32"/>
      <c r="M422" s="32"/>
      <c r="N422" s="32"/>
      <c r="O422" s="2"/>
      <c r="P422" s="2"/>
      <c r="Q422" s="32"/>
      <c r="R422" s="32"/>
      <c r="S422" s="32"/>
      <c r="T422" s="3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10"/>
      <c r="F423" s="10"/>
      <c r="G423" s="32"/>
      <c r="H423" s="32"/>
      <c r="I423" s="32"/>
      <c r="J423" s="73"/>
      <c r="K423" s="32"/>
      <c r="L423" s="32"/>
      <c r="M423" s="32"/>
      <c r="N423" s="32"/>
      <c r="O423" s="2"/>
      <c r="P423" s="2"/>
      <c r="Q423" s="32"/>
      <c r="R423" s="32"/>
      <c r="S423" s="32"/>
      <c r="T423" s="3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10"/>
      <c r="F424" s="10"/>
      <c r="G424" s="32"/>
      <c r="H424" s="32"/>
      <c r="I424" s="32"/>
      <c r="J424" s="73"/>
      <c r="K424" s="32"/>
      <c r="L424" s="32"/>
      <c r="M424" s="32"/>
      <c r="N424" s="32"/>
      <c r="O424" s="2"/>
      <c r="P424" s="2"/>
      <c r="Q424" s="32"/>
      <c r="R424" s="32"/>
      <c r="S424" s="32"/>
      <c r="T424" s="3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10"/>
      <c r="F425" s="10"/>
      <c r="G425" s="32"/>
      <c r="H425" s="32"/>
      <c r="I425" s="32"/>
      <c r="J425" s="73"/>
      <c r="K425" s="32"/>
      <c r="L425" s="32"/>
      <c r="M425" s="32"/>
      <c r="N425" s="32"/>
      <c r="O425" s="2"/>
      <c r="P425" s="2"/>
      <c r="Q425" s="32"/>
      <c r="R425" s="32"/>
      <c r="S425" s="32"/>
      <c r="T425" s="3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10"/>
      <c r="F426" s="10"/>
      <c r="G426" s="32"/>
      <c r="H426" s="32"/>
      <c r="I426" s="32"/>
      <c r="J426" s="73"/>
      <c r="K426" s="32"/>
      <c r="L426" s="32"/>
      <c r="M426" s="32"/>
      <c r="N426" s="32"/>
      <c r="O426" s="2"/>
      <c r="P426" s="2"/>
      <c r="Q426" s="32"/>
      <c r="R426" s="32"/>
      <c r="S426" s="32"/>
      <c r="T426" s="3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10"/>
      <c r="F427" s="10"/>
      <c r="G427" s="32"/>
      <c r="H427" s="32"/>
      <c r="I427" s="32"/>
      <c r="J427" s="73"/>
      <c r="K427" s="32"/>
      <c r="L427" s="32"/>
      <c r="M427" s="32"/>
      <c r="N427" s="32"/>
      <c r="O427" s="2"/>
      <c r="P427" s="2"/>
      <c r="Q427" s="32"/>
      <c r="R427" s="32"/>
      <c r="S427" s="32"/>
      <c r="T427" s="3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10"/>
      <c r="F428" s="10"/>
      <c r="G428" s="32"/>
      <c r="H428" s="32"/>
      <c r="I428" s="32"/>
      <c r="J428" s="73"/>
      <c r="K428" s="32"/>
      <c r="L428" s="32"/>
      <c r="M428" s="32"/>
      <c r="N428" s="32"/>
      <c r="O428" s="2"/>
      <c r="P428" s="2"/>
      <c r="Q428" s="32"/>
      <c r="R428" s="32"/>
      <c r="S428" s="32"/>
      <c r="T428" s="3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10"/>
      <c r="F429" s="10"/>
      <c r="G429" s="32"/>
      <c r="H429" s="32"/>
      <c r="I429" s="32"/>
      <c r="J429" s="73"/>
      <c r="K429" s="32"/>
      <c r="L429" s="32"/>
      <c r="M429" s="32"/>
      <c r="N429" s="32"/>
      <c r="O429" s="2"/>
      <c r="P429" s="2"/>
      <c r="Q429" s="32"/>
      <c r="R429" s="32"/>
      <c r="S429" s="32"/>
      <c r="T429" s="3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10"/>
      <c r="F430" s="10"/>
      <c r="G430" s="32"/>
      <c r="H430" s="32"/>
      <c r="I430" s="32"/>
      <c r="J430" s="73"/>
      <c r="K430" s="32"/>
      <c r="L430" s="32"/>
      <c r="M430" s="32"/>
      <c r="N430" s="32"/>
      <c r="O430" s="2"/>
      <c r="P430" s="2"/>
      <c r="Q430" s="32"/>
      <c r="R430" s="32"/>
      <c r="S430" s="32"/>
      <c r="T430" s="3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10"/>
      <c r="F431" s="10"/>
      <c r="G431" s="32"/>
      <c r="H431" s="32"/>
      <c r="I431" s="32"/>
      <c r="J431" s="73"/>
      <c r="K431" s="32"/>
      <c r="L431" s="32"/>
      <c r="M431" s="32"/>
      <c r="N431" s="32"/>
      <c r="O431" s="2"/>
      <c r="P431" s="2"/>
      <c r="Q431" s="32"/>
      <c r="R431" s="32"/>
      <c r="S431" s="32"/>
      <c r="T431" s="3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10"/>
      <c r="F432" s="10"/>
      <c r="G432" s="32"/>
      <c r="H432" s="32"/>
      <c r="I432" s="32"/>
      <c r="J432" s="73"/>
      <c r="K432" s="32"/>
      <c r="L432" s="32"/>
      <c r="M432" s="32"/>
      <c r="N432" s="32"/>
      <c r="O432" s="2"/>
      <c r="P432" s="2"/>
      <c r="Q432" s="32"/>
      <c r="R432" s="32"/>
      <c r="S432" s="32"/>
      <c r="T432" s="3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10"/>
      <c r="F433" s="10"/>
      <c r="G433" s="32"/>
      <c r="H433" s="32"/>
      <c r="I433" s="32"/>
      <c r="J433" s="73"/>
      <c r="K433" s="32"/>
      <c r="L433" s="32"/>
      <c r="M433" s="32"/>
      <c r="N433" s="32"/>
      <c r="O433" s="2"/>
      <c r="P433" s="2"/>
      <c r="Q433" s="32"/>
      <c r="R433" s="32"/>
      <c r="S433" s="32"/>
      <c r="T433" s="3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10"/>
      <c r="F434" s="10"/>
      <c r="G434" s="32"/>
      <c r="H434" s="32"/>
      <c r="I434" s="32"/>
      <c r="J434" s="73"/>
      <c r="K434" s="32"/>
      <c r="L434" s="32"/>
      <c r="M434" s="32"/>
      <c r="N434" s="32"/>
      <c r="O434" s="2"/>
      <c r="P434" s="2"/>
      <c r="Q434" s="32"/>
      <c r="R434" s="32"/>
      <c r="S434" s="32"/>
      <c r="T434" s="3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10"/>
      <c r="F435" s="10"/>
      <c r="G435" s="32"/>
      <c r="H435" s="32"/>
      <c r="I435" s="32"/>
      <c r="J435" s="73"/>
      <c r="K435" s="32"/>
      <c r="L435" s="32"/>
      <c r="M435" s="32"/>
      <c r="N435" s="32"/>
      <c r="O435" s="2"/>
      <c r="P435" s="2"/>
      <c r="Q435" s="32"/>
      <c r="R435" s="32"/>
      <c r="S435" s="32"/>
      <c r="T435" s="3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10"/>
      <c r="F436" s="10"/>
      <c r="G436" s="32"/>
      <c r="H436" s="32"/>
      <c r="I436" s="32"/>
      <c r="J436" s="73"/>
      <c r="K436" s="32"/>
      <c r="L436" s="32"/>
      <c r="M436" s="32"/>
      <c r="N436" s="32"/>
      <c r="O436" s="2"/>
      <c r="P436" s="2"/>
      <c r="Q436" s="32"/>
      <c r="R436" s="32"/>
      <c r="S436" s="32"/>
      <c r="T436" s="3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10"/>
      <c r="F437" s="10"/>
      <c r="G437" s="32"/>
      <c r="H437" s="32"/>
      <c r="I437" s="32"/>
      <c r="J437" s="73"/>
      <c r="K437" s="32"/>
      <c r="L437" s="32"/>
      <c r="M437" s="32"/>
      <c r="N437" s="32"/>
      <c r="O437" s="2"/>
      <c r="P437" s="2"/>
      <c r="Q437" s="32"/>
      <c r="R437" s="32"/>
      <c r="S437" s="32"/>
      <c r="T437" s="3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10"/>
      <c r="F438" s="10"/>
      <c r="G438" s="32"/>
      <c r="H438" s="32"/>
      <c r="I438" s="32"/>
      <c r="J438" s="73"/>
      <c r="K438" s="32"/>
      <c r="L438" s="32"/>
      <c r="M438" s="32"/>
      <c r="N438" s="32"/>
      <c r="O438" s="2"/>
      <c r="P438" s="2"/>
      <c r="Q438" s="32"/>
      <c r="R438" s="32"/>
      <c r="S438" s="32"/>
      <c r="T438" s="3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10"/>
      <c r="F439" s="10"/>
      <c r="G439" s="32"/>
      <c r="H439" s="32"/>
      <c r="I439" s="32"/>
      <c r="J439" s="73"/>
      <c r="K439" s="32"/>
      <c r="L439" s="32"/>
      <c r="M439" s="32"/>
      <c r="N439" s="32"/>
      <c r="O439" s="2"/>
      <c r="P439" s="2"/>
      <c r="Q439" s="32"/>
      <c r="R439" s="32"/>
      <c r="S439" s="32"/>
      <c r="T439" s="3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10"/>
      <c r="F440" s="10"/>
      <c r="G440" s="32"/>
      <c r="H440" s="32"/>
      <c r="I440" s="32"/>
      <c r="J440" s="73"/>
      <c r="K440" s="32"/>
      <c r="L440" s="32"/>
      <c r="M440" s="32"/>
      <c r="N440" s="32"/>
      <c r="O440" s="2"/>
      <c r="P440" s="2"/>
      <c r="Q440" s="32"/>
      <c r="R440" s="32"/>
      <c r="S440" s="32"/>
      <c r="T440" s="3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10"/>
      <c r="F441" s="10"/>
      <c r="G441" s="32"/>
      <c r="H441" s="32"/>
      <c r="I441" s="32"/>
      <c r="J441" s="73"/>
      <c r="K441" s="32"/>
      <c r="L441" s="32"/>
      <c r="M441" s="32"/>
      <c r="N441" s="32"/>
      <c r="O441" s="2"/>
      <c r="P441" s="2"/>
      <c r="Q441" s="32"/>
      <c r="R441" s="32"/>
      <c r="S441" s="32"/>
      <c r="T441" s="3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10"/>
      <c r="F442" s="10"/>
      <c r="G442" s="32"/>
      <c r="H442" s="32"/>
      <c r="I442" s="32"/>
      <c r="J442" s="73"/>
      <c r="K442" s="32"/>
      <c r="L442" s="32"/>
      <c r="M442" s="32"/>
      <c r="N442" s="32"/>
      <c r="O442" s="2"/>
      <c r="P442" s="2"/>
      <c r="Q442" s="32"/>
      <c r="R442" s="32"/>
      <c r="S442" s="32"/>
      <c r="T442" s="3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10"/>
      <c r="F443" s="10"/>
      <c r="G443" s="32"/>
      <c r="H443" s="32"/>
      <c r="I443" s="32"/>
      <c r="J443" s="73"/>
      <c r="K443" s="32"/>
      <c r="L443" s="32"/>
      <c r="M443" s="32"/>
      <c r="N443" s="32"/>
      <c r="O443" s="2"/>
      <c r="P443" s="2"/>
      <c r="Q443" s="32"/>
      <c r="R443" s="32"/>
      <c r="S443" s="32"/>
      <c r="T443" s="3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10"/>
      <c r="F444" s="10"/>
      <c r="G444" s="32"/>
      <c r="H444" s="32"/>
      <c r="I444" s="32"/>
      <c r="J444" s="73"/>
      <c r="K444" s="32"/>
      <c r="L444" s="32"/>
      <c r="M444" s="32"/>
      <c r="N444" s="32"/>
      <c r="O444" s="2"/>
      <c r="P444" s="2"/>
      <c r="Q444" s="32"/>
      <c r="R444" s="32"/>
      <c r="S444" s="32"/>
      <c r="T444" s="3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10"/>
      <c r="F445" s="10"/>
      <c r="G445" s="32"/>
      <c r="H445" s="32"/>
      <c r="I445" s="32"/>
      <c r="J445" s="73"/>
      <c r="K445" s="32"/>
      <c r="L445" s="32"/>
      <c r="M445" s="32"/>
      <c r="N445" s="32"/>
      <c r="O445" s="2"/>
      <c r="P445" s="2"/>
      <c r="Q445" s="32"/>
      <c r="R445" s="32"/>
      <c r="S445" s="32"/>
      <c r="T445" s="3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10"/>
      <c r="F446" s="10"/>
      <c r="G446" s="32"/>
      <c r="H446" s="32"/>
      <c r="I446" s="32"/>
      <c r="J446" s="73"/>
      <c r="K446" s="32"/>
      <c r="L446" s="32"/>
      <c r="M446" s="32"/>
      <c r="N446" s="32"/>
      <c r="O446" s="2"/>
      <c r="P446" s="2"/>
      <c r="Q446" s="32"/>
      <c r="R446" s="32"/>
      <c r="S446" s="32"/>
      <c r="T446" s="3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10"/>
      <c r="F447" s="10"/>
      <c r="G447" s="32"/>
      <c r="H447" s="32"/>
      <c r="I447" s="32"/>
      <c r="J447" s="73"/>
      <c r="K447" s="32"/>
      <c r="L447" s="32"/>
      <c r="M447" s="32"/>
      <c r="N447" s="32"/>
      <c r="O447" s="2"/>
      <c r="P447" s="2"/>
      <c r="Q447" s="32"/>
      <c r="R447" s="32"/>
      <c r="S447" s="32"/>
      <c r="T447" s="3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10"/>
      <c r="F448" s="10"/>
      <c r="G448" s="32"/>
      <c r="H448" s="32"/>
      <c r="I448" s="32"/>
      <c r="J448" s="73"/>
      <c r="K448" s="32"/>
      <c r="L448" s="32"/>
      <c r="M448" s="32"/>
      <c r="N448" s="32"/>
      <c r="O448" s="2"/>
      <c r="P448" s="2"/>
      <c r="Q448" s="32"/>
      <c r="R448" s="32"/>
      <c r="S448" s="32"/>
      <c r="T448" s="3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10"/>
      <c r="F449" s="10"/>
      <c r="G449" s="32"/>
      <c r="H449" s="32"/>
      <c r="I449" s="32"/>
      <c r="J449" s="73"/>
      <c r="K449" s="32"/>
      <c r="L449" s="32"/>
      <c r="M449" s="32"/>
      <c r="N449" s="32"/>
      <c r="O449" s="2"/>
      <c r="P449" s="2"/>
      <c r="Q449" s="32"/>
      <c r="R449" s="32"/>
      <c r="S449" s="32"/>
      <c r="T449" s="3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10"/>
      <c r="F450" s="10"/>
      <c r="G450" s="32"/>
      <c r="H450" s="32"/>
      <c r="I450" s="32"/>
      <c r="J450" s="73"/>
      <c r="K450" s="32"/>
      <c r="L450" s="32"/>
      <c r="M450" s="32"/>
      <c r="N450" s="32"/>
      <c r="O450" s="2"/>
      <c r="P450" s="2"/>
      <c r="Q450" s="32"/>
      <c r="R450" s="32"/>
      <c r="S450" s="32"/>
      <c r="T450" s="3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10"/>
      <c r="F451" s="10"/>
      <c r="G451" s="32"/>
      <c r="H451" s="32"/>
      <c r="I451" s="32"/>
      <c r="J451" s="73"/>
      <c r="K451" s="32"/>
      <c r="L451" s="32"/>
      <c r="M451" s="32"/>
      <c r="N451" s="32"/>
      <c r="O451" s="2"/>
      <c r="P451" s="2"/>
      <c r="Q451" s="32"/>
      <c r="R451" s="32"/>
      <c r="S451" s="32"/>
      <c r="T451" s="3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10"/>
      <c r="F452" s="10"/>
      <c r="G452" s="32"/>
      <c r="H452" s="32"/>
      <c r="I452" s="32"/>
      <c r="J452" s="73"/>
      <c r="K452" s="32"/>
      <c r="L452" s="32"/>
      <c r="M452" s="32"/>
      <c r="N452" s="32"/>
      <c r="O452" s="2"/>
      <c r="P452" s="2"/>
      <c r="Q452" s="32"/>
      <c r="R452" s="32"/>
      <c r="S452" s="32"/>
      <c r="T452" s="3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10"/>
      <c r="F453" s="10"/>
      <c r="G453" s="32"/>
      <c r="H453" s="32"/>
      <c r="I453" s="32"/>
      <c r="J453" s="73"/>
      <c r="K453" s="32"/>
      <c r="L453" s="32"/>
      <c r="M453" s="32"/>
      <c r="N453" s="32"/>
      <c r="O453" s="2"/>
      <c r="P453" s="2"/>
      <c r="Q453" s="32"/>
      <c r="R453" s="32"/>
      <c r="S453" s="32"/>
      <c r="T453" s="3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10"/>
      <c r="F454" s="10"/>
      <c r="G454" s="32"/>
      <c r="H454" s="32"/>
      <c r="I454" s="32"/>
      <c r="J454" s="73"/>
      <c r="K454" s="32"/>
      <c r="L454" s="32"/>
      <c r="M454" s="32"/>
      <c r="N454" s="32"/>
      <c r="O454" s="2"/>
      <c r="P454" s="2"/>
      <c r="Q454" s="32"/>
      <c r="R454" s="32"/>
      <c r="S454" s="32"/>
      <c r="T454" s="3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10"/>
      <c r="F455" s="10"/>
      <c r="G455" s="32"/>
      <c r="H455" s="32"/>
      <c r="I455" s="32"/>
      <c r="J455" s="73"/>
      <c r="K455" s="32"/>
      <c r="L455" s="32"/>
      <c r="M455" s="32"/>
      <c r="N455" s="32"/>
      <c r="O455" s="2"/>
      <c r="P455" s="2"/>
      <c r="Q455" s="32"/>
      <c r="R455" s="32"/>
      <c r="S455" s="32"/>
      <c r="T455" s="3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10"/>
      <c r="F456" s="10"/>
      <c r="G456" s="32"/>
      <c r="H456" s="32"/>
      <c r="I456" s="32"/>
      <c r="J456" s="73"/>
      <c r="K456" s="32"/>
      <c r="L456" s="32"/>
      <c r="M456" s="32"/>
      <c r="N456" s="32"/>
      <c r="O456" s="2"/>
      <c r="P456" s="2"/>
      <c r="Q456" s="32"/>
      <c r="R456" s="32"/>
      <c r="S456" s="32"/>
      <c r="T456" s="3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10"/>
      <c r="F457" s="10"/>
      <c r="G457" s="32"/>
      <c r="H457" s="32"/>
      <c r="I457" s="32"/>
      <c r="J457" s="73"/>
      <c r="K457" s="32"/>
      <c r="L457" s="32"/>
      <c r="M457" s="32"/>
      <c r="N457" s="32"/>
      <c r="O457" s="2"/>
      <c r="P457" s="2"/>
      <c r="Q457" s="32"/>
      <c r="R457" s="32"/>
      <c r="S457" s="32"/>
      <c r="T457" s="3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10"/>
      <c r="F458" s="10"/>
      <c r="G458" s="32"/>
      <c r="H458" s="32"/>
      <c r="I458" s="32"/>
      <c r="J458" s="73"/>
      <c r="K458" s="32"/>
      <c r="L458" s="32"/>
      <c r="M458" s="32"/>
      <c r="N458" s="32"/>
      <c r="O458" s="2"/>
      <c r="P458" s="2"/>
      <c r="Q458" s="32"/>
      <c r="R458" s="32"/>
      <c r="S458" s="32"/>
      <c r="T458" s="3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10"/>
      <c r="F459" s="10"/>
      <c r="G459" s="32"/>
      <c r="H459" s="32"/>
      <c r="I459" s="32"/>
      <c r="J459" s="73"/>
      <c r="K459" s="32"/>
      <c r="L459" s="32"/>
      <c r="M459" s="32"/>
      <c r="N459" s="32"/>
      <c r="O459" s="2"/>
      <c r="P459" s="2"/>
      <c r="Q459" s="32"/>
      <c r="R459" s="32"/>
      <c r="S459" s="32"/>
      <c r="T459" s="3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10"/>
      <c r="F460" s="10"/>
      <c r="G460" s="32"/>
      <c r="H460" s="32"/>
      <c r="I460" s="32"/>
      <c r="J460" s="73"/>
      <c r="K460" s="32"/>
      <c r="L460" s="32"/>
      <c r="M460" s="32"/>
      <c r="N460" s="32"/>
      <c r="O460" s="2"/>
      <c r="P460" s="2"/>
      <c r="Q460" s="32"/>
      <c r="R460" s="32"/>
      <c r="S460" s="32"/>
      <c r="T460" s="3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10"/>
      <c r="F461" s="10"/>
      <c r="G461" s="32"/>
      <c r="H461" s="32"/>
      <c r="I461" s="32"/>
      <c r="J461" s="73"/>
      <c r="K461" s="32"/>
      <c r="L461" s="32"/>
      <c r="M461" s="32"/>
      <c r="N461" s="32"/>
      <c r="O461" s="2"/>
      <c r="P461" s="2"/>
      <c r="Q461" s="32"/>
      <c r="R461" s="32"/>
      <c r="S461" s="32"/>
      <c r="T461" s="3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10"/>
      <c r="F462" s="10"/>
      <c r="G462" s="32"/>
      <c r="H462" s="32"/>
      <c r="I462" s="32"/>
      <c r="J462" s="73"/>
      <c r="K462" s="32"/>
      <c r="L462" s="32"/>
      <c r="M462" s="32"/>
      <c r="N462" s="32"/>
      <c r="O462" s="2"/>
      <c r="P462" s="2"/>
      <c r="Q462" s="32"/>
      <c r="R462" s="32"/>
      <c r="S462" s="32"/>
      <c r="T462" s="3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10"/>
      <c r="F463" s="10"/>
      <c r="G463" s="32"/>
      <c r="H463" s="32"/>
      <c r="I463" s="32"/>
      <c r="J463" s="73"/>
      <c r="K463" s="32"/>
      <c r="L463" s="32"/>
      <c r="M463" s="32"/>
      <c r="N463" s="32"/>
      <c r="O463" s="2"/>
      <c r="P463" s="2"/>
      <c r="Q463" s="32"/>
      <c r="R463" s="32"/>
      <c r="S463" s="32"/>
      <c r="T463" s="3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10"/>
      <c r="F464" s="10"/>
      <c r="G464" s="32"/>
      <c r="H464" s="32"/>
      <c r="I464" s="32"/>
      <c r="J464" s="73"/>
      <c r="K464" s="32"/>
      <c r="L464" s="32"/>
      <c r="M464" s="32"/>
      <c r="N464" s="32"/>
      <c r="O464" s="2"/>
      <c r="P464" s="2"/>
      <c r="Q464" s="32"/>
      <c r="R464" s="32"/>
      <c r="S464" s="32"/>
      <c r="T464" s="3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10"/>
      <c r="F465" s="10"/>
      <c r="G465" s="32"/>
      <c r="H465" s="32"/>
      <c r="I465" s="32"/>
      <c r="J465" s="73"/>
      <c r="K465" s="32"/>
      <c r="L465" s="32"/>
      <c r="M465" s="32"/>
      <c r="N465" s="32"/>
      <c r="O465" s="2"/>
      <c r="P465" s="2"/>
      <c r="Q465" s="32"/>
      <c r="R465" s="32"/>
      <c r="S465" s="32"/>
      <c r="T465" s="3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10"/>
      <c r="F466" s="10"/>
      <c r="G466" s="32"/>
      <c r="H466" s="32"/>
      <c r="I466" s="32"/>
      <c r="J466" s="73"/>
      <c r="K466" s="32"/>
      <c r="L466" s="32"/>
      <c r="M466" s="32"/>
      <c r="N466" s="32"/>
      <c r="O466" s="2"/>
      <c r="P466" s="2"/>
      <c r="Q466" s="32"/>
      <c r="R466" s="32"/>
      <c r="S466" s="32"/>
      <c r="T466" s="3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10"/>
      <c r="F467" s="10"/>
      <c r="G467" s="32"/>
      <c r="H467" s="32"/>
      <c r="I467" s="32"/>
      <c r="J467" s="73"/>
      <c r="K467" s="32"/>
      <c r="L467" s="32"/>
      <c r="M467" s="32"/>
      <c r="N467" s="32"/>
      <c r="O467" s="2"/>
      <c r="P467" s="2"/>
      <c r="Q467" s="32"/>
      <c r="R467" s="32"/>
      <c r="S467" s="32"/>
      <c r="T467" s="3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10"/>
      <c r="F468" s="10"/>
      <c r="G468" s="32"/>
      <c r="H468" s="32"/>
      <c r="I468" s="32"/>
      <c r="J468" s="73"/>
      <c r="K468" s="32"/>
      <c r="L468" s="32"/>
      <c r="M468" s="32"/>
      <c r="N468" s="32"/>
      <c r="O468" s="2"/>
      <c r="P468" s="2"/>
      <c r="Q468" s="32"/>
      <c r="R468" s="32"/>
      <c r="S468" s="32"/>
      <c r="T468" s="3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10"/>
      <c r="F469" s="10"/>
      <c r="G469" s="32"/>
      <c r="H469" s="32"/>
      <c r="I469" s="32"/>
      <c r="J469" s="73"/>
      <c r="K469" s="32"/>
      <c r="L469" s="32"/>
      <c r="M469" s="32"/>
      <c r="N469" s="32"/>
      <c r="O469" s="2"/>
      <c r="P469" s="2"/>
      <c r="Q469" s="32"/>
      <c r="R469" s="32"/>
      <c r="S469" s="32"/>
      <c r="T469" s="3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10"/>
      <c r="F470" s="10"/>
      <c r="G470" s="32"/>
      <c r="H470" s="32"/>
      <c r="I470" s="32"/>
      <c r="J470" s="73"/>
      <c r="K470" s="32"/>
      <c r="L470" s="32"/>
      <c r="M470" s="32"/>
      <c r="N470" s="32"/>
      <c r="O470" s="2"/>
      <c r="P470" s="2"/>
      <c r="Q470" s="32"/>
      <c r="R470" s="32"/>
      <c r="S470" s="32"/>
      <c r="T470" s="3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10"/>
      <c r="F471" s="10"/>
      <c r="G471" s="32"/>
      <c r="H471" s="32"/>
      <c r="I471" s="32"/>
      <c r="J471" s="73"/>
      <c r="K471" s="32"/>
      <c r="L471" s="32"/>
      <c r="M471" s="32"/>
      <c r="N471" s="32"/>
      <c r="O471" s="2"/>
      <c r="P471" s="2"/>
      <c r="Q471" s="32"/>
      <c r="R471" s="32"/>
      <c r="S471" s="32"/>
      <c r="T471" s="3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10"/>
      <c r="F472" s="10"/>
      <c r="G472" s="32"/>
      <c r="H472" s="32"/>
      <c r="I472" s="32"/>
      <c r="J472" s="73"/>
      <c r="K472" s="32"/>
      <c r="L472" s="32"/>
      <c r="M472" s="32"/>
      <c r="N472" s="32"/>
      <c r="O472" s="2"/>
      <c r="P472" s="2"/>
      <c r="Q472" s="32"/>
      <c r="R472" s="32"/>
      <c r="S472" s="32"/>
      <c r="T472" s="3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10"/>
      <c r="F473" s="10"/>
      <c r="G473" s="32"/>
      <c r="H473" s="32"/>
      <c r="I473" s="32"/>
      <c r="J473" s="73"/>
      <c r="K473" s="32"/>
      <c r="L473" s="32"/>
      <c r="M473" s="32"/>
      <c r="N473" s="32"/>
      <c r="O473" s="2"/>
      <c r="P473" s="2"/>
      <c r="Q473" s="32"/>
      <c r="R473" s="32"/>
      <c r="S473" s="32"/>
      <c r="T473" s="3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10"/>
      <c r="F474" s="10"/>
      <c r="G474" s="32"/>
      <c r="H474" s="32"/>
      <c r="I474" s="32"/>
      <c r="J474" s="73"/>
      <c r="K474" s="32"/>
      <c r="L474" s="32"/>
      <c r="M474" s="32"/>
      <c r="N474" s="32"/>
      <c r="O474" s="2"/>
      <c r="P474" s="2"/>
      <c r="Q474" s="32"/>
      <c r="R474" s="32"/>
      <c r="S474" s="32"/>
      <c r="T474" s="3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10"/>
      <c r="F475" s="10"/>
      <c r="G475" s="32"/>
      <c r="H475" s="32"/>
      <c r="I475" s="32"/>
      <c r="J475" s="73"/>
      <c r="K475" s="32"/>
      <c r="L475" s="32"/>
      <c r="M475" s="32"/>
      <c r="N475" s="32"/>
      <c r="O475" s="2"/>
      <c r="P475" s="2"/>
      <c r="Q475" s="32"/>
      <c r="R475" s="32"/>
      <c r="S475" s="32"/>
      <c r="T475" s="3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10"/>
      <c r="F476" s="10"/>
      <c r="G476" s="32"/>
      <c r="H476" s="32"/>
      <c r="I476" s="32"/>
      <c r="J476" s="73"/>
      <c r="K476" s="32"/>
      <c r="L476" s="32"/>
      <c r="M476" s="32"/>
      <c r="N476" s="32"/>
      <c r="O476" s="2"/>
      <c r="P476" s="2"/>
      <c r="Q476" s="32"/>
      <c r="R476" s="32"/>
      <c r="S476" s="32"/>
      <c r="T476" s="3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10"/>
      <c r="F477" s="10"/>
      <c r="G477" s="32"/>
      <c r="H477" s="32"/>
      <c r="I477" s="32"/>
      <c r="J477" s="73"/>
      <c r="K477" s="32"/>
      <c r="L477" s="32"/>
      <c r="M477" s="32"/>
      <c r="N477" s="32"/>
      <c r="O477" s="2"/>
      <c r="P477" s="2"/>
      <c r="Q477" s="32"/>
      <c r="R477" s="32"/>
      <c r="S477" s="32"/>
      <c r="T477" s="3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10"/>
      <c r="F478" s="10"/>
      <c r="G478" s="32"/>
      <c r="H478" s="32"/>
      <c r="I478" s="32"/>
      <c r="J478" s="73"/>
      <c r="K478" s="32"/>
      <c r="L478" s="32"/>
      <c r="M478" s="32"/>
      <c r="N478" s="32"/>
      <c r="O478" s="2"/>
      <c r="P478" s="2"/>
      <c r="Q478" s="32"/>
      <c r="R478" s="32"/>
      <c r="S478" s="32"/>
      <c r="T478" s="3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10"/>
      <c r="F479" s="10"/>
      <c r="G479" s="32"/>
      <c r="H479" s="32"/>
      <c r="I479" s="32"/>
      <c r="J479" s="73"/>
      <c r="K479" s="32"/>
      <c r="L479" s="32"/>
      <c r="M479" s="32"/>
      <c r="N479" s="32"/>
      <c r="O479" s="2"/>
      <c r="P479" s="2"/>
      <c r="Q479" s="32"/>
      <c r="R479" s="32"/>
      <c r="S479" s="32"/>
      <c r="T479" s="3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10"/>
      <c r="F480" s="10"/>
      <c r="G480" s="32"/>
      <c r="H480" s="32"/>
      <c r="I480" s="32"/>
      <c r="J480" s="73"/>
      <c r="K480" s="32"/>
      <c r="L480" s="32"/>
      <c r="M480" s="32"/>
      <c r="N480" s="32"/>
      <c r="O480" s="2"/>
      <c r="P480" s="2"/>
      <c r="Q480" s="32"/>
      <c r="R480" s="32"/>
      <c r="S480" s="32"/>
      <c r="T480" s="3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10"/>
      <c r="F481" s="10"/>
      <c r="G481" s="32"/>
      <c r="H481" s="32"/>
      <c r="I481" s="32"/>
      <c r="J481" s="73"/>
      <c r="K481" s="32"/>
      <c r="L481" s="32"/>
      <c r="M481" s="32"/>
      <c r="N481" s="32"/>
      <c r="O481" s="2"/>
      <c r="P481" s="2"/>
      <c r="Q481" s="32"/>
      <c r="R481" s="32"/>
      <c r="S481" s="32"/>
      <c r="T481" s="3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10"/>
      <c r="F482" s="10"/>
      <c r="G482" s="32"/>
      <c r="H482" s="32"/>
      <c r="I482" s="32"/>
      <c r="J482" s="73"/>
      <c r="K482" s="32"/>
      <c r="L482" s="32"/>
      <c r="M482" s="32"/>
      <c r="N482" s="32"/>
      <c r="O482" s="2"/>
      <c r="P482" s="2"/>
      <c r="Q482" s="32"/>
      <c r="R482" s="32"/>
      <c r="S482" s="32"/>
      <c r="T482" s="3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10"/>
      <c r="F483" s="10"/>
      <c r="G483" s="32"/>
      <c r="H483" s="32"/>
      <c r="I483" s="32"/>
      <c r="J483" s="73"/>
      <c r="K483" s="32"/>
      <c r="L483" s="32"/>
      <c r="M483" s="32"/>
      <c r="N483" s="32"/>
      <c r="O483" s="2"/>
      <c r="P483" s="2"/>
      <c r="Q483" s="32"/>
      <c r="R483" s="32"/>
      <c r="S483" s="32"/>
      <c r="T483" s="3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10"/>
      <c r="F484" s="10"/>
      <c r="G484" s="32"/>
      <c r="H484" s="32"/>
      <c r="I484" s="32"/>
      <c r="J484" s="73"/>
      <c r="K484" s="32"/>
      <c r="L484" s="32"/>
      <c r="M484" s="32"/>
      <c r="N484" s="32"/>
      <c r="O484" s="2"/>
      <c r="P484" s="2"/>
      <c r="Q484" s="32"/>
      <c r="R484" s="32"/>
      <c r="S484" s="32"/>
      <c r="T484" s="3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10"/>
      <c r="F485" s="10"/>
      <c r="G485" s="32"/>
      <c r="H485" s="32"/>
      <c r="I485" s="32"/>
      <c r="J485" s="73"/>
      <c r="K485" s="32"/>
      <c r="L485" s="32"/>
      <c r="M485" s="32"/>
      <c r="N485" s="32"/>
      <c r="O485" s="2"/>
      <c r="P485" s="2"/>
      <c r="Q485" s="32"/>
      <c r="R485" s="32"/>
      <c r="S485" s="32"/>
      <c r="T485" s="3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10"/>
      <c r="F486" s="10"/>
      <c r="G486" s="32"/>
      <c r="H486" s="32"/>
      <c r="I486" s="32"/>
      <c r="J486" s="73"/>
      <c r="K486" s="32"/>
      <c r="L486" s="32"/>
      <c r="M486" s="32"/>
      <c r="N486" s="32"/>
      <c r="O486" s="2"/>
      <c r="P486" s="2"/>
      <c r="Q486" s="32"/>
      <c r="R486" s="32"/>
      <c r="S486" s="32"/>
      <c r="T486" s="3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10"/>
      <c r="F487" s="10"/>
      <c r="G487" s="32"/>
      <c r="H487" s="32"/>
      <c r="I487" s="32"/>
      <c r="J487" s="73"/>
      <c r="K487" s="32"/>
      <c r="L487" s="32"/>
      <c r="M487" s="32"/>
      <c r="N487" s="32"/>
      <c r="O487" s="2"/>
      <c r="P487" s="2"/>
      <c r="Q487" s="32"/>
      <c r="R487" s="32"/>
      <c r="S487" s="32"/>
      <c r="T487" s="3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10"/>
      <c r="F488" s="10"/>
      <c r="G488" s="32"/>
      <c r="H488" s="32"/>
      <c r="I488" s="32"/>
      <c r="J488" s="73"/>
      <c r="K488" s="32"/>
      <c r="L488" s="32"/>
      <c r="M488" s="32"/>
      <c r="N488" s="32"/>
      <c r="O488" s="2"/>
      <c r="P488" s="2"/>
      <c r="Q488" s="32"/>
      <c r="R488" s="32"/>
      <c r="S488" s="32"/>
      <c r="T488" s="3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10"/>
      <c r="F489" s="10"/>
      <c r="G489" s="32"/>
      <c r="H489" s="32"/>
      <c r="I489" s="32"/>
      <c r="J489" s="73"/>
      <c r="K489" s="32"/>
      <c r="L489" s="32"/>
      <c r="M489" s="32"/>
      <c r="N489" s="32"/>
      <c r="O489" s="2"/>
      <c r="P489" s="2"/>
      <c r="Q489" s="32"/>
      <c r="R489" s="32"/>
      <c r="S489" s="32"/>
      <c r="T489" s="3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10"/>
      <c r="F490" s="10"/>
      <c r="G490" s="32"/>
      <c r="H490" s="32"/>
      <c r="I490" s="32"/>
      <c r="J490" s="73"/>
      <c r="K490" s="32"/>
      <c r="L490" s="32"/>
      <c r="M490" s="32"/>
      <c r="N490" s="32"/>
      <c r="O490" s="2"/>
      <c r="P490" s="2"/>
      <c r="Q490" s="32"/>
      <c r="R490" s="32"/>
      <c r="S490" s="32"/>
      <c r="T490" s="3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10"/>
      <c r="F491" s="10"/>
      <c r="G491" s="32"/>
      <c r="H491" s="32"/>
      <c r="I491" s="32"/>
      <c r="J491" s="73"/>
      <c r="K491" s="32"/>
      <c r="L491" s="32"/>
      <c r="M491" s="32"/>
      <c r="N491" s="32"/>
      <c r="O491" s="2"/>
      <c r="P491" s="2"/>
      <c r="Q491" s="32"/>
      <c r="R491" s="32"/>
      <c r="S491" s="32"/>
      <c r="T491" s="3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10"/>
      <c r="F492" s="10"/>
      <c r="G492" s="32"/>
      <c r="H492" s="32"/>
      <c r="I492" s="32"/>
      <c r="J492" s="73"/>
      <c r="K492" s="32"/>
      <c r="L492" s="32"/>
      <c r="M492" s="32"/>
      <c r="N492" s="32"/>
      <c r="O492" s="2"/>
      <c r="P492" s="2"/>
      <c r="Q492" s="32"/>
      <c r="R492" s="32"/>
      <c r="S492" s="32"/>
      <c r="T492" s="3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10"/>
      <c r="F493" s="10"/>
      <c r="G493" s="32"/>
      <c r="H493" s="32"/>
      <c r="I493" s="32"/>
      <c r="J493" s="73"/>
      <c r="K493" s="32"/>
      <c r="L493" s="32"/>
      <c r="M493" s="32"/>
      <c r="N493" s="32"/>
      <c r="O493" s="2"/>
      <c r="P493" s="2"/>
      <c r="Q493" s="32"/>
      <c r="R493" s="32"/>
      <c r="S493" s="32"/>
      <c r="T493" s="3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10"/>
      <c r="F494" s="10"/>
      <c r="G494" s="32"/>
      <c r="H494" s="32"/>
      <c r="I494" s="32"/>
      <c r="J494" s="73"/>
      <c r="K494" s="32"/>
      <c r="L494" s="32"/>
      <c r="M494" s="32"/>
      <c r="N494" s="32"/>
      <c r="O494" s="2"/>
      <c r="P494" s="2"/>
      <c r="Q494" s="32"/>
      <c r="R494" s="32"/>
      <c r="S494" s="32"/>
      <c r="T494" s="3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10"/>
      <c r="F495" s="10"/>
      <c r="G495" s="32"/>
      <c r="H495" s="32"/>
      <c r="I495" s="32"/>
      <c r="J495" s="73"/>
      <c r="K495" s="32"/>
      <c r="L495" s="32"/>
      <c r="M495" s="32"/>
      <c r="N495" s="32"/>
      <c r="O495" s="2"/>
      <c r="P495" s="2"/>
      <c r="Q495" s="32"/>
      <c r="R495" s="32"/>
      <c r="S495" s="32"/>
      <c r="T495" s="3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10"/>
      <c r="F496" s="10"/>
      <c r="G496" s="32"/>
      <c r="H496" s="32"/>
      <c r="I496" s="32"/>
      <c r="J496" s="73"/>
      <c r="K496" s="32"/>
      <c r="L496" s="32"/>
      <c r="M496" s="32"/>
      <c r="N496" s="32"/>
      <c r="O496" s="2"/>
      <c r="P496" s="2"/>
      <c r="Q496" s="32"/>
      <c r="R496" s="32"/>
      <c r="S496" s="32"/>
      <c r="T496" s="3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10"/>
      <c r="F497" s="10"/>
      <c r="G497" s="32"/>
      <c r="H497" s="32"/>
      <c r="I497" s="32"/>
      <c r="J497" s="73"/>
      <c r="K497" s="32"/>
      <c r="L497" s="32"/>
      <c r="M497" s="32"/>
      <c r="N497" s="32"/>
      <c r="O497" s="2"/>
      <c r="P497" s="2"/>
      <c r="Q497" s="32"/>
      <c r="R497" s="32"/>
      <c r="S497" s="32"/>
      <c r="T497" s="3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10"/>
      <c r="F498" s="10"/>
      <c r="G498" s="32"/>
      <c r="H498" s="32"/>
      <c r="I498" s="32"/>
      <c r="J498" s="73"/>
      <c r="K498" s="32"/>
      <c r="L498" s="32"/>
      <c r="M498" s="32"/>
      <c r="N498" s="32"/>
      <c r="O498" s="2"/>
      <c r="P498" s="2"/>
      <c r="Q498" s="32"/>
      <c r="R498" s="32"/>
      <c r="S498" s="32"/>
      <c r="T498" s="3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10"/>
      <c r="F499" s="10"/>
      <c r="G499" s="32"/>
      <c r="H499" s="32"/>
      <c r="I499" s="32"/>
      <c r="J499" s="73"/>
      <c r="K499" s="32"/>
      <c r="L499" s="32"/>
      <c r="M499" s="32"/>
      <c r="N499" s="32"/>
      <c r="O499" s="2"/>
      <c r="P499" s="2"/>
      <c r="Q499" s="32"/>
      <c r="R499" s="32"/>
      <c r="S499" s="32"/>
      <c r="T499" s="3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10"/>
      <c r="F500" s="10"/>
      <c r="G500" s="32"/>
      <c r="H500" s="32"/>
      <c r="I500" s="32"/>
      <c r="J500" s="73"/>
      <c r="K500" s="32"/>
      <c r="L500" s="32"/>
      <c r="M500" s="32"/>
      <c r="N500" s="32"/>
      <c r="O500" s="2"/>
      <c r="P500" s="2"/>
      <c r="Q500" s="32"/>
      <c r="R500" s="32"/>
      <c r="S500" s="32"/>
      <c r="T500" s="3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10"/>
      <c r="F501" s="10"/>
      <c r="G501" s="32"/>
      <c r="H501" s="32"/>
      <c r="I501" s="32"/>
      <c r="J501" s="73"/>
      <c r="K501" s="32"/>
      <c r="L501" s="32"/>
      <c r="M501" s="32"/>
      <c r="N501" s="32"/>
      <c r="O501" s="2"/>
      <c r="P501" s="2"/>
      <c r="Q501" s="32"/>
      <c r="R501" s="32"/>
      <c r="S501" s="32"/>
      <c r="T501" s="3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10"/>
      <c r="F502" s="10"/>
      <c r="G502" s="32"/>
      <c r="H502" s="32"/>
      <c r="I502" s="32"/>
      <c r="J502" s="73"/>
      <c r="K502" s="32"/>
      <c r="L502" s="32"/>
      <c r="M502" s="32"/>
      <c r="N502" s="32"/>
      <c r="O502" s="2"/>
      <c r="P502" s="2"/>
      <c r="Q502" s="32"/>
      <c r="R502" s="32"/>
      <c r="S502" s="32"/>
      <c r="T502" s="3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10"/>
      <c r="F503" s="10"/>
      <c r="G503" s="32"/>
      <c r="H503" s="32"/>
      <c r="I503" s="32"/>
      <c r="J503" s="73"/>
      <c r="K503" s="32"/>
      <c r="L503" s="32"/>
      <c r="M503" s="32"/>
      <c r="N503" s="32"/>
      <c r="O503" s="2"/>
      <c r="P503" s="2"/>
      <c r="Q503" s="32"/>
      <c r="R503" s="32"/>
      <c r="S503" s="32"/>
      <c r="T503" s="3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10"/>
      <c r="F504" s="10"/>
      <c r="G504" s="32"/>
      <c r="H504" s="32"/>
      <c r="I504" s="32"/>
      <c r="J504" s="73"/>
      <c r="K504" s="32"/>
      <c r="L504" s="32"/>
      <c r="M504" s="32"/>
      <c r="N504" s="32"/>
      <c r="O504" s="2"/>
      <c r="P504" s="2"/>
      <c r="Q504" s="32"/>
      <c r="R504" s="32"/>
      <c r="S504" s="32"/>
      <c r="T504" s="3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10"/>
      <c r="F505" s="10"/>
      <c r="G505" s="32"/>
      <c r="H505" s="32"/>
      <c r="I505" s="32"/>
      <c r="J505" s="73"/>
      <c r="K505" s="32"/>
      <c r="L505" s="32"/>
      <c r="M505" s="32"/>
      <c r="N505" s="32"/>
      <c r="O505" s="2"/>
      <c r="P505" s="2"/>
      <c r="Q505" s="32"/>
      <c r="R505" s="32"/>
      <c r="S505" s="32"/>
      <c r="T505" s="3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10"/>
      <c r="F506" s="10"/>
      <c r="G506" s="32"/>
      <c r="H506" s="32"/>
      <c r="I506" s="32"/>
      <c r="J506" s="73"/>
      <c r="K506" s="32"/>
      <c r="L506" s="32"/>
      <c r="M506" s="32"/>
      <c r="N506" s="32"/>
      <c r="O506" s="2"/>
      <c r="P506" s="2"/>
      <c r="Q506" s="32"/>
      <c r="R506" s="32"/>
      <c r="S506" s="32"/>
      <c r="T506" s="3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10"/>
      <c r="F507" s="10"/>
      <c r="G507" s="32"/>
      <c r="H507" s="32"/>
      <c r="I507" s="32"/>
      <c r="J507" s="73"/>
      <c r="K507" s="32"/>
      <c r="L507" s="32"/>
      <c r="M507" s="32"/>
      <c r="N507" s="32"/>
      <c r="O507" s="2"/>
      <c r="P507" s="2"/>
      <c r="Q507" s="32"/>
      <c r="R507" s="32"/>
      <c r="S507" s="32"/>
      <c r="T507" s="3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10"/>
      <c r="F508" s="10"/>
      <c r="G508" s="32"/>
      <c r="H508" s="32"/>
      <c r="I508" s="32"/>
      <c r="J508" s="73"/>
      <c r="K508" s="32"/>
      <c r="L508" s="32"/>
      <c r="M508" s="32"/>
      <c r="N508" s="32"/>
      <c r="O508" s="2"/>
      <c r="P508" s="2"/>
      <c r="Q508" s="32"/>
      <c r="R508" s="32"/>
      <c r="S508" s="32"/>
      <c r="T508" s="3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10"/>
      <c r="F509" s="10"/>
      <c r="G509" s="32"/>
      <c r="H509" s="32"/>
      <c r="I509" s="32"/>
      <c r="J509" s="73"/>
      <c r="K509" s="32"/>
      <c r="L509" s="32"/>
      <c r="M509" s="32"/>
      <c r="N509" s="32"/>
      <c r="O509" s="2"/>
      <c r="P509" s="2"/>
      <c r="Q509" s="32"/>
      <c r="R509" s="32"/>
      <c r="S509" s="32"/>
      <c r="T509" s="3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10"/>
      <c r="F510" s="10"/>
      <c r="G510" s="32"/>
      <c r="H510" s="32"/>
      <c r="I510" s="32"/>
      <c r="J510" s="73"/>
      <c r="K510" s="32"/>
      <c r="L510" s="32"/>
      <c r="M510" s="32"/>
      <c r="N510" s="32"/>
      <c r="O510" s="2"/>
      <c r="P510" s="2"/>
      <c r="Q510" s="32"/>
      <c r="R510" s="32"/>
      <c r="S510" s="32"/>
      <c r="T510" s="3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10"/>
      <c r="F511" s="10"/>
      <c r="G511" s="32"/>
      <c r="H511" s="32"/>
      <c r="I511" s="32"/>
      <c r="J511" s="73"/>
      <c r="K511" s="32"/>
      <c r="L511" s="32"/>
      <c r="M511" s="32"/>
      <c r="N511" s="32"/>
      <c r="O511" s="2"/>
      <c r="P511" s="2"/>
      <c r="Q511" s="32"/>
      <c r="R511" s="32"/>
      <c r="S511" s="32"/>
      <c r="T511" s="3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10"/>
      <c r="F512" s="10"/>
      <c r="G512" s="32"/>
      <c r="H512" s="32"/>
      <c r="I512" s="32"/>
      <c r="J512" s="73"/>
      <c r="K512" s="32"/>
      <c r="L512" s="32"/>
      <c r="M512" s="32"/>
      <c r="N512" s="32"/>
      <c r="O512" s="2"/>
      <c r="P512" s="2"/>
      <c r="Q512" s="32"/>
      <c r="R512" s="32"/>
      <c r="S512" s="32"/>
      <c r="T512" s="3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10"/>
      <c r="F513" s="10"/>
      <c r="G513" s="32"/>
      <c r="H513" s="32"/>
      <c r="I513" s="32"/>
      <c r="J513" s="73"/>
      <c r="K513" s="32"/>
      <c r="L513" s="32"/>
      <c r="M513" s="32"/>
      <c r="N513" s="32"/>
      <c r="O513" s="2"/>
      <c r="P513" s="2"/>
      <c r="Q513" s="32"/>
      <c r="R513" s="32"/>
      <c r="S513" s="32"/>
      <c r="T513" s="3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10"/>
      <c r="F514" s="10"/>
      <c r="G514" s="32"/>
      <c r="H514" s="32"/>
      <c r="I514" s="32"/>
      <c r="J514" s="73"/>
      <c r="K514" s="32"/>
      <c r="L514" s="32"/>
      <c r="M514" s="32"/>
      <c r="N514" s="32"/>
      <c r="O514" s="2"/>
      <c r="P514" s="2"/>
      <c r="Q514" s="32"/>
      <c r="R514" s="32"/>
      <c r="S514" s="32"/>
      <c r="T514" s="3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10"/>
      <c r="F515" s="10"/>
      <c r="G515" s="32"/>
      <c r="H515" s="32"/>
      <c r="I515" s="32"/>
      <c r="J515" s="73"/>
      <c r="K515" s="32"/>
      <c r="L515" s="32"/>
      <c r="M515" s="32"/>
      <c r="N515" s="32"/>
      <c r="O515" s="2"/>
      <c r="P515" s="2"/>
      <c r="Q515" s="32"/>
      <c r="R515" s="32"/>
      <c r="S515" s="32"/>
      <c r="T515" s="3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10"/>
      <c r="F516" s="10"/>
      <c r="G516" s="32"/>
      <c r="H516" s="32"/>
      <c r="I516" s="32"/>
      <c r="J516" s="73"/>
      <c r="K516" s="32"/>
      <c r="L516" s="32"/>
      <c r="M516" s="32"/>
      <c r="N516" s="32"/>
      <c r="O516" s="2"/>
      <c r="P516" s="2"/>
      <c r="Q516" s="32"/>
      <c r="R516" s="32"/>
      <c r="S516" s="32"/>
      <c r="T516" s="3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10"/>
      <c r="F517" s="10"/>
      <c r="G517" s="32"/>
      <c r="H517" s="32"/>
      <c r="I517" s="32"/>
      <c r="J517" s="73"/>
      <c r="K517" s="32"/>
      <c r="L517" s="32"/>
      <c r="M517" s="32"/>
      <c r="N517" s="32"/>
      <c r="O517" s="2"/>
      <c r="P517" s="2"/>
      <c r="Q517" s="32"/>
      <c r="R517" s="32"/>
      <c r="S517" s="32"/>
      <c r="T517" s="3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10"/>
      <c r="F518" s="10"/>
      <c r="G518" s="32"/>
      <c r="H518" s="32"/>
      <c r="I518" s="32"/>
      <c r="J518" s="73"/>
      <c r="K518" s="32"/>
      <c r="L518" s="32"/>
      <c r="M518" s="32"/>
      <c r="N518" s="32"/>
      <c r="O518" s="2"/>
      <c r="P518" s="2"/>
      <c r="Q518" s="32"/>
      <c r="R518" s="32"/>
      <c r="S518" s="32"/>
      <c r="T518" s="3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10"/>
      <c r="F519" s="10"/>
      <c r="G519" s="32"/>
      <c r="H519" s="32"/>
      <c r="I519" s="32"/>
      <c r="J519" s="73"/>
      <c r="K519" s="32"/>
      <c r="L519" s="32"/>
      <c r="M519" s="32"/>
      <c r="N519" s="32"/>
      <c r="O519" s="2"/>
      <c r="P519" s="2"/>
      <c r="Q519" s="32"/>
      <c r="R519" s="32"/>
      <c r="S519" s="32"/>
      <c r="T519" s="3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10"/>
      <c r="F520" s="10"/>
      <c r="G520" s="32"/>
      <c r="H520" s="32"/>
      <c r="I520" s="32"/>
      <c r="J520" s="73"/>
      <c r="K520" s="32"/>
      <c r="L520" s="32"/>
      <c r="M520" s="32"/>
      <c r="N520" s="32"/>
      <c r="O520" s="2"/>
      <c r="P520" s="2"/>
      <c r="Q520" s="32"/>
      <c r="R520" s="32"/>
      <c r="S520" s="32"/>
      <c r="T520" s="3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10"/>
      <c r="F521" s="10"/>
      <c r="G521" s="32"/>
      <c r="H521" s="32"/>
      <c r="I521" s="32"/>
      <c r="J521" s="73"/>
      <c r="K521" s="32"/>
      <c r="L521" s="32"/>
      <c r="M521" s="32"/>
      <c r="N521" s="32"/>
      <c r="O521" s="2"/>
      <c r="P521" s="2"/>
      <c r="Q521" s="32"/>
      <c r="R521" s="32"/>
      <c r="S521" s="32"/>
      <c r="T521" s="3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10"/>
      <c r="F522" s="10"/>
      <c r="G522" s="32"/>
      <c r="H522" s="32"/>
      <c r="I522" s="32"/>
      <c r="J522" s="73"/>
      <c r="K522" s="32"/>
      <c r="L522" s="32"/>
      <c r="M522" s="32"/>
      <c r="N522" s="32"/>
      <c r="O522" s="2"/>
      <c r="P522" s="2"/>
      <c r="Q522" s="32"/>
      <c r="R522" s="32"/>
      <c r="S522" s="32"/>
      <c r="T522" s="3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10"/>
      <c r="F523" s="10"/>
      <c r="G523" s="32"/>
      <c r="H523" s="32"/>
      <c r="I523" s="32"/>
      <c r="J523" s="73"/>
      <c r="K523" s="32"/>
      <c r="L523" s="32"/>
      <c r="M523" s="32"/>
      <c r="N523" s="32"/>
      <c r="O523" s="2"/>
      <c r="P523" s="2"/>
      <c r="Q523" s="32"/>
      <c r="R523" s="32"/>
      <c r="S523" s="32"/>
      <c r="T523" s="3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10"/>
      <c r="F524" s="10"/>
      <c r="G524" s="32"/>
      <c r="H524" s="32"/>
      <c r="I524" s="32"/>
      <c r="J524" s="73"/>
      <c r="K524" s="32"/>
      <c r="L524" s="32"/>
      <c r="M524" s="32"/>
      <c r="N524" s="32"/>
      <c r="O524" s="2"/>
      <c r="P524" s="2"/>
      <c r="Q524" s="32"/>
      <c r="R524" s="32"/>
      <c r="S524" s="32"/>
      <c r="T524" s="3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10"/>
      <c r="F525" s="10"/>
      <c r="G525" s="32"/>
      <c r="H525" s="32"/>
      <c r="I525" s="32"/>
      <c r="J525" s="73"/>
      <c r="K525" s="32"/>
      <c r="L525" s="32"/>
      <c r="M525" s="32"/>
      <c r="N525" s="32"/>
      <c r="O525" s="2"/>
      <c r="P525" s="2"/>
      <c r="Q525" s="32"/>
      <c r="R525" s="32"/>
      <c r="S525" s="32"/>
      <c r="T525" s="3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10"/>
      <c r="F526" s="10"/>
      <c r="G526" s="32"/>
      <c r="H526" s="32"/>
      <c r="I526" s="32"/>
      <c r="J526" s="73"/>
      <c r="K526" s="32"/>
      <c r="L526" s="32"/>
      <c r="M526" s="32"/>
      <c r="N526" s="32"/>
      <c r="O526" s="2"/>
      <c r="P526" s="2"/>
      <c r="Q526" s="32"/>
      <c r="R526" s="32"/>
      <c r="S526" s="32"/>
      <c r="T526" s="3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10"/>
      <c r="F527" s="10"/>
      <c r="G527" s="32"/>
      <c r="H527" s="32"/>
      <c r="I527" s="32"/>
      <c r="J527" s="73"/>
      <c r="K527" s="32"/>
      <c r="L527" s="32"/>
      <c r="M527" s="32"/>
      <c r="N527" s="32"/>
      <c r="O527" s="2"/>
      <c r="P527" s="2"/>
      <c r="Q527" s="32"/>
      <c r="R527" s="32"/>
      <c r="S527" s="32"/>
      <c r="T527" s="3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10"/>
      <c r="F528" s="10"/>
      <c r="G528" s="32"/>
      <c r="H528" s="32"/>
      <c r="I528" s="32"/>
      <c r="J528" s="73"/>
      <c r="K528" s="32"/>
      <c r="L528" s="32"/>
      <c r="M528" s="32"/>
      <c r="N528" s="32"/>
      <c r="O528" s="2"/>
      <c r="P528" s="2"/>
      <c r="Q528" s="32"/>
      <c r="R528" s="32"/>
      <c r="S528" s="32"/>
      <c r="T528" s="3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10"/>
      <c r="F529" s="10"/>
      <c r="G529" s="32"/>
      <c r="H529" s="32"/>
      <c r="I529" s="32"/>
      <c r="J529" s="73"/>
      <c r="K529" s="32"/>
      <c r="L529" s="32"/>
      <c r="M529" s="32"/>
      <c r="N529" s="32"/>
      <c r="O529" s="2"/>
      <c r="P529" s="2"/>
      <c r="Q529" s="32"/>
      <c r="R529" s="32"/>
      <c r="S529" s="32"/>
      <c r="T529" s="3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10"/>
      <c r="F530" s="10"/>
      <c r="G530" s="32"/>
      <c r="H530" s="32"/>
      <c r="I530" s="32"/>
      <c r="J530" s="73"/>
      <c r="K530" s="32"/>
      <c r="L530" s="32"/>
      <c r="M530" s="32"/>
      <c r="N530" s="32"/>
      <c r="O530" s="2"/>
      <c r="P530" s="2"/>
      <c r="Q530" s="32"/>
      <c r="R530" s="32"/>
      <c r="S530" s="32"/>
      <c r="T530" s="3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10"/>
      <c r="F531" s="10"/>
      <c r="G531" s="32"/>
      <c r="H531" s="32"/>
      <c r="I531" s="32"/>
      <c r="J531" s="73"/>
      <c r="K531" s="32"/>
      <c r="L531" s="32"/>
      <c r="M531" s="32"/>
      <c r="N531" s="32"/>
      <c r="O531" s="2"/>
      <c r="P531" s="2"/>
      <c r="Q531" s="32"/>
      <c r="R531" s="32"/>
      <c r="S531" s="32"/>
      <c r="T531" s="3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10"/>
      <c r="F532" s="10"/>
      <c r="G532" s="32"/>
      <c r="H532" s="32"/>
      <c r="I532" s="32"/>
      <c r="J532" s="73"/>
      <c r="K532" s="32"/>
      <c r="L532" s="32"/>
      <c r="M532" s="32"/>
      <c r="N532" s="32"/>
      <c r="O532" s="2"/>
      <c r="P532" s="2"/>
      <c r="Q532" s="32"/>
      <c r="R532" s="32"/>
      <c r="S532" s="32"/>
      <c r="T532" s="3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10"/>
      <c r="F533" s="10"/>
      <c r="G533" s="32"/>
      <c r="H533" s="32"/>
      <c r="I533" s="32"/>
      <c r="J533" s="73"/>
      <c r="K533" s="32"/>
      <c r="L533" s="32"/>
      <c r="M533" s="32"/>
      <c r="N533" s="32"/>
      <c r="O533" s="2"/>
      <c r="P533" s="2"/>
      <c r="Q533" s="32"/>
      <c r="R533" s="32"/>
      <c r="S533" s="32"/>
      <c r="T533" s="3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10"/>
      <c r="F534" s="10"/>
      <c r="G534" s="32"/>
      <c r="H534" s="32"/>
      <c r="I534" s="32"/>
      <c r="J534" s="73"/>
      <c r="K534" s="32"/>
      <c r="L534" s="32"/>
      <c r="M534" s="32"/>
      <c r="N534" s="32"/>
      <c r="O534" s="2"/>
      <c r="P534" s="2"/>
      <c r="Q534" s="32"/>
      <c r="R534" s="32"/>
      <c r="S534" s="32"/>
      <c r="T534" s="3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10"/>
      <c r="F535" s="10"/>
      <c r="G535" s="32"/>
      <c r="H535" s="32"/>
      <c r="I535" s="32"/>
      <c r="J535" s="73"/>
      <c r="K535" s="32"/>
      <c r="L535" s="32"/>
      <c r="M535" s="32"/>
      <c r="N535" s="32"/>
      <c r="O535" s="2"/>
      <c r="P535" s="2"/>
      <c r="Q535" s="32"/>
      <c r="R535" s="32"/>
      <c r="S535" s="32"/>
      <c r="T535" s="3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10"/>
      <c r="F536" s="10"/>
      <c r="G536" s="32"/>
      <c r="H536" s="32"/>
      <c r="I536" s="32"/>
      <c r="J536" s="73"/>
      <c r="K536" s="32"/>
      <c r="L536" s="32"/>
      <c r="M536" s="32"/>
      <c r="N536" s="32"/>
      <c r="O536" s="2"/>
      <c r="P536" s="2"/>
      <c r="Q536" s="32"/>
      <c r="R536" s="32"/>
      <c r="S536" s="32"/>
      <c r="T536" s="3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10"/>
      <c r="F537" s="10"/>
      <c r="G537" s="32"/>
      <c r="H537" s="32"/>
      <c r="I537" s="32"/>
      <c r="J537" s="73"/>
      <c r="K537" s="32"/>
      <c r="L537" s="32"/>
      <c r="M537" s="32"/>
      <c r="N537" s="32"/>
      <c r="O537" s="2"/>
      <c r="P537" s="2"/>
      <c r="Q537" s="32"/>
      <c r="R537" s="32"/>
      <c r="S537" s="32"/>
      <c r="T537" s="3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10"/>
      <c r="F538" s="10"/>
      <c r="G538" s="32"/>
      <c r="H538" s="32"/>
      <c r="I538" s="32"/>
      <c r="J538" s="73"/>
      <c r="K538" s="32"/>
      <c r="L538" s="32"/>
      <c r="M538" s="32"/>
      <c r="N538" s="32"/>
      <c r="O538" s="2"/>
      <c r="P538" s="2"/>
      <c r="Q538" s="32"/>
      <c r="R538" s="32"/>
      <c r="S538" s="32"/>
      <c r="T538" s="3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10"/>
      <c r="F539" s="10"/>
      <c r="G539" s="32"/>
      <c r="H539" s="32"/>
      <c r="I539" s="32"/>
      <c r="J539" s="73"/>
      <c r="K539" s="32"/>
      <c r="L539" s="32"/>
      <c r="M539" s="32"/>
      <c r="N539" s="32"/>
      <c r="O539" s="2"/>
      <c r="P539" s="2"/>
      <c r="Q539" s="32"/>
      <c r="R539" s="32"/>
      <c r="S539" s="32"/>
      <c r="T539" s="3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10"/>
      <c r="F540" s="10"/>
      <c r="G540" s="32"/>
      <c r="H540" s="32"/>
      <c r="I540" s="32"/>
      <c r="J540" s="73"/>
      <c r="K540" s="32"/>
      <c r="L540" s="32"/>
      <c r="M540" s="32"/>
      <c r="N540" s="32"/>
      <c r="O540" s="2"/>
      <c r="P540" s="2"/>
      <c r="Q540" s="32"/>
      <c r="R540" s="32"/>
      <c r="S540" s="32"/>
      <c r="T540" s="3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10"/>
      <c r="F541" s="10"/>
      <c r="G541" s="32"/>
      <c r="H541" s="32"/>
      <c r="I541" s="32"/>
      <c r="J541" s="73"/>
      <c r="K541" s="32"/>
      <c r="L541" s="32"/>
      <c r="M541" s="32"/>
      <c r="N541" s="32"/>
      <c r="O541" s="2"/>
      <c r="P541" s="2"/>
      <c r="Q541" s="32"/>
      <c r="R541" s="32"/>
      <c r="S541" s="32"/>
      <c r="T541" s="3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10"/>
      <c r="F542" s="10"/>
      <c r="G542" s="32"/>
      <c r="H542" s="32"/>
      <c r="I542" s="32"/>
      <c r="J542" s="73"/>
      <c r="K542" s="32"/>
      <c r="L542" s="32"/>
      <c r="M542" s="32"/>
      <c r="N542" s="32"/>
      <c r="O542" s="2"/>
      <c r="P542" s="2"/>
      <c r="Q542" s="32"/>
      <c r="R542" s="32"/>
      <c r="S542" s="32"/>
      <c r="T542" s="3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10"/>
      <c r="F543" s="10"/>
      <c r="G543" s="32"/>
      <c r="H543" s="32"/>
      <c r="I543" s="32"/>
      <c r="J543" s="73"/>
      <c r="K543" s="32"/>
      <c r="L543" s="32"/>
      <c r="M543" s="32"/>
      <c r="N543" s="32"/>
      <c r="O543" s="2"/>
      <c r="P543" s="2"/>
      <c r="Q543" s="32"/>
      <c r="R543" s="32"/>
      <c r="S543" s="32"/>
      <c r="T543" s="3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10"/>
      <c r="F544" s="10"/>
      <c r="G544" s="32"/>
      <c r="H544" s="32"/>
      <c r="I544" s="32"/>
      <c r="J544" s="73"/>
      <c r="K544" s="32"/>
      <c r="L544" s="32"/>
      <c r="M544" s="32"/>
      <c r="N544" s="32"/>
      <c r="O544" s="2"/>
      <c r="P544" s="2"/>
      <c r="Q544" s="32"/>
      <c r="R544" s="32"/>
      <c r="S544" s="32"/>
      <c r="T544" s="3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10"/>
      <c r="F545" s="10"/>
      <c r="G545" s="32"/>
      <c r="H545" s="32"/>
      <c r="I545" s="32"/>
      <c r="J545" s="73"/>
      <c r="K545" s="32"/>
      <c r="L545" s="32"/>
      <c r="M545" s="32"/>
      <c r="N545" s="32"/>
      <c r="O545" s="2"/>
      <c r="P545" s="2"/>
      <c r="Q545" s="32"/>
      <c r="R545" s="32"/>
      <c r="S545" s="32"/>
      <c r="T545" s="3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10"/>
      <c r="F546" s="10"/>
      <c r="G546" s="32"/>
      <c r="H546" s="32"/>
      <c r="I546" s="32"/>
      <c r="J546" s="73"/>
      <c r="K546" s="32"/>
      <c r="L546" s="32"/>
      <c r="M546" s="32"/>
      <c r="N546" s="32"/>
      <c r="O546" s="2"/>
      <c r="P546" s="2"/>
      <c r="Q546" s="32"/>
      <c r="R546" s="32"/>
      <c r="S546" s="32"/>
      <c r="T546" s="3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10"/>
      <c r="F547" s="10"/>
      <c r="G547" s="32"/>
      <c r="H547" s="32"/>
      <c r="I547" s="32"/>
      <c r="J547" s="73"/>
      <c r="K547" s="32"/>
      <c r="L547" s="32"/>
      <c r="M547" s="32"/>
      <c r="N547" s="32"/>
      <c r="O547" s="2"/>
      <c r="P547" s="2"/>
      <c r="Q547" s="32"/>
      <c r="R547" s="32"/>
      <c r="S547" s="32"/>
      <c r="T547" s="3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10"/>
      <c r="F548" s="10"/>
      <c r="G548" s="32"/>
      <c r="H548" s="32"/>
      <c r="I548" s="32"/>
      <c r="J548" s="73"/>
      <c r="K548" s="32"/>
      <c r="L548" s="32"/>
      <c r="M548" s="32"/>
      <c r="N548" s="32"/>
      <c r="O548" s="2"/>
      <c r="P548" s="2"/>
      <c r="Q548" s="32"/>
      <c r="R548" s="32"/>
      <c r="S548" s="32"/>
      <c r="T548" s="3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10"/>
      <c r="F549" s="10"/>
      <c r="G549" s="32"/>
      <c r="H549" s="32"/>
      <c r="I549" s="32"/>
      <c r="J549" s="73"/>
      <c r="K549" s="32"/>
      <c r="L549" s="32"/>
      <c r="M549" s="32"/>
      <c r="N549" s="32"/>
      <c r="O549" s="2"/>
      <c r="P549" s="2"/>
      <c r="Q549" s="32"/>
      <c r="R549" s="32"/>
      <c r="S549" s="32"/>
      <c r="T549" s="3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10"/>
      <c r="F550" s="10"/>
      <c r="G550" s="32"/>
      <c r="H550" s="32"/>
      <c r="I550" s="32"/>
      <c r="J550" s="73"/>
      <c r="K550" s="32"/>
      <c r="L550" s="32"/>
      <c r="M550" s="32"/>
      <c r="N550" s="32"/>
      <c r="O550" s="2"/>
      <c r="P550" s="2"/>
      <c r="Q550" s="32"/>
      <c r="R550" s="32"/>
      <c r="S550" s="32"/>
      <c r="T550" s="3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10"/>
      <c r="F551" s="10"/>
      <c r="G551" s="32"/>
      <c r="H551" s="32"/>
      <c r="I551" s="32"/>
      <c r="J551" s="73"/>
      <c r="K551" s="32"/>
      <c r="L551" s="32"/>
      <c r="M551" s="32"/>
      <c r="N551" s="32"/>
      <c r="O551" s="2"/>
      <c r="P551" s="2"/>
      <c r="Q551" s="32"/>
      <c r="R551" s="32"/>
      <c r="S551" s="32"/>
      <c r="T551" s="3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10"/>
      <c r="F552" s="10"/>
      <c r="G552" s="32"/>
      <c r="H552" s="32"/>
      <c r="I552" s="32"/>
      <c r="J552" s="73"/>
      <c r="K552" s="32"/>
      <c r="L552" s="32"/>
      <c r="M552" s="32"/>
      <c r="N552" s="32"/>
      <c r="O552" s="2"/>
      <c r="P552" s="2"/>
      <c r="Q552" s="32"/>
      <c r="R552" s="32"/>
      <c r="S552" s="32"/>
      <c r="T552" s="3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10"/>
      <c r="F553" s="10"/>
      <c r="G553" s="32"/>
      <c r="H553" s="32"/>
      <c r="I553" s="32"/>
      <c r="J553" s="73"/>
      <c r="K553" s="32"/>
      <c r="L553" s="32"/>
      <c r="M553" s="32"/>
      <c r="N553" s="32"/>
      <c r="O553" s="2"/>
      <c r="P553" s="2"/>
      <c r="Q553" s="32"/>
      <c r="R553" s="32"/>
      <c r="S553" s="32"/>
      <c r="T553" s="3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10"/>
      <c r="F554" s="10"/>
      <c r="G554" s="32"/>
      <c r="H554" s="32"/>
      <c r="I554" s="32"/>
      <c r="J554" s="73"/>
      <c r="K554" s="32"/>
      <c r="L554" s="32"/>
      <c r="M554" s="32"/>
      <c r="N554" s="32"/>
      <c r="O554" s="2"/>
      <c r="P554" s="2"/>
      <c r="Q554" s="32"/>
      <c r="R554" s="32"/>
      <c r="S554" s="32"/>
      <c r="T554" s="3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10"/>
      <c r="F555" s="10"/>
      <c r="G555" s="32"/>
      <c r="H555" s="32"/>
      <c r="I555" s="32"/>
      <c r="J555" s="73"/>
      <c r="K555" s="32"/>
      <c r="L555" s="32"/>
      <c r="M555" s="32"/>
      <c r="N555" s="32"/>
      <c r="O555" s="2"/>
      <c r="P555" s="2"/>
      <c r="Q555" s="32"/>
      <c r="R555" s="32"/>
      <c r="S555" s="32"/>
      <c r="T555" s="3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10"/>
      <c r="F556" s="10"/>
      <c r="G556" s="32"/>
      <c r="H556" s="32"/>
      <c r="I556" s="32"/>
      <c r="J556" s="73"/>
      <c r="K556" s="32"/>
      <c r="L556" s="32"/>
      <c r="M556" s="32"/>
      <c r="N556" s="32"/>
      <c r="O556" s="2"/>
      <c r="P556" s="2"/>
      <c r="Q556" s="32"/>
      <c r="R556" s="32"/>
      <c r="S556" s="32"/>
      <c r="T556" s="3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10"/>
      <c r="F557" s="10"/>
      <c r="G557" s="32"/>
      <c r="H557" s="32"/>
      <c r="I557" s="32"/>
      <c r="J557" s="73"/>
      <c r="K557" s="32"/>
      <c r="L557" s="32"/>
      <c r="M557" s="32"/>
      <c r="N557" s="32"/>
      <c r="O557" s="2"/>
      <c r="P557" s="2"/>
      <c r="Q557" s="32"/>
      <c r="R557" s="32"/>
      <c r="S557" s="32"/>
      <c r="T557" s="3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10"/>
      <c r="F558" s="10"/>
      <c r="G558" s="32"/>
      <c r="H558" s="32"/>
      <c r="I558" s="32"/>
      <c r="J558" s="73"/>
      <c r="K558" s="32"/>
      <c r="L558" s="32"/>
      <c r="M558" s="32"/>
      <c r="N558" s="32"/>
      <c r="O558" s="2"/>
      <c r="P558" s="2"/>
      <c r="Q558" s="32"/>
      <c r="R558" s="32"/>
      <c r="S558" s="32"/>
      <c r="T558" s="3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10"/>
      <c r="F559" s="10"/>
      <c r="G559" s="32"/>
      <c r="H559" s="32"/>
      <c r="I559" s="32"/>
      <c r="J559" s="73"/>
      <c r="K559" s="32"/>
      <c r="L559" s="32"/>
      <c r="M559" s="32"/>
      <c r="N559" s="32"/>
      <c r="O559" s="2"/>
      <c r="P559" s="2"/>
      <c r="Q559" s="32"/>
      <c r="R559" s="32"/>
      <c r="S559" s="32"/>
      <c r="T559" s="3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10"/>
      <c r="F560" s="10"/>
      <c r="G560" s="32"/>
      <c r="H560" s="32"/>
      <c r="I560" s="32"/>
      <c r="J560" s="73"/>
      <c r="K560" s="32"/>
      <c r="L560" s="32"/>
      <c r="M560" s="32"/>
      <c r="N560" s="32"/>
      <c r="O560" s="2"/>
      <c r="P560" s="2"/>
      <c r="Q560" s="32"/>
      <c r="R560" s="32"/>
      <c r="S560" s="32"/>
      <c r="T560" s="3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10"/>
      <c r="F561" s="10"/>
      <c r="G561" s="32"/>
      <c r="H561" s="32"/>
      <c r="I561" s="32"/>
      <c r="J561" s="73"/>
      <c r="K561" s="32"/>
      <c r="L561" s="32"/>
      <c r="M561" s="32"/>
      <c r="N561" s="32"/>
      <c r="O561" s="2"/>
      <c r="P561" s="2"/>
      <c r="Q561" s="32"/>
      <c r="R561" s="32"/>
      <c r="S561" s="32"/>
      <c r="T561" s="3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10"/>
      <c r="F562" s="10"/>
      <c r="G562" s="32"/>
      <c r="H562" s="32"/>
      <c r="I562" s="32"/>
      <c r="J562" s="73"/>
      <c r="K562" s="32"/>
      <c r="L562" s="32"/>
      <c r="M562" s="32"/>
      <c r="N562" s="32"/>
      <c r="O562" s="2"/>
      <c r="P562" s="2"/>
      <c r="Q562" s="32"/>
      <c r="R562" s="32"/>
      <c r="S562" s="32"/>
      <c r="T562" s="3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10"/>
      <c r="F563" s="10"/>
      <c r="G563" s="32"/>
      <c r="H563" s="32"/>
      <c r="I563" s="32"/>
      <c r="J563" s="73"/>
      <c r="K563" s="32"/>
      <c r="L563" s="32"/>
      <c r="M563" s="32"/>
      <c r="N563" s="32"/>
      <c r="O563" s="2"/>
      <c r="P563" s="2"/>
      <c r="Q563" s="32"/>
      <c r="R563" s="32"/>
      <c r="S563" s="32"/>
      <c r="T563" s="3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10"/>
      <c r="F564" s="10"/>
      <c r="G564" s="32"/>
      <c r="H564" s="32"/>
      <c r="I564" s="32"/>
      <c r="J564" s="73"/>
      <c r="K564" s="32"/>
      <c r="L564" s="32"/>
      <c r="M564" s="32"/>
      <c r="N564" s="32"/>
      <c r="O564" s="2"/>
      <c r="P564" s="2"/>
      <c r="Q564" s="32"/>
      <c r="R564" s="32"/>
      <c r="S564" s="32"/>
      <c r="T564" s="3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10"/>
      <c r="F565" s="10"/>
      <c r="G565" s="32"/>
      <c r="H565" s="32"/>
      <c r="I565" s="32"/>
      <c r="J565" s="73"/>
      <c r="K565" s="32"/>
      <c r="L565" s="32"/>
      <c r="M565" s="32"/>
      <c r="N565" s="32"/>
      <c r="O565" s="2"/>
      <c r="P565" s="2"/>
      <c r="Q565" s="32"/>
      <c r="R565" s="32"/>
      <c r="S565" s="32"/>
      <c r="T565" s="3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10"/>
      <c r="F566" s="10"/>
      <c r="G566" s="32"/>
      <c r="H566" s="32"/>
      <c r="I566" s="32"/>
      <c r="J566" s="73"/>
      <c r="K566" s="32"/>
      <c r="L566" s="32"/>
      <c r="M566" s="32"/>
      <c r="N566" s="32"/>
      <c r="O566" s="2"/>
      <c r="P566" s="2"/>
      <c r="Q566" s="32"/>
      <c r="R566" s="32"/>
      <c r="S566" s="32"/>
      <c r="T566" s="3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10"/>
      <c r="F567" s="10"/>
      <c r="G567" s="32"/>
      <c r="H567" s="32"/>
      <c r="I567" s="32"/>
      <c r="J567" s="73"/>
      <c r="K567" s="32"/>
      <c r="L567" s="32"/>
      <c r="M567" s="32"/>
      <c r="N567" s="32"/>
      <c r="O567" s="2"/>
      <c r="P567" s="2"/>
      <c r="Q567" s="32"/>
      <c r="R567" s="32"/>
      <c r="S567" s="32"/>
      <c r="T567" s="3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10"/>
      <c r="F568" s="10"/>
      <c r="G568" s="32"/>
      <c r="H568" s="32"/>
      <c r="I568" s="32"/>
      <c r="J568" s="73"/>
      <c r="K568" s="32"/>
      <c r="L568" s="32"/>
      <c r="M568" s="32"/>
      <c r="N568" s="32"/>
      <c r="O568" s="2"/>
      <c r="P568" s="2"/>
      <c r="Q568" s="32"/>
      <c r="R568" s="32"/>
      <c r="S568" s="32"/>
      <c r="T568" s="3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10"/>
      <c r="F569" s="10"/>
      <c r="G569" s="32"/>
      <c r="H569" s="32"/>
      <c r="I569" s="32"/>
      <c r="J569" s="73"/>
      <c r="K569" s="32"/>
      <c r="L569" s="32"/>
      <c r="M569" s="32"/>
      <c r="N569" s="32"/>
      <c r="O569" s="2"/>
      <c r="P569" s="2"/>
      <c r="Q569" s="32"/>
      <c r="R569" s="32"/>
      <c r="S569" s="32"/>
      <c r="T569" s="3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10"/>
      <c r="F570" s="10"/>
      <c r="G570" s="32"/>
      <c r="H570" s="32"/>
      <c r="I570" s="32"/>
      <c r="J570" s="73"/>
      <c r="K570" s="32"/>
      <c r="L570" s="32"/>
      <c r="M570" s="32"/>
      <c r="N570" s="32"/>
      <c r="O570" s="2"/>
      <c r="P570" s="2"/>
      <c r="Q570" s="32"/>
      <c r="R570" s="32"/>
      <c r="S570" s="32"/>
      <c r="T570" s="3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10"/>
      <c r="F571" s="10"/>
      <c r="G571" s="32"/>
      <c r="H571" s="32"/>
      <c r="I571" s="32"/>
      <c r="J571" s="73"/>
      <c r="K571" s="32"/>
      <c r="L571" s="32"/>
      <c r="M571" s="32"/>
      <c r="N571" s="32"/>
      <c r="O571" s="2"/>
      <c r="P571" s="2"/>
      <c r="Q571" s="32"/>
      <c r="R571" s="32"/>
      <c r="S571" s="32"/>
      <c r="T571" s="3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10"/>
      <c r="F572" s="10"/>
      <c r="G572" s="32"/>
      <c r="H572" s="32"/>
      <c r="I572" s="32"/>
      <c r="J572" s="73"/>
      <c r="K572" s="32"/>
      <c r="L572" s="32"/>
      <c r="M572" s="32"/>
      <c r="N572" s="32"/>
      <c r="O572" s="2"/>
      <c r="P572" s="2"/>
      <c r="Q572" s="32"/>
      <c r="R572" s="32"/>
      <c r="S572" s="32"/>
      <c r="T572" s="3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10"/>
      <c r="F573" s="10"/>
      <c r="G573" s="32"/>
      <c r="H573" s="32"/>
      <c r="I573" s="32"/>
      <c r="J573" s="73"/>
      <c r="K573" s="32"/>
      <c r="L573" s="32"/>
      <c r="M573" s="32"/>
      <c r="N573" s="32"/>
      <c r="O573" s="2"/>
      <c r="P573" s="2"/>
      <c r="Q573" s="32"/>
      <c r="R573" s="32"/>
      <c r="S573" s="32"/>
      <c r="T573" s="3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10"/>
      <c r="F574" s="10"/>
      <c r="G574" s="32"/>
      <c r="H574" s="32"/>
      <c r="I574" s="32"/>
      <c r="J574" s="73"/>
      <c r="K574" s="32"/>
      <c r="L574" s="32"/>
      <c r="M574" s="32"/>
      <c r="N574" s="32"/>
      <c r="O574" s="2"/>
      <c r="P574" s="2"/>
      <c r="Q574" s="32"/>
      <c r="R574" s="32"/>
      <c r="S574" s="32"/>
      <c r="T574" s="3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10"/>
      <c r="F575" s="10"/>
      <c r="G575" s="32"/>
      <c r="H575" s="32"/>
      <c r="I575" s="32"/>
      <c r="J575" s="73"/>
      <c r="K575" s="32"/>
      <c r="L575" s="32"/>
      <c r="M575" s="32"/>
      <c r="N575" s="32"/>
      <c r="O575" s="2"/>
      <c r="P575" s="2"/>
      <c r="Q575" s="32"/>
      <c r="R575" s="32"/>
      <c r="S575" s="32"/>
      <c r="T575" s="3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10"/>
      <c r="F576" s="10"/>
      <c r="G576" s="32"/>
      <c r="H576" s="32"/>
      <c r="I576" s="32"/>
      <c r="J576" s="73"/>
      <c r="K576" s="32"/>
      <c r="L576" s="32"/>
      <c r="M576" s="32"/>
      <c r="N576" s="32"/>
      <c r="O576" s="2"/>
      <c r="P576" s="2"/>
      <c r="Q576" s="32"/>
      <c r="R576" s="32"/>
      <c r="S576" s="32"/>
      <c r="T576" s="3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10"/>
      <c r="F577" s="10"/>
      <c r="G577" s="32"/>
      <c r="H577" s="32"/>
      <c r="I577" s="32"/>
      <c r="J577" s="73"/>
      <c r="K577" s="32"/>
      <c r="L577" s="32"/>
      <c r="M577" s="32"/>
      <c r="N577" s="32"/>
      <c r="O577" s="2"/>
      <c r="P577" s="2"/>
      <c r="Q577" s="32"/>
      <c r="R577" s="32"/>
      <c r="S577" s="32"/>
      <c r="T577" s="3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10"/>
      <c r="F578" s="10"/>
      <c r="G578" s="32"/>
      <c r="H578" s="32"/>
      <c r="I578" s="32"/>
      <c r="J578" s="73"/>
      <c r="K578" s="32"/>
      <c r="L578" s="32"/>
      <c r="M578" s="32"/>
      <c r="N578" s="32"/>
      <c r="O578" s="2"/>
      <c r="P578" s="2"/>
      <c r="Q578" s="32"/>
      <c r="R578" s="32"/>
      <c r="S578" s="32"/>
      <c r="T578" s="3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10"/>
      <c r="F579" s="10"/>
      <c r="G579" s="32"/>
      <c r="H579" s="32"/>
      <c r="I579" s="32"/>
      <c r="J579" s="73"/>
      <c r="K579" s="32"/>
      <c r="L579" s="32"/>
      <c r="M579" s="32"/>
      <c r="N579" s="32"/>
      <c r="O579" s="2"/>
      <c r="P579" s="2"/>
      <c r="Q579" s="32"/>
      <c r="R579" s="32"/>
      <c r="S579" s="32"/>
      <c r="T579" s="3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10"/>
      <c r="F580" s="10"/>
      <c r="G580" s="32"/>
      <c r="H580" s="32"/>
      <c r="I580" s="32"/>
      <c r="J580" s="73"/>
      <c r="K580" s="32"/>
      <c r="L580" s="32"/>
      <c r="M580" s="32"/>
      <c r="N580" s="32"/>
      <c r="O580" s="2"/>
      <c r="P580" s="2"/>
      <c r="Q580" s="32"/>
      <c r="R580" s="32"/>
      <c r="S580" s="32"/>
      <c r="T580" s="3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10"/>
      <c r="F581" s="10"/>
      <c r="G581" s="32"/>
      <c r="H581" s="32"/>
      <c r="I581" s="32"/>
      <c r="J581" s="73"/>
      <c r="K581" s="32"/>
      <c r="L581" s="32"/>
      <c r="M581" s="32"/>
      <c r="N581" s="32"/>
      <c r="O581" s="2"/>
      <c r="P581" s="2"/>
      <c r="Q581" s="32"/>
      <c r="R581" s="32"/>
      <c r="S581" s="32"/>
      <c r="T581" s="3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10"/>
      <c r="F582" s="10"/>
      <c r="G582" s="32"/>
      <c r="H582" s="32"/>
      <c r="I582" s="32"/>
      <c r="J582" s="73"/>
      <c r="K582" s="32"/>
      <c r="L582" s="32"/>
      <c r="M582" s="32"/>
      <c r="N582" s="32"/>
      <c r="O582" s="2"/>
      <c r="P582" s="2"/>
      <c r="Q582" s="32"/>
      <c r="R582" s="32"/>
      <c r="S582" s="32"/>
      <c r="T582" s="3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10"/>
      <c r="F583" s="10"/>
      <c r="G583" s="32"/>
      <c r="H583" s="32"/>
      <c r="I583" s="32"/>
      <c r="J583" s="73"/>
      <c r="K583" s="32"/>
      <c r="L583" s="32"/>
      <c r="M583" s="32"/>
      <c r="N583" s="32"/>
      <c r="O583" s="2"/>
      <c r="P583" s="2"/>
      <c r="Q583" s="32"/>
      <c r="R583" s="32"/>
      <c r="S583" s="32"/>
      <c r="T583" s="3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10"/>
      <c r="F584" s="10"/>
      <c r="G584" s="32"/>
      <c r="H584" s="32"/>
      <c r="I584" s="32"/>
      <c r="J584" s="73"/>
      <c r="K584" s="32"/>
      <c r="L584" s="32"/>
      <c r="M584" s="32"/>
      <c r="N584" s="32"/>
      <c r="O584" s="2"/>
      <c r="P584" s="2"/>
      <c r="Q584" s="32"/>
      <c r="R584" s="32"/>
      <c r="S584" s="32"/>
      <c r="T584" s="3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10"/>
      <c r="F585" s="10"/>
      <c r="G585" s="32"/>
      <c r="H585" s="32"/>
      <c r="I585" s="32"/>
      <c r="J585" s="73"/>
      <c r="K585" s="32"/>
      <c r="L585" s="32"/>
      <c r="M585" s="32"/>
      <c r="N585" s="32"/>
      <c r="O585" s="2"/>
      <c r="P585" s="2"/>
      <c r="Q585" s="32"/>
      <c r="R585" s="32"/>
      <c r="S585" s="32"/>
      <c r="T585" s="3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10"/>
      <c r="F586" s="10"/>
      <c r="G586" s="32"/>
      <c r="H586" s="32"/>
      <c r="I586" s="32"/>
      <c r="J586" s="73"/>
      <c r="K586" s="32"/>
      <c r="L586" s="32"/>
      <c r="M586" s="32"/>
      <c r="N586" s="32"/>
      <c r="O586" s="2"/>
      <c r="P586" s="2"/>
      <c r="Q586" s="32"/>
      <c r="R586" s="32"/>
      <c r="S586" s="32"/>
      <c r="T586" s="3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10"/>
      <c r="F587" s="10"/>
      <c r="G587" s="32"/>
      <c r="H587" s="32"/>
      <c r="I587" s="32"/>
      <c r="J587" s="73"/>
      <c r="K587" s="32"/>
      <c r="L587" s="32"/>
      <c r="M587" s="32"/>
      <c r="N587" s="32"/>
      <c r="O587" s="2"/>
      <c r="P587" s="2"/>
      <c r="Q587" s="32"/>
      <c r="R587" s="32"/>
      <c r="S587" s="32"/>
      <c r="T587" s="3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10"/>
      <c r="F588" s="10"/>
      <c r="G588" s="32"/>
      <c r="H588" s="32"/>
      <c r="I588" s="32"/>
      <c r="J588" s="73"/>
      <c r="K588" s="32"/>
      <c r="L588" s="32"/>
      <c r="M588" s="32"/>
      <c r="N588" s="32"/>
      <c r="O588" s="2"/>
      <c r="P588" s="2"/>
      <c r="Q588" s="32"/>
      <c r="R588" s="32"/>
      <c r="S588" s="32"/>
      <c r="T588" s="3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10"/>
      <c r="F589" s="10"/>
      <c r="G589" s="32"/>
      <c r="H589" s="32"/>
      <c r="I589" s="32"/>
      <c r="J589" s="73"/>
      <c r="K589" s="32"/>
      <c r="L589" s="32"/>
      <c r="M589" s="32"/>
      <c r="N589" s="32"/>
      <c r="O589" s="2"/>
      <c r="P589" s="2"/>
      <c r="Q589" s="32"/>
      <c r="R589" s="32"/>
      <c r="S589" s="32"/>
      <c r="T589" s="3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10"/>
      <c r="F590" s="10"/>
      <c r="G590" s="32"/>
      <c r="H590" s="32"/>
      <c r="I590" s="32"/>
      <c r="J590" s="73"/>
      <c r="K590" s="32"/>
      <c r="L590" s="32"/>
      <c r="M590" s="32"/>
      <c r="N590" s="32"/>
      <c r="O590" s="2"/>
      <c r="P590" s="2"/>
      <c r="Q590" s="32"/>
      <c r="R590" s="32"/>
      <c r="S590" s="32"/>
      <c r="T590" s="3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10"/>
      <c r="F591" s="10"/>
      <c r="G591" s="32"/>
      <c r="H591" s="32"/>
      <c r="I591" s="32"/>
      <c r="J591" s="73"/>
      <c r="K591" s="32"/>
      <c r="L591" s="32"/>
      <c r="M591" s="32"/>
      <c r="N591" s="32"/>
      <c r="O591" s="2"/>
      <c r="P591" s="2"/>
      <c r="Q591" s="32"/>
      <c r="R591" s="32"/>
      <c r="S591" s="32"/>
      <c r="T591" s="3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10"/>
      <c r="F592" s="10"/>
      <c r="G592" s="32"/>
      <c r="H592" s="32"/>
      <c r="I592" s="32"/>
      <c r="J592" s="73"/>
      <c r="K592" s="32"/>
      <c r="L592" s="32"/>
      <c r="M592" s="32"/>
      <c r="N592" s="32"/>
      <c r="O592" s="2"/>
      <c r="P592" s="2"/>
      <c r="Q592" s="32"/>
      <c r="R592" s="32"/>
      <c r="S592" s="32"/>
      <c r="T592" s="3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10"/>
      <c r="F593" s="10"/>
      <c r="G593" s="32"/>
      <c r="H593" s="32"/>
      <c r="I593" s="32"/>
      <c r="J593" s="73"/>
      <c r="K593" s="32"/>
      <c r="L593" s="32"/>
      <c r="M593" s="32"/>
      <c r="N593" s="32"/>
      <c r="O593" s="2"/>
      <c r="P593" s="2"/>
      <c r="Q593" s="32"/>
      <c r="R593" s="32"/>
      <c r="S593" s="32"/>
      <c r="T593" s="3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10"/>
      <c r="F594" s="10"/>
      <c r="G594" s="32"/>
      <c r="H594" s="32"/>
      <c r="I594" s="32"/>
      <c r="J594" s="73"/>
      <c r="K594" s="32"/>
      <c r="L594" s="32"/>
      <c r="M594" s="32"/>
      <c r="N594" s="32"/>
      <c r="O594" s="2"/>
      <c r="P594" s="2"/>
      <c r="Q594" s="32"/>
      <c r="R594" s="32"/>
      <c r="S594" s="32"/>
      <c r="T594" s="3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10"/>
      <c r="F595" s="10"/>
      <c r="G595" s="32"/>
      <c r="H595" s="32"/>
      <c r="I595" s="32"/>
      <c r="J595" s="73"/>
      <c r="K595" s="32"/>
      <c r="L595" s="32"/>
      <c r="M595" s="32"/>
      <c r="N595" s="32"/>
      <c r="O595" s="2"/>
      <c r="P595" s="2"/>
      <c r="Q595" s="32"/>
      <c r="R595" s="32"/>
      <c r="S595" s="32"/>
      <c r="T595" s="3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10"/>
      <c r="F596" s="10"/>
      <c r="G596" s="32"/>
      <c r="H596" s="32"/>
      <c r="I596" s="32"/>
      <c r="J596" s="73"/>
      <c r="K596" s="32"/>
      <c r="L596" s="32"/>
      <c r="M596" s="32"/>
      <c r="N596" s="32"/>
      <c r="O596" s="2"/>
      <c r="P596" s="2"/>
      <c r="Q596" s="32"/>
      <c r="R596" s="32"/>
      <c r="S596" s="32"/>
      <c r="T596" s="3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10"/>
      <c r="F597" s="10"/>
      <c r="G597" s="32"/>
      <c r="H597" s="32"/>
      <c r="I597" s="32"/>
      <c r="J597" s="73"/>
      <c r="K597" s="32"/>
      <c r="L597" s="32"/>
      <c r="M597" s="32"/>
      <c r="N597" s="32"/>
      <c r="O597" s="2"/>
      <c r="P597" s="2"/>
      <c r="Q597" s="32"/>
      <c r="R597" s="32"/>
      <c r="S597" s="32"/>
      <c r="T597" s="3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10"/>
      <c r="F598" s="10"/>
      <c r="G598" s="32"/>
      <c r="H598" s="32"/>
      <c r="I598" s="32"/>
      <c r="J598" s="73"/>
      <c r="K598" s="32"/>
      <c r="L598" s="32"/>
      <c r="M598" s="32"/>
      <c r="N598" s="32"/>
      <c r="O598" s="2"/>
      <c r="P598" s="2"/>
      <c r="Q598" s="32"/>
      <c r="R598" s="32"/>
      <c r="S598" s="32"/>
      <c r="T598" s="3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10"/>
      <c r="F599" s="10"/>
      <c r="G599" s="32"/>
      <c r="H599" s="32"/>
      <c r="I599" s="32"/>
      <c r="J599" s="73"/>
      <c r="K599" s="32"/>
      <c r="L599" s="32"/>
      <c r="M599" s="32"/>
      <c r="N599" s="32"/>
      <c r="O599" s="2"/>
      <c r="P599" s="2"/>
      <c r="Q599" s="32"/>
      <c r="R599" s="32"/>
      <c r="S599" s="32"/>
      <c r="T599" s="3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10"/>
      <c r="F600" s="10"/>
      <c r="G600" s="32"/>
      <c r="H600" s="32"/>
      <c r="I600" s="32"/>
      <c r="J600" s="73"/>
      <c r="K600" s="32"/>
      <c r="L600" s="32"/>
      <c r="M600" s="32"/>
      <c r="N600" s="32"/>
      <c r="O600" s="2"/>
      <c r="P600" s="2"/>
      <c r="Q600" s="32"/>
      <c r="R600" s="32"/>
      <c r="S600" s="32"/>
      <c r="T600" s="3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10"/>
      <c r="F601" s="10"/>
      <c r="G601" s="32"/>
      <c r="H601" s="32"/>
      <c r="I601" s="32"/>
      <c r="J601" s="73"/>
      <c r="K601" s="32"/>
      <c r="L601" s="32"/>
      <c r="M601" s="32"/>
      <c r="N601" s="32"/>
      <c r="O601" s="2"/>
      <c r="P601" s="2"/>
      <c r="Q601" s="32"/>
      <c r="R601" s="32"/>
      <c r="S601" s="32"/>
      <c r="T601" s="3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10"/>
      <c r="F602" s="10"/>
      <c r="G602" s="32"/>
      <c r="H602" s="32"/>
      <c r="I602" s="32"/>
      <c r="J602" s="73"/>
      <c r="K602" s="32"/>
      <c r="L602" s="32"/>
      <c r="M602" s="32"/>
      <c r="N602" s="32"/>
      <c r="O602" s="2"/>
      <c r="P602" s="2"/>
      <c r="Q602" s="32"/>
      <c r="R602" s="32"/>
      <c r="S602" s="32"/>
      <c r="T602" s="3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10"/>
      <c r="F603" s="10"/>
      <c r="G603" s="32"/>
      <c r="H603" s="32"/>
      <c r="I603" s="32"/>
      <c r="J603" s="73"/>
      <c r="K603" s="32"/>
      <c r="L603" s="32"/>
      <c r="M603" s="32"/>
      <c r="N603" s="32"/>
      <c r="O603" s="2"/>
      <c r="P603" s="2"/>
      <c r="Q603" s="32"/>
      <c r="R603" s="32"/>
      <c r="S603" s="32"/>
      <c r="T603" s="3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10"/>
      <c r="F604" s="10"/>
      <c r="G604" s="32"/>
      <c r="H604" s="32"/>
      <c r="I604" s="32"/>
      <c r="J604" s="73"/>
      <c r="K604" s="32"/>
      <c r="L604" s="32"/>
      <c r="M604" s="32"/>
      <c r="N604" s="32"/>
      <c r="O604" s="2"/>
      <c r="P604" s="2"/>
      <c r="Q604" s="32"/>
      <c r="R604" s="32"/>
      <c r="S604" s="32"/>
      <c r="T604" s="3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10"/>
      <c r="F605" s="10"/>
      <c r="G605" s="32"/>
      <c r="H605" s="32"/>
      <c r="I605" s="32"/>
      <c r="J605" s="73"/>
      <c r="K605" s="32"/>
      <c r="L605" s="32"/>
      <c r="M605" s="32"/>
      <c r="N605" s="32"/>
      <c r="O605" s="2"/>
      <c r="P605" s="2"/>
      <c r="Q605" s="32"/>
      <c r="R605" s="32"/>
      <c r="S605" s="32"/>
      <c r="T605" s="3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10"/>
      <c r="F606" s="10"/>
      <c r="G606" s="32"/>
      <c r="H606" s="32"/>
      <c r="I606" s="32"/>
      <c r="J606" s="73"/>
      <c r="K606" s="32"/>
      <c r="L606" s="32"/>
      <c r="M606" s="32"/>
      <c r="N606" s="32"/>
      <c r="O606" s="2"/>
      <c r="P606" s="2"/>
      <c r="Q606" s="32"/>
      <c r="R606" s="32"/>
      <c r="S606" s="32"/>
      <c r="T606" s="3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10"/>
      <c r="F607" s="10"/>
      <c r="G607" s="32"/>
      <c r="H607" s="32"/>
      <c r="I607" s="32"/>
      <c r="J607" s="73"/>
      <c r="K607" s="32"/>
      <c r="L607" s="32"/>
      <c r="M607" s="32"/>
      <c r="N607" s="32"/>
      <c r="O607" s="2"/>
      <c r="P607" s="2"/>
      <c r="Q607" s="32"/>
      <c r="R607" s="32"/>
      <c r="S607" s="32"/>
      <c r="T607" s="3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10"/>
      <c r="F608" s="10"/>
      <c r="G608" s="32"/>
      <c r="H608" s="32"/>
      <c r="I608" s="32"/>
      <c r="J608" s="73"/>
      <c r="K608" s="32"/>
      <c r="L608" s="32"/>
      <c r="M608" s="32"/>
      <c r="N608" s="32"/>
      <c r="O608" s="2"/>
      <c r="P608" s="2"/>
      <c r="Q608" s="32"/>
      <c r="R608" s="32"/>
      <c r="S608" s="32"/>
      <c r="T608" s="3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10"/>
      <c r="F609" s="10"/>
      <c r="G609" s="32"/>
      <c r="H609" s="32"/>
      <c r="I609" s="32"/>
      <c r="J609" s="73"/>
      <c r="K609" s="32"/>
      <c r="L609" s="32"/>
      <c r="M609" s="32"/>
      <c r="N609" s="32"/>
      <c r="O609" s="2"/>
      <c r="P609" s="2"/>
      <c r="Q609" s="32"/>
      <c r="R609" s="32"/>
      <c r="S609" s="32"/>
      <c r="T609" s="3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10"/>
      <c r="F610" s="10"/>
      <c r="G610" s="32"/>
      <c r="H610" s="32"/>
      <c r="I610" s="32"/>
      <c r="J610" s="73"/>
      <c r="K610" s="32"/>
      <c r="L610" s="32"/>
      <c r="M610" s="32"/>
      <c r="N610" s="32"/>
      <c r="O610" s="2"/>
      <c r="P610" s="2"/>
      <c r="Q610" s="32"/>
      <c r="R610" s="32"/>
      <c r="S610" s="32"/>
      <c r="T610" s="3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10"/>
      <c r="F611" s="10"/>
      <c r="G611" s="32"/>
      <c r="H611" s="32"/>
      <c r="I611" s="32"/>
      <c r="J611" s="73"/>
      <c r="K611" s="32"/>
      <c r="L611" s="32"/>
      <c r="M611" s="32"/>
      <c r="N611" s="32"/>
      <c r="O611" s="2"/>
      <c r="P611" s="2"/>
      <c r="Q611" s="32"/>
      <c r="R611" s="32"/>
      <c r="S611" s="32"/>
      <c r="T611" s="3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10"/>
      <c r="F612" s="10"/>
      <c r="G612" s="32"/>
      <c r="H612" s="32"/>
      <c r="I612" s="32"/>
      <c r="J612" s="73"/>
      <c r="K612" s="32"/>
      <c r="L612" s="32"/>
      <c r="M612" s="32"/>
      <c r="N612" s="32"/>
      <c r="O612" s="2"/>
      <c r="P612" s="2"/>
      <c r="Q612" s="32"/>
      <c r="R612" s="32"/>
      <c r="S612" s="32"/>
      <c r="T612" s="3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10"/>
      <c r="F613" s="10"/>
      <c r="G613" s="32"/>
      <c r="H613" s="32"/>
      <c r="I613" s="32"/>
      <c r="J613" s="73"/>
      <c r="K613" s="32"/>
      <c r="L613" s="32"/>
      <c r="M613" s="32"/>
      <c r="N613" s="32"/>
      <c r="O613" s="2"/>
      <c r="P613" s="2"/>
      <c r="Q613" s="32"/>
      <c r="R613" s="32"/>
      <c r="S613" s="32"/>
      <c r="T613" s="3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10"/>
      <c r="F614" s="10"/>
      <c r="G614" s="32"/>
      <c r="H614" s="32"/>
      <c r="I614" s="32"/>
      <c r="J614" s="73"/>
      <c r="K614" s="32"/>
      <c r="L614" s="32"/>
      <c r="M614" s="32"/>
      <c r="N614" s="32"/>
      <c r="O614" s="2"/>
      <c r="P614" s="2"/>
      <c r="Q614" s="32"/>
      <c r="R614" s="32"/>
      <c r="S614" s="32"/>
      <c r="T614" s="3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10"/>
      <c r="F615" s="10"/>
      <c r="G615" s="32"/>
      <c r="H615" s="32"/>
      <c r="I615" s="32"/>
      <c r="J615" s="73"/>
      <c r="K615" s="32"/>
      <c r="L615" s="32"/>
      <c r="M615" s="32"/>
      <c r="N615" s="32"/>
      <c r="O615" s="2"/>
      <c r="P615" s="2"/>
      <c r="Q615" s="32"/>
      <c r="R615" s="32"/>
      <c r="S615" s="32"/>
      <c r="T615" s="3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10"/>
      <c r="F616" s="10"/>
      <c r="G616" s="32"/>
      <c r="H616" s="32"/>
      <c r="I616" s="32"/>
      <c r="J616" s="73"/>
      <c r="K616" s="32"/>
      <c r="L616" s="32"/>
      <c r="M616" s="32"/>
      <c r="N616" s="32"/>
      <c r="O616" s="2"/>
      <c r="P616" s="2"/>
      <c r="Q616" s="32"/>
      <c r="R616" s="32"/>
      <c r="S616" s="32"/>
      <c r="T616" s="3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10"/>
      <c r="F617" s="10"/>
      <c r="G617" s="32"/>
      <c r="H617" s="32"/>
      <c r="I617" s="32"/>
      <c r="J617" s="73"/>
      <c r="K617" s="32"/>
      <c r="L617" s="32"/>
      <c r="M617" s="32"/>
      <c r="N617" s="32"/>
      <c r="O617" s="2"/>
      <c r="P617" s="2"/>
      <c r="Q617" s="32"/>
      <c r="R617" s="32"/>
      <c r="S617" s="32"/>
      <c r="T617" s="3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10"/>
      <c r="F618" s="10"/>
      <c r="G618" s="32"/>
      <c r="H618" s="32"/>
      <c r="I618" s="32"/>
      <c r="J618" s="73"/>
      <c r="K618" s="32"/>
      <c r="L618" s="32"/>
      <c r="M618" s="32"/>
      <c r="N618" s="32"/>
      <c r="O618" s="2"/>
      <c r="P618" s="2"/>
      <c r="Q618" s="32"/>
      <c r="R618" s="32"/>
      <c r="S618" s="32"/>
      <c r="T618" s="3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10"/>
      <c r="F619" s="10"/>
      <c r="G619" s="32"/>
      <c r="H619" s="32"/>
      <c r="I619" s="32"/>
      <c r="J619" s="73"/>
      <c r="K619" s="32"/>
      <c r="L619" s="32"/>
      <c r="M619" s="32"/>
      <c r="N619" s="32"/>
      <c r="O619" s="2"/>
      <c r="P619" s="2"/>
      <c r="Q619" s="32"/>
      <c r="R619" s="32"/>
      <c r="S619" s="32"/>
      <c r="T619" s="3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10"/>
      <c r="F620" s="10"/>
      <c r="G620" s="32"/>
      <c r="H620" s="32"/>
      <c r="I620" s="32"/>
      <c r="J620" s="73"/>
      <c r="K620" s="32"/>
      <c r="L620" s="32"/>
      <c r="M620" s="32"/>
      <c r="N620" s="32"/>
      <c r="O620" s="2"/>
      <c r="P620" s="2"/>
      <c r="Q620" s="32"/>
      <c r="R620" s="32"/>
      <c r="S620" s="32"/>
      <c r="T620" s="3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10"/>
      <c r="F621" s="10"/>
      <c r="G621" s="32"/>
      <c r="H621" s="32"/>
      <c r="I621" s="32"/>
      <c r="J621" s="73"/>
      <c r="K621" s="32"/>
      <c r="L621" s="32"/>
      <c r="M621" s="32"/>
      <c r="N621" s="32"/>
      <c r="O621" s="2"/>
      <c r="P621" s="2"/>
      <c r="Q621" s="32"/>
      <c r="R621" s="32"/>
      <c r="S621" s="32"/>
      <c r="T621" s="3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10"/>
      <c r="F622" s="10"/>
      <c r="G622" s="32"/>
      <c r="H622" s="32"/>
      <c r="I622" s="32"/>
      <c r="J622" s="73"/>
      <c r="K622" s="32"/>
      <c r="L622" s="32"/>
      <c r="M622" s="32"/>
      <c r="N622" s="32"/>
      <c r="O622" s="2"/>
      <c r="P622" s="2"/>
      <c r="Q622" s="32"/>
      <c r="R622" s="32"/>
      <c r="S622" s="32"/>
      <c r="T622" s="3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10"/>
      <c r="F623" s="10"/>
      <c r="G623" s="32"/>
      <c r="H623" s="32"/>
      <c r="I623" s="32"/>
      <c r="J623" s="73"/>
      <c r="K623" s="32"/>
      <c r="L623" s="32"/>
      <c r="M623" s="32"/>
      <c r="N623" s="32"/>
      <c r="O623" s="2"/>
      <c r="P623" s="2"/>
      <c r="Q623" s="32"/>
      <c r="R623" s="32"/>
      <c r="S623" s="32"/>
      <c r="T623" s="3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10"/>
      <c r="F624" s="10"/>
      <c r="G624" s="32"/>
      <c r="H624" s="32"/>
      <c r="I624" s="32"/>
      <c r="J624" s="73"/>
      <c r="K624" s="32"/>
      <c r="L624" s="32"/>
      <c r="M624" s="32"/>
      <c r="N624" s="32"/>
      <c r="O624" s="2"/>
      <c r="P624" s="2"/>
      <c r="Q624" s="32"/>
      <c r="R624" s="32"/>
      <c r="S624" s="32"/>
      <c r="T624" s="3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10"/>
      <c r="F625" s="10"/>
      <c r="G625" s="32"/>
      <c r="H625" s="32"/>
      <c r="I625" s="32"/>
      <c r="J625" s="73"/>
      <c r="K625" s="32"/>
      <c r="L625" s="32"/>
      <c r="M625" s="32"/>
      <c r="N625" s="32"/>
      <c r="O625" s="2"/>
      <c r="P625" s="2"/>
      <c r="Q625" s="32"/>
      <c r="R625" s="32"/>
      <c r="S625" s="32"/>
      <c r="T625" s="3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10"/>
      <c r="F626" s="10"/>
      <c r="G626" s="32"/>
      <c r="H626" s="32"/>
      <c r="I626" s="32"/>
      <c r="J626" s="73"/>
      <c r="K626" s="32"/>
      <c r="L626" s="32"/>
      <c r="M626" s="32"/>
      <c r="N626" s="32"/>
      <c r="O626" s="2"/>
      <c r="P626" s="2"/>
      <c r="Q626" s="32"/>
      <c r="R626" s="32"/>
      <c r="S626" s="32"/>
      <c r="T626" s="3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10"/>
      <c r="F627" s="10"/>
      <c r="G627" s="32"/>
      <c r="H627" s="32"/>
      <c r="I627" s="32"/>
      <c r="J627" s="73"/>
      <c r="K627" s="32"/>
      <c r="L627" s="32"/>
      <c r="M627" s="32"/>
      <c r="N627" s="32"/>
      <c r="O627" s="2"/>
      <c r="P627" s="2"/>
      <c r="Q627" s="32"/>
      <c r="R627" s="32"/>
      <c r="S627" s="32"/>
      <c r="T627" s="3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10"/>
      <c r="F628" s="10"/>
      <c r="G628" s="32"/>
      <c r="H628" s="32"/>
      <c r="I628" s="32"/>
      <c r="J628" s="73"/>
      <c r="K628" s="32"/>
      <c r="L628" s="32"/>
      <c r="M628" s="32"/>
      <c r="N628" s="32"/>
      <c r="O628" s="2"/>
      <c r="P628" s="2"/>
      <c r="Q628" s="32"/>
      <c r="R628" s="32"/>
      <c r="S628" s="32"/>
      <c r="T628" s="3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10"/>
      <c r="F629" s="10"/>
      <c r="G629" s="32"/>
      <c r="H629" s="32"/>
      <c r="I629" s="32"/>
      <c r="J629" s="73"/>
      <c r="K629" s="32"/>
      <c r="L629" s="32"/>
      <c r="M629" s="32"/>
      <c r="N629" s="32"/>
      <c r="O629" s="2"/>
      <c r="P629" s="2"/>
      <c r="Q629" s="32"/>
      <c r="R629" s="32"/>
      <c r="S629" s="32"/>
      <c r="T629" s="3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10"/>
      <c r="F630" s="10"/>
      <c r="G630" s="32"/>
      <c r="H630" s="32"/>
      <c r="I630" s="32"/>
      <c r="J630" s="73"/>
      <c r="K630" s="32"/>
      <c r="L630" s="32"/>
      <c r="M630" s="32"/>
      <c r="N630" s="32"/>
      <c r="O630" s="2"/>
      <c r="P630" s="2"/>
      <c r="Q630" s="32"/>
      <c r="R630" s="32"/>
      <c r="S630" s="32"/>
      <c r="T630" s="3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10"/>
      <c r="F631" s="10"/>
      <c r="G631" s="32"/>
      <c r="H631" s="32"/>
      <c r="I631" s="32"/>
      <c r="J631" s="73"/>
      <c r="K631" s="32"/>
      <c r="L631" s="32"/>
      <c r="M631" s="32"/>
      <c r="N631" s="32"/>
      <c r="O631" s="2"/>
      <c r="P631" s="2"/>
      <c r="Q631" s="32"/>
      <c r="R631" s="32"/>
      <c r="S631" s="32"/>
      <c r="T631" s="3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10"/>
      <c r="F632" s="10"/>
      <c r="G632" s="32"/>
      <c r="H632" s="32"/>
      <c r="I632" s="32"/>
      <c r="J632" s="73"/>
      <c r="K632" s="32"/>
      <c r="L632" s="32"/>
      <c r="M632" s="32"/>
      <c r="N632" s="32"/>
      <c r="O632" s="2"/>
      <c r="P632" s="2"/>
      <c r="Q632" s="32"/>
      <c r="R632" s="32"/>
      <c r="S632" s="32"/>
      <c r="T632" s="3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10"/>
      <c r="F633" s="10"/>
      <c r="G633" s="32"/>
      <c r="H633" s="32"/>
      <c r="I633" s="32"/>
      <c r="J633" s="73"/>
      <c r="K633" s="32"/>
      <c r="L633" s="32"/>
      <c r="M633" s="32"/>
      <c r="N633" s="32"/>
      <c r="O633" s="2"/>
      <c r="P633" s="2"/>
      <c r="Q633" s="32"/>
      <c r="R633" s="32"/>
      <c r="S633" s="32"/>
      <c r="T633" s="3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10"/>
      <c r="F634" s="10"/>
      <c r="G634" s="32"/>
      <c r="H634" s="32"/>
      <c r="I634" s="32"/>
      <c r="J634" s="73"/>
      <c r="K634" s="32"/>
      <c r="L634" s="32"/>
      <c r="M634" s="32"/>
      <c r="N634" s="32"/>
      <c r="O634" s="2"/>
      <c r="P634" s="2"/>
      <c r="Q634" s="32"/>
      <c r="R634" s="32"/>
      <c r="S634" s="32"/>
      <c r="T634" s="3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10"/>
      <c r="F635" s="10"/>
      <c r="G635" s="32"/>
      <c r="H635" s="32"/>
      <c r="I635" s="32"/>
      <c r="J635" s="73"/>
      <c r="K635" s="32"/>
      <c r="L635" s="32"/>
      <c r="M635" s="32"/>
      <c r="N635" s="32"/>
      <c r="O635" s="2"/>
      <c r="P635" s="2"/>
      <c r="Q635" s="32"/>
      <c r="R635" s="32"/>
      <c r="S635" s="32"/>
      <c r="T635" s="3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10"/>
      <c r="F636" s="10"/>
      <c r="G636" s="32"/>
      <c r="H636" s="32"/>
      <c r="I636" s="32"/>
      <c r="J636" s="73"/>
      <c r="K636" s="32"/>
      <c r="L636" s="32"/>
      <c r="M636" s="32"/>
      <c r="N636" s="32"/>
      <c r="O636" s="2"/>
      <c r="P636" s="2"/>
      <c r="Q636" s="32"/>
      <c r="R636" s="32"/>
      <c r="S636" s="32"/>
      <c r="T636" s="3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10"/>
      <c r="F637" s="10"/>
      <c r="G637" s="32"/>
      <c r="H637" s="32"/>
      <c r="I637" s="32"/>
      <c r="J637" s="73"/>
      <c r="K637" s="32"/>
      <c r="L637" s="32"/>
      <c r="M637" s="32"/>
      <c r="N637" s="32"/>
      <c r="O637" s="2"/>
      <c r="P637" s="2"/>
      <c r="Q637" s="32"/>
      <c r="R637" s="32"/>
      <c r="S637" s="32"/>
      <c r="T637" s="3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10"/>
      <c r="F638" s="10"/>
      <c r="G638" s="32"/>
      <c r="H638" s="32"/>
      <c r="I638" s="32"/>
      <c r="J638" s="73"/>
      <c r="K638" s="32"/>
      <c r="L638" s="32"/>
      <c r="M638" s="32"/>
      <c r="N638" s="32"/>
      <c r="O638" s="2"/>
      <c r="P638" s="2"/>
      <c r="Q638" s="32"/>
      <c r="R638" s="32"/>
      <c r="S638" s="32"/>
      <c r="T638" s="3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10"/>
      <c r="F639" s="10"/>
      <c r="G639" s="32"/>
      <c r="H639" s="32"/>
      <c r="I639" s="32"/>
      <c r="J639" s="73"/>
      <c r="K639" s="32"/>
      <c r="L639" s="32"/>
      <c r="M639" s="32"/>
      <c r="N639" s="32"/>
      <c r="O639" s="2"/>
      <c r="P639" s="2"/>
      <c r="Q639" s="32"/>
      <c r="R639" s="32"/>
      <c r="S639" s="32"/>
      <c r="T639" s="3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10"/>
      <c r="F640" s="10"/>
      <c r="G640" s="32"/>
      <c r="H640" s="32"/>
      <c r="I640" s="32"/>
      <c r="J640" s="73"/>
      <c r="K640" s="32"/>
      <c r="L640" s="32"/>
      <c r="M640" s="32"/>
      <c r="N640" s="32"/>
      <c r="O640" s="2"/>
      <c r="P640" s="2"/>
      <c r="Q640" s="32"/>
      <c r="R640" s="32"/>
      <c r="S640" s="32"/>
      <c r="T640" s="3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10"/>
      <c r="F641" s="10"/>
      <c r="G641" s="32"/>
      <c r="H641" s="32"/>
      <c r="I641" s="32"/>
      <c r="J641" s="73"/>
      <c r="K641" s="32"/>
      <c r="L641" s="32"/>
      <c r="M641" s="32"/>
      <c r="N641" s="32"/>
      <c r="O641" s="2"/>
      <c r="P641" s="2"/>
      <c r="Q641" s="32"/>
      <c r="R641" s="32"/>
      <c r="S641" s="32"/>
      <c r="T641" s="3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10"/>
      <c r="F642" s="10"/>
      <c r="G642" s="32"/>
      <c r="H642" s="32"/>
      <c r="I642" s="32"/>
      <c r="J642" s="73"/>
      <c r="K642" s="32"/>
      <c r="L642" s="32"/>
      <c r="M642" s="32"/>
      <c r="N642" s="32"/>
      <c r="O642" s="2"/>
      <c r="P642" s="2"/>
      <c r="Q642" s="32"/>
      <c r="R642" s="32"/>
      <c r="S642" s="32"/>
      <c r="T642" s="3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10"/>
      <c r="F643" s="10"/>
      <c r="G643" s="32"/>
      <c r="H643" s="32"/>
      <c r="I643" s="32"/>
      <c r="J643" s="73"/>
      <c r="K643" s="32"/>
      <c r="L643" s="32"/>
      <c r="M643" s="32"/>
      <c r="N643" s="32"/>
      <c r="O643" s="2"/>
      <c r="P643" s="2"/>
      <c r="Q643" s="32"/>
      <c r="R643" s="32"/>
      <c r="S643" s="32"/>
      <c r="T643" s="3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10"/>
      <c r="F644" s="10"/>
      <c r="G644" s="32"/>
      <c r="H644" s="32"/>
      <c r="I644" s="32"/>
      <c r="J644" s="73"/>
      <c r="K644" s="32"/>
      <c r="L644" s="32"/>
      <c r="M644" s="32"/>
      <c r="N644" s="32"/>
      <c r="O644" s="2"/>
      <c r="P644" s="2"/>
      <c r="Q644" s="32"/>
      <c r="R644" s="32"/>
      <c r="S644" s="32"/>
      <c r="T644" s="3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10"/>
      <c r="F645" s="10"/>
      <c r="G645" s="32"/>
      <c r="H645" s="32"/>
      <c r="I645" s="32"/>
      <c r="J645" s="73"/>
      <c r="K645" s="32"/>
      <c r="L645" s="32"/>
      <c r="M645" s="32"/>
      <c r="N645" s="32"/>
      <c r="O645" s="2"/>
      <c r="P645" s="2"/>
      <c r="Q645" s="32"/>
      <c r="R645" s="32"/>
      <c r="S645" s="32"/>
      <c r="T645" s="3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10"/>
      <c r="F646" s="10"/>
      <c r="G646" s="32"/>
      <c r="H646" s="32"/>
      <c r="I646" s="32"/>
      <c r="J646" s="73"/>
      <c r="K646" s="32"/>
      <c r="L646" s="32"/>
      <c r="M646" s="32"/>
      <c r="N646" s="32"/>
      <c r="O646" s="2"/>
      <c r="P646" s="2"/>
      <c r="Q646" s="32"/>
      <c r="R646" s="32"/>
      <c r="S646" s="32"/>
      <c r="T646" s="3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10"/>
      <c r="F647" s="10"/>
      <c r="G647" s="32"/>
      <c r="H647" s="32"/>
      <c r="I647" s="32"/>
      <c r="J647" s="73"/>
      <c r="K647" s="32"/>
      <c r="L647" s="32"/>
      <c r="M647" s="32"/>
      <c r="N647" s="32"/>
      <c r="O647" s="2"/>
      <c r="P647" s="2"/>
      <c r="Q647" s="32"/>
      <c r="R647" s="32"/>
      <c r="S647" s="32"/>
      <c r="T647" s="3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10"/>
      <c r="F648" s="10"/>
      <c r="G648" s="32"/>
      <c r="H648" s="32"/>
      <c r="I648" s="32"/>
      <c r="J648" s="73"/>
      <c r="K648" s="32"/>
      <c r="L648" s="32"/>
      <c r="M648" s="32"/>
      <c r="N648" s="32"/>
      <c r="O648" s="2"/>
      <c r="P648" s="2"/>
      <c r="Q648" s="32"/>
      <c r="R648" s="32"/>
      <c r="S648" s="32"/>
      <c r="T648" s="3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10"/>
      <c r="F649" s="10"/>
      <c r="G649" s="32"/>
      <c r="H649" s="32"/>
      <c r="I649" s="32"/>
      <c r="J649" s="73"/>
      <c r="K649" s="32"/>
      <c r="L649" s="32"/>
      <c r="M649" s="32"/>
      <c r="N649" s="32"/>
      <c r="O649" s="2"/>
      <c r="P649" s="2"/>
      <c r="Q649" s="32"/>
      <c r="R649" s="32"/>
      <c r="S649" s="32"/>
      <c r="T649" s="3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10"/>
      <c r="F650" s="10"/>
      <c r="G650" s="32"/>
      <c r="H650" s="32"/>
      <c r="I650" s="32"/>
      <c r="J650" s="73"/>
      <c r="K650" s="32"/>
      <c r="L650" s="32"/>
      <c r="M650" s="32"/>
      <c r="N650" s="32"/>
      <c r="O650" s="2"/>
      <c r="P650" s="2"/>
      <c r="Q650" s="32"/>
      <c r="R650" s="32"/>
      <c r="S650" s="32"/>
      <c r="T650" s="3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10"/>
      <c r="F651" s="10"/>
      <c r="G651" s="32"/>
      <c r="H651" s="32"/>
      <c r="I651" s="32"/>
      <c r="J651" s="73"/>
      <c r="K651" s="32"/>
      <c r="L651" s="32"/>
      <c r="M651" s="32"/>
      <c r="N651" s="32"/>
      <c r="O651" s="2"/>
      <c r="P651" s="2"/>
      <c r="Q651" s="32"/>
      <c r="R651" s="32"/>
      <c r="S651" s="32"/>
      <c r="T651" s="3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10"/>
      <c r="F652" s="10"/>
      <c r="G652" s="32"/>
      <c r="H652" s="32"/>
      <c r="I652" s="32"/>
      <c r="J652" s="73"/>
      <c r="K652" s="32"/>
      <c r="L652" s="32"/>
      <c r="M652" s="32"/>
      <c r="N652" s="32"/>
      <c r="O652" s="2"/>
      <c r="P652" s="2"/>
      <c r="Q652" s="32"/>
      <c r="R652" s="32"/>
      <c r="S652" s="32"/>
      <c r="T652" s="3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10"/>
      <c r="F653" s="10"/>
      <c r="G653" s="32"/>
      <c r="H653" s="32"/>
      <c r="I653" s="32"/>
      <c r="J653" s="73"/>
      <c r="K653" s="32"/>
      <c r="L653" s="32"/>
      <c r="M653" s="32"/>
      <c r="N653" s="32"/>
      <c r="O653" s="2"/>
      <c r="P653" s="2"/>
      <c r="Q653" s="32"/>
      <c r="R653" s="32"/>
      <c r="S653" s="32"/>
      <c r="T653" s="3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10"/>
      <c r="F654" s="10"/>
      <c r="G654" s="32"/>
      <c r="H654" s="32"/>
      <c r="I654" s="32"/>
      <c r="J654" s="73"/>
      <c r="K654" s="32"/>
      <c r="L654" s="32"/>
      <c r="M654" s="32"/>
      <c r="N654" s="32"/>
      <c r="O654" s="2"/>
      <c r="P654" s="2"/>
      <c r="Q654" s="32"/>
      <c r="R654" s="32"/>
      <c r="S654" s="32"/>
      <c r="T654" s="3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10"/>
      <c r="F655" s="10"/>
      <c r="G655" s="32"/>
      <c r="H655" s="32"/>
      <c r="I655" s="32"/>
      <c r="J655" s="73"/>
      <c r="K655" s="32"/>
      <c r="L655" s="32"/>
      <c r="M655" s="32"/>
      <c r="N655" s="32"/>
      <c r="O655" s="2"/>
      <c r="P655" s="2"/>
      <c r="Q655" s="32"/>
      <c r="R655" s="32"/>
      <c r="S655" s="32"/>
      <c r="T655" s="3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10"/>
      <c r="F656" s="10"/>
      <c r="G656" s="32"/>
      <c r="H656" s="32"/>
      <c r="I656" s="32"/>
      <c r="J656" s="73"/>
      <c r="K656" s="32"/>
      <c r="L656" s="32"/>
      <c r="M656" s="32"/>
      <c r="N656" s="32"/>
      <c r="O656" s="2"/>
      <c r="P656" s="2"/>
      <c r="Q656" s="32"/>
      <c r="R656" s="32"/>
      <c r="S656" s="32"/>
      <c r="T656" s="3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10"/>
      <c r="F657" s="10"/>
      <c r="G657" s="32"/>
      <c r="H657" s="32"/>
      <c r="I657" s="32"/>
      <c r="J657" s="73"/>
      <c r="K657" s="32"/>
      <c r="L657" s="32"/>
      <c r="M657" s="32"/>
      <c r="N657" s="32"/>
      <c r="O657" s="2"/>
      <c r="P657" s="2"/>
      <c r="Q657" s="32"/>
      <c r="R657" s="32"/>
      <c r="S657" s="32"/>
      <c r="T657" s="3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10"/>
      <c r="F658" s="10"/>
      <c r="G658" s="32"/>
      <c r="H658" s="32"/>
      <c r="I658" s="32"/>
      <c r="J658" s="73"/>
      <c r="K658" s="32"/>
      <c r="L658" s="32"/>
      <c r="M658" s="32"/>
      <c r="N658" s="32"/>
      <c r="O658" s="2"/>
      <c r="P658" s="2"/>
      <c r="Q658" s="32"/>
      <c r="R658" s="32"/>
      <c r="S658" s="32"/>
      <c r="T658" s="3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10"/>
      <c r="F659" s="10"/>
      <c r="G659" s="32"/>
      <c r="H659" s="32"/>
      <c r="I659" s="32"/>
      <c r="J659" s="73"/>
      <c r="K659" s="32"/>
      <c r="L659" s="32"/>
      <c r="M659" s="32"/>
      <c r="N659" s="32"/>
      <c r="O659" s="2"/>
      <c r="P659" s="2"/>
      <c r="Q659" s="32"/>
      <c r="R659" s="32"/>
      <c r="S659" s="32"/>
      <c r="T659" s="3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10"/>
      <c r="F660" s="10"/>
      <c r="G660" s="32"/>
      <c r="H660" s="32"/>
      <c r="I660" s="32"/>
      <c r="J660" s="73"/>
      <c r="K660" s="32"/>
      <c r="L660" s="32"/>
      <c r="M660" s="32"/>
      <c r="N660" s="32"/>
      <c r="O660" s="2"/>
      <c r="P660" s="2"/>
      <c r="Q660" s="32"/>
      <c r="R660" s="32"/>
      <c r="S660" s="32"/>
      <c r="T660" s="3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10"/>
      <c r="F661" s="10"/>
      <c r="G661" s="32"/>
      <c r="H661" s="32"/>
      <c r="I661" s="32"/>
      <c r="J661" s="73"/>
      <c r="K661" s="32"/>
      <c r="L661" s="32"/>
      <c r="M661" s="32"/>
      <c r="N661" s="32"/>
      <c r="O661" s="2"/>
      <c r="P661" s="2"/>
      <c r="Q661" s="32"/>
      <c r="R661" s="32"/>
      <c r="S661" s="32"/>
      <c r="T661" s="3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10"/>
      <c r="F662" s="10"/>
      <c r="G662" s="32"/>
      <c r="H662" s="32"/>
      <c r="I662" s="32"/>
      <c r="J662" s="73"/>
      <c r="K662" s="32"/>
      <c r="L662" s="32"/>
      <c r="M662" s="32"/>
      <c r="N662" s="32"/>
      <c r="O662" s="2"/>
      <c r="P662" s="2"/>
      <c r="Q662" s="32"/>
      <c r="R662" s="32"/>
      <c r="S662" s="32"/>
      <c r="T662" s="3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10"/>
      <c r="F663" s="10"/>
      <c r="G663" s="32"/>
      <c r="H663" s="32"/>
      <c r="I663" s="32"/>
      <c r="J663" s="73"/>
      <c r="K663" s="32"/>
      <c r="L663" s="32"/>
      <c r="M663" s="32"/>
      <c r="N663" s="32"/>
      <c r="O663" s="2"/>
      <c r="P663" s="2"/>
      <c r="Q663" s="32"/>
      <c r="R663" s="32"/>
      <c r="S663" s="32"/>
      <c r="T663" s="3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10"/>
      <c r="F664" s="10"/>
      <c r="G664" s="32"/>
      <c r="H664" s="32"/>
      <c r="I664" s="32"/>
      <c r="J664" s="73"/>
      <c r="K664" s="32"/>
      <c r="L664" s="32"/>
      <c r="M664" s="32"/>
      <c r="N664" s="32"/>
      <c r="O664" s="2"/>
      <c r="P664" s="2"/>
      <c r="Q664" s="32"/>
      <c r="R664" s="32"/>
      <c r="S664" s="32"/>
      <c r="T664" s="3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10"/>
      <c r="F665" s="10"/>
      <c r="G665" s="32"/>
      <c r="H665" s="32"/>
      <c r="I665" s="32"/>
      <c r="J665" s="73"/>
      <c r="K665" s="32"/>
      <c r="L665" s="32"/>
      <c r="M665" s="32"/>
      <c r="N665" s="32"/>
      <c r="O665" s="2"/>
      <c r="P665" s="2"/>
      <c r="Q665" s="32"/>
      <c r="R665" s="32"/>
      <c r="S665" s="32"/>
      <c r="T665" s="3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10"/>
      <c r="F666" s="10"/>
      <c r="G666" s="32"/>
      <c r="H666" s="32"/>
      <c r="I666" s="32"/>
      <c r="J666" s="73"/>
      <c r="K666" s="32"/>
      <c r="L666" s="32"/>
      <c r="M666" s="32"/>
      <c r="N666" s="32"/>
      <c r="O666" s="2"/>
      <c r="P666" s="2"/>
      <c r="Q666" s="32"/>
      <c r="R666" s="32"/>
      <c r="S666" s="32"/>
      <c r="T666" s="3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10"/>
      <c r="F667" s="10"/>
      <c r="G667" s="32"/>
      <c r="H667" s="32"/>
      <c r="I667" s="32"/>
      <c r="J667" s="73"/>
      <c r="K667" s="32"/>
      <c r="L667" s="32"/>
      <c r="M667" s="32"/>
      <c r="N667" s="32"/>
      <c r="O667" s="2"/>
      <c r="P667" s="2"/>
      <c r="Q667" s="32"/>
      <c r="R667" s="32"/>
      <c r="S667" s="32"/>
      <c r="T667" s="3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10"/>
      <c r="F668" s="10"/>
      <c r="G668" s="32"/>
      <c r="H668" s="32"/>
      <c r="I668" s="32"/>
      <c r="J668" s="73"/>
      <c r="K668" s="32"/>
      <c r="L668" s="32"/>
      <c r="M668" s="32"/>
      <c r="N668" s="32"/>
      <c r="O668" s="2"/>
      <c r="P668" s="2"/>
      <c r="Q668" s="32"/>
      <c r="R668" s="32"/>
      <c r="S668" s="32"/>
      <c r="T668" s="3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10"/>
      <c r="F669" s="10"/>
      <c r="G669" s="32"/>
      <c r="H669" s="32"/>
      <c r="I669" s="32"/>
      <c r="J669" s="73"/>
      <c r="K669" s="32"/>
      <c r="L669" s="32"/>
      <c r="M669" s="32"/>
      <c r="N669" s="32"/>
      <c r="O669" s="2"/>
      <c r="P669" s="2"/>
      <c r="Q669" s="32"/>
      <c r="R669" s="32"/>
      <c r="S669" s="32"/>
      <c r="T669" s="3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10"/>
      <c r="F670" s="10"/>
      <c r="G670" s="32"/>
      <c r="H670" s="32"/>
      <c r="I670" s="32"/>
      <c r="J670" s="73"/>
      <c r="K670" s="32"/>
      <c r="L670" s="32"/>
      <c r="M670" s="32"/>
      <c r="N670" s="32"/>
      <c r="O670" s="2"/>
      <c r="P670" s="2"/>
      <c r="Q670" s="32"/>
      <c r="R670" s="32"/>
      <c r="S670" s="32"/>
      <c r="T670" s="3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10"/>
      <c r="F671" s="10"/>
      <c r="G671" s="32"/>
      <c r="H671" s="32"/>
      <c r="I671" s="32"/>
      <c r="J671" s="73"/>
      <c r="K671" s="32"/>
      <c r="L671" s="32"/>
      <c r="M671" s="32"/>
      <c r="N671" s="32"/>
      <c r="O671" s="2"/>
      <c r="P671" s="2"/>
      <c r="Q671" s="32"/>
      <c r="R671" s="32"/>
      <c r="S671" s="32"/>
      <c r="T671" s="3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10"/>
      <c r="F672" s="10"/>
      <c r="G672" s="32"/>
      <c r="H672" s="32"/>
      <c r="I672" s="32"/>
      <c r="J672" s="73"/>
      <c r="K672" s="32"/>
      <c r="L672" s="32"/>
      <c r="M672" s="32"/>
      <c r="N672" s="32"/>
      <c r="O672" s="2"/>
      <c r="P672" s="2"/>
      <c r="Q672" s="32"/>
      <c r="R672" s="32"/>
      <c r="S672" s="32"/>
      <c r="T672" s="3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10"/>
      <c r="F673" s="10"/>
      <c r="G673" s="32"/>
      <c r="H673" s="32"/>
      <c r="I673" s="32"/>
      <c r="J673" s="73"/>
      <c r="K673" s="32"/>
      <c r="L673" s="32"/>
      <c r="M673" s="32"/>
      <c r="N673" s="32"/>
      <c r="O673" s="2"/>
      <c r="P673" s="2"/>
      <c r="Q673" s="32"/>
      <c r="R673" s="32"/>
      <c r="S673" s="32"/>
      <c r="T673" s="3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10"/>
      <c r="F674" s="10"/>
      <c r="G674" s="32"/>
      <c r="H674" s="32"/>
      <c r="I674" s="32"/>
      <c r="J674" s="73"/>
      <c r="K674" s="32"/>
      <c r="L674" s="32"/>
      <c r="M674" s="32"/>
      <c r="N674" s="32"/>
      <c r="O674" s="2"/>
      <c r="P674" s="2"/>
      <c r="Q674" s="32"/>
      <c r="R674" s="32"/>
      <c r="S674" s="32"/>
      <c r="T674" s="3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10"/>
      <c r="F675" s="10"/>
      <c r="G675" s="32"/>
      <c r="H675" s="32"/>
      <c r="I675" s="32"/>
      <c r="J675" s="73"/>
      <c r="K675" s="32"/>
      <c r="L675" s="32"/>
      <c r="M675" s="32"/>
      <c r="N675" s="32"/>
      <c r="O675" s="2"/>
      <c r="P675" s="2"/>
      <c r="Q675" s="32"/>
      <c r="R675" s="32"/>
      <c r="S675" s="32"/>
      <c r="T675" s="3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10"/>
      <c r="F676" s="10"/>
      <c r="G676" s="32"/>
      <c r="H676" s="32"/>
      <c r="I676" s="32"/>
      <c r="J676" s="73"/>
      <c r="K676" s="32"/>
      <c r="L676" s="32"/>
      <c r="M676" s="32"/>
      <c r="N676" s="32"/>
      <c r="O676" s="2"/>
      <c r="P676" s="2"/>
      <c r="Q676" s="32"/>
      <c r="R676" s="32"/>
      <c r="S676" s="32"/>
      <c r="T676" s="3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10"/>
      <c r="F677" s="10"/>
      <c r="G677" s="32"/>
      <c r="H677" s="32"/>
      <c r="I677" s="32"/>
      <c r="J677" s="73"/>
      <c r="K677" s="32"/>
      <c r="L677" s="32"/>
      <c r="M677" s="32"/>
      <c r="N677" s="32"/>
      <c r="O677" s="2"/>
      <c r="P677" s="2"/>
      <c r="Q677" s="32"/>
      <c r="R677" s="32"/>
      <c r="S677" s="32"/>
      <c r="T677" s="3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10"/>
      <c r="F678" s="10"/>
      <c r="G678" s="32"/>
      <c r="H678" s="32"/>
      <c r="I678" s="32"/>
      <c r="J678" s="73"/>
      <c r="K678" s="32"/>
      <c r="L678" s="32"/>
      <c r="M678" s="32"/>
      <c r="N678" s="32"/>
      <c r="O678" s="2"/>
      <c r="P678" s="2"/>
      <c r="Q678" s="32"/>
      <c r="R678" s="32"/>
      <c r="S678" s="32"/>
      <c r="T678" s="3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10"/>
      <c r="F679" s="10"/>
      <c r="G679" s="32"/>
      <c r="H679" s="32"/>
      <c r="I679" s="32"/>
      <c r="J679" s="73"/>
      <c r="K679" s="32"/>
      <c r="L679" s="32"/>
      <c r="M679" s="32"/>
      <c r="N679" s="32"/>
      <c r="O679" s="2"/>
      <c r="P679" s="2"/>
      <c r="Q679" s="32"/>
      <c r="R679" s="32"/>
      <c r="S679" s="32"/>
      <c r="T679" s="3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10"/>
      <c r="F680" s="10"/>
      <c r="G680" s="32"/>
      <c r="H680" s="32"/>
      <c r="I680" s="32"/>
      <c r="J680" s="73"/>
      <c r="K680" s="32"/>
      <c r="L680" s="32"/>
      <c r="M680" s="32"/>
      <c r="N680" s="32"/>
      <c r="O680" s="2"/>
      <c r="P680" s="2"/>
      <c r="Q680" s="32"/>
      <c r="R680" s="32"/>
      <c r="S680" s="32"/>
      <c r="T680" s="3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10"/>
      <c r="F681" s="10"/>
      <c r="G681" s="32"/>
      <c r="H681" s="32"/>
      <c r="I681" s="32"/>
      <c r="J681" s="73"/>
      <c r="K681" s="32"/>
      <c r="L681" s="32"/>
      <c r="M681" s="32"/>
      <c r="N681" s="32"/>
      <c r="O681" s="2"/>
      <c r="P681" s="2"/>
      <c r="Q681" s="32"/>
      <c r="R681" s="32"/>
      <c r="S681" s="32"/>
      <c r="T681" s="3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10"/>
      <c r="F682" s="10"/>
      <c r="G682" s="32"/>
      <c r="H682" s="32"/>
      <c r="I682" s="32"/>
      <c r="J682" s="73"/>
      <c r="K682" s="32"/>
      <c r="L682" s="32"/>
      <c r="M682" s="32"/>
      <c r="N682" s="32"/>
      <c r="O682" s="2"/>
      <c r="P682" s="2"/>
      <c r="Q682" s="32"/>
      <c r="R682" s="32"/>
      <c r="S682" s="32"/>
      <c r="T682" s="3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10"/>
      <c r="F683" s="10"/>
      <c r="G683" s="32"/>
      <c r="H683" s="32"/>
      <c r="I683" s="32"/>
      <c r="J683" s="73"/>
      <c r="K683" s="32"/>
      <c r="L683" s="32"/>
      <c r="M683" s="32"/>
      <c r="N683" s="32"/>
      <c r="O683" s="2"/>
      <c r="P683" s="2"/>
      <c r="Q683" s="32"/>
      <c r="R683" s="32"/>
      <c r="S683" s="32"/>
      <c r="T683" s="3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10"/>
      <c r="F684" s="10"/>
      <c r="G684" s="32"/>
      <c r="H684" s="32"/>
      <c r="I684" s="32"/>
      <c r="J684" s="73"/>
      <c r="K684" s="32"/>
      <c r="L684" s="32"/>
      <c r="M684" s="32"/>
      <c r="N684" s="32"/>
      <c r="O684" s="2"/>
      <c r="P684" s="2"/>
      <c r="Q684" s="32"/>
      <c r="R684" s="32"/>
      <c r="S684" s="32"/>
      <c r="T684" s="3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10"/>
      <c r="F685" s="10"/>
      <c r="G685" s="32"/>
      <c r="H685" s="32"/>
      <c r="I685" s="32"/>
      <c r="J685" s="73"/>
      <c r="K685" s="32"/>
      <c r="L685" s="32"/>
      <c r="M685" s="32"/>
      <c r="N685" s="32"/>
      <c r="O685" s="2"/>
      <c r="P685" s="2"/>
      <c r="Q685" s="32"/>
      <c r="R685" s="32"/>
      <c r="S685" s="32"/>
      <c r="T685" s="3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10"/>
      <c r="F686" s="10"/>
      <c r="G686" s="32"/>
      <c r="H686" s="32"/>
      <c r="I686" s="32"/>
      <c r="J686" s="73"/>
      <c r="K686" s="32"/>
      <c r="L686" s="32"/>
      <c r="M686" s="32"/>
      <c r="N686" s="32"/>
      <c r="O686" s="2"/>
      <c r="P686" s="2"/>
      <c r="Q686" s="32"/>
      <c r="R686" s="32"/>
      <c r="S686" s="32"/>
      <c r="T686" s="3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10"/>
      <c r="F687" s="10"/>
      <c r="G687" s="32"/>
      <c r="H687" s="32"/>
      <c r="I687" s="32"/>
      <c r="J687" s="73"/>
      <c r="K687" s="32"/>
      <c r="L687" s="32"/>
      <c r="M687" s="32"/>
      <c r="N687" s="32"/>
      <c r="O687" s="2"/>
      <c r="P687" s="2"/>
      <c r="Q687" s="32"/>
      <c r="R687" s="32"/>
      <c r="S687" s="32"/>
      <c r="T687" s="3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10"/>
      <c r="F688" s="10"/>
      <c r="G688" s="32"/>
      <c r="H688" s="32"/>
      <c r="I688" s="32"/>
      <c r="J688" s="73"/>
      <c r="K688" s="32"/>
      <c r="L688" s="32"/>
      <c r="M688" s="32"/>
      <c r="N688" s="32"/>
      <c r="O688" s="2"/>
      <c r="P688" s="2"/>
      <c r="Q688" s="32"/>
      <c r="R688" s="32"/>
      <c r="S688" s="32"/>
      <c r="T688" s="3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10"/>
      <c r="F689" s="10"/>
      <c r="G689" s="32"/>
      <c r="H689" s="32"/>
      <c r="I689" s="32"/>
      <c r="J689" s="73"/>
      <c r="K689" s="32"/>
      <c r="L689" s="32"/>
      <c r="M689" s="32"/>
      <c r="N689" s="32"/>
      <c r="O689" s="2"/>
      <c r="P689" s="2"/>
      <c r="Q689" s="32"/>
      <c r="R689" s="32"/>
      <c r="S689" s="32"/>
      <c r="T689" s="3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10"/>
      <c r="F690" s="10"/>
      <c r="G690" s="32"/>
      <c r="H690" s="32"/>
      <c r="I690" s="32"/>
      <c r="J690" s="73"/>
      <c r="K690" s="32"/>
      <c r="L690" s="32"/>
      <c r="M690" s="32"/>
      <c r="N690" s="32"/>
      <c r="O690" s="2"/>
      <c r="P690" s="2"/>
      <c r="Q690" s="32"/>
      <c r="R690" s="32"/>
      <c r="S690" s="32"/>
      <c r="T690" s="3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10"/>
      <c r="F691" s="10"/>
      <c r="G691" s="32"/>
      <c r="H691" s="32"/>
      <c r="I691" s="32"/>
      <c r="J691" s="73"/>
      <c r="K691" s="32"/>
      <c r="L691" s="32"/>
      <c r="M691" s="32"/>
      <c r="N691" s="32"/>
      <c r="O691" s="2"/>
      <c r="P691" s="2"/>
      <c r="Q691" s="32"/>
      <c r="R691" s="32"/>
      <c r="S691" s="32"/>
      <c r="T691" s="3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10"/>
      <c r="F692" s="10"/>
      <c r="G692" s="32"/>
      <c r="H692" s="32"/>
      <c r="I692" s="32"/>
      <c r="J692" s="73"/>
      <c r="K692" s="32"/>
      <c r="L692" s="32"/>
      <c r="M692" s="32"/>
      <c r="N692" s="32"/>
      <c r="O692" s="2"/>
      <c r="P692" s="2"/>
      <c r="Q692" s="32"/>
      <c r="R692" s="32"/>
      <c r="S692" s="32"/>
      <c r="T692" s="3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10"/>
      <c r="F693" s="10"/>
      <c r="G693" s="32"/>
      <c r="H693" s="32"/>
      <c r="I693" s="32"/>
      <c r="J693" s="73"/>
      <c r="K693" s="32"/>
      <c r="L693" s="32"/>
      <c r="M693" s="32"/>
      <c r="N693" s="32"/>
      <c r="O693" s="2"/>
      <c r="P693" s="2"/>
      <c r="Q693" s="32"/>
      <c r="R693" s="32"/>
      <c r="S693" s="32"/>
      <c r="T693" s="3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10"/>
      <c r="F694" s="10"/>
      <c r="G694" s="32"/>
      <c r="H694" s="32"/>
      <c r="I694" s="32"/>
      <c r="J694" s="73"/>
      <c r="K694" s="32"/>
      <c r="L694" s="32"/>
      <c r="M694" s="32"/>
      <c r="N694" s="32"/>
      <c r="O694" s="2"/>
      <c r="P694" s="2"/>
      <c r="Q694" s="32"/>
      <c r="R694" s="32"/>
      <c r="S694" s="32"/>
      <c r="T694" s="3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10"/>
      <c r="F695" s="10"/>
      <c r="G695" s="32"/>
      <c r="H695" s="32"/>
      <c r="I695" s="32"/>
      <c r="J695" s="73"/>
      <c r="K695" s="32"/>
      <c r="L695" s="32"/>
      <c r="M695" s="32"/>
      <c r="N695" s="32"/>
      <c r="O695" s="2"/>
      <c r="P695" s="2"/>
      <c r="Q695" s="32"/>
      <c r="R695" s="32"/>
      <c r="S695" s="32"/>
      <c r="T695" s="3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10"/>
      <c r="F696" s="10"/>
      <c r="G696" s="32"/>
      <c r="H696" s="32"/>
      <c r="I696" s="32"/>
      <c r="J696" s="73"/>
      <c r="K696" s="32"/>
      <c r="L696" s="32"/>
      <c r="M696" s="32"/>
      <c r="N696" s="32"/>
      <c r="O696" s="2"/>
      <c r="P696" s="2"/>
      <c r="Q696" s="32"/>
      <c r="R696" s="32"/>
      <c r="S696" s="32"/>
      <c r="T696" s="3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10"/>
      <c r="F697" s="10"/>
      <c r="G697" s="32"/>
      <c r="H697" s="32"/>
      <c r="I697" s="32"/>
      <c r="J697" s="73"/>
      <c r="K697" s="32"/>
      <c r="L697" s="32"/>
      <c r="M697" s="32"/>
      <c r="N697" s="32"/>
      <c r="O697" s="2"/>
      <c r="P697" s="2"/>
      <c r="Q697" s="32"/>
      <c r="R697" s="32"/>
      <c r="S697" s="32"/>
      <c r="T697" s="3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10"/>
      <c r="F698" s="10"/>
      <c r="G698" s="32"/>
      <c r="H698" s="32"/>
      <c r="I698" s="32"/>
      <c r="J698" s="73"/>
      <c r="K698" s="32"/>
      <c r="L698" s="32"/>
      <c r="M698" s="32"/>
      <c r="N698" s="32"/>
      <c r="O698" s="2"/>
      <c r="P698" s="2"/>
      <c r="Q698" s="32"/>
      <c r="R698" s="32"/>
      <c r="S698" s="32"/>
      <c r="T698" s="3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10"/>
      <c r="F699" s="10"/>
      <c r="G699" s="32"/>
      <c r="H699" s="32"/>
      <c r="I699" s="32"/>
      <c r="J699" s="73"/>
      <c r="K699" s="32"/>
      <c r="L699" s="32"/>
      <c r="M699" s="32"/>
      <c r="N699" s="32"/>
      <c r="O699" s="2"/>
      <c r="P699" s="2"/>
      <c r="Q699" s="32"/>
      <c r="R699" s="32"/>
      <c r="S699" s="32"/>
      <c r="T699" s="3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10"/>
      <c r="F700" s="10"/>
      <c r="G700" s="32"/>
      <c r="H700" s="32"/>
      <c r="I700" s="32"/>
      <c r="J700" s="73"/>
      <c r="K700" s="32"/>
      <c r="L700" s="32"/>
      <c r="M700" s="32"/>
      <c r="N700" s="32"/>
      <c r="O700" s="2"/>
      <c r="P700" s="2"/>
      <c r="Q700" s="32"/>
      <c r="R700" s="32"/>
      <c r="S700" s="32"/>
      <c r="T700" s="3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10"/>
      <c r="F701" s="10"/>
      <c r="G701" s="32"/>
      <c r="H701" s="32"/>
      <c r="I701" s="32"/>
      <c r="J701" s="73"/>
      <c r="K701" s="32"/>
      <c r="L701" s="32"/>
      <c r="M701" s="32"/>
      <c r="N701" s="32"/>
      <c r="O701" s="2"/>
      <c r="P701" s="2"/>
      <c r="Q701" s="32"/>
      <c r="R701" s="32"/>
      <c r="S701" s="32"/>
      <c r="T701" s="3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10"/>
      <c r="F702" s="10"/>
      <c r="G702" s="32"/>
      <c r="H702" s="32"/>
      <c r="I702" s="32"/>
      <c r="J702" s="73"/>
      <c r="K702" s="32"/>
      <c r="L702" s="32"/>
      <c r="M702" s="32"/>
      <c r="N702" s="32"/>
      <c r="O702" s="2"/>
      <c r="P702" s="2"/>
      <c r="Q702" s="32"/>
      <c r="R702" s="32"/>
      <c r="S702" s="32"/>
      <c r="T702" s="3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10"/>
      <c r="F703" s="10"/>
      <c r="G703" s="32"/>
      <c r="H703" s="32"/>
      <c r="I703" s="32"/>
      <c r="J703" s="73"/>
      <c r="K703" s="32"/>
      <c r="L703" s="32"/>
      <c r="M703" s="32"/>
      <c r="N703" s="32"/>
      <c r="O703" s="2"/>
      <c r="P703" s="2"/>
      <c r="Q703" s="32"/>
      <c r="R703" s="32"/>
      <c r="S703" s="32"/>
      <c r="T703" s="3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10"/>
      <c r="F704" s="10"/>
      <c r="G704" s="32"/>
      <c r="H704" s="32"/>
      <c r="I704" s="32"/>
      <c r="J704" s="73"/>
      <c r="K704" s="32"/>
      <c r="L704" s="32"/>
      <c r="M704" s="32"/>
      <c r="N704" s="32"/>
      <c r="O704" s="2"/>
      <c r="P704" s="2"/>
      <c r="Q704" s="32"/>
      <c r="R704" s="32"/>
      <c r="S704" s="32"/>
      <c r="T704" s="3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10"/>
      <c r="F705" s="10"/>
      <c r="G705" s="32"/>
      <c r="H705" s="32"/>
      <c r="I705" s="32"/>
      <c r="J705" s="73"/>
      <c r="K705" s="32"/>
      <c r="L705" s="32"/>
      <c r="M705" s="32"/>
      <c r="N705" s="32"/>
      <c r="O705" s="2"/>
      <c r="P705" s="2"/>
      <c r="Q705" s="32"/>
      <c r="R705" s="32"/>
      <c r="S705" s="32"/>
      <c r="T705" s="3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10"/>
      <c r="F706" s="10"/>
      <c r="G706" s="32"/>
      <c r="H706" s="32"/>
      <c r="I706" s="32"/>
      <c r="J706" s="73"/>
      <c r="K706" s="32"/>
      <c r="L706" s="32"/>
      <c r="M706" s="32"/>
      <c r="N706" s="32"/>
      <c r="O706" s="2"/>
      <c r="P706" s="2"/>
      <c r="Q706" s="32"/>
      <c r="R706" s="32"/>
      <c r="S706" s="32"/>
      <c r="T706" s="3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10"/>
      <c r="F707" s="10"/>
      <c r="G707" s="32"/>
      <c r="H707" s="32"/>
      <c r="I707" s="32"/>
      <c r="J707" s="73"/>
      <c r="K707" s="32"/>
      <c r="L707" s="32"/>
      <c r="M707" s="32"/>
      <c r="N707" s="32"/>
      <c r="O707" s="2"/>
      <c r="P707" s="2"/>
      <c r="Q707" s="32"/>
      <c r="R707" s="32"/>
      <c r="S707" s="32"/>
      <c r="T707" s="3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10"/>
      <c r="F708" s="10"/>
      <c r="G708" s="32"/>
      <c r="H708" s="32"/>
      <c r="I708" s="32"/>
      <c r="J708" s="73"/>
      <c r="K708" s="32"/>
      <c r="L708" s="32"/>
      <c r="M708" s="32"/>
      <c r="N708" s="32"/>
      <c r="O708" s="2"/>
      <c r="P708" s="2"/>
      <c r="Q708" s="32"/>
      <c r="R708" s="32"/>
      <c r="S708" s="32"/>
      <c r="T708" s="3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10"/>
      <c r="F709" s="10"/>
      <c r="G709" s="32"/>
      <c r="H709" s="32"/>
      <c r="I709" s="32"/>
      <c r="J709" s="73"/>
      <c r="K709" s="32"/>
      <c r="L709" s="32"/>
      <c r="M709" s="32"/>
      <c r="N709" s="32"/>
      <c r="O709" s="2"/>
      <c r="P709" s="2"/>
      <c r="Q709" s="32"/>
      <c r="R709" s="32"/>
      <c r="S709" s="32"/>
      <c r="T709" s="3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10"/>
      <c r="F710" s="10"/>
      <c r="G710" s="32"/>
      <c r="H710" s="32"/>
      <c r="I710" s="32"/>
      <c r="J710" s="73"/>
      <c r="K710" s="32"/>
      <c r="L710" s="32"/>
      <c r="M710" s="32"/>
      <c r="N710" s="32"/>
      <c r="O710" s="2"/>
      <c r="P710" s="2"/>
      <c r="Q710" s="32"/>
      <c r="R710" s="32"/>
      <c r="S710" s="32"/>
      <c r="T710" s="3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10"/>
      <c r="F711" s="10"/>
      <c r="G711" s="32"/>
      <c r="H711" s="32"/>
      <c r="I711" s="32"/>
      <c r="J711" s="73"/>
      <c r="K711" s="32"/>
      <c r="L711" s="32"/>
      <c r="M711" s="32"/>
      <c r="N711" s="32"/>
      <c r="O711" s="2"/>
      <c r="P711" s="2"/>
      <c r="Q711" s="32"/>
      <c r="R711" s="32"/>
      <c r="S711" s="32"/>
      <c r="T711" s="3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10"/>
      <c r="F712" s="10"/>
      <c r="G712" s="32"/>
      <c r="H712" s="32"/>
      <c r="I712" s="32"/>
      <c r="J712" s="73"/>
      <c r="K712" s="32"/>
      <c r="L712" s="32"/>
      <c r="M712" s="32"/>
      <c r="N712" s="32"/>
      <c r="O712" s="2"/>
      <c r="P712" s="2"/>
      <c r="Q712" s="32"/>
      <c r="R712" s="32"/>
      <c r="S712" s="32"/>
      <c r="T712" s="3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10"/>
      <c r="F713" s="10"/>
      <c r="G713" s="32"/>
      <c r="H713" s="32"/>
      <c r="I713" s="32"/>
      <c r="J713" s="73"/>
      <c r="K713" s="32"/>
      <c r="L713" s="32"/>
      <c r="M713" s="32"/>
      <c r="N713" s="32"/>
      <c r="O713" s="2"/>
      <c r="P713" s="2"/>
      <c r="Q713" s="32"/>
      <c r="R713" s="32"/>
      <c r="S713" s="32"/>
      <c r="T713" s="3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10"/>
      <c r="F714" s="10"/>
      <c r="G714" s="32"/>
      <c r="H714" s="32"/>
      <c r="I714" s="32"/>
      <c r="J714" s="73"/>
      <c r="K714" s="32"/>
      <c r="L714" s="32"/>
      <c r="M714" s="32"/>
      <c r="N714" s="32"/>
      <c r="O714" s="2"/>
      <c r="P714" s="2"/>
      <c r="Q714" s="32"/>
      <c r="R714" s="32"/>
      <c r="S714" s="32"/>
      <c r="T714" s="3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10"/>
      <c r="F715" s="10"/>
      <c r="G715" s="32"/>
      <c r="H715" s="32"/>
      <c r="I715" s="32"/>
      <c r="J715" s="73"/>
      <c r="K715" s="32"/>
      <c r="L715" s="32"/>
      <c r="M715" s="32"/>
      <c r="N715" s="32"/>
      <c r="O715" s="2"/>
      <c r="P715" s="2"/>
      <c r="Q715" s="32"/>
      <c r="R715" s="32"/>
      <c r="S715" s="32"/>
      <c r="T715" s="3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10"/>
      <c r="F716" s="10"/>
      <c r="G716" s="32"/>
      <c r="H716" s="32"/>
      <c r="I716" s="32"/>
      <c r="J716" s="73"/>
      <c r="K716" s="32"/>
      <c r="L716" s="32"/>
      <c r="M716" s="32"/>
      <c r="N716" s="32"/>
      <c r="O716" s="2"/>
      <c r="P716" s="2"/>
      <c r="Q716" s="32"/>
      <c r="R716" s="32"/>
      <c r="S716" s="32"/>
      <c r="T716" s="3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10"/>
      <c r="F717" s="10"/>
      <c r="G717" s="32"/>
      <c r="H717" s="32"/>
      <c r="I717" s="32"/>
      <c r="J717" s="73"/>
      <c r="K717" s="32"/>
      <c r="L717" s="32"/>
      <c r="M717" s="32"/>
      <c r="N717" s="32"/>
      <c r="O717" s="2"/>
      <c r="P717" s="2"/>
      <c r="Q717" s="32"/>
      <c r="R717" s="32"/>
      <c r="S717" s="32"/>
      <c r="T717" s="3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10"/>
      <c r="F718" s="10"/>
      <c r="G718" s="32"/>
      <c r="H718" s="32"/>
      <c r="I718" s="32"/>
      <c r="J718" s="73"/>
      <c r="K718" s="32"/>
      <c r="L718" s="32"/>
      <c r="M718" s="32"/>
      <c r="N718" s="32"/>
      <c r="O718" s="2"/>
      <c r="P718" s="2"/>
      <c r="Q718" s="32"/>
      <c r="R718" s="32"/>
      <c r="S718" s="32"/>
      <c r="T718" s="3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10"/>
      <c r="F719" s="10"/>
      <c r="G719" s="32"/>
      <c r="H719" s="32"/>
      <c r="I719" s="32"/>
      <c r="J719" s="73"/>
      <c r="K719" s="32"/>
      <c r="L719" s="32"/>
      <c r="M719" s="32"/>
      <c r="N719" s="32"/>
      <c r="O719" s="2"/>
      <c r="P719" s="2"/>
      <c r="Q719" s="32"/>
      <c r="R719" s="32"/>
      <c r="S719" s="32"/>
      <c r="T719" s="3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10"/>
      <c r="F720" s="10"/>
      <c r="G720" s="32"/>
      <c r="H720" s="32"/>
      <c r="I720" s="32"/>
      <c r="J720" s="73"/>
      <c r="K720" s="32"/>
      <c r="L720" s="32"/>
      <c r="M720" s="32"/>
      <c r="N720" s="32"/>
      <c r="O720" s="2"/>
      <c r="P720" s="2"/>
      <c r="Q720" s="32"/>
      <c r="R720" s="32"/>
      <c r="S720" s="32"/>
      <c r="T720" s="3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10"/>
      <c r="F721" s="10"/>
      <c r="G721" s="32"/>
      <c r="H721" s="32"/>
      <c r="I721" s="32"/>
      <c r="J721" s="73"/>
      <c r="K721" s="32"/>
      <c r="L721" s="32"/>
      <c r="M721" s="32"/>
      <c r="N721" s="32"/>
      <c r="O721" s="2"/>
      <c r="P721" s="2"/>
      <c r="Q721" s="32"/>
      <c r="R721" s="32"/>
      <c r="S721" s="32"/>
      <c r="T721" s="3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10"/>
      <c r="F722" s="10"/>
      <c r="G722" s="32"/>
      <c r="H722" s="32"/>
      <c r="I722" s="32"/>
      <c r="J722" s="73"/>
      <c r="K722" s="32"/>
      <c r="L722" s="32"/>
      <c r="M722" s="32"/>
      <c r="N722" s="32"/>
      <c r="O722" s="2"/>
      <c r="P722" s="2"/>
      <c r="Q722" s="32"/>
      <c r="R722" s="32"/>
      <c r="S722" s="32"/>
      <c r="T722" s="3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10"/>
      <c r="F723" s="10"/>
      <c r="G723" s="32"/>
      <c r="H723" s="32"/>
      <c r="I723" s="32"/>
      <c r="J723" s="73"/>
      <c r="K723" s="32"/>
      <c r="L723" s="32"/>
      <c r="M723" s="32"/>
      <c r="N723" s="32"/>
      <c r="O723" s="2"/>
      <c r="P723" s="2"/>
      <c r="Q723" s="32"/>
      <c r="R723" s="32"/>
      <c r="S723" s="32"/>
      <c r="T723" s="3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10"/>
      <c r="F724" s="10"/>
      <c r="G724" s="32"/>
      <c r="H724" s="32"/>
      <c r="I724" s="32"/>
      <c r="J724" s="73"/>
      <c r="K724" s="32"/>
      <c r="L724" s="32"/>
      <c r="M724" s="32"/>
      <c r="N724" s="32"/>
      <c r="O724" s="2"/>
      <c r="P724" s="2"/>
      <c r="Q724" s="32"/>
      <c r="R724" s="32"/>
      <c r="S724" s="32"/>
      <c r="T724" s="3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10"/>
      <c r="F725" s="10"/>
      <c r="G725" s="32"/>
      <c r="H725" s="32"/>
      <c r="I725" s="32"/>
      <c r="J725" s="73"/>
      <c r="K725" s="32"/>
      <c r="L725" s="32"/>
      <c r="M725" s="32"/>
      <c r="N725" s="32"/>
      <c r="O725" s="2"/>
      <c r="P725" s="2"/>
      <c r="Q725" s="32"/>
      <c r="R725" s="32"/>
      <c r="S725" s="32"/>
      <c r="T725" s="3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10"/>
      <c r="F726" s="10"/>
      <c r="G726" s="32"/>
      <c r="H726" s="32"/>
      <c r="I726" s="32"/>
      <c r="J726" s="73"/>
      <c r="K726" s="32"/>
      <c r="L726" s="32"/>
      <c r="M726" s="32"/>
      <c r="N726" s="32"/>
      <c r="O726" s="2"/>
      <c r="P726" s="2"/>
      <c r="Q726" s="32"/>
      <c r="R726" s="32"/>
      <c r="S726" s="32"/>
      <c r="T726" s="3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10"/>
      <c r="F727" s="10"/>
      <c r="G727" s="32"/>
      <c r="H727" s="32"/>
      <c r="I727" s="32"/>
      <c r="J727" s="73"/>
      <c r="K727" s="32"/>
      <c r="L727" s="32"/>
      <c r="M727" s="32"/>
      <c r="N727" s="32"/>
      <c r="O727" s="2"/>
      <c r="P727" s="2"/>
      <c r="Q727" s="32"/>
      <c r="R727" s="32"/>
      <c r="S727" s="32"/>
      <c r="T727" s="3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10"/>
      <c r="F728" s="10"/>
      <c r="G728" s="32"/>
      <c r="H728" s="32"/>
      <c r="I728" s="32"/>
      <c r="J728" s="73"/>
      <c r="K728" s="32"/>
      <c r="L728" s="32"/>
      <c r="M728" s="32"/>
      <c r="N728" s="32"/>
      <c r="O728" s="2"/>
      <c r="P728" s="2"/>
      <c r="Q728" s="32"/>
      <c r="R728" s="32"/>
      <c r="S728" s="32"/>
      <c r="T728" s="3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10"/>
      <c r="F729" s="10"/>
      <c r="G729" s="32"/>
      <c r="H729" s="32"/>
      <c r="I729" s="32"/>
      <c r="J729" s="73"/>
      <c r="K729" s="32"/>
      <c r="L729" s="32"/>
      <c r="M729" s="32"/>
      <c r="N729" s="32"/>
      <c r="O729" s="2"/>
      <c r="P729" s="2"/>
      <c r="Q729" s="32"/>
      <c r="R729" s="32"/>
      <c r="S729" s="32"/>
      <c r="T729" s="3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10"/>
      <c r="F730" s="10"/>
      <c r="G730" s="32"/>
      <c r="H730" s="32"/>
      <c r="I730" s="32"/>
      <c r="J730" s="73"/>
      <c r="K730" s="32"/>
      <c r="L730" s="32"/>
      <c r="M730" s="32"/>
      <c r="N730" s="32"/>
      <c r="O730" s="2"/>
      <c r="P730" s="2"/>
      <c r="Q730" s="32"/>
      <c r="R730" s="32"/>
      <c r="S730" s="32"/>
      <c r="T730" s="3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10"/>
      <c r="F731" s="10"/>
      <c r="G731" s="32"/>
      <c r="H731" s="32"/>
      <c r="I731" s="32"/>
      <c r="J731" s="73"/>
      <c r="K731" s="32"/>
      <c r="L731" s="32"/>
      <c r="M731" s="32"/>
      <c r="N731" s="32"/>
      <c r="O731" s="2"/>
      <c r="P731" s="2"/>
      <c r="Q731" s="32"/>
      <c r="R731" s="32"/>
      <c r="S731" s="32"/>
      <c r="T731" s="3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10"/>
      <c r="F732" s="10"/>
      <c r="G732" s="32"/>
      <c r="H732" s="32"/>
      <c r="I732" s="32"/>
      <c r="J732" s="73"/>
      <c r="K732" s="32"/>
      <c r="L732" s="32"/>
      <c r="M732" s="32"/>
      <c r="N732" s="32"/>
      <c r="O732" s="2"/>
      <c r="P732" s="2"/>
      <c r="Q732" s="32"/>
      <c r="R732" s="32"/>
      <c r="S732" s="32"/>
      <c r="T732" s="3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10"/>
      <c r="F733" s="10"/>
      <c r="G733" s="32"/>
      <c r="H733" s="32"/>
      <c r="I733" s="32"/>
      <c r="J733" s="73"/>
      <c r="K733" s="32"/>
      <c r="L733" s="32"/>
      <c r="M733" s="32"/>
      <c r="N733" s="32"/>
      <c r="O733" s="2"/>
      <c r="P733" s="2"/>
      <c r="Q733" s="32"/>
      <c r="R733" s="32"/>
      <c r="S733" s="32"/>
      <c r="T733" s="3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10"/>
      <c r="F734" s="10"/>
      <c r="G734" s="32"/>
      <c r="H734" s="32"/>
      <c r="I734" s="32"/>
      <c r="J734" s="73"/>
      <c r="K734" s="32"/>
      <c r="L734" s="32"/>
      <c r="M734" s="32"/>
      <c r="N734" s="32"/>
      <c r="O734" s="2"/>
      <c r="P734" s="2"/>
      <c r="Q734" s="32"/>
      <c r="R734" s="32"/>
      <c r="S734" s="32"/>
      <c r="T734" s="3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10"/>
      <c r="F735" s="10"/>
      <c r="G735" s="32"/>
      <c r="H735" s="32"/>
      <c r="I735" s="32"/>
      <c r="J735" s="73"/>
      <c r="K735" s="32"/>
      <c r="L735" s="32"/>
      <c r="M735" s="32"/>
      <c r="N735" s="32"/>
      <c r="O735" s="2"/>
      <c r="P735" s="2"/>
      <c r="Q735" s="32"/>
      <c r="R735" s="32"/>
      <c r="S735" s="32"/>
      <c r="T735" s="3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10"/>
      <c r="F736" s="10"/>
      <c r="G736" s="32"/>
      <c r="H736" s="32"/>
      <c r="I736" s="32"/>
      <c r="J736" s="73"/>
      <c r="K736" s="32"/>
      <c r="L736" s="32"/>
      <c r="M736" s="32"/>
      <c r="N736" s="32"/>
      <c r="O736" s="2"/>
      <c r="P736" s="2"/>
      <c r="Q736" s="32"/>
      <c r="R736" s="32"/>
      <c r="S736" s="32"/>
      <c r="T736" s="3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10"/>
      <c r="F737" s="10"/>
      <c r="G737" s="32"/>
      <c r="H737" s="32"/>
      <c r="I737" s="32"/>
      <c r="J737" s="73"/>
      <c r="K737" s="32"/>
      <c r="L737" s="32"/>
      <c r="M737" s="32"/>
      <c r="N737" s="32"/>
      <c r="O737" s="2"/>
      <c r="P737" s="2"/>
      <c r="Q737" s="32"/>
      <c r="R737" s="32"/>
      <c r="S737" s="32"/>
      <c r="T737" s="3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10"/>
      <c r="F738" s="10"/>
      <c r="G738" s="32"/>
      <c r="H738" s="32"/>
      <c r="I738" s="32"/>
      <c r="J738" s="73"/>
      <c r="K738" s="32"/>
      <c r="L738" s="32"/>
      <c r="M738" s="32"/>
      <c r="N738" s="32"/>
      <c r="O738" s="2"/>
      <c r="P738" s="2"/>
      <c r="Q738" s="32"/>
      <c r="R738" s="32"/>
      <c r="S738" s="32"/>
      <c r="T738" s="3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10"/>
      <c r="F739" s="10"/>
      <c r="G739" s="32"/>
      <c r="H739" s="32"/>
      <c r="I739" s="32"/>
      <c r="J739" s="73"/>
      <c r="K739" s="32"/>
      <c r="L739" s="32"/>
      <c r="M739" s="32"/>
      <c r="N739" s="32"/>
      <c r="O739" s="2"/>
      <c r="P739" s="2"/>
      <c r="Q739" s="32"/>
      <c r="R739" s="32"/>
      <c r="S739" s="32"/>
      <c r="T739" s="3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10"/>
      <c r="F740" s="10"/>
      <c r="G740" s="32"/>
      <c r="H740" s="32"/>
      <c r="I740" s="32"/>
      <c r="J740" s="73"/>
      <c r="K740" s="32"/>
      <c r="L740" s="32"/>
      <c r="M740" s="32"/>
      <c r="N740" s="32"/>
      <c r="O740" s="2"/>
      <c r="P740" s="2"/>
      <c r="Q740" s="32"/>
      <c r="R740" s="32"/>
      <c r="S740" s="32"/>
      <c r="T740" s="3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10"/>
      <c r="F741" s="10"/>
      <c r="G741" s="32"/>
      <c r="H741" s="32"/>
      <c r="I741" s="32"/>
      <c r="J741" s="73"/>
      <c r="K741" s="32"/>
      <c r="L741" s="32"/>
      <c r="M741" s="32"/>
      <c r="N741" s="32"/>
      <c r="O741" s="2"/>
      <c r="P741" s="2"/>
      <c r="Q741" s="32"/>
      <c r="R741" s="32"/>
      <c r="S741" s="32"/>
      <c r="T741" s="3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10"/>
      <c r="F742" s="10"/>
      <c r="G742" s="32"/>
      <c r="H742" s="32"/>
      <c r="I742" s="32"/>
      <c r="J742" s="73"/>
      <c r="K742" s="32"/>
      <c r="L742" s="32"/>
      <c r="M742" s="32"/>
      <c r="N742" s="32"/>
      <c r="O742" s="2"/>
      <c r="P742" s="2"/>
      <c r="Q742" s="32"/>
      <c r="R742" s="32"/>
      <c r="S742" s="32"/>
      <c r="T742" s="3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10"/>
      <c r="F743" s="10"/>
      <c r="G743" s="32"/>
      <c r="H743" s="32"/>
      <c r="I743" s="32"/>
      <c r="J743" s="73"/>
      <c r="K743" s="32"/>
      <c r="L743" s="32"/>
      <c r="M743" s="32"/>
      <c r="N743" s="32"/>
      <c r="O743" s="2"/>
      <c r="P743" s="2"/>
      <c r="Q743" s="32"/>
      <c r="R743" s="32"/>
      <c r="S743" s="32"/>
      <c r="T743" s="3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10"/>
      <c r="F744" s="10"/>
      <c r="G744" s="32"/>
      <c r="H744" s="32"/>
      <c r="I744" s="32"/>
      <c r="J744" s="73"/>
      <c r="K744" s="32"/>
      <c r="L744" s="32"/>
      <c r="M744" s="32"/>
      <c r="N744" s="32"/>
      <c r="O744" s="2"/>
      <c r="P744" s="2"/>
      <c r="Q744" s="32"/>
      <c r="R744" s="32"/>
      <c r="S744" s="32"/>
      <c r="T744" s="3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10"/>
      <c r="F745" s="10"/>
      <c r="G745" s="32"/>
      <c r="H745" s="32"/>
      <c r="I745" s="32"/>
      <c r="J745" s="73"/>
      <c r="K745" s="32"/>
      <c r="L745" s="32"/>
      <c r="M745" s="32"/>
      <c r="N745" s="32"/>
      <c r="O745" s="2"/>
      <c r="P745" s="2"/>
      <c r="Q745" s="32"/>
      <c r="R745" s="32"/>
      <c r="S745" s="32"/>
      <c r="T745" s="3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10"/>
      <c r="F746" s="10"/>
      <c r="G746" s="32"/>
      <c r="H746" s="32"/>
      <c r="I746" s="32"/>
      <c r="J746" s="73"/>
      <c r="K746" s="32"/>
      <c r="L746" s="32"/>
      <c r="M746" s="32"/>
      <c r="N746" s="32"/>
      <c r="O746" s="2"/>
      <c r="P746" s="2"/>
      <c r="Q746" s="32"/>
      <c r="R746" s="32"/>
      <c r="S746" s="32"/>
      <c r="T746" s="3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10"/>
      <c r="F747" s="10"/>
      <c r="G747" s="32"/>
      <c r="H747" s="32"/>
      <c r="I747" s="32"/>
      <c r="J747" s="73"/>
      <c r="K747" s="32"/>
      <c r="L747" s="32"/>
      <c r="M747" s="32"/>
      <c r="N747" s="32"/>
      <c r="O747" s="2"/>
      <c r="P747" s="2"/>
      <c r="Q747" s="32"/>
      <c r="R747" s="32"/>
      <c r="S747" s="32"/>
      <c r="T747" s="3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10"/>
      <c r="F748" s="10"/>
      <c r="G748" s="32"/>
      <c r="H748" s="32"/>
      <c r="I748" s="32"/>
      <c r="J748" s="73"/>
      <c r="K748" s="32"/>
      <c r="L748" s="32"/>
      <c r="M748" s="32"/>
      <c r="N748" s="32"/>
      <c r="O748" s="2"/>
      <c r="P748" s="2"/>
      <c r="Q748" s="32"/>
      <c r="R748" s="32"/>
      <c r="S748" s="32"/>
      <c r="T748" s="3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10"/>
      <c r="F749" s="10"/>
      <c r="G749" s="32"/>
      <c r="H749" s="32"/>
      <c r="I749" s="32"/>
      <c r="J749" s="73"/>
      <c r="K749" s="32"/>
      <c r="L749" s="32"/>
      <c r="M749" s="32"/>
      <c r="N749" s="32"/>
      <c r="O749" s="2"/>
      <c r="P749" s="2"/>
      <c r="Q749" s="32"/>
      <c r="R749" s="32"/>
      <c r="S749" s="32"/>
      <c r="T749" s="3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10"/>
      <c r="F750" s="10"/>
      <c r="G750" s="32"/>
      <c r="H750" s="32"/>
      <c r="I750" s="32"/>
      <c r="J750" s="73"/>
      <c r="K750" s="32"/>
      <c r="L750" s="32"/>
      <c r="M750" s="32"/>
      <c r="N750" s="32"/>
      <c r="O750" s="2"/>
      <c r="P750" s="2"/>
      <c r="Q750" s="32"/>
      <c r="R750" s="32"/>
      <c r="S750" s="32"/>
      <c r="T750" s="3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10"/>
      <c r="F751" s="10"/>
      <c r="G751" s="32"/>
      <c r="H751" s="32"/>
      <c r="I751" s="32"/>
      <c r="J751" s="73"/>
      <c r="K751" s="32"/>
      <c r="L751" s="32"/>
      <c r="M751" s="32"/>
      <c r="N751" s="32"/>
      <c r="O751" s="2"/>
      <c r="P751" s="2"/>
      <c r="Q751" s="32"/>
      <c r="R751" s="32"/>
      <c r="S751" s="32"/>
      <c r="T751" s="3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10"/>
      <c r="F752" s="10"/>
      <c r="G752" s="32"/>
      <c r="H752" s="32"/>
      <c r="I752" s="32"/>
      <c r="J752" s="73"/>
      <c r="K752" s="32"/>
      <c r="L752" s="32"/>
      <c r="M752" s="32"/>
      <c r="N752" s="32"/>
      <c r="O752" s="2"/>
      <c r="P752" s="2"/>
      <c r="Q752" s="32"/>
      <c r="R752" s="32"/>
      <c r="S752" s="32"/>
      <c r="T752" s="3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10"/>
      <c r="F753" s="10"/>
      <c r="G753" s="32"/>
      <c r="H753" s="32"/>
      <c r="I753" s="32"/>
      <c r="J753" s="73"/>
      <c r="K753" s="32"/>
      <c r="L753" s="32"/>
      <c r="M753" s="32"/>
      <c r="N753" s="32"/>
      <c r="O753" s="2"/>
      <c r="P753" s="2"/>
      <c r="Q753" s="32"/>
      <c r="R753" s="32"/>
      <c r="S753" s="32"/>
      <c r="T753" s="3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10"/>
      <c r="F754" s="10"/>
      <c r="G754" s="32"/>
      <c r="H754" s="32"/>
      <c r="I754" s="32"/>
      <c r="J754" s="73"/>
      <c r="K754" s="32"/>
      <c r="L754" s="32"/>
      <c r="M754" s="32"/>
      <c r="N754" s="32"/>
      <c r="O754" s="2"/>
      <c r="P754" s="2"/>
      <c r="Q754" s="32"/>
      <c r="R754" s="32"/>
      <c r="S754" s="32"/>
      <c r="T754" s="3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10"/>
      <c r="F755" s="10"/>
      <c r="G755" s="32"/>
      <c r="H755" s="32"/>
      <c r="I755" s="32"/>
      <c r="J755" s="73"/>
      <c r="K755" s="32"/>
      <c r="L755" s="32"/>
      <c r="M755" s="32"/>
      <c r="N755" s="32"/>
      <c r="O755" s="2"/>
      <c r="P755" s="2"/>
      <c r="Q755" s="32"/>
      <c r="R755" s="32"/>
      <c r="S755" s="32"/>
      <c r="T755" s="3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10"/>
      <c r="F756" s="10"/>
      <c r="G756" s="32"/>
      <c r="H756" s="32"/>
      <c r="I756" s="32"/>
      <c r="J756" s="73"/>
      <c r="K756" s="32"/>
      <c r="L756" s="32"/>
      <c r="M756" s="32"/>
      <c r="N756" s="32"/>
      <c r="O756" s="2"/>
      <c r="P756" s="2"/>
      <c r="Q756" s="32"/>
      <c r="R756" s="32"/>
      <c r="S756" s="32"/>
      <c r="T756" s="3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10"/>
      <c r="F757" s="10"/>
      <c r="G757" s="32"/>
      <c r="H757" s="32"/>
      <c r="I757" s="32"/>
      <c r="J757" s="73"/>
      <c r="K757" s="32"/>
      <c r="L757" s="32"/>
      <c r="M757" s="32"/>
      <c r="N757" s="32"/>
      <c r="O757" s="2"/>
      <c r="P757" s="2"/>
      <c r="Q757" s="32"/>
      <c r="R757" s="32"/>
      <c r="S757" s="32"/>
      <c r="T757" s="3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10"/>
      <c r="F758" s="10"/>
      <c r="G758" s="32"/>
      <c r="H758" s="32"/>
      <c r="I758" s="32"/>
      <c r="J758" s="73"/>
      <c r="K758" s="32"/>
      <c r="L758" s="32"/>
      <c r="M758" s="32"/>
      <c r="N758" s="32"/>
      <c r="O758" s="2"/>
      <c r="P758" s="2"/>
      <c r="Q758" s="32"/>
      <c r="R758" s="32"/>
      <c r="S758" s="32"/>
      <c r="T758" s="3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10"/>
      <c r="F759" s="10"/>
      <c r="G759" s="32"/>
      <c r="H759" s="32"/>
      <c r="I759" s="32"/>
      <c r="J759" s="73"/>
      <c r="K759" s="32"/>
      <c r="L759" s="32"/>
      <c r="M759" s="32"/>
      <c r="N759" s="32"/>
      <c r="O759" s="2"/>
      <c r="P759" s="2"/>
      <c r="Q759" s="32"/>
      <c r="R759" s="32"/>
      <c r="S759" s="32"/>
      <c r="T759" s="3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10"/>
      <c r="F760" s="10"/>
      <c r="G760" s="32"/>
      <c r="H760" s="32"/>
      <c r="I760" s="32"/>
      <c r="J760" s="73"/>
      <c r="K760" s="32"/>
      <c r="L760" s="32"/>
      <c r="M760" s="32"/>
      <c r="N760" s="32"/>
      <c r="O760" s="2"/>
      <c r="P760" s="2"/>
      <c r="Q760" s="32"/>
      <c r="R760" s="32"/>
      <c r="S760" s="32"/>
      <c r="T760" s="3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10"/>
      <c r="F761" s="10"/>
      <c r="G761" s="32"/>
      <c r="H761" s="32"/>
      <c r="I761" s="32"/>
      <c r="J761" s="73"/>
      <c r="K761" s="32"/>
      <c r="L761" s="32"/>
      <c r="M761" s="32"/>
      <c r="N761" s="32"/>
      <c r="O761" s="2"/>
      <c r="P761" s="2"/>
      <c r="Q761" s="32"/>
      <c r="R761" s="32"/>
      <c r="S761" s="32"/>
      <c r="T761" s="3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10"/>
      <c r="F762" s="10"/>
      <c r="G762" s="32"/>
      <c r="H762" s="32"/>
      <c r="I762" s="32"/>
      <c r="J762" s="73"/>
      <c r="K762" s="32"/>
      <c r="L762" s="32"/>
      <c r="M762" s="32"/>
      <c r="N762" s="32"/>
      <c r="O762" s="2"/>
      <c r="P762" s="2"/>
      <c r="Q762" s="32"/>
      <c r="R762" s="32"/>
      <c r="S762" s="32"/>
      <c r="T762" s="3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10"/>
      <c r="F763" s="10"/>
      <c r="G763" s="32"/>
      <c r="H763" s="32"/>
      <c r="I763" s="32"/>
      <c r="J763" s="73"/>
      <c r="K763" s="32"/>
      <c r="L763" s="32"/>
      <c r="M763" s="32"/>
      <c r="N763" s="32"/>
      <c r="O763" s="2"/>
      <c r="P763" s="2"/>
      <c r="Q763" s="32"/>
      <c r="R763" s="32"/>
      <c r="S763" s="32"/>
      <c r="T763" s="3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10"/>
      <c r="F764" s="10"/>
      <c r="G764" s="32"/>
      <c r="H764" s="32"/>
      <c r="I764" s="32"/>
      <c r="J764" s="73"/>
      <c r="K764" s="32"/>
      <c r="L764" s="32"/>
      <c r="M764" s="32"/>
      <c r="N764" s="32"/>
      <c r="O764" s="2"/>
      <c r="P764" s="2"/>
      <c r="Q764" s="32"/>
      <c r="R764" s="32"/>
      <c r="S764" s="32"/>
      <c r="T764" s="3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10"/>
      <c r="F765" s="10"/>
      <c r="G765" s="32"/>
      <c r="H765" s="32"/>
      <c r="I765" s="32"/>
      <c r="J765" s="73"/>
      <c r="K765" s="32"/>
      <c r="L765" s="32"/>
      <c r="M765" s="32"/>
      <c r="N765" s="32"/>
      <c r="O765" s="2"/>
      <c r="P765" s="2"/>
      <c r="Q765" s="32"/>
      <c r="R765" s="32"/>
      <c r="S765" s="32"/>
      <c r="T765" s="3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10"/>
      <c r="F766" s="10"/>
      <c r="G766" s="32"/>
      <c r="H766" s="32"/>
      <c r="I766" s="32"/>
      <c r="J766" s="73"/>
      <c r="K766" s="32"/>
      <c r="L766" s="32"/>
      <c r="M766" s="32"/>
      <c r="N766" s="32"/>
      <c r="O766" s="2"/>
      <c r="P766" s="2"/>
      <c r="Q766" s="32"/>
      <c r="R766" s="32"/>
      <c r="S766" s="32"/>
      <c r="T766" s="3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10"/>
      <c r="F767" s="10"/>
      <c r="G767" s="32"/>
      <c r="H767" s="32"/>
      <c r="I767" s="32"/>
      <c r="J767" s="73"/>
      <c r="K767" s="32"/>
      <c r="L767" s="32"/>
      <c r="M767" s="32"/>
      <c r="N767" s="32"/>
      <c r="O767" s="2"/>
      <c r="P767" s="2"/>
      <c r="Q767" s="32"/>
      <c r="R767" s="32"/>
      <c r="S767" s="32"/>
      <c r="T767" s="3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10"/>
      <c r="F768" s="10"/>
      <c r="G768" s="32"/>
      <c r="H768" s="32"/>
      <c r="I768" s="32"/>
      <c r="J768" s="73"/>
      <c r="K768" s="32"/>
      <c r="L768" s="32"/>
      <c r="M768" s="32"/>
      <c r="N768" s="32"/>
      <c r="O768" s="2"/>
      <c r="P768" s="2"/>
      <c r="Q768" s="32"/>
      <c r="R768" s="32"/>
      <c r="S768" s="32"/>
      <c r="T768" s="3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10"/>
      <c r="F769" s="10"/>
      <c r="G769" s="32"/>
      <c r="H769" s="32"/>
      <c r="I769" s="32"/>
      <c r="J769" s="73"/>
      <c r="K769" s="32"/>
      <c r="L769" s="32"/>
      <c r="M769" s="32"/>
      <c r="N769" s="32"/>
      <c r="O769" s="2"/>
      <c r="P769" s="2"/>
      <c r="Q769" s="32"/>
      <c r="R769" s="32"/>
      <c r="S769" s="32"/>
      <c r="T769" s="3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10"/>
      <c r="F770" s="10"/>
      <c r="G770" s="32"/>
      <c r="H770" s="32"/>
      <c r="I770" s="32"/>
      <c r="J770" s="73"/>
      <c r="K770" s="32"/>
      <c r="L770" s="32"/>
      <c r="M770" s="32"/>
      <c r="N770" s="32"/>
      <c r="O770" s="2"/>
      <c r="P770" s="2"/>
      <c r="Q770" s="32"/>
      <c r="R770" s="32"/>
      <c r="S770" s="32"/>
      <c r="T770" s="3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10"/>
      <c r="F771" s="10"/>
      <c r="G771" s="32"/>
      <c r="H771" s="32"/>
      <c r="I771" s="32"/>
      <c r="J771" s="73"/>
      <c r="K771" s="32"/>
      <c r="L771" s="32"/>
      <c r="M771" s="32"/>
      <c r="N771" s="32"/>
      <c r="O771" s="2"/>
      <c r="P771" s="2"/>
      <c r="Q771" s="32"/>
      <c r="R771" s="32"/>
      <c r="S771" s="32"/>
      <c r="T771" s="3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10"/>
      <c r="F772" s="10"/>
      <c r="G772" s="32"/>
      <c r="H772" s="32"/>
      <c r="I772" s="32"/>
      <c r="J772" s="73"/>
      <c r="K772" s="32"/>
      <c r="L772" s="32"/>
      <c r="M772" s="32"/>
      <c r="N772" s="32"/>
      <c r="O772" s="2"/>
      <c r="P772" s="2"/>
      <c r="Q772" s="32"/>
      <c r="R772" s="32"/>
      <c r="S772" s="32"/>
      <c r="T772" s="3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10"/>
      <c r="F773" s="10"/>
      <c r="G773" s="32"/>
      <c r="H773" s="32"/>
      <c r="I773" s="32"/>
      <c r="J773" s="73"/>
      <c r="K773" s="32"/>
      <c r="L773" s="32"/>
      <c r="M773" s="32"/>
      <c r="N773" s="32"/>
      <c r="O773" s="2"/>
      <c r="P773" s="2"/>
      <c r="Q773" s="32"/>
      <c r="R773" s="32"/>
      <c r="S773" s="32"/>
      <c r="T773" s="3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10"/>
      <c r="F774" s="10"/>
      <c r="G774" s="32"/>
      <c r="H774" s="32"/>
      <c r="I774" s="32"/>
      <c r="J774" s="73"/>
      <c r="K774" s="32"/>
      <c r="L774" s="32"/>
      <c r="M774" s="32"/>
      <c r="N774" s="32"/>
      <c r="O774" s="2"/>
      <c r="P774" s="2"/>
      <c r="Q774" s="32"/>
      <c r="R774" s="32"/>
      <c r="S774" s="32"/>
      <c r="T774" s="3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10"/>
      <c r="F775" s="10"/>
      <c r="G775" s="32"/>
      <c r="H775" s="32"/>
      <c r="I775" s="32"/>
      <c r="J775" s="73"/>
      <c r="K775" s="32"/>
      <c r="L775" s="32"/>
      <c r="M775" s="32"/>
      <c r="N775" s="32"/>
      <c r="O775" s="2"/>
      <c r="P775" s="2"/>
      <c r="Q775" s="32"/>
      <c r="R775" s="32"/>
      <c r="S775" s="32"/>
      <c r="T775" s="3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10"/>
      <c r="F776" s="10"/>
      <c r="G776" s="32"/>
      <c r="H776" s="32"/>
      <c r="I776" s="32"/>
      <c r="J776" s="73"/>
      <c r="K776" s="32"/>
      <c r="L776" s="32"/>
      <c r="M776" s="32"/>
      <c r="N776" s="32"/>
      <c r="O776" s="2"/>
      <c r="P776" s="2"/>
      <c r="Q776" s="32"/>
      <c r="R776" s="32"/>
      <c r="S776" s="32"/>
      <c r="T776" s="3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10"/>
      <c r="F777" s="10"/>
      <c r="G777" s="32"/>
      <c r="H777" s="32"/>
      <c r="I777" s="32"/>
      <c r="J777" s="73"/>
      <c r="K777" s="32"/>
      <c r="L777" s="32"/>
      <c r="M777" s="32"/>
      <c r="N777" s="32"/>
      <c r="O777" s="2"/>
      <c r="P777" s="2"/>
      <c r="Q777" s="32"/>
      <c r="R777" s="32"/>
      <c r="S777" s="32"/>
      <c r="T777" s="3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10"/>
      <c r="F778" s="10"/>
      <c r="G778" s="32"/>
      <c r="H778" s="32"/>
      <c r="I778" s="32"/>
      <c r="J778" s="73"/>
      <c r="K778" s="32"/>
      <c r="L778" s="32"/>
      <c r="M778" s="32"/>
      <c r="N778" s="32"/>
      <c r="O778" s="2"/>
      <c r="P778" s="2"/>
      <c r="Q778" s="32"/>
      <c r="R778" s="32"/>
      <c r="S778" s="32"/>
      <c r="T778" s="3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10"/>
      <c r="F779" s="10"/>
      <c r="G779" s="32"/>
      <c r="H779" s="32"/>
      <c r="I779" s="32"/>
      <c r="J779" s="73"/>
      <c r="K779" s="32"/>
      <c r="L779" s="32"/>
      <c r="M779" s="32"/>
      <c r="N779" s="32"/>
      <c r="O779" s="2"/>
      <c r="P779" s="2"/>
      <c r="Q779" s="32"/>
      <c r="R779" s="32"/>
      <c r="S779" s="32"/>
      <c r="T779" s="3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10"/>
      <c r="F780" s="10"/>
      <c r="G780" s="32"/>
      <c r="H780" s="32"/>
      <c r="I780" s="32"/>
      <c r="J780" s="73"/>
      <c r="K780" s="32"/>
      <c r="L780" s="32"/>
      <c r="M780" s="32"/>
      <c r="N780" s="32"/>
      <c r="O780" s="2"/>
      <c r="P780" s="2"/>
      <c r="Q780" s="32"/>
      <c r="R780" s="32"/>
      <c r="S780" s="32"/>
      <c r="T780" s="3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10"/>
      <c r="F781" s="10"/>
      <c r="G781" s="32"/>
      <c r="H781" s="32"/>
      <c r="I781" s="32"/>
      <c r="J781" s="73"/>
      <c r="K781" s="32"/>
      <c r="L781" s="32"/>
      <c r="M781" s="32"/>
      <c r="N781" s="32"/>
      <c r="O781" s="2"/>
      <c r="P781" s="2"/>
      <c r="Q781" s="32"/>
      <c r="R781" s="32"/>
      <c r="S781" s="32"/>
      <c r="T781" s="3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10"/>
      <c r="F782" s="10"/>
      <c r="G782" s="32"/>
      <c r="H782" s="32"/>
      <c r="I782" s="32"/>
      <c r="J782" s="73"/>
      <c r="K782" s="32"/>
      <c r="L782" s="32"/>
      <c r="M782" s="32"/>
      <c r="N782" s="32"/>
      <c r="O782" s="2"/>
      <c r="P782" s="2"/>
      <c r="Q782" s="32"/>
      <c r="R782" s="32"/>
      <c r="S782" s="32"/>
      <c r="T782" s="3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10"/>
      <c r="F783" s="10"/>
      <c r="G783" s="32"/>
      <c r="H783" s="32"/>
      <c r="I783" s="32"/>
      <c r="J783" s="73"/>
      <c r="K783" s="32"/>
      <c r="L783" s="32"/>
      <c r="M783" s="32"/>
      <c r="N783" s="32"/>
      <c r="O783" s="2"/>
      <c r="P783" s="2"/>
      <c r="Q783" s="32"/>
      <c r="R783" s="32"/>
      <c r="S783" s="32"/>
      <c r="T783" s="3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10"/>
      <c r="F784" s="10"/>
      <c r="G784" s="32"/>
      <c r="H784" s="32"/>
      <c r="I784" s="32"/>
      <c r="J784" s="73"/>
      <c r="K784" s="32"/>
      <c r="L784" s="32"/>
      <c r="M784" s="32"/>
      <c r="N784" s="32"/>
      <c r="O784" s="2"/>
      <c r="P784" s="2"/>
      <c r="Q784" s="32"/>
      <c r="R784" s="32"/>
      <c r="S784" s="32"/>
      <c r="T784" s="3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10"/>
      <c r="F785" s="10"/>
      <c r="G785" s="32"/>
      <c r="H785" s="32"/>
      <c r="I785" s="32"/>
      <c r="J785" s="73"/>
      <c r="K785" s="32"/>
      <c r="L785" s="32"/>
      <c r="M785" s="32"/>
      <c r="N785" s="32"/>
      <c r="O785" s="2"/>
      <c r="P785" s="2"/>
      <c r="Q785" s="32"/>
      <c r="R785" s="32"/>
      <c r="S785" s="32"/>
      <c r="T785" s="3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10"/>
      <c r="F786" s="10"/>
      <c r="G786" s="32"/>
      <c r="H786" s="32"/>
      <c r="I786" s="32"/>
      <c r="J786" s="73"/>
      <c r="K786" s="32"/>
      <c r="L786" s="32"/>
      <c r="M786" s="32"/>
      <c r="N786" s="32"/>
      <c r="O786" s="2"/>
      <c r="P786" s="2"/>
      <c r="Q786" s="32"/>
      <c r="R786" s="32"/>
      <c r="S786" s="32"/>
      <c r="T786" s="3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10"/>
      <c r="F787" s="10"/>
      <c r="G787" s="32"/>
      <c r="H787" s="32"/>
      <c r="I787" s="32"/>
      <c r="J787" s="73"/>
      <c r="K787" s="32"/>
      <c r="L787" s="32"/>
      <c r="M787" s="32"/>
      <c r="N787" s="32"/>
      <c r="O787" s="2"/>
      <c r="P787" s="2"/>
      <c r="Q787" s="32"/>
      <c r="R787" s="32"/>
      <c r="S787" s="32"/>
      <c r="T787" s="3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10"/>
      <c r="F788" s="10"/>
      <c r="G788" s="32"/>
      <c r="H788" s="32"/>
      <c r="I788" s="32"/>
      <c r="J788" s="73"/>
      <c r="K788" s="32"/>
      <c r="L788" s="32"/>
      <c r="M788" s="32"/>
      <c r="N788" s="32"/>
      <c r="O788" s="2"/>
      <c r="P788" s="2"/>
      <c r="Q788" s="32"/>
      <c r="R788" s="32"/>
      <c r="S788" s="32"/>
      <c r="T788" s="3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10"/>
      <c r="F789" s="10"/>
      <c r="G789" s="32"/>
      <c r="H789" s="32"/>
      <c r="I789" s="32"/>
      <c r="J789" s="73"/>
      <c r="K789" s="32"/>
      <c r="L789" s="32"/>
      <c r="M789" s="32"/>
      <c r="N789" s="32"/>
      <c r="O789" s="2"/>
      <c r="P789" s="2"/>
      <c r="Q789" s="32"/>
      <c r="R789" s="32"/>
      <c r="S789" s="32"/>
      <c r="T789" s="3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10"/>
      <c r="F790" s="10"/>
      <c r="G790" s="32"/>
      <c r="H790" s="32"/>
      <c r="I790" s="32"/>
      <c r="J790" s="73"/>
      <c r="K790" s="32"/>
      <c r="L790" s="32"/>
      <c r="M790" s="32"/>
      <c r="N790" s="32"/>
      <c r="O790" s="2"/>
      <c r="P790" s="2"/>
      <c r="Q790" s="32"/>
      <c r="R790" s="32"/>
      <c r="S790" s="32"/>
      <c r="T790" s="3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10"/>
      <c r="F791" s="10"/>
      <c r="G791" s="32"/>
      <c r="H791" s="32"/>
      <c r="I791" s="32"/>
      <c r="J791" s="73"/>
      <c r="K791" s="32"/>
      <c r="L791" s="32"/>
      <c r="M791" s="32"/>
      <c r="N791" s="32"/>
      <c r="O791" s="2"/>
      <c r="P791" s="2"/>
      <c r="Q791" s="32"/>
      <c r="R791" s="32"/>
      <c r="S791" s="32"/>
      <c r="T791" s="3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10"/>
      <c r="F792" s="10"/>
      <c r="G792" s="32"/>
      <c r="H792" s="32"/>
      <c r="I792" s="32"/>
      <c r="J792" s="73"/>
      <c r="K792" s="32"/>
      <c r="L792" s="32"/>
      <c r="M792" s="32"/>
      <c r="N792" s="32"/>
      <c r="O792" s="2"/>
      <c r="P792" s="2"/>
      <c r="Q792" s="32"/>
      <c r="R792" s="32"/>
      <c r="S792" s="32"/>
      <c r="T792" s="3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10"/>
      <c r="F793" s="10"/>
      <c r="G793" s="32"/>
      <c r="H793" s="32"/>
      <c r="I793" s="32"/>
      <c r="J793" s="73"/>
      <c r="K793" s="32"/>
      <c r="L793" s="32"/>
      <c r="M793" s="32"/>
      <c r="N793" s="32"/>
      <c r="O793" s="2"/>
      <c r="P793" s="2"/>
      <c r="Q793" s="32"/>
      <c r="R793" s="32"/>
      <c r="S793" s="32"/>
      <c r="T793" s="3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10"/>
      <c r="F794" s="10"/>
      <c r="G794" s="32"/>
      <c r="H794" s="32"/>
      <c r="I794" s="32"/>
      <c r="J794" s="73"/>
      <c r="K794" s="32"/>
      <c r="L794" s="32"/>
      <c r="M794" s="32"/>
      <c r="N794" s="32"/>
      <c r="O794" s="2"/>
      <c r="P794" s="2"/>
      <c r="Q794" s="32"/>
      <c r="R794" s="32"/>
      <c r="S794" s="32"/>
      <c r="T794" s="3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10"/>
      <c r="F795" s="10"/>
      <c r="G795" s="32"/>
      <c r="H795" s="32"/>
      <c r="I795" s="32"/>
      <c r="J795" s="73"/>
      <c r="K795" s="32"/>
      <c r="L795" s="32"/>
      <c r="M795" s="32"/>
      <c r="N795" s="32"/>
      <c r="O795" s="2"/>
      <c r="P795" s="2"/>
      <c r="Q795" s="32"/>
      <c r="R795" s="32"/>
      <c r="S795" s="32"/>
      <c r="T795" s="3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10"/>
      <c r="F796" s="10"/>
      <c r="G796" s="32"/>
      <c r="H796" s="32"/>
      <c r="I796" s="32"/>
      <c r="J796" s="73"/>
      <c r="K796" s="32"/>
      <c r="L796" s="32"/>
      <c r="M796" s="32"/>
      <c r="N796" s="32"/>
      <c r="O796" s="2"/>
      <c r="P796" s="2"/>
      <c r="Q796" s="32"/>
      <c r="R796" s="32"/>
      <c r="S796" s="32"/>
      <c r="T796" s="3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10"/>
      <c r="F797" s="10"/>
      <c r="G797" s="32"/>
      <c r="H797" s="32"/>
      <c r="I797" s="32"/>
      <c r="J797" s="73"/>
      <c r="K797" s="32"/>
      <c r="L797" s="32"/>
      <c r="M797" s="32"/>
      <c r="N797" s="32"/>
      <c r="O797" s="2"/>
      <c r="P797" s="2"/>
      <c r="Q797" s="32"/>
      <c r="R797" s="32"/>
      <c r="S797" s="32"/>
      <c r="T797" s="3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10"/>
      <c r="F798" s="10"/>
      <c r="G798" s="32"/>
      <c r="H798" s="32"/>
      <c r="I798" s="32"/>
      <c r="J798" s="73"/>
      <c r="K798" s="32"/>
      <c r="L798" s="32"/>
      <c r="M798" s="32"/>
      <c r="N798" s="32"/>
      <c r="O798" s="2"/>
      <c r="P798" s="2"/>
      <c r="Q798" s="32"/>
      <c r="R798" s="32"/>
      <c r="S798" s="32"/>
      <c r="T798" s="3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10"/>
      <c r="F799" s="10"/>
      <c r="G799" s="32"/>
      <c r="H799" s="32"/>
      <c r="I799" s="32"/>
      <c r="J799" s="73"/>
      <c r="K799" s="32"/>
      <c r="L799" s="32"/>
      <c r="M799" s="32"/>
      <c r="N799" s="32"/>
      <c r="O799" s="2"/>
      <c r="P799" s="2"/>
      <c r="Q799" s="32"/>
      <c r="R799" s="32"/>
      <c r="S799" s="32"/>
      <c r="T799" s="3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10"/>
      <c r="F800" s="10"/>
      <c r="G800" s="32"/>
      <c r="H800" s="32"/>
      <c r="I800" s="32"/>
      <c r="J800" s="73"/>
      <c r="K800" s="32"/>
      <c r="L800" s="32"/>
      <c r="M800" s="32"/>
      <c r="N800" s="32"/>
      <c r="O800" s="2"/>
      <c r="P800" s="2"/>
      <c r="Q800" s="32"/>
      <c r="R800" s="32"/>
      <c r="S800" s="32"/>
      <c r="T800" s="3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10"/>
      <c r="F801" s="10"/>
      <c r="G801" s="32"/>
      <c r="H801" s="32"/>
      <c r="I801" s="32"/>
      <c r="J801" s="73"/>
      <c r="K801" s="32"/>
      <c r="L801" s="32"/>
      <c r="M801" s="32"/>
      <c r="N801" s="32"/>
      <c r="O801" s="2"/>
      <c r="P801" s="2"/>
      <c r="Q801" s="32"/>
      <c r="R801" s="32"/>
      <c r="S801" s="32"/>
      <c r="T801" s="3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10"/>
      <c r="F802" s="10"/>
      <c r="G802" s="32"/>
      <c r="H802" s="32"/>
      <c r="I802" s="32"/>
      <c r="J802" s="73"/>
      <c r="K802" s="32"/>
      <c r="L802" s="32"/>
      <c r="M802" s="32"/>
      <c r="N802" s="32"/>
      <c r="O802" s="2"/>
      <c r="P802" s="2"/>
      <c r="Q802" s="32"/>
      <c r="R802" s="32"/>
      <c r="S802" s="32"/>
      <c r="T802" s="3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10"/>
      <c r="F803" s="10"/>
      <c r="G803" s="32"/>
      <c r="H803" s="32"/>
      <c r="I803" s="32"/>
      <c r="J803" s="73"/>
      <c r="K803" s="32"/>
      <c r="L803" s="32"/>
      <c r="M803" s="32"/>
      <c r="N803" s="32"/>
      <c r="O803" s="2"/>
      <c r="P803" s="2"/>
      <c r="Q803" s="32"/>
      <c r="R803" s="32"/>
      <c r="S803" s="32"/>
      <c r="T803" s="3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10"/>
      <c r="F804" s="10"/>
      <c r="G804" s="32"/>
      <c r="H804" s="32"/>
      <c r="I804" s="32"/>
      <c r="J804" s="73"/>
      <c r="K804" s="32"/>
      <c r="L804" s="32"/>
      <c r="M804" s="32"/>
      <c r="N804" s="32"/>
      <c r="O804" s="2"/>
      <c r="P804" s="2"/>
      <c r="Q804" s="32"/>
      <c r="R804" s="32"/>
      <c r="S804" s="32"/>
      <c r="T804" s="3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10"/>
      <c r="F805" s="10"/>
      <c r="G805" s="32"/>
      <c r="H805" s="32"/>
      <c r="I805" s="32"/>
      <c r="J805" s="73"/>
      <c r="K805" s="32"/>
      <c r="L805" s="32"/>
      <c r="M805" s="32"/>
      <c r="N805" s="32"/>
      <c r="O805" s="2"/>
      <c r="P805" s="2"/>
      <c r="Q805" s="32"/>
      <c r="R805" s="32"/>
      <c r="S805" s="32"/>
      <c r="T805" s="3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10"/>
      <c r="F806" s="10"/>
      <c r="G806" s="32"/>
      <c r="H806" s="32"/>
      <c r="I806" s="32"/>
      <c r="J806" s="73"/>
      <c r="K806" s="32"/>
      <c r="L806" s="32"/>
      <c r="M806" s="32"/>
      <c r="N806" s="32"/>
      <c r="O806" s="2"/>
      <c r="P806" s="2"/>
      <c r="Q806" s="32"/>
      <c r="R806" s="32"/>
      <c r="S806" s="32"/>
      <c r="T806" s="3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10"/>
      <c r="F807" s="10"/>
      <c r="G807" s="32"/>
      <c r="H807" s="32"/>
      <c r="I807" s="32"/>
      <c r="J807" s="73"/>
      <c r="K807" s="32"/>
      <c r="L807" s="32"/>
      <c r="M807" s="32"/>
      <c r="N807" s="32"/>
      <c r="O807" s="2"/>
      <c r="P807" s="2"/>
      <c r="Q807" s="32"/>
      <c r="R807" s="32"/>
      <c r="S807" s="32"/>
      <c r="T807" s="3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10"/>
      <c r="F808" s="10"/>
      <c r="G808" s="32"/>
      <c r="H808" s="32"/>
      <c r="I808" s="32"/>
      <c r="J808" s="73"/>
      <c r="K808" s="32"/>
      <c r="L808" s="32"/>
      <c r="M808" s="32"/>
      <c r="N808" s="32"/>
      <c r="O808" s="2"/>
      <c r="P808" s="2"/>
      <c r="Q808" s="32"/>
      <c r="R808" s="32"/>
      <c r="S808" s="32"/>
      <c r="T808" s="3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10"/>
      <c r="F809" s="10"/>
      <c r="G809" s="32"/>
      <c r="H809" s="32"/>
      <c r="I809" s="32"/>
      <c r="J809" s="73"/>
      <c r="K809" s="32"/>
      <c r="L809" s="32"/>
      <c r="M809" s="32"/>
      <c r="N809" s="32"/>
      <c r="O809" s="2"/>
      <c r="P809" s="2"/>
      <c r="Q809" s="32"/>
      <c r="R809" s="32"/>
      <c r="S809" s="32"/>
      <c r="T809" s="3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10"/>
      <c r="F810" s="10"/>
      <c r="G810" s="32"/>
      <c r="H810" s="32"/>
      <c r="I810" s="32"/>
      <c r="J810" s="73"/>
      <c r="K810" s="32"/>
      <c r="L810" s="32"/>
      <c r="M810" s="32"/>
      <c r="N810" s="32"/>
      <c r="O810" s="2"/>
      <c r="P810" s="2"/>
      <c r="Q810" s="32"/>
      <c r="R810" s="32"/>
      <c r="S810" s="32"/>
      <c r="T810" s="3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10"/>
      <c r="F811" s="10"/>
      <c r="G811" s="32"/>
      <c r="H811" s="32"/>
      <c r="I811" s="32"/>
      <c r="J811" s="73"/>
      <c r="K811" s="32"/>
      <c r="L811" s="32"/>
      <c r="M811" s="32"/>
      <c r="N811" s="32"/>
      <c r="O811" s="2"/>
      <c r="P811" s="2"/>
      <c r="Q811" s="32"/>
      <c r="R811" s="32"/>
      <c r="S811" s="32"/>
      <c r="T811" s="3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10"/>
      <c r="F812" s="10"/>
      <c r="G812" s="32"/>
      <c r="H812" s="32"/>
      <c r="I812" s="32"/>
      <c r="J812" s="73"/>
      <c r="K812" s="32"/>
      <c r="L812" s="32"/>
      <c r="M812" s="32"/>
      <c r="N812" s="32"/>
      <c r="O812" s="2"/>
      <c r="P812" s="2"/>
      <c r="Q812" s="32"/>
      <c r="R812" s="32"/>
      <c r="S812" s="32"/>
      <c r="T812" s="3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10"/>
      <c r="F813" s="10"/>
      <c r="G813" s="32"/>
      <c r="H813" s="32"/>
      <c r="I813" s="32"/>
      <c r="J813" s="73"/>
      <c r="K813" s="32"/>
      <c r="L813" s="32"/>
      <c r="M813" s="32"/>
      <c r="N813" s="32"/>
      <c r="O813" s="2"/>
      <c r="P813" s="2"/>
      <c r="Q813" s="32"/>
      <c r="R813" s="32"/>
      <c r="S813" s="32"/>
      <c r="T813" s="3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10"/>
      <c r="F814" s="10"/>
      <c r="G814" s="32"/>
      <c r="H814" s="32"/>
      <c r="I814" s="32"/>
      <c r="J814" s="73"/>
      <c r="K814" s="32"/>
      <c r="L814" s="32"/>
      <c r="M814" s="32"/>
      <c r="N814" s="32"/>
      <c r="O814" s="2"/>
      <c r="P814" s="2"/>
      <c r="Q814" s="32"/>
      <c r="R814" s="32"/>
      <c r="S814" s="32"/>
      <c r="T814" s="3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10"/>
      <c r="F815" s="10"/>
      <c r="G815" s="32"/>
      <c r="H815" s="32"/>
      <c r="I815" s="32"/>
      <c r="J815" s="73"/>
      <c r="K815" s="32"/>
      <c r="L815" s="32"/>
      <c r="M815" s="32"/>
      <c r="N815" s="32"/>
      <c r="O815" s="2"/>
      <c r="P815" s="2"/>
      <c r="Q815" s="32"/>
      <c r="R815" s="32"/>
      <c r="S815" s="32"/>
      <c r="T815" s="3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10"/>
      <c r="F816" s="10"/>
      <c r="G816" s="32"/>
      <c r="H816" s="32"/>
      <c r="I816" s="32"/>
      <c r="J816" s="73"/>
      <c r="K816" s="32"/>
      <c r="L816" s="32"/>
      <c r="M816" s="32"/>
      <c r="N816" s="32"/>
      <c r="O816" s="2"/>
      <c r="P816" s="2"/>
      <c r="Q816" s="32"/>
      <c r="R816" s="32"/>
      <c r="S816" s="32"/>
      <c r="T816" s="3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10"/>
      <c r="F817" s="10"/>
      <c r="G817" s="32"/>
      <c r="H817" s="32"/>
      <c r="I817" s="32"/>
      <c r="J817" s="73"/>
      <c r="K817" s="32"/>
      <c r="L817" s="32"/>
      <c r="M817" s="32"/>
      <c r="N817" s="32"/>
      <c r="O817" s="2"/>
      <c r="P817" s="2"/>
      <c r="Q817" s="32"/>
      <c r="R817" s="32"/>
      <c r="S817" s="32"/>
      <c r="T817" s="3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10"/>
      <c r="F818" s="10"/>
      <c r="G818" s="32"/>
      <c r="H818" s="32"/>
      <c r="I818" s="32"/>
      <c r="J818" s="73"/>
      <c r="K818" s="32"/>
      <c r="L818" s="32"/>
      <c r="M818" s="32"/>
      <c r="N818" s="32"/>
      <c r="O818" s="2"/>
      <c r="P818" s="2"/>
      <c r="Q818" s="32"/>
      <c r="R818" s="32"/>
      <c r="S818" s="32"/>
      <c r="T818" s="3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10"/>
      <c r="F819" s="10"/>
      <c r="G819" s="32"/>
      <c r="H819" s="32"/>
      <c r="I819" s="32"/>
      <c r="J819" s="73"/>
      <c r="K819" s="32"/>
      <c r="L819" s="32"/>
      <c r="M819" s="32"/>
      <c r="N819" s="32"/>
      <c r="O819" s="2"/>
      <c r="P819" s="2"/>
      <c r="Q819" s="32"/>
      <c r="R819" s="32"/>
      <c r="S819" s="32"/>
      <c r="T819" s="3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10"/>
      <c r="F820" s="10"/>
      <c r="G820" s="32"/>
      <c r="H820" s="32"/>
      <c r="I820" s="32"/>
      <c r="J820" s="73"/>
      <c r="K820" s="32"/>
      <c r="L820" s="32"/>
      <c r="M820" s="32"/>
      <c r="N820" s="32"/>
      <c r="O820" s="2"/>
      <c r="P820" s="2"/>
      <c r="Q820" s="32"/>
      <c r="R820" s="32"/>
      <c r="S820" s="32"/>
      <c r="T820" s="3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10"/>
      <c r="F821" s="10"/>
      <c r="G821" s="32"/>
      <c r="H821" s="32"/>
      <c r="I821" s="32"/>
      <c r="J821" s="73"/>
      <c r="K821" s="32"/>
      <c r="L821" s="32"/>
      <c r="M821" s="32"/>
      <c r="N821" s="32"/>
      <c r="O821" s="2"/>
      <c r="P821" s="2"/>
      <c r="Q821" s="32"/>
      <c r="R821" s="32"/>
      <c r="S821" s="32"/>
      <c r="T821" s="3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10"/>
      <c r="F822" s="10"/>
      <c r="G822" s="32"/>
      <c r="H822" s="32"/>
      <c r="I822" s="32"/>
      <c r="J822" s="73"/>
      <c r="K822" s="32"/>
      <c r="L822" s="32"/>
      <c r="M822" s="32"/>
      <c r="N822" s="32"/>
      <c r="O822" s="2"/>
      <c r="P822" s="2"/>
      <c r="Q822" s="32"/>
      <c r="R822" s="32"/>
      <c r="S822" s="32"/>
      <c r="T822" s="3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10"/>
      <c r="F823" s="10"/>
      <c r="G823" s="32"/>
      <c r="H823" s="32"/>
      <c r="I823" s="32"/>
      <c r="J823" s="73"/>
      <c r="K823" s="32"/>
      <c r="L823" s="32"/>
      <c r="M823" s="32"/>
      <c r="N823" s="32"/>
      <c r="O823" s="2"/>
      <c r="P823" s="2"/>
      <c r="Q823" s="32"/>
      <c r="R823" s="32"/>
      <c r="S823" s="32"/>
      <c r="T823" s="3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10"/>
      <c r="F824" s="10"/>
      <c r="G824" s="32"/>
      <c r="H824" s="32"/>
      <c r="I824" s="32"/>
      <c r="J824" s="73"/>
      <c r="K824" s="32"/>
      <c r="L824" s="32"/>
      <c r="M824" s="32"/>
      <c r="N824" s="32"/>
      <c r="O824" s="2"/>
      <c r="P824" s="2"/>
      <c r="Q824" s="32"/>
      <c r="R824" s="32"/>
      <c r="S824" s="32"/>
      <c r="T824" s="3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10"/>
      <c r="F825" s="10"/>
      <c r="G825" s="32"/>
      <c r="H825" s="32"/>
      <c r="I825" s="32"/>
      <c r="J825" s="73"/>
      <c r="K825" s="32"/>
      <c r="L825" s="32"/>
      <c r="M825" s="32"/>
      <c r="N825" s="32"/>
      <c r="O825" s="2"/>
      <c r="P825" s="2"/>
      <c r="Q825" s="32"/>
      <c r="R825" s="32"/>
      <c r="S825" s="32"/>
      <c r="T825" s="3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10"/>
      <c r="F826" s="10"/>
      <c r="G826" s="32"/>
      <c r="H826" s="32"/>
      <c r="I826" s="32"/>
      <c r="J826" s="73"/>
      <c r="K826" s="32"/>
      <c r="L826" s="32"/>
      <c r="M826" s="32"/>
      <c r="N826" s="32"/>
      <c r="O826" s="2"/>
      <c r="P826" s="2"/>
      <c r="Q826" s="32"/>
      <c r="R826" s="32"/>
      <c r="S826" s="32"/>
      <c r="T826" s="3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10"/>
      <c r="F827" s="10"/>
      <c r="G827" s="32"/>
      <c r="H827" s="32"/>
      <c r="I827" s="32"/>
      <c r="J827" s="73"/>
      <c r="K827" s="32"/>
      <c r="L827" s="32"/>
      <c r="M827" s="32"/>
      <c r="N827" s="32"/>
      <c r="O827" s="2"/>
      <c r="P827" s="2"/>
      <c r="Q827" s="32"/>
      <c r="R827" s="32"/>
      <c r="S827" s="32"/>
      <c r="T827" s="3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10"/>
      <c r="F828" s="10"/>
      <c r="G828" s="32"/>
      <c r="H828" s="32"/>
      <c r="I828" s="32"/>
      <c r="J828" s="73"/>
      <c r="K828" s="32"/>
      <c r="L828" s="32"/>
      <c r="M828" s="32"/>
      <c r="N828" s="32"/>
      <c r="O828" s="2"/>
      <c r="P828" s="2"/>
      <c r="Q828" s="32"/>
      <c r="R828" s="32"/>
      <c r="S828" s="32"/>
      <c r="T828" s="3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10"/>
      <c r="F829" s="10"/>
      <c r="G829" s="32"/>
      <c r="H829" s="32"/>
      <c r="I829" s="32"/>
      <c r="J829" s="73"/>
      <c r="K829" s="32"/>
      <c r="L829" s="32"/>
      <c r="M829" s="32"/>
      <c r="N829" s="32"/>
      <c r="O829" s="2"/>
      <c r="P829" s="2"/>
      <c r="Q829" s="32"/>
      <c r="R829" s="32"/>
      <c r="S829" s="32"/>
      <c r="T829" s="3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10"/>
      <c r="F830" s="10"/>
      <c r="G830" s="32"/>
      <c r="H830" s="32"/>
      <c r="I830" s="32"/>
      <c r="J830" s="73"/>
      <c r="K830" s="32"/>
      <c r="L830" s="32"/>
      <c r="M830" s="32"/>
      <c r="N830" s="32"/>
      <c r="O830" s="2"/>
      <c r="P830" s="2"/>
      <c r="Q830" s="32"/>
      <c r="R830" s="32"/>
      <c r="S830" s="32"/>
      <c r="T830" s="3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10"/>
      <c r="F831" s="10"/>
      <c r="G831" s="32"/>
      <c r="H831" s="32"/>
      <c r="I831" s="32"/>
      <c r="J831" s="73"/>
      <c r="K831" s="32"/>
      <c r="L831" s="32"/>
      <c r="M831" s="32"/>
      <c r="N831" s="32"/>
      <c r="O831" s="2"/>
      <c r="P831" s="2"/>
      <c r="Q831" s="32"/>
      <c r="R831" s="32"/>
      <c r="S831" s="32"/>
      <c r="T831" s="3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10"/>
      <c r="F832" s="10"/>
      <c r="G832" s="32"/>
      <c r="H832" s="32"/>
      <c r="I832" s="32"/>
      <c r="J832" s="73"/>
      <c r="K832" s="32"/>
      <c r="L832" s="32"/>
      <c r="M832" s="32"/>
      <c r="N832" s="32"/>
      <c r="O832" s="2"/>
      <c r="P832" s="2"/>
      <c r="Q832" s="32"/>
      <c r="R832" s="32"/>
      <c r="S832" s="32"/>
      <c r="T832" s="3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10"/>
      <c r="F833" s="10"/>
      <c r="G833" s="32"/>
      <c r="H833" s="32"/>
      <c r="I833" s="32"/>
      <c r="J833" s="73"/>
      <c r="K833" s="32"/>
      <c r="L833" s="32"/>
      <c r="M833" s="32"/>
      <c r="N833" s="32"/>
      <c r="O833" s="2"/>
      <c r="P833" s="2"/>
      <c r="Q833" s="32"/>
      <c r="R833" s="32"/>
      <c r="S833" s="32"/>
      <c r="T833" s="3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10"/>
      <c r="F834" s="10"/>
      <c r="G834" s="32"/>
      <c r="H834" s="32"/>
      <c r="I834" s="32"/>
      <c r="J834" s="73"/>
      <c r="K834" s="32"/>
      <c r="L834" s="32"/>
      <c r="M834" s="32"/>
      <c r="N834" s="32"/>
      <c r="O834" s="2"/>
      <c r="P834" s="2"/>
      <c r="Q834" s="32"/>
      <c r="R834" s="32"/>
      <c r="S834" s="32"/>
      <c r="T834" s="3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10"/>
      <c r="F835" s="10"/>
      <c r="G835" s="32"/>
      <c r="H835" s="32"/>
      <c r="I835" s="32"/>
      <c r="J835" s="73"/>
      <c r="K835" s="32"/>
      <c r="L835" s="32"/>
      <c r="M835" s="32"/>
      <c r="N835" s="32"/>
      <c r="O835" s="2"/>
      <c r="P835" s="2"/>
      <c r="Q835" s="32"/>
      <c r="R835" s="32"/>
      <c r="S835" s="32"/>
      <c r="T835" s="3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10"/>
      <c r="F836" s="10"/>
      <c r="G836" s="32"/>
      <c r="H836" s="32"/>
      <c r="I836" s="32"/>
      <c r="J836" s="73"/>
      <c r="K836" s="32"/>
      <c r="L836" s="32"/>
      <c r="M836" s="32"/>
      <c r="N836" s="32"/>
      <c r="O836" s="2"/>
      <c r="P836" s="2"/>
      <c r="Q836" s="32"/>
      <c r="R836" s="32"/>
      <c r="S836" s="32"/>
      <c r="T836" s="3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10"/>
      <c r="F837" s="10"/>
      <c r="G837" s="32"/>
      <c r="H837" s="32"/>
      <c r="I837" s="32"/>
      <c r="J837" s="73"/>
      <c r="K837" s="32"/>
      <c r="L837" s="32"/>
      <c r="M837" s="32"/>
      <c r="N837" s="32"/>
      <c r="O837" s="2"/>
      <c r="P837" s="2"/>
      <c r="Q837" s="32"/>
      <c r="R837" s="32"/>
      <c r="S837" s="32"/>
      <c r="T837" s="3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10"/>
      <c r="F838" s="10"/>
      <c r="G838" s="32"/>
      <c r="H838" s="32"/>
      <c r="I838" s="32"/>
      <c r="J838" s="73"/>
      <c r="K838" s="32"/>
      <c r="L838" s="32"/>
      <c r="M838" s="32"/>
      <c r="N838" s="32"/>
      <c r="O838" s="2"/>
      <c r="P838" s="2"/>
      <c r="Q838" s="32"/>
      <c r="R838" s="32"/>
      <c r="S838" s="32"/>
      <c r="T838" s="3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10"/>
      <c r="F839" s="10"/>
      <c r="G839" s="32"/>
      <c r="H839" s="32"/>
      <c r="I839" s="32"/>
      <c r="J839" s="73"/>
      <c r="K839" s="32"/>
      <c r="L839" s="32"/>
      <c r="M839" s="32"/>
      <c r="N839" s="32"/>
      <c r="O839" s="2"/>
      <c r="P839" s="2"/>
      <c r="Q839" s="32"/>
      <c r="R839" s="32"/>
      <c r="S839" s="32"/>
      <c r="T839" s="3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10"/>
      <c r="F840" s="10"/>
      <c r="G840" s="32"/>
      <c r="H840" s="32"/>
      <c r="I840" s="32"/>
      <c r="J840" s="73"/>
      <c r="K840" s="32"/>
      <c r="L840" s="32"/>
      <c r="M840" s="32"/>
      <c r="N840" s="32"/>
      <c r="O840" s="2"/>
      <c r="P840" s="2"/>
      <c r="Q840" s="32"/>
      <c r="R840" s="32"/>
      <c r="S840" s="32"/>
      <c r="T840" s="3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10"/>
      <c r="F841" s="10"/>
      <c r="G841" s="32"/>
      <c r="H841" s="32"/>
      <c r="I841" s="32"/>
      <c r="J841" s="73"/>
      <c r="K841" s="32"/>
      <c r="L841" s="32"/>
      <c r="M841" s="32"/>
      <c r="N841" s="32"/>
      <c r="O841" s="2"/>
      <c r="P841" s="2"/>
      <c r="Q841" s="32"/>
      <c r="R841" s="32"/>
      <c r="S841" s="32"/>
      <c r="T841" s="3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10"/>
      <c r="F842" s="10"/>
      <c r="G842" s="32"/>
      <c r="H842" s="32"/>
      <c r="I842" s="32"/>
      <c r="J842" s="73"/>
      <c r="K842" s="32"/>
      <c r="L842" s="32"/>
      <c r="M842" s="32"/>
      <c r="N842" s="32"/>
      <c r="O842" s="2"/>
      <c r="P842" s="2"/>
      <c r="Q842" s="32"/>
      <c r="R842" s="32"/>
      <c r="S842" s="32"/>
      <c r="T842" s="3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10"/>
      <c r="F843" s="10"/>
      <c r="G843" s="32"/>
      <c r="H843" s="32"/>
      <c r="I843" s="32"/>
      <c r="J843" s="73"/>
      <c r="K843" s="32"/>
      <c r="L843" s="32"/>
      <c r="M843" s="32"/>
      <c r="N843" s="32"/>
      <c r="O843" s="2"/>
      <c r="P843" s="2"/>
      <c r="Q843" s="32"/>
      <c r="R843" s="32"/>
      <c r="S843" s="32"/>
      <c r="T843" s="3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10"/>
      <c r="F844" s="10"/>
      <c r="G844" s="32"/>
      <c r="H844" s="32"/>
      <c r="I844" s="32"/>
      <c r="J844" s="73"/>
      <c r="K844" s="32"/>
      <c r="L844" s="32"/>
      <c r="M844" s="32"/>
      <c r="N844" s="32"/>
      <c r="O844" s="2"/>
      <c r="P844" s="2"/>
      <c r="Q844" s="32"/>
      <c r="R844" s="32"/>
      <c r="S844" s="32"/>
      <c r="T844" s="3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10"/>
      <c r="F845" s="10"/>
      <c r="G845" s="32"/>
      <c r="H845" s="32"/>
      <c r="I845" s="32"/>
      <c r="J845" s="73"/>
      <c r="K845" s="32"/>
      <c r="L845" s="32"/>
      <c r="M845" s="32"/>
      <c r="N845" s="32"/>
      <c r="O845" s="2"/>
      <c r="P845" s="2"/>
      <c r="Q845" s="32"/>
      <c r="R845" s="32"/>
      <c r="S845" s="32"/>
      <c r="T845" s="3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10"/>
      <c r="F846" s="10"/>
      <c r="G846" s="32"/>
      <c r="H846" s="32"/>
      <c r="I846" s="32"/>
      <c r="J846" s="73"/>
      <c r="K846" s="32"/>
      <c r="L846" s="32"/>
      <c r="M846" s="32"/>
      <c r="N846" s="32"/>
      <c r="O846" s="2"/>
      <c r="P846" s="2"/>
      <c r="Q846" s="32"/>
      <c r="R846" s="32"/>
      <c r="S846" s="32"/>
      <c r="T846" s="3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10"/>
      <c r="F847" s="10"/>
      <c r="G847" s="32"/>
      <c r="H847" s="32"/>
      <c r="I847" s="32"/>
      <c r="J847" s="73"/>
      <c r="K847" s="32"/>
      <c r="L847" s="32"/>
      <c r="M847" s="32"/>
      <c r="N847" s="32"/>
      <c r="O847" s="2"/>
      <c r="P847" s="2"/>
      <c r="Q847" s="32"/>
      <c r="R847" s="32"/>
      <c r="S847" s="32"/>
      <c r="T847" s="3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10"/>
      <c r="F848" s="10"/>
      <c r="G848" s="32"/>
      <c r="H848" s="32"/>
      <c r="I848" s="32"/>
      <c r="J848" s="73"/>
      <c r="K848" s="32"/>
      <c r="L848" s="32"/>
      <c r="M848" s="32"/>
      <c r="N848" s="32"/>
      <c r="O848" s="2"/>
      <c r="P848" s="2"/>
      <c r="Q848" s="32"/>
      <c r="R848" s="32"/>
      <c r="S848" s="32"/>
      <c r="T848" s="3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10"/>
      <c r="F849" s="10"/>
      <c r="G849" s="32"/>
      <c r="H849" s="32"/>
      <c r="I849" s="32"/>
      <c r="J849" s="73"/>
      <c r="K849" s="32"/>
      <c r="L849" s="32"/>
      <c r="M849" s="32"/>
      <c r="N849" s="32"/>
      <c r="O849" s="2"/>
      <c r="P849" s="2"/>
      <c r="Q849" s="32"/>
      <c r="R849" s="32"/>
      <c r="S849" s="32"/>
      <c r="T849" s="3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10"/>
      <c r="F850" s="10"/>
      <c r="G850" s="32"/>
      <c r="H850" s="32"/>
      <c r="I850" s="32"/>
      <c r="J850" s="73"/>
      <c r="K850" s="32"/>
      <c r="L850" s="32"/>
      <c r="M850" s="32"/>
      <c r="N850" s="32"/>
      <c r="O850" s="2"/>
      <c r="P850" s="2"/>
      <c r="Q850" s="32"/>
      <c r="R850" s="32"/>
      <c r="S850" s="32"/>
      <c r="T850" s="3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10"/>
      <c r="F851" s="10"/>
      <c r="G851" s="32"/>
      <c r="H851" s="32"/>
      <c r="I851" s="32"/>
      <c r="J851" s="73"/>
      <c r="K851" s="32"/>
      <c r="L851" s="32"/>
      <c r="M851" s="32"/>
      <c r="N851" s="32"/>
      <c r="O851" s="2"/>
      <c r="P851" s="2"/>
      <c r="Q851" s="32"/>
      <c r="R851" s="32"/>
      <c r="S851" s="32"/>
      <c r="T851" s="3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10"/>
      <c r="F852" s="10"/>
      <c r="G852" s="32"/>
      <c r="H852" s="32"/>
      <c r="I852" s="32"/>
      <c r="J852" s="73"/>
      <c r="K852" s="32"/>
      <c r="L852" s="32"/>
      <c r="M852" s="32"/>
      <c r="N852" s="32"/>
      <c r="O852" s="2"/>
      <c r="P852" s="2"/>
      <c r="Q852" s="32"/>
      <c r="R852" s="32"/>
      <c r="S852" s="32"/>
      <c r="T852" s="3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10"/>
      <c r="F853" s="10"/>
      <c r="G853" s="32"/>
      <c r="H853" s="32"/>
      <c r="I853" s="32"/>
      <c r="J853" s="73"/>
      <c r="K853" s="32"/>
      <c r="L853" s="32"/>
      <c r="M853" s="32"/>
      <c r="N853" s="32"/>
      <c r="O853" s="2"/>
      <c r="P853" s="2"/>
      <c r="Q853" s="32"/>
      <c r="R853" s="32"/>
      <c r="S853" s="32"/>
      <c r="T853" s="3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10"/>
      <c r="F854" s="10"/>
      <c r="G854" s="32"/>
      <c r="H854" s="32"/>
      <c r="I854" s="32"/>
      <c r="J854" s="73"/>
      <c r="K854" s="32"/>
      <c r="L854" s="32"/>
      <c r="M854" s="32"/>
      <c r="N854" s="32"/>
      <c r="O854" s="2"/>
      <c r="P854" s="2"/>
      <c r="Q854" s="32"/>
      <c r="R854" s="32"/>
      <c r="S854" s="32"/>
      <c r="T854" s="3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10"/>
      <c r="F855" s="10"/>
      <c r="G855" s="32"/>
      <c r="H855" s="32"/>
      <c r="I855" s="32"/>
      <c r="J855" s="73"/>
      <c r="K855" s="32"/>
      <c r="L855" s="32"/>
      <c r="M855" s="32"/>
      <c r="N855" s="32"/>
      <c r="O855" s="2"/>
      <c r="P855" s="2"/>
      <c r="Q855" s="32"/>
      <c r="R855" s="32"/>
      <c r="S855" s="32"/>
      <c r="T855" s="3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10"/>
      <c r="F856" s="10"/>
      <c r="G856" s="32"/>
      <c r="H856" s="32"/>
      <c r="I856" s="32"/>
      <c r="J856" s="73"/>
      <c r="K856" s="32"/>
      <c r="L856" s="32"/>
      <c r="M856" s="32"/>
      <c r="N856" s="32"/>
      <c r="O856" s="2"/>
      <c r="P856" s="2"/>
      <c r="Q856" s="32"/>
      <c r="R856" s="32"/>
      <c r="S856" s="32"/>
      <c r="T856" s="3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10"/>
      <c r="F857" s="10"/>
      <c r="G857" s="32"/>
      <c r="H857" s="32"/>
      <c r="I857" s="32"/>
      <c r="J857" s="73"/>
      <c r="K857" s="32"/>
      <c r="L857" s="32"/>
      <c r="M857" s="32"/>
      <c r="N857" s="32"/>
      <c r="O857" s="2"/>
      <c r="P857" s="2"/>
      <c r="Q857" s="32"/>
      <c r="R857" s="32"/>
      <c r="S857" s="32"/>
      <c r="T857" s="3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10"/>
      <c r="F858" s="10"/>
      <c r="G858" s="32"/>
      <c r="H858" s="32"/>
      <c r="I858" s="32"/>
      <c r="J858" s="73"/>
      <c r="K858" s="32"/>
      <c r="L858" s="32"/>
      <c r="M858" s="32"/>
      <c r="N858" s="32"/>
      <c r="O858" s="2"/>
      <c r="P858" s="2"/>
      <c r="Q858" s="32"/>
      <c r="R858" s="32"/>
      <c r="S858" s="32"/>
      <c r="T858" s="3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10"/>
      <c r="F859" s="10"/>
      <c r="G859" s="32"/>
      <c r="H859" s="32"/>
      <c r="I859" s="32"/>
      <c r="J859" s="73"/>
      <c r="K859" s="32"/>
      <c r="L859" s="32"/>
      <c r="M859" s="32"/>
      <c r="N859" s="32"/>
      <c r="O859" s="2"/>
      <c r="P859" s="2"/>
      <c r="Q859" s="32"/>
      <c r="R859" s="32"/>
      <c r="S859" s="32"/>
      <c r="T859" s="3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10"/>
      <c r="F860" s="10"/>
      <c r="G860" s="32"/>
      <c r="H860" s="32"/>
      <c r="I860" s="32"/>
      <c r="J860" s="73"/>
      <c r="K860" s="32"/>
      <c r="L860" s="32"/>
      <c r="M860" s="32"/>
      <c r="N860" s="32"/>
      <c r="O860" s="2"/>
      <c r="P860" s="2"/>
      <c r="Q860" s="32"/>
      <c r="R860" s="32"/>
      <c r="S860" s="32"/>
      <c r="T860" s="3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10"/>
      <c r="F861" s="10"/>
      <c r="G861" s="32"/>
      <c r="H861" s="32"/>
      <c r="I861" s="32"/>
      <c r="J861" s="73"/>
      <c r="K861" s="32"/>
      <c r="L861" s="32"/>
      <c r="M861" s="32"/>
      <c r="N861" s="32"/>
      <c r="O861" s="2"/>
      <c r="P861" s="2"/>
      <c r="Q861" s="32"/>
      <c r="R861" s="32"/>
      <c r="S861" s="32"/>
      <c r="T861" s="3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10"/>
      <c r="F862" s="10"/>
      <c r="G862" s="32"/>
      <c r="H862" s="32"/>
      <c r="I862" s="32"/>
      <c r="J862" s="73"/>
      <c r="K862" s="32"/>
      <c r="L862" s="32"/>
      <c r="M862" s="32"/>
      <c r="N862" s="32"/>
      <c r="O862" s="2"/>
      <c r="P862" s="2"/>
      <c r="Q862" s="32"/>
      <c r="R862" s="32"/>
      <c r="S862" s="32"/>
      <c r="T862" s="3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10"/>
      <c r="F863" s="10"/>
      <c r="G863" s="32"/>
      <c r="H863" s="32"/>
      <c r="I863" s="32"/>
      <c r="J863" s="73"/>
      <c r="K863" s="32"/>
      <c r="L863" s="32"/>
      <c r="M863" s="32"/>
      <c r="N863" s="32"/>
      <c r="O863" s="2"/>
      <c r="P863" s="2"/>
      <c r="Q863" s="32"/>
      <c r="R863" s="32"/>
      <c r="S863" s="32"/>
      <c r="T863" s="3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10"/>
      <c r="F864" s="10"/>
      <c r="G864" s="32"/>
      <c r="H864" s="32"/>
      <c r="I864" s="32"/>
      <c r="J864" s="73"/>
      <c r="K864" s="32"/>
      <c r="L864" s="32"/>
      <c r="M864" s="32"/>
      <c r="N864" s="32"/>
      <c r="O864" s="2"/>
      <c r="P864" s="2"/>
      <c r="Q864" s="32"/>
      <c r="R864" s="32"/>
      <c r="S864" s="32"/>
      <c r="T864" s="3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10"/>
      <c r="F865" s="10"/>
      <c r="G865" s="32"/>
      <c r="H865" s="32"/>
      <c r="I865" s="32"/>
      <c r="J865" s="73"/>
      <c r="K865" s="32"/>
      <c r="L865" s="32"/>
      <c r="M865" s="32"/>
      <c r="N865" s="32"/>
      <c r="O865" s="2"/>
      <c r="P865" s="2"/>
      <c r="Q865" s="32"/>
      <c r="R865" s="32"/>
      <c r="S865" s="32"/>
      <c r="T865" s="3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10"/>
      <c r="F866" s="10"/>
      <c r="G866" s="32"/>
      <c r="H866" s="32"/>
      <c r="I866" s="32"/>
      <c r="J866" s="73"/>
      <c r="K866" s="32"/>
      <c r="L866" s="32"/>
      <c r="M866" s="32"/>
      <c r="N866" s="32"/>
      <c r="O866" s="2"/>
      <c r="P866" s="2"/>
      <c r="Q866" s="32"/>
      <c r="R866" s="32"/>
      <c r="S866" s="32"/>
      <c r="T866" s="3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10"/>
      <c r="F867" s="10"/>
      <c r="G867" s="32"/>
      <c r="H867" s="32"/>
      <c r="I867" s="32"/>
      <c r="J867" s="73"/>
      <c r="K867" s="32"/>
      <c r="L867" s="32"/>
      <c r="M867" s="32"/>
      <c r="N867" s="32"/>
      <c r="O867" s="2"/>
      <c r="P867" s="2"/>
      <c r="Q867" s="32"/>
      <c r="R867" s="32"/>
      <c r="S867" s="32"/>
      <c r="T867" s="3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10"/>
      <c r="F868" s="10"/>
      <c r="G868" s="32"/>
      <c r="H868" s="32"/>
      <c r="I868" s="32"/>
      <c r="J868" s="73"/>
      <c r="K868" s="32"/>
      <c r="L868" s="32"/>
      <c r="M868" s="32"/>
      <c r="N868" s="32"/>
      <c r="O868" s="2"/>
      <c r="P868" s="2"/>
      <c r="Q868" s="32"/>
      <c r="R868" s="32"/>
      <c r="S868" s="32"/>
      <c r="T868" s="3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10"/>
      <c r="F869" s="10"/>
      <c r="G869" s="32"/>
      <c r="H869" s="32"/>
      <c r="I869" s="32"/>
      <c r="J869" s="73"/>
      <c r="K869" s="32"/>
      <c r="L869" s="32"/>
      <c r="M869" s="32"/>
      <c r="N869" s="32"/>
      <c r="O869" s="2"/>
      <c r="P869" s="2"/>
      <c r="Q869" s="32"/>
      <c r="R869" s="32"/>
      <c r="S869" s="32"/>
      <c r="T869" s="3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10"/>
      <c r="F870" s="10"/>
      <c r="G870" s="32"/>
      <c r="H870" s="32"/>
      <c r="I870" s="32"/>
      <c r="J870" s="73"/>
      <c r="K870" s="32"/>
      <c r="L870" s="32"/>
      <c r="M870" s="32"/>
      <c r="N870" s="32"/>
      <c r="O870" s="2"/>
      <c r="P870" s="2"/>
      <c r="Q870" s="32"/>
      <c r="R870" s="32"/>
      <c r="S870" s="32"/>
      <c r="T870" s="3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10"/>
      <c r="F871" s="10"/>
      <c r="G871" s="32"/>
      <c r="H871" s="32"/>
      <c r="I871" s="32"/>
      <c r="J871" s="73"/>
      <c r="K871" s="32"/>
      <c r="L871" s="32"/>
      <c r="M871" s="32"/>
      <c r="N871" s="32"/>
      <c r="O871" s="2"/>
      <c r="P871" s="2"/>
      <c r="Q871" s="32"/>
      <c r="R871" s="32"/>
      <c r="S871" s="32"/>
      <c r="T871" s="3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10"/>
      <c r="F872" s="10"/>
      <c r="G872" s="32"/>
      <c r="H872" s="32"/>
      <c r="I872" s="32"/>
      <c r="J872" s="73"/>
      <c r="K872" s="32"/>
      <c r="L872" s="32"/>
      <c r="M872" s="32"/>
      <c r="N872" s="32"/>
      <c r="O872" s="2"/>
      <c r="P872" s="2"/>
      <c r="Q872" s="32"/>
      <c r="R872" s="32"/>
      <c r="S872" s="32"/>
      <c r="T872" s="3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10"/>
      <c r="F873" s="10"/>
      <c r="G873" s="32"/>
      <c r="H873" s="32"/>
      <c r="I873" s="32"/>
      <c r="J873" s="73"/>
      <c r="K873" s="32"/>
      <c r="L873" s="32"/>
      <c r="M873" s="32"/>
      <c r="N873" s="32"/>
      <c r="O873" s="2"/>
      <c r="P873" s="2"/>
      <c r="Q873" s="32"/>
      <c r="R873" s="32"/>
      <c r="S873" s="32"/>
      <c r="T873" s="3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10"/>
      <c r="F874" s="10"/>
      <c r="G874" s="32"/>
      <c r="H874" s="32"/>
      <c r="I874" s="32"/>
      <c r="J874" s="73"/>
      <c r="K874" s="32"/>
      <c r="L874" s="32"/>
      <c r="M874" s="32"/>
      <c r="N874" s="32"/>
      <c r="O874" s="2"/>
      <c r="P874" s="2"/>
      <c r="Q874" s="32"/>
      <c r="R874" s="32"/>
      <c r="S874" s="32"/>
      <c r="T874" s="3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10"/>
      <c r="F875" s="10"/>
      <c r="G875" s="32"/>
      <c r="H875" s="32"/>
      <c r="I875" s="32"/>
      <c r="J875" s="73"/>
      <c r="K875" s="32"/>
      <c r="L875" s="32"/>
      <c r="M875" s="32"/>
      <c r="N875" s="32"/>
      <c r="O875" s="2"/>
      <c r="P875" s="2"/>
      <c r="Q875" s="32"/>
      <c r="R875" s="32"/>
      <c r="S875" s="32"/>
      <c r="T875" s="3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10"/>
      <c r="F876" s="10"/>
      <c r="G876" s="32"/>
      <c r="H876" s="32"/>
      <c r="I876" s="32"/>
      <c r="J876" s="73"/>
      <c r="K876" s="32"/>
      <c r="L876" s="32"/>
      <c r="M876" s="32"/>
      <c r="N876" s="32"/>
      <c r="O876" s="2"/>
      <c r="P876" s="2"/>
      <c r="Q876" s="32"/>
      <c r="R876" s="32"/>
      <c r="S876" s="32"/>
      <c r="T876" s="3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10"/>
      <c r="F877" s="10"/>
      <c r="G877" s="32"/>
      <c r="H877" s="32"/>
      <c r="I877" s="32"/>
      <c r="J877" s="73"/>
      <c r="K877" s="32"/>
      <c r="L877" s="32"/>
      <c r="M877" s="32"/>
      <c r="N877" s="32"/>
      <c r="O877" s="2"/>
      <c r="P877" s="2"/>
      <c r="Q877" s="32"/>
      <c r="R877" s="32"/>
      <c r="S877" s="32"/>
      <c r="T877" s="3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10"/>
      <c r="F878" s="10"/>
      <c r="G878" s="32"/>
      <c r="H878" s="32"/>
      <c r="I878" s="32"/>
      <c r="J878" s="73"/>
      <c r="K878" s="32"/>
      <c r="L878" s="32"/>
      <c r="M878" s="32"/>
      <c r="N878" s="32"/>
      <c r="O878" s="2"/>
      <c r="P878" s="2"/>
      <c r="Q878" s="32"/>
      <c r="R878" s="32"/>
      <c r="S878" s="32"/>
      <c r="T878" s="3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10"/>
      <c r="F879" s="10"/>
      <c r="G879" s="32"/>
      <c r="H879" s="32"/>
      <c r="I879" s="32"/>
      <c r="J879" s="73"/>
      <c r="K879" s="32"/>
      <c r="L879" s="32"/>
      <c r="M879" s="32"/>
      <c r="N879" s="32"/>
      <c r="O879" s="2"/>
      <c r="P879" s="2"/>
      <c r="Q879" s="32"/>
      <c r="R879" s="32"/>
      <c r="S879" s="32"/>
      <c r="T879" s="3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10"/>
      <c r="F880" s="10"/>
      <c r="G880" s="32"/>
      <c r="H880" s="32"/>
      <c r="I880" s="32"/>
      <c r="J880" s="73"/>
      <c r="K880" s="32"/>
      <c r="L880" s="32"/>
      <c r="M880" s="32"/>
      <c r="N880" s="32"/>
      <c r="O880" s="2"/>
      <c r="P880" s="2"/>
      <c r="Q880" s="32"/>
      <c r="R880" s="32"/>
      <c r="S880" s="32"/>
      <c r="T880" s="3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10"/>
      <c r="F881" s="10"/>
      <c r="G881" s="32"/>
      <c r="H881" s="32"/>
      <c r="I881" s="32"/>
      <c r="J881" s="73"/>
      <c r="K881" s="32"/>
      <c r="L881" s="32"/>
      <c r="M881" s="32"/>
      <c r="N881" s="32"/>
      <c r="O881" s="2"/>
      <c r="P881" s="2"/>
      <c r="Q881" s="32"/>
      <c r="R881" s="32"/>
      <c r="S881" s="32"/>
      <c r="T881" s="3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10"/>
      <c r="F882" s="10"/>
      <c r="G882" s="32"/>
      <c r="H882" s="32"/>
      <c r="I882" s="32"/>
      <c r="J882" s="73"/>
      <c r="K882" s="32"/>
      <c r="L882" s="32"/>
      <c r="M882" s="32"/>
      <c r="N882" s="32"/>
      <c r="O882" s="2"/>
      <c r="P882" s="2"/>
      <c r="Q882" s="32"/>
      <c r="R882" s="32"/>
      <c r="S882" s="32"/>
      <c r="T882" s="3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10"/>
      <c r="F883" s="10"/>
      <c r="G883" s="32"/>
      <c r="H883" s="32"/>
      <c r="I883" s="32"/>
      <c r="J883" s="73"/>
      <c r="K883" s="32"/>
      <c r="L883" s="32"/>
      <c r="M883" s="32"/>
      <c r="N883" s="32"/>
      <c r="O883" s="2"/>
      <c r="P883" s="2"/>
      <c r="Q883" s="32"/>
      <c r="R883" s="32"/>
      <c r="S883" s="32"/>
      <c r="T883" s="3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10"/>
      <c r="F884" s="10"/>
      <c r="G884" s="32"/>
      <c r="H884" s="32"/>
      <c r="I884" s="32"/>
      <c r="J884" s="73"/>
      <c r="K884" s="32"/>
      <c r="L884" s="32"/>
      <c r="M884" s="32"/>
      <c r="N884" s="32"/>
      <c r="O884" s="2"/>
      <c r="P884" s="2"/>
      <c r="Q884" s="32"/>
      <c r="R884" s="32"/>
      <c r="S884" s="32"/>
      <c r="T884" s="3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10"/>
      <c r="F885" s="10"/>
      <c r="G885" s="32"/>
      <c r="H885" s="32"/>
      <c r="I885" s="32"/>
      <c r="J885" s="73"/>
      <c r="K885" s="32"/>
      <c r="L885" s="32"/>
      <c r="M885" s="32"/>
      <c r="N885" s="32"/>
      <c r="O885" s="2"/>
      <c r="P885" s="2"/>
      <c r="Q885" s="32"/>
      <c r="R885" s="32"/>
      <c r="S885" s="32"/>
      <c r="T885" s="3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10"/>
      <c r="F886" s="10"/>
      <c r="G886" s="32"/>
      <c r="H886" s="32"/>
      <c r="I886" s="32"/>
      <c r="J886" s="73"/>
      <c r="K886" s="32"/>
      <c r="L886" s="32"/>
      <c r="M886" s="32"/>
      <c r="N886" s="32"/>
      <c r="O886" s="2"/>
      <c r="P886" s="2"/>
      <c r="Q886" s="32"/>
      <c r="R886" s="32"/>
      <c r="S886" s="32"/>
      <c r="T886" s="3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10"/>
      <c r="F887" s="10"/>
      <c r="G887" s="32"/>
      <c r="H887" s="32"/>
      <c r="I887" s="32"/>
      <c r="J887" s="73"/>
      <c r="K887" s="32"/>
      <c r="L887" s="32"/>
      <c r="M887" s="32"/>
      <c r="N887" s="32"/>
      <c r="O887" s="2"/>
      <c r="P887" s="2"/>
      <c r="Q887" s="32"/>
      <c r="R887" s="32"/>
      <c r="S887" s="32"/>
      <c r="T887" s="3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10"/>
      <c r="F888" s="10"/>
      <c r="G888" s="32"/>
      <c r="H888" s="32"/>
      <c r="I888" s="32"/>
      <c r="J888" s="73"/>
      <c r="K888" s="32"/>
      <c r="L888" s="32"/>
      <c r="M888" s="32"/>
      <c r="N888" s="32"/>
      <c r="O888" s="2"/>
      <c r="P888" s="2"/>
      <c r="Q888" s="32"/>
      <c r="R888" s="32"/>
      <c r="S888" s="32"/>
      <c r="T888" s="3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10"/>
      <c r="F889" s="10"/>
      <c r="G889" s="32"/>
      <c r="H889" s="32"/>
      <c r="I889" s="32"/>
      <c r="J889" s="73"/>
      <c r="K889" s="32"/>
      <c r="L889" s="32"/>
      <c r="M889" s="32"/>
      <c r="N889" s="32"/>
      <c r="O889" s="2"/>
      <c r="P889" s="2"/>
      <c r="Q889" s="32"/>
      <c r="R889" s="32"/>
      <c r="S889" s="32"/>
      <c r="T889" s="3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10"/>
      <c r="F890" s="10"/>
      <c r="G890" s="32"/>
      <c r="H890" s="32"/>
      <c r="I890" s="32"/>
      <c r="J890" s="73"/>
      <c r="K890" s="32"/>
      <c r="L890" s="32"/>
      <c r="M890" s="32"/>
      <c r="N890" s="32"/>
      <c r="O890" s="2"/>
      <c r="P890" s="2"/>
      <c r="Q890" s="32"/>
      <c r="R890" s="32"/>
      <c r="S890" s="32"/>
      <c r="T890" s="3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10"/>
      <c r="F891" s="10"/>
      <c r="G891" s="32"/>
      <c r="H891" s="32"/>
      <c r="I891" s="32"/>
      <c r="J891" s="73"/>
      <c r="K891" s="32"/>
      <c r="L891" s="32"/>
      <c r="M891" s="32"/>
      <c r="N891" s="32"/>
      <c r="O891" s="2"/>
      <c r="P891" s="2"/>
      <c r="Q891" s="32"/>
      <c r="R891" s="32"/>
      <c r="S891" s="32"/>
      <c r="T891" s="3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10"/>
      <c r="F892" s="10"/>
      <c r="G892" s="32"/>
      <c r="H892" s="32"/>
      <c r="I892" s="32"/>
      <c r="J892" s="73"/>
      <c r="K892" s="32"/>
      <c r="L892" s="32"/>
      <c r="M892" s="32"/>
      <c r="N892" s="32"/>
      <c r="O892" s="2"/>
      <c r="P892" s="2"/>
      <c r="Q892" s="32"/>
      <c r="R892" s="32"/>
      <c r="S892" s="32"/>
      <c r="T892" s="3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10"/>
      <c r="F893" s="10"/>
      <c r="G893" s="32"/>
      <c r="H893" s="32"/>
      <c r="I893" s="32"/>
      <c r="J893" s="73"/>
      <c r="K893" s="32"/>
      <c r="L893" s="32"/>
      <c r="M893" s="32"/>
      <c r="N893" s="32"/>
      <c r="O893" s="2"/>
      <c r="P893" s="2"/>
      <c r="Q893" s="32"/>
      <c r="R893" s="32"/>
      <c r="S893" s="32"/>
      <c r="T893" s="3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10"/>
      <c r="F894" s="10"/>
      <c r="G894" s="32"/>
      <c r="H894" s="32"/>
      <c r="I894" s="32"/>
      <c r="J894" s="73"/>
      <c r="K894" s="32"/>
      <c r="L894" s="32"/>
      <c r="M894" s="32"/>
      <c r="N894" s="32"/>
      <c r="O894" s="2"/>
      <c r="P894" s="2"/>
      <c r="Q894" s="32"/>
      <c r="R894" s="32"/>
      <c r="S894" s="32"/>
      <c r="T894" s="3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10"/>
      <c r="F895" s="10"/>
      <c r="G895" s="32"/>
      <c r="H895" s="32"/>
      <c r="I895" s="32"/>
      <c r="J895" s="73"/>
      <c r="K895" s="32"/>
      <c r="L895" s="32"/>
      <c r="M895" s="32"/>
      <c r="N895" s="32"/>
      <c r="O895" s="2"/>
      <c r="P895" s="2"/>
      <c r="Q895" s="32"/>
      <c r="R895" s="32"/>
      <c r="S895" s="32"/>
      <c r="T895" s="3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10"/>
      <c r="F896" s="10"/>
      <c r="G896" s="32"/>
      <c r="H896" s="32"/>
      <c r="I896" s="32"/>
      <c r="J896" s="73"/>
      <c r="K896" s="32"/>
      <c r="L896" s="32"/>
      <c r="M896" s="32"/>
      <c r="N896" s="32"/>
      <c r="O896" s="2"/>
      <c r="P896" s="2"/>
      <c r="Q896" s="32"/>
      <c r="R896" s="32"/>
      <c r="S896" s="32"/>
      <c r="T896" s="3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10"/>
      <c r="F897" s="10"/>
      <c r="G897" s="32"/>
      <c r="H897" s="32"/>
      <c r="I897" s="32"/>
      <c r="J897" s="73"/>
      <c r="K897" s="32"/>
      <c r="L897" s="32"/>
      <c r="M897" s="32"/>
      <c r="N897" s="32"/>
      <c r="O897" s="2"/>
      <c r="P897" s="2"/>
      <c r="Q897" s="32"/>
      <c r="R897" s="32"/>
      <c r="S897" s="32"/>
      <c r="T897" s="3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10"/>
      <c r="F898" s="10"/>
      <c r="G898" s="32"/>
      <c r="H898" s="32"/>
      <c r="I898" s="32"/>
      <c r="J898" s="73"/>
      <c r="K898" s="32"/>
      <c r="L898" s="32"/>
      <c r="M898" s="32"/>
      <c r="N898" s="32"/>
      <c r="O898" s="2"/>
      <c r="P898" s="2"/>
      <c r="Q898" s="32"/>
      <c r="R898" s="32"/>
      <c r="S898" s="32"/>
      <c r="T898" s="3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10"/>
      <c r="F899" s="10"/>
      <c r="G899" s="32"/>
      <c r="H899" s="32"/>
      <c r="I899" s="32"/>
      <c r="J899" s="73"/>
      <c r="K899" s="32"/>
      <c r="L899" s="32"/>
      <c r="M899" s="32"/>
      <c r="N899" s="32"/>
      <c r="O899" s="2"/>
      <c r="P899" s="2"/>
      <c r="Q899" s="32"/>
      <c r="R899" s="32"/>
      <c r="S899" s="32"/>
      <c r="T899" s="3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10"/>
      <c r="F900" s="10"/>
      <c r="G900" s="32"/>
      <c r="H900" s="32"/>
      <c r="I900" s="32"/>
      <c r="J900" s="73"/>
      <c r="K900" s="32"/>
      <c r="L900" s="32"/>
      <c r="M900" s="32"/>
      <c r="N900" s="32"/>
      <c r="O900" s="2"/>
      <c r="P900" s="2"/>
      <c r="Q900" s="32"/>
      <c r="R900" s="32"/>
      <c r="S900" s="32"/>
      <c r="T900" s="3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10"/>
      <c r="F901" s="10"/>
      <c r="G901" s="32"/>
      <c r="H901" s="32"/>
      <c r="I901" s="32"/>
      <c r="J901" s="73"/>
      <c r="K901" s="32"/>
      <c r="L901" s="32"/>
      <c r="M901" s="32"/>
      <c r="N901" s="32"/>
      <c r="O901" s="2"/>
      <c r="P901" s="2"/>
      <c r="Q901" s="32"/>
      <c r="R901" s="32"/>
      <c r="S901" s="32"/>
      <c r="T901" s="3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10"/>
      <c r="F902" s="10"/>
      <c r="G902" s="32"/>
      <c r="H902" s="32"/>
      <c r="I902" s="32"/>
      <c r="J902" s="73"/>
      <c r="K902" s="32"/>
      <c r="L902" s="32"/>
      <c r="M902" s="32"/>
      <c r="N902" s="32"/>
      <c r="O902" s="2"/>
      <c r="P902" s="2"/>
      <c r="Q902" s="32"/>
      <c r="R902" s="32"/>
      <c r="S902" s="32"/>
      <c r="T902" s="3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10"/>
      <c r="F903" s="10"/>
      <c r="G903" s="32"/>
      <c r="H903" s="32"/>
      <c r="I903" s="32"/>
      <c r="J903" s="73"/>
      <c r="K903" s="32"/>
      <c r="L903" s="32"/>
      <c r="M903" s="32"/>
      <c r="N903" s="32"/>
      <c r="O903" s="2"/>
      <c r="P903" s="2"/>
      <c r="Q903" s="32"/>
      <c r="R903" s="32"/>
      <c r="S903" s="32"/>
      <c r="T903" s="3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10"/>
      <c r="F904" s="10"/>
      <c r="G904" s="32"/>
      <c r="H904" s="32"/>
      <c r="I904" s="32"/>
      <c r="J904" s="73"/>
      <c r="K904" s="32"/>
      <c r="L904" s="32"/>
      <c r="M904" s="32"/>
      <c r="N904" s="32"/>
      <c r="O904" s="2"/>
      <c r="P904" s="2"/>
      <c r="Q904" s="32"/>
      <c r="R904" s="32"/>
      <c r="S904" s="32"/>
      <c r="T904" s="3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10"/>
      <c r="F905" s="10"/>
      <c r="G905" s="32"/>
      <c r="H905" s="32"/>
      <c r="I905" s="32"/>
      <c r="J905" s="73"/>
      <c r="K905" s="32"/>
      <c r="L905" s="32"/>
      <c r="M905" s="32"/>
      <c r="N905" s="32"/>
      <c r="O905" s="2"/>
      <c r="P905" s="2"/>
      <c r="Q905" s="32"/>
      <c r="R905" s="32"/>
      <c r="S905" s="32"/>
      <c r="T905" s="3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10"/>
      <c r="F906" s="10"/>
      <c r="G906" s="32"/>
      <c r="H906" s="32"/>
      <c r="I906" s="32"/>
      <c r="J906" s="73"/>
      <c r="K906" s="32"/>
      <c r="L906" s="32"/>
      <c r="M906" s="32"/>
      <c r="N906" s="32"/>
      <c r="O906" s="2"/>
      <c r="P906" s="2"/>
      <c r="Q906" s="32"/>
      <c r="R906" s="32"/>
      <c r="S906" s="32"/>
      <c r="T906" s="3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10"/>
      <c r="F907" s="10"/>
      <c r="G907" s="32"/>
      <c r="H907" s="32"/>
      <c r="I907" s="32"/>
      <c r="J907" s="73"/>
      <c r="K907" s="32"/>
      <c r="L907" s="32"/>
      <c r="M907" s="32"/>
      <c r="N907" s="32"/>
      <c r="O907" s="2"/>
      <c r="P907" s="2"/>
      <c r="Q907" s="32"/>
      <c r="R907" s="32"/>
      <c r="S907" s="32"/>
      <c r="T907" s="3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10"/>
      <c r="F908" s="10"/>
      <c r="G908" s="32"/>
      <c r="H908" s="32"/>
      <c r="I908" s="32"/>
      <c r="J908" s="73"/>
      <c r="K908" s="32"/>
      <c r="L908" s="32"/>
      <c r="M908" s="32"/>
      <c r="N908" s="32"/>
      <c r="O908" s="2"/>
      <c r="P908" s="2"/>
      <c r="Q908" s="32"/>
      <c r="R908" s="32"/>
      <c r="S908" s="32"/>
      <c r="T908" s="3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10"/>
      <c r="F909" s="10"/>
      <c r="G909" s="32"/>
      <c r="H909" s="32"/>
      <c r="I909" s="32"/>
      <c r="J909" s="73"/>
      <c r="K909" s="32"/>
      <c r="L909" s="32"/>
      <c r="M909" s="32"/>
      <c r="N909" s="32"/>
      <c r="O909" s="2"/>
      <c r="P909" s="2"/>
      <c r="Q909" s="32"/>
      <c r="R909" s="32"/>
      <c r="S909" s="32"/>
      <c r="T909" s="3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10"/>
      <c r="F910" s="10"/>
      <c r="G910" s="32"/>
      <c r="H910" s="32"/>
      <c r="I910" s="32"/>
      <c r="J910" s="73"/>
      <c r="K910" s="32"/>
      <c r="L910" s="32"/>
      <c r="M910" s="32"/>
      <c r="N910" s="32"/>
      <c r="O910" s="2"/>
      <c r="P910" s="2"/>
      <c r="Q910" s="32"/>
      <c r="R910" s="32"/>
      <c r="S910" s="32"/>
      <c r="T910" s="3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10"/>
      <c r="F911" s="10"/>
      <c r="G911" s="32"/>
      <c r="H911" s="32"/>
      <c r="I911" s="32"/>
      <c r="J911" s="73"/>
      <c r="K911" s="32"/>
      <c r="L911" s="32"/>
      <c r="M911" s="32"/>
      <c r="N911" s="32"/>
      <c r="O911" s="2"/>
      <c r="P911" s="2"/>
      <c r="Q911" s="32"/>
      <c r="R911" s="32"/>
      <c r="S911" s="32"/>
      <c r="T911" s="3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10"/>
      <c r="F912" s="10"/>
      <c r="G912" s="32"/>
      <c r="H912" s="32"/>
      <c r="I912" s="32"/>
      <c r="J912" s="73"/>
      <c r="K912" s="32"/>
      <c r="L912" s="32"/>
      <c r="M912" s="32"/>
      <c r="N912" s="32"/>
      <c r="O912" s="2"/>
      <c r="P912" s="2"/>
      <c r="Q912" s="32"/>
      <c r="R912" s="32"/>
      <c r="S912" s="32"/>
      <c r="T912" s="3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10"/>
      <c r="F913" s="10"/>
      <c r="G913" s="32"/>
      <c r="H913" s="32"/>
      <c r="I913" s="32"/>
      <c r="J913" s="73"/>
      <c r="K913" s="32"/>
      <c r="L913" s="32"/>
      <c r="M913" s="32"/>
      <c r="N913" s="32"/>
      <c r="O913" s="2"/>
      <c r="P913" s="2"/>
      <c r="Q913" s="32"/>
      <c r="R913" s="32"/>
      <c r="S913" s="32"/>
      <c r="T913" s="3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10"/>
      <c r="F914" s="10"/>
      <c r="G914" s="32"/>
      <c r="H914" s="32"/>
      <c r="I914" s="32"/>
      <c r="J914" s="73"/>
      <c r="K914" s="32"/>
      <c r="L914" s="32"/>
      <c r="M914" s="32"/>
      <c r="N914" s="32"/>
      <c r="O914" s="2"/>
      <c r="P914" s="2"/>
      <c r="Q914" s="32"/>
      <c r="R914" s="32"/>
      <c r="S914" s="32"/>
      <c r="T914" s="3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10"/>
      <c r="F915" s="10"/>
      <c r="G915" s="32"/>
      <c r="H915" s="32"/>
      <c r="I915" s="32"/>
      <c r="J915" s="73"/>
      <c r="K915" s="32"/>
      <c r="L915" s="32"/>
      <c r="M915" s="32"/>
      <c r="N915" s="32"/>
      <c r="O915" s="2"/>
      <c r="P915" s="2"/>
      <c r="Q915" s="32"/>
      <c r="R915" s="32"/>
      <c r="S915" s="32"/>
      <c r="T915" s="3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10"/>
      <c r="F916" s="10"/>
      <c r="G916" s="32"/>
      <c r="H916" s="32"/>
      <c r="I916" s="32"/>
      <c r="J916" s="73"/>
      <c r="K916" s="32"/>
      <c r="L916" s="32"/>
      <c r="M916" s="32"/>
      <c r="N916" s="32"/>
      <c r="O916" s="2"/>
      <c r="P916" s="2"/>
      <c r="Q916" s="32"/>
      <c r="R916" s="32"/>
      <c r="S916" s="32"/>
      <c r="T916" s="3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10"/>
      <c r="F917" s="10"/>
      <c r="G917" s="32"/>
      <c r="H917" s="32"/>
      <c r="I917" s="32"/>
      <c r="J917" s="73"/>
      <c r="K917" s="32"/>
      <c r="L917" s="32"/>
      <c r="M917" s="32"/>
      <c r="N917" s="32"/>
      <c r="O917" s="2"/>
      <c r="P917" s="2"/>
      <c r="Q917" s="32"/>
      <c r="R917" s="32"/>
      <c r="S917" s="32"/>
      <c r="T917" s="3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10"/>
      <c r="F918" s="10"/>
      <c r="G918" s="32"/>
      <c r="H918" s="32"/>
      <c r="I918" s="32"/>
      <c r="J918" s="73"/>
      <c r="K918" s="32"/>
      <c r="L918" s="32"/>
      <c r="M918" s="32"/>
      <c r="N918" s="32"/>
      <c r="O918" s="2"/>
      <c r="P918" s="2"/>
      <c r="Q918" s="32"/>
      <c r="R918" s="32"/>
      <c r="S918" s="32"/>
      <c r="T918" s="3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10"/>
      <c r="F919" s="10"/>
      <c r="G919" s="32"/>
      <c r="H919" s="32"/>
      <c r="I919" s="32"/>
      <c r="J919" s="73"/>
      <c r="K919" s="32"/>
      <c r="L919" s="32"/>
      <c r="M919" s="32"/>
      <c r="N919" s="32"/>
      <c r="O919" s="2"/>
      <c r="P919" s="2"/>
      <c r="Q919" s="32"/>
      <c r="R919" s="32"/>
      <c r="S919" s="32"/>
      <c r="T919" s="3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10"/>
      <c r="F920" s="10"/>
      <c r="G920" s="32"/>
      <c r="H920" s="32"/>
      <c r="I920" s="32"/>
      <c r="J920" s="73"/>
      <c r="K920" s="32"/>
      <c r="L920" s="32"/>
      <c r="M920" s="32"/>
      <c r="N920" s="32"/>
      <c r="O920" s="2"/>
      <c r="P920" s="2"/>
      <c r="Q920" s="32"/>
      <c r="R920" s="32"/>
      <c r="S920" s="32"/>
      <c r="T920" s="3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10"/>
      <c r="F921" s="10"/>
      <c r="G921" s="32"/>
      <c r="H921" s="32"/>
      <c r="I921" s="32"/>
      <c r="J921" s="73"/>
      <c r="K921" s="32"/>
      <c r="L921" s="32"/>
      <c r="M921" s="32"/>
      <c r="N921" s="32"/>
      <c r="O921" s="2"/>
      <c r="P921" s="2"/>
      <c r="Q921" s="32"/>
      <c r="R921" s="32"/>
      <c r="S921" s="32"/>
      <c r="T921" s="3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10"/>
      <c r="F922" s="10"/>
      <c r="G922" s="32"/>
      <c r="H922" s="32"/>
      <c r="I922" s="32"/>
      <c r="J922" s="73"/>
      <c r="K922" s="32"/>
      <c r="L922" s="32"/>
      <c r="M922" s="32"/>
      <c r="N922" s="32"/>
      <c r="O922" s="2"/>
      <c r="P922" s="2"/>
      <c r="Q922" s="32"/>
      <c r="R922" s="32"/>
      <c r="S922" s="32"/>
      <c r="T922" s="3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10"/>
      <c r="F923" s="10"/>
      <c r="G923" s="32"/>
      <c r="H923" s="32"/>
      <c r="I923" s="32"/>
      <c r="J923" s="73"/>
      <c r="K923" s="32"/>
      <c r="L923" s="32"/>
      <c r="M923" s="32"/>
      <c r="N923" s="32"/>
      <c r="O923" s="2"/>
      <c r="P923" s="2"/>
      <c r="Q923" s="32"/>
      <c r="R923" s="32"/>
      <c r="S923" s="32"/>
      <c r="T923" s="3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10"/>
      <c r="F924" s="10"/>
      <c r="G924" s="32"/>
      <c r="H924" s="32"/>
      <c r="I924" s="32"/>
      <c r="J924" s="73"/>
      <c r="K924" s="32"/>
      <c r="L924" s="32"/>
      <c r="M924" s="32"/>
      <c r="N924" s="32"/>
      <c r="O924" s="2"/>
      <c r="P924" s="2"/>
      <c r="Q924" s="32"/>
      <c r="R924" s="32"/>
      <c r="S924" s="32"/>
      <c r="T924" s="3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10"/>
      <c r="F925" s="10"/>
      <c r="G925" s="32"/>
      <c r="H925" s="32"/>
      <c r="I925" s="32"/>
      <c r="J925" s="73"/>
      <c r="K925" s="32"/>
      <c r="L925" s="32"/>
      <c r="M925" s="32"/>
      <c r="N925" s="32"/>
      <c r="O925" s="2"/>
      <c r="P925" s="2"/>
      <c r="Q925" s="32"/>
      <c r="R925" s="32"/>
      <c r="S925" s="32"/>
      <c r="T925" s="3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10"/>
      <c r="F926" s="10"/>
      <c r="G926" s="32"/>
      <c r="H926" s="32"/>
      <c r="I926" s="32"/>
      <c r="J926" s="73"/>
      <c r="K926" s="32"/>
      <c r="L926" s="32"/>
      <c r="M926" s="32"/>
      <c r="N926" s="32"/>
      <c r="O926" s="2"/>
      <c r="P926" s="2"/>
      <c r="Q926" s="32"/>
      <c r="R926" s="32"/>
      <c r="S926" s="32"/>
      <c r="T926" s="3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10"/>
      <c r="F927" s="10"/>
      <c r="G927" s="32"/>
      <c r="H927" s="32"/>
      <c r="I927" s="32"/>
      <c r="J927" s="73"/>
      <c r="K927" s="32"/>
      <c r="L927" s="32"/>
      <c r="M927" s="32"/>
      <c r="N927" s="32"/>
      <c r="O927" s="2"/>
      <c r="P927" s="2"/>
      <c r="Q927" s="32"/>
      <c r="R927" s="32"/>
      <c r="S927" s="32"/>
      <c r="T927" s="3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10"/>
      <c r="F928" s="10"/>
      <c r="G928" s="32"/>
      <c r="H928" s="32"/>
      <c r="I928" s="32"/>
      <c r="J928" s="73"/>
      <c r="K928" s="32"/>
      <c r="L928" s="32"/>
      <c r="M928" s="32"/>
      <c r="N928" s="32"/>
      <c r="O928" s="2"/>
      <c r="P928" s="2"/>
      <c r="Q928" s="32"/>
      <c r="R928" s="32"/>
      <c r="S928" s="32"/>
      <c r="T928" s="3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10"/>
      <c r="F929" s="10"/>
      <c r="G929" s="32"/>
      <c r="H929" s="32"/>
      <c r="I929" s="32"/>
      <c r="J929" s="73"/>
      <c r="K929" s="32"/>
      <c r="L929" s="32"/>
      <c r="M929" s="32"/>
      <c r="N929" s="32"/>
      <c r="O929" s="2"/>
      <c r="P929" s="2"/>
      <c r="Q929" s="32"/>
      <c r="R929" s="32"/>
      <c r="S929" s="32"/>
      <c r="T929" s="3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10"/>
      <c r="F930" s="10"/>
      <c r="G930" s="32"/>
      <c r="H930" s="32"/>
      <c r="I930" s="32"/>
      <c r="J930" s="73"/>
      <c r="K930" s="32"/>
      <c r="L930" s="32"/>
      <c r="M930" s="32"/>
      <c r="N930" s="32"/>
      <c r="O930" s="2"/>
      <c r="P930" s="2"/>
      <c r="Q930" s="32"/>
      <c r="R930" s="32"/>
      <c r="S930" s="32"/>
      <c r="T930" s="3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10"/>
      <c r="F931" s="10"/>
      <c r="G931" s="32"/>
      <c r="H931" s="32"/>
      <c r="I931" s="32"/>
      <c r="J931" s="73"/>
      <c r="K931" s="32"/>
      <c r="L931" s="32"/>
      <c r="M931" s="32"/>
      <c r="N931" s="32"/>
      <c r="O931" s="2"/>
      <c r="P931" s="2"/>
      <c r="Q931" s="32"/>
      <c r="R931" s="32"/>
      <c r="S931" s="32"/>
      <c r="T931" s="3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10"/>
      <c r="F932" s="10"/>
      <c r="G932" s="32"/>
      <c r="H932" s="32"/>
      <c r="I932" s="32"/>
      <c r="J932" s="73"/>
      <c r="K932" s="32"/>
      <c r="L932" s="32"/>
      <c r="M932" s="32"/>
      <c r="N932" s="32"/>
      <c r="O932" s="2"/>
      <c r="P932" s="2"/>
      <c r="Q932" s="32"/>
      <c r="R932" s="32"/>
      <c r="S932" s="32"/>
      <c r="T932" s="3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10"/>
      <c r="F933" s="10"/>
      <c r="G933" s="32"/>
      <c r="H933" s="32"/>
      <c r="I933" s="32"/>
      <c r="J933" s="73"/>
      <c r="K933" s="32"/>
      <c r="L933" s="32"/>
      <c r="M933" s="32"/>
      <c r="N933" s="32"/>
      <c r="O933" s="2"/>
      <c r="P933" s="2"/>
      <c r="Q933" s="32"/>
      <c r="R933" s="32"/>
      <c r="S933" s="32"/>
      <c r="T933" s="3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10"/>
      <c r="F934" s="10"/>
      <c r="G934" s="32"/>
      <c r="H934" s="32"/>
      <c r="I934" s="32"/>
      <c r="J934" s="73"/>
      <c r="K934" s="32"/>
      <c r="L934" s="32"/>
      <c r="M934" s="32"/>
      <c r="N934" s="32"/>
      <c r="O934" s="2"/>
      <c r="P934" s="2"/>
      <c r="Q934" s="32"/>
      <c r="R934" s="32"/>
      <c r="S934" s="32"/>
      <c r="T934" s="3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10"/>
      <c r="F935" s="10"/>
      <c r="G935" s="32"/>
      <c r="H935" s="32"/>
      <c r="I935" s="32"/>
      <c r="J935" s="73"/>
      <c r="K935" s="32"/>
      <c r="L935" s="32"/>
      <c r="M935" s="32"/>
      <c r="N935" s="32"/>
      <c r="O935" s="2"/>
      <c r="P935" s="2"/>
      <c r="Q935" s="32"/>
      <c r="R935" s="32"/>
      <c r="S935" s="32"/>
      <c r="T935" s="3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10"/>
      <c r="F936" s="10"/>
      <c r="G936" s="32"/>
      <c r="H936" s="32"/>
      <c r="I936" s="32"/>
      <c r="J936" s="73"/>
      <c r="K936" s="32"/>
      <c r="L936" s="32"/>
      <c r="M936" s="32"/>
      <c r="N936" s="32"/>
      <c r="O936" s="2"/>
      <c r="P936" s="2"/>
      <c r="Q936" s="32"/>
      <c r="R936" s="32"/>
      <c r="S936" s="32"/>
      <c r="T936" s="3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10"/>
      <c r="F937" s="10"/>
      <c r="G937" s="32"/>
      <c r="H937" s="32"/>
      <c r="I937" s="32"/>
      <c r="J937" s="73"/>
      <c r="K937" s="32"/>
      <c r="L937" s="32"/>
      <c r="M937" s="32"/>
      <c r="N937" s="32"/>
      <c r="O937" s="2"/>
      <c r="P937" s="2"/>
      <c r="Q937" s="32"/>
      <c r="R937" s="32"/>
      <c r="S937" s="32"/>
      <c r="T937" s="3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10"/>
      <c r="F938" s="10"/>
      <c r="G938" s="32"/>
      <c r="H938" s="32"/>
      <c r="I938" s="32"/>
      <c r="J938" s="73"/>
      <c r="K938" s="32"/>
      <c r="L938" s="32"/>
      <c r="M938" s="32"/>
      <c r="N938" s="32"/>
      <c r="O938" s="2"/>
      <c r="P938" s="2"/>
      <c r="Q938" s="32"/>
      <c r="R938" s="32"/>
      <c r="S938" s="32"/>
      <c r="T938" s="3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10"/>
      <c r="F939" s="10"/>
      <c r="G939" s="32"/>
      <c r="H939" s="32"/>
      <c r="I939" s="32"/>
      <c r="J939" s="73"/>
      <c r="K939" s="32"/>
      <c r="L939" s="32"/>
      <c r="M939" s="32"/>
      <c r="N939" s="32"/>
      <c r="O939" s="2"/>
      <c r="P939" s="2"/>
      <c r="Q939" s="32"/>
      <c r="R939" s="32"/>
      <c r="S939" s="32"/>
      <c r="T939" s="3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10"/>
      <c r="F940" s="10"/>
      <c r="G940" s="32"/>
      <c r="H940" s="32"/>
      <c r="I940" s="32"/>
      <c r="J940" s="73"/>
      <c r="K940" s="32"/>
      <c r="L940" s="32"/>
      <c r="M940" s="32"/>
      <c r="N940" s="32"/>
      <c r="O940" s="2"/>
      <c r="P940" s="2"/>
      <c r="Q940" s="32"/>
      <c r="R940" s="32"/>
      <c r="S940" s="32"/>
      <c r="T940" s="3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10"/>
      <c r="F941" s="10"/>
      <c r="G941" s="32"/>
      <c r="H941" s="32"/>
      <c r="I941" s="32"/>
      <c r="J941" s="73"/>
      <c r="K941" s="32"/>
      <c r="L941" s="32"/>
      <c r="M941" s="32"/>
      <c r="N941" s="32"/>
      <c r="O941" s="2"/>
      <c r="P941" s="2"/>
      <c r="Q941" s="32"/>
      <c r="R941" s="32"/>
      <c r="S941" s="32"/>
      <c r="T941" s="3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10"/>
      <c r="F942" s="10"/>
      <c r="G942" s="32"/>
      <c r="H942" s="32"/>
      <c r="I942" s="32"/>
      <c r="J942" s="73"/>
      <c r="K942" s="32"/>
      <c r="L942" s="32"/>
      <c r="M942" s="32"/>
      <c r="N942" s="32"/>
      <c r="O942" s="2"/>
      <c r="P942" s="2"/>
      <c r="Q942" s="32"/>
      <c r="R942" s="32"/>
      <c r="S942" s="32"/>
      <c r="T942" s="3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10"/>
      <c r="F943" s="10"/>
      <c r="G943" s="32"/>
      <c r="H943" s="32"/>
      <c r="I943" s="32"/>
      <c r="J943" s="73"/>
      <c r="K943" s="32"/>
      <c r="L943" s="32"/>
      <c r="M943" s="32"/>
      <c r="N943" s="32"/>
      <c r="O943" s="2"/>
      <c r="P943" s="2"/>
      <c r="Q943" s="32"/>
      <c r="R943" s="32"/>
      <c r="S943" s="32"/>
      <c r="T943" s="3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10"/>
      <c r="F944" s="10"/>
      <c r="G944" s="32"/>
      <c r="H944" s="32"/>
      <c r="I944" s="32"/>
      <c r="J944" s="73"/>
      <c r="K944" s="32"/>
      <c r="L944" s="32"/>
      <c r="M944" s="32"/>
      <c r="N944" s="32"/>
      <c r="O944" s="2"/>
      <c r="P944" s="2"/>
      <c r="Q944" s="32"/>
      <c r="R944" s="32"/>
      <c r="S944" s="32"/>
      <c r="T944" s="3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10"/>
      <c r="F945" s="10"/>
      <c r="G945" s="32"/>
      <c r="H945" s="32"/>
      <c r="I945" s="32"/>
      <c r="J945" s="73"/>
      <c r="K945" s="32"/>
      <c r="L945" s="32"/>
      <c r="M945" s="32"/>
      <c r="N945" s="32"/>
      <c r="O945" s="2"/>
      <c r="P945" s="2"/>
      <c r="Q945" s="32"/>
      <c r="R945" s="32"/>
      <c r="S945" s="32"/>
      <c r="T945" s="3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10"/>
      <c r="F946" s="10"/>
      <c r="G946" s="32"/>
      <c r="H946" s="32"/>
      <c r="I946" s="32"/>
      <c r="J946" s="73"/>
      <c r="K946" s="32"/>
      <c r="L946" s="32"/>
      <c r="M946" s="32"/>
      <c r="N946" s="32"/>
      <c r="O946" s="2"/>
      <c r="P946" s="2"/>
      <c r="Q946" s="32"/>
      <c r="R946" s="32"/>
      <c r="S946" s="32"/>
      <c r="T946" s="3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10"/>
      <c r="F947" s="10"/>
      <c r="G947" s="32"/>
      <c r="H947" s="32"/>
      <c r="I947" s="32"/>
      <c r="J947" s="73"/>
      <c r="K947" s="32"/>
      <c r="L947" s="32"/>
      <c r="M947" s="32"/>
      <c r="N947" s="32"/>
      <c r="O947" s="2"/>
      <c r="P947" s="2"/>
      <c r="Q947" s="32"/>
      <c r="R947" s="32"/>
      <c r="S947" s="32"/>
      <c r="T947" s="3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10"/>
      <c r="F948" s="10"/>
      <c r="G948" s="32"/>
      <c r="H948" s="32"/>
      <c r="I948" s="32"/>
      <c r="J948" s="73"/>
      <c r="K948" s="32"/>
      <c r="L948" s="32"/>
      <c r="M948" s="32"/>
      <c r="N948" s="32"/>
      <c r="O948" s="2"/>
      <c r="P948" s="2"/>
      <c r="Q948" s="32"/>
      <c r="R948" s="32"/>
      <c r="S948" s="32"/>
      <c r="T948" s="3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10"/>
      <c r="F949" s="10"/>
      <c r="G949" s="32"/>
      <c r="H949" s="32"/>
      <c r="I949" s="32"/>
      <c r="J949" s="73"/>
      <c r="K949" s="32"/>
      <c r="L949" s="32"/>
      <c r="M949" s="32"/>
      <c r="N949" s="32"/>
      <c r="O949" s="2"/>
      <c r="P949" s="2"/>
      <c r="Q949" s="32"/>
      <c r="R949" s="32"/>
      <c r="S949" s="32"/>
      <c r="T949" s="3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10"/>
      <c r="F950" s="10"/>
      <c r="G950" s="32"/>
      <c r="H950" s="32"/>
      <c r="I950" s="32"/>
      <c r="J950" s="73"/>
      <c r="K950" s="32"/>
      <c r="L950" s="32"/>
      <c r="M950" s="32"/>
      <c r="N950" s="32"/>
      <c r="O950" s="2"/>
      <c r="P950" s="2"/>
      <c r="Q950" s="32"/>
      <c r="R950" s="32"/>
      <c r="S950" s="32"/>
      <c r="T950" s="3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10"/>
      <c r="F951" s="10"/>
      <c r="G951" s="32"/>
      <c r="H951" s="32"/>
      <c r="I951" s="32"/>
      <c r="J951" s="73"/>
      <c r="K951" s="32"/>
      <c r="L951" s="32"/>
      <c r="M951" s="32"/>
      <c r="N951" s="32"/>
      <c r="O951" s="2"/>
      <c r="P951" s="2"/>
      <c r="Q951" s="32"/>
      <c r="R951" s="32"/>
      <c r="S951" s="32"/>
      <c r="T951" s="3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10"/>
      <c r="F952" s="10"/>
      <c r="G952" s="32"/>
      <c r="H952" s="32"/>
      <c r="I952" s="32"/>
      <c r="J952" s="73"/>
      <c r="K952" s="32"/>
      <c r="L952" s="32"/>
      <c r="M952" s="32"/>
      <c r="N952" s="32"/>
      <c r="O952" s="2"/>
      <c r="P952" s="2"/>
      <c r="Q952" s="32"/>
      <c r="R952" s="32"/>
      <c r="S952" s="32"/>
      <c r="T952" s="3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10"/>
      <c r="F953" s="10"/>
      <c r="G953" s="32"/>
      <c r="H953" s="32"/>
      <c r="I953" s="32"/>
      <c r="J953" s="73"/>
      <c r="K953" s="32"/>
      <c r="L953" s="32"/>
      <c r="M953" s="32"/>
      <c r="N953" s="32"/>
      <c r="O953" s="2"/>
      <c r="P953" s="2"/>
      <c r="Q953" s="32"/>
      <c r="R953" s="32"/>
      <c r="S953" s="32"/>
      <c r="T953" s="3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10"/>
      <c r="F954" s="10"/>
      <c r="G954" s="32"/>
      <c r="H954" s="32"/>
      <c r="I954" s="32"/>
      <c r="J954" s="73"/>
      <c r="K954" s="32"/>
      <c r="L954" s="32"/>
      <c r="M954" s="32"/>
      <c r="N954" s="32"/>
      <c r="O954" s="2"/>
      <c r="P954" s="2"/>
      <c r="Q954" s="32"/>
      <c r="R954" s="32"/>
      <c r="S954" s="32"/>
      <c r="T954" s="3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10"/>
      <c r="F955" s="10"/>
      <c r="G955" s="32"/>
      <c r="H955" s="32"/>
      <c r="I955" s="32"/>
      <c r="J955" s="73"/>
      <c r="K955" s="32"/>
      <c r="L955" s="32"/>
      <c r="M955" s="32"/>
      <c r="N955" s="32"/>
      <c r="O955" s="2"/>
      <c r="P955" s="2"/>
      <c r="Q955" s="32"/>
      <c r="R955" s="32"/>
      <c r="S955" s="32"/>
      <c r="T955" s="3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10"/>
      <c r="F956" s="10"/>
      <c r="G956" s="32"/>
      <c r="H956" s="32"/>
      <c r="I956" s="32"/>
      <c r="J956" s="73"/>
      <c r="K956" s="32"/>
      <c r="L956" s="32"/>
      <c r="M956" s="32"/>
      <c r="N956" s="32"/>
      <c r="O956" s="2"/>
      <c r="P956" s="2"/>
      <c r="Q956" s="32"/>
      <c r="R956" s="32"/>
      <c r="S956" s="32"/>
      <c r="T956" s="3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10"/>
      <c r="F957" s="10"/>
      <c r="G957" s="32"/>
      <c r="H957" s="32"/>
      <c r="I957" s="32"/>
      <c r="J957" s="73"/>
      <c r="K957" s="32"/>
      <c r="L957" s="32"/>
      <c r="M957" s="32"/>
      <c r="N957" s="32"/>
      <c r="O957" s="2"/>
      <c r="P957" s="2"/>
      <c r="Q957" s="32"/>
      <c r="R957" s="32"/>
      <c r="S957" s="32"/>
      <c r="T957" s="3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10"/>
      <c r="F958" s="10"/>
      <c r="G958" s="32"/>
      <c r="H958" s="32"/>
      <c r="I958" s="32"/>
      <c r="J958" s="73"/>
      <c r="K958" s="32"/>
      <c r="L958" s="32"/>
      <c r="M958" s="32"/>
      <c r="N958" s="32"/>
      <c r="O958" s="2"/>
      <c r="P958" s="2"/>
      <c r="Q958" s="32"/>
      <c r="R958" s="32"/>
      <c r="S958" s="32"/>
      <c r="T958" s="3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10"/>
      <c r="F959" s="10"/>
      <c r="G959" s="32"/>
      <c r="H959" s="32"/>
      <c r="I959" s="32"/>
      <c r="J959" s="73"/>
      <c r="K959" s="32"/>
      <c r="L959" s="32"/>
      <c r="M959" s="32"/>
      <c r="N959" s="32"/>
      <c r="O959" s="2"/>
      <c r="P959" s="2"/>
      <c r="Q959" s="32"/>
      <c r="R959" s="32"/>
      <c r="S959" s="32"/>
      <c r="T959" s="3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10"/>
      <c r="F960" s="10"/>
      <c r="G960" s="32"/>
      <c r="H960" s="32"/>
      <c r="I960" s="32"/>
      <c r="J960" s="73"/>
      <c r="K960" s="32"/>
      <c r="L960" s="32"/>
      <c r="M960" s="32"/>
      <c r="N960" s="32"/>
      <c r="O960" s="2"/>
      <c r="P960" s="2"/>
      <c r="Q960" s="32"/>
      <c r="R960" s="32"/>
      <c r="S960" s="32"/>
      <c r="T960" s="3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10"/>
      <c r="F961" s="10"/>
      <c r="G961" s="32"/>
      <c r="H961" s="32"/>
      <c r="I961" s="32"/>
      <c r="J961" s="73"/>
      <c r="K961" s="32"/>
      <c r="L961" s="32"/>
      <c r="M961" s="32"/>
      <c r="N961" s="32"/>
      <c r="O961" s="2"/>
      <c r="P961" s="2"/>
      <c r="Q961" s="32"/>
      <c r="R961" s="32"/>
      <c r="S961" s="32"/>
      <c r="T961" s="3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10"/>
      <c r="F962" s="10"/>
      <c r="G962" s="32"/>
      <c r="H962" s="32"/>
      <c r="I962" s="32"/>
      <c r="J962" s="73"/>
      <c r="K962" s="32"/>
      <c r="L962" s="32"/>
      <c r="M962" s="32"/>
      <c r="N962" s="32"/>
      <c r="O962" s="2"/>
      <c r="P962" s="2"/>
      <c r="Q962" s="32"/>
      <c r="R962" s="32"/>
      <c r="S962" s="32"/>
      <c r="T962" s="3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10"/>
      <c r="F963" s="10"/>
      <c r="G963" s="32"/>
      <c r="H963" s="32"/>
      <c r="I963" s="32"/>
      <c r="J963" s="73"/>
      <c r="K963" s="32"/>
      <c r="L963" s="32"/>
      <c r="M963" s="32"/>
      <c r="N963" s="32"/>
      <c r="O963" s="2"/>
      <c r="P963" s="2"/>
      <c r="Q963" s="32"/>
      <c r="R963" s="32"/>
      <c r="S963" s="32"/>
      <c r="T963" s="3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10"/>
      <c r="F964" s="10"/>
      <c r="G964" s="32"/>
      <c r="H964" s="32"/>
      <c r="I964" s="32"/>
      <c r="J964" s="73"/>
      <c r="K964" s="32"/>
      <c r="L964" s="32"/>
      <c r="M964" s="32"/>
      <c r="N964" s="32"/>
      <c r="O964" s="2"/>
      <c r="P964" s="2"/>
      <c r="Q964" s="32"/>
      <c r="R964" s="32"/>
      <c r="S964" s="32"/>
      <c r="T964" s="3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10"/>
      <c r="F965" s="10"/>
      <c r="G965" s="32"/>
      <c r="H965" s="32"/>
      <c r="I965" s="32"/>
      <c r="J965" s="73"/>
      <c r="K965" s="32"/>
      <c r="L965" s="32"/>
      <c r="M965" s="32"/>
      <c r="N965" s="32"/>
      <c r="O965" s="2"/>
      <c r="P965" s="2"/>
      <c r="Q965" s="32"/>
      <c r="R965" s="32"/>
      <c r="S965" s="32"/>
      <c r="T965" s="3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10"/>
      <c r="F966" s="10"/>
      <c r="G966" s="32"/>
      <c r="H966" s="32"/>
      <c r="I966" s="32"/>
      <c r="J966" s="73"/>
      <c r="K966" s="32"/>
      <c r="L966" s="32"/>
      <c r="M966" s="32"/>
      <c r="N966" s="32"/>
      <c r="O966" s="2"/>
      <c r="P966" s="2"/>
      <c r="Q966" s="32"/>
      <c r="R966" s="32"/>
      <c r="S966" s="32"/>
      <c r="T966" s="3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10"/>
      <c r="F967" s="10"/>
      <c r="G967" s="32"/>
      <c r="H967" s="32"/>
      <c r="I967" s="32"/>
      <c r="J967" s="73"/>
      <c r="K967" s="32"/>
      <c r="L967" s="32"/>
      <c r="M967" s="32"/>
      <c r="N967" s="32"/>
      <c r="O967" s="2"/>
      <c r="P967" s="2"/>
      <c r="Q967" s="32"/>
      <c r="R967" s="32"/>
      <c r="S967" s="32"/>
      <c r="T967" s="3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10"/>
      <c r="F968" s="10"/>
      <c r="G968" s="32"/>
      <c r="H968" s="32"/>
      <c r="I968" s="32"/>
      <c r="J968" s="73"/>
      <c r="K968" s="32"/>
      <c r="L968" s="32"/>
      <c r="M968" s="32"/>
      <c r="N968" s="32"/>
      <c r="O968" s="2"/>
      <c r="P968" s="2"/>
      <c r="Q968" s="32"/>
      <c r="R968" s="32"/>
      <c r="S968" s="32"/>
      <c r="T968" s="3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10"/>
      <c r="F969" s="10"/>
      <c r="G969" s="32"/>
      <c r="H969" s="32"/>
      <c r="I969" s="32"/>
      <c r="J969" s="73"/>
      <c r="K969" s="32"/>
      <c r="L969" s="32"/>
      <c r="M969" s="32"/>
      <c r="N969" s="32"/>
      <c r="O969" s="2"/>
      <c r="P969" s="2"/>
      <c r="Q969" s="32"/>
      <c r="R969" s="32"/>
      <c r="S969" s="32"/>
      <c r="T969" s="3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10"/>
      <c r="F970" s="10"/>
      <c r="G970" s="32"/>
      <c r="H970" s="32"/>
      <c r="I970" s="32"/>
      <c r="J970" s="73"/>
      <c r="K970" s="32"/>
      <c r="L970" s="32"/>
      <c r="M970" s="32"/>
      <c r="N970" s="32"/>
      <c r="O970" s="2"/>
      <c r="P970" s="2"/>
      <c r="Q970" s="32"/>
      <c r="R970" s="32"/>
      <c r="S970" s="32"/>
      <c r="T970" s="3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10"/>
      <c r="F971" s="10"/>
      <c r="G971" s="32"/>
      <c r="H971" s="32"/>
      <c r="I971" s="32"/>
      <c r="J971" s="73"/>
      <c r="K971" s="32"/>
      <c r="L971" s="32"/>
      <c r="M971" s="32"/>
      <c r="N971" s="32"/>
      <c r="O971" s="2"/>
      <c r="P971" s="2"/>
      <c r="Q971" s="32"/>
      <c r="R971" s="32"/>
      <c r="S971" s="32"/>
      <c r="T971" s="3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10"/>
      <c r="F972" s="10"/>
      <c r="G972" s="32"/>
      <c r="H972" s="32"/>
      <c r="I972" s="32"/>
      <c r="J972" s="73"/>
      <c r="K972" s="32"/>
      <c r="L972" s="32"/>
      <c r="M972" s="32"/>
      <c r="N972" s="32"/>
      <c r="O972" s="2"/>
      <c r="P972" s="2"/>
      <c r="Q972" s="32"/>
      <c r="R972" s="32"/>
      <c r="S972" s="32"/>
      <c r="T972" s="3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10"/>
      <c r="F973" s="10"/>
      <c r="G973" s="32"/>
      <c r="H973" s="32"/>
      <c r="I973" s="32"/>
      <c r="J973" s="73"/>
      <c r="K973" s="32"/>
      <c r="L973" s="32"/>
      <c r="M973" s="32"/>
      <c r="N973" s="32"/>
      <c r="O973" s="2"/>
      <c r="P973" s="2"/>
      <c r="Q973" s="32"/>
      <c r="R973" s="32"/>
      <c r="S973" s="32"/>
      <c r="T973" s="3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10"/>
      <c r="F974" s="10"/>
      <c r="G974" s="32"/>
      <c r="H974" s="32"/>
      <c r="I974" s="32"/>
      <c r="J974" s="73"/>
      <c r="K974" s="32"/>
      <c r="L974" s="32"/>
      <c r="M974" s="32"/>
      <c r="N974" s="32"/>
      <c r="O974" s="2"/>
      <c r="P974" s="2"/>
      <c r="Q974" s="32"/>
      <c r="R974" s="32"/>
      <c r="S974" s="32"/>
      <c r="T974" s="3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10"/>
      <c r="F975" s="10"/>
      <c r="G975" s="32"/>
      <c r="H975" s="32"/>
      <c r="I975" s="32"/>
      <c r="J975" s="73"/>
      <c r="K975" s="32"/>
      <c r="L975" s="32"/>
      <c r="M975" s="32"/>
      <c r="N975" s="32"/>
      <c r="O975" s="2"/>
      <c r="P975" s="2"/>
      <c r="Q975" s="32"/>
      <c r="R975" s="32"/>
      <c r="S975" s="32"/>
      <c r="T975" s="3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10"/>
      <c r="F976" s="10"/>
      <c r="G976" s="32"/>
      <c r="H976" s="32"/>
      <c r="I976" s="32"/>
      <c r="J976" s="73"/>
      <c r="K976" s="32"/>
      <c r="L976" s="32"/>
      <c r="M976" s="32"/>
      <c r="N976" s="32"/>
      <c r="O976" s="2"/>
      <c r="P976" s="2"/>
      <c r="Q976" s="32"/>
      <c r="R976" s="32"/>
      <c r="S976" s="32"/>
      <c r="T976" s="3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10"/>
      <c r="F977" s="10"/>
      <c r="G977" s="32"/>
      <c r="H977" s="32"/>
      <c r="I977" s="32"/>
      <c r="J977" s="73"/>
      <c r="K977" s="32"/>
      <c r="L977" s="32"/>
      <c r="M977" s="32"/>
      <c r="N977" s="32"/>
      <c r="O977" s="2"/>
      <c r="P977" s="2"/>
      <c r="Q977" s="32"/>
      <c r="R977" s="32"/>
      <c r="S977" s="32"/>
      <c r="T977" s="3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10"/>
      <c r="F978" s="10"/>
      <c r="G978" s="32"/>
      <c r="H978" s="32"/>
      <c r="I978" s="32"/>
      <c r="J978" s="73"/>
      <c r="K978" s="32"/>
      <c r="L978" s="32"/>
      <c r="M978" s="32"/>
      <c r="N978" s="32"/>
      <c r="O978" s="2"/>
      <c r="P978" s="2"/>
      <c r="Q978" s="32"/>
      <c r="R978" s="32"/>
      <c r="S978" s="32"/>
      <c r="T978" s="3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10"/>
      <c r="F979" s="10"/>
      <c r="G979" s="32"/>
      <c r="H979" s="32"/>
      <c r="I979" s="32"/>
      <c r="J979" s="73"/>
      <c r="K979" s="32"/>
      <c r="L979" s="32"/>
      <c r="M979" s="32"/>
      <c r="N979" s="32"/>
      <c r="O979" s="2"/>
      <c r="P979" s="2"/>
      <c r="Q979" s="32"/>
      <c r="R979" s="32"/>
      <c r="S979" s="32"/>
      <c r="T979" s="3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10"/>
      <c r="F980" s="10"/>
      <c r="G980" s="32"/>
      <c r="H980" s="32"/>
      <c r="I980" s="32"/>
      <c r="J980" s="73"/>
      <c r="K980" s="32"/>
      <c r="L980" s="32"/>
      <c r="M980" s="32"/>
      <c r="N980" s="32"/>
      <c r="O980" s="2"/>
      <c r="P980" s="2"/>
      <c r="Q980" s="32"/>
      <c r="R980" s="32"/>
      <c r="S980" s="32"/>
      <c r="T980" s="3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10"/>
      <c r="F981" s="10"/>
      <c r="G981" s="32"/>
      <c r="H981" s="32"/>
      <c r="I981" s="32"/>
      <c r="J981" s="73"/>
      <c r="K981" s="32"/>
      <c r="L981" s="32"/>
      <c r="M981" s="32"/>
      <c r="N981" s="32"/>
      <c r="O981" s="2"/>
      <c r="P981" s="2"/>
      <c r="Q981" s="32"/>
      <c r="R981" s="32"/>
      <c r="S981" s="32"/>
      <c r="T981" s="3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10"/>
      <c r="F982" s="10"/>
      <c r="G982" s="32"/>
      <c r="H982" s="32"/>
      <c r="I982" s="32"/>
      <c r="J982" s="73"/>
      <c r="K982" s="32"/>
      <c r="L982" s="32"/>
      <c r="M982" s="32"/>
      <c r="N982" s="32"/>
      <c r="O982" s="2"/>
      <c r="P982" s="2"/>
      <c r="Q982" s="32"/>
      <c r="R982" s="32"/>
      <c r="S982" s="32"/>
      <c r="T982" s="3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10"/>
      <c r="F983" s="10"/>
      <c r="G983" s="32"/>
      <c r="H983" s="32"/>
      <c r="I983" s="32"/>
      <c r="J983" s="73"/>
      <c r="K983" s="32"/>
      <c r="L983" s="32"/>
      <c r="M983" s="32"/>
      <c r="N983" s="32"/>
      <c r="O983" s="2"/>
      <c r="P983" s="2"/>
      <c r="Q983" s="32"/>
      <c r="R983" s="32"/>
      <c r="S983" s="32"/>
      <c r="T983" s="3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10"/>
      <c r="F984" s="10"/>
      <c r="G984" s="32"/>
      <c r="H984" s="32"/>
      <c r="I984" s="32"/>
      <c r="J984" s="73"/>
      <c r="K984" s="32"/>
      <c r="L984" s="32"/>
      <c r="M984" s="32"/>
      <c r="N984" s="32"/>
      <c r="O984" s="2"/>
      <c r="P984" s="2"/>
      <c r="Q984" s="32"/>
      <c r="R984" s="32"/>
      <c r="S984" s="32"/>
      <c r="T984" s="3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10"/>
      <c r="F985" s="10"/>
      <c r="G985" s="32"/>
      <c r="H985" s="32"/>
      <c r="I985" s="32"/>
      <c r="J985" s="73"/>
      <c r="K985" s="32"/>
      <c r="L985" s="32"/>
      <c r="M985" s="32"/>
      <c r="N985" s="32"/>
      <c r="O985" s="2"/>
      <c r="P985" s="2"/>
      <c r="Q985" s="32"/>
      <c r="R985" s="32"/>
      <c r="S985" s="32"/>
      <c r="T985" s="3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10"/>
      <c r="F986" s="10"/>
      <c r="G986" s="32"/>
      <c r="H986" s="32"/>
      <c r="I986" s="32"/>
      <c r="J986" s="73"/>
      <c r="K986" s="32"/>
      <c r="L986" s="32"/>
      <c r="M986" s="32"/>
      <c r="N986" s="32"/>
      <c r="O986" s="2"/>
      <c r="P986" s="2"/>
      <c r="Q986" s="32"/>
      <c r="R986" s="32"/>
      <c r="S986" s="32"/>
      <c r="T986" s="3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10"/>
      <c r="F987" s="10"/>
      <c r="G987" s="32"/>
      <c r="H987" s="32"/>
      <c r="I987" s="32"/>
      <c r="J987" s="73"/>
      <c r="K987" s="32"/>
      <c r="L987" s="32"/>
      <c r="M987" s="32"/>
      <c r="N987" s="32"/>
      <c r="O987" s="2"/>
      <c r="P987" s="2"/>
      <c r="Q987" s="32"/>
      <c r="R987" s="32"/>
      <c r="S987" s="32"/>
      <c r="T987" s="3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10"/>
      <c r="F988" s="10"/>
      <c r="G988" s="32"/>
      <c r="H988" s="32"/>
      <c r="I988" s="32"/>
      <c r="J988" s="73"/>
      <c r="K988" s="32"/>
      <c r="L988" s="32"/>
      <c r="M988" s="32"/>
      <c r="N988" s="32"/>
      <c r="O988" s="2"/>
      <c r="P988" s="2"/>
      <c r="Q988" s="32"/>
      <c r="R988" s="32"/>
      <c r="S988" s="32"/>
      <c r="T988" s="3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10"/>
      <c r="F989" s="10"/>
      <c r="G989" s="32"/>
      <c r="H989" s="32"/>
      <c r="I989" s="32"/>
      <c r="J989" s="73"/>
      <c r="K989" s="32"/>
      <c r="L989" s="32"/>
      <c r="M989" s="32"/>
      <c r="N989" s="32"/>
      <c r="O989" s="2"/>
      <c r="P989" s="2"/>
      <c r="Q989" s="32"/>
      <c r="R989" s="32"/>
      <c r="S989" s="32"/>
      <c r="T989" s="3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10"/>
      <c r="F990" s="10"/>
      <c r="G990" s="32"/>
      <c r="H990" s="32"/>
      <c r="I990" s="32"/>
      <c r="J990" s="73"/>
      <c r="K990" s="32"/>
      <c r="L990" s="32"/>
      <c r="M990" s="32"/>
      <c r="N990" s="32"/>
      <c r="O990" s="2"/>
      <c r="P990" s="2"/>
      <c r="Q990" s="32"/>
      <c r="R990" s="32"/>
      <c r="S990" s="32"/>
      <c r="T990" s="3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10"/>
      <c r="F991" s="10"/>
      <c r="G991" s="32"/>
      <c r="H991" s="32"/>
      <c r="I991" s="32"/>
      <c r="J991" s="73"/>
      <c r="K991" s="32"/>
      <c r="L991" s="32"/>
      <c r="M991" s="32"/>
      <c r="N991" s="32"/>
      <c r="O991" s="2"/>
      <c r="P991" s="2"/>
      <c r="Q991" s="32"/>
      <c r="R991" s="32"/>
      <c r="S991" s="32"/>
      <c r="T991" s="3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10"/>
      <c r="F992" s="10"/>
      <c r="G992" s="32"/>
      <c r="H992" s="32"/>
      <c r="I992" s="32"/>
      <c r="J992" s="73"/>
      <c r="K992" s="32"/>
      <c r="L992" s="32"/>
      <c r="M992" s="32"/>
      <c r="N992" s="32"/>
      <c r="O992" s="2"/>
      <c r="P992" s="2"/>
      <c r="Q992" s="32"/>
      <c r="R992" s="32"/>
      <c r="S992" s="32"/>
      <c r="T992" s="3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10"/>
      <c r="F993" s="10"/>
      <c r="G993" s="32"/>
      <c r="H993" s="32"/>
      <c r="I993" s="32"/>
      <c r="J993" s="73"/>
      <c r="K993" s="32"/>
      <c r="L993" s="32"/>
      <c r="M993" s="32"/>
      <c r="N993" s="32"/>
      <c r="O993" s="2"/>
      <c r="P993" s="2"/>
      <c r="Q993" s="32"/>
      <c r="R993" s="32"/>
      <c r="S993" s="32"/>
      <c r="T993" s="3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10"/>
      <c r="F994" s="10"/>
      <c r="G994" s="32"/>
      <c r="H994" s="32"/>
      <c r="I994" s="32"/>
      <c r="J994" s="73"/>
      <c r="K994" s="32"/>
      <c r="L994" s="32"/>
      <c r="M994" s="32"/>
      <c r="N994" s="32"/>
      <c r="O994" s="2"/>
      <c r="P994" s="2"/>
      <c r="Q994" s="32"/>
      <c r="R994" s="32"/>
      <c r="S994" s="32"/>
      <c r="T994" s="3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10"/>
      <c r="F995" s="10"/>
      <c r="G995" s="32"/>
      <c r="H995" s="32"/>
      <c r="I995" s="32"/>
      <c r="J995" s="73"/>
      <c r="K995" s="32"/>
      <c r="L995" s="32"/>
      <c r="M995" s="32"/>
      <c r="N995" s="32"/>
      <c r="O995" s="2"/>
      <c r="P995" s="2"/>
      <c r="Q995" s="32"/>
      <c r="R995" s="32"/>
      <c r="S995" s="32"/>
      <c r="T995" s="3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10"/>
      <c r="F996" s="10"/>
      <c r="G996" s="32"/>
      <c r="H996" s="32"/>
      <c r="I996" s="32"/>
      <c r="J996" s="73"/>
      <c r="K996" s="32"/>
      <c r="L996" s="32"/>
      <c r="M996" s="32"/>
      <c r="N996" s="32"/>
      <c r="O996" s="2"/>
      <c r="P996" s="2"/>
      <c r="Q996" s="32"/>
      <c r="R996" s="32"/>
      <c r="S996" s="32"/>
      <c r="T996" s="3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10"/>
      <c r="F997" s="10"/>
      <c r="G997" s="32"/>
      <c r="H997" s="32"/>
      <c r="I997" s="32"/>
      <c r="J997" s="73"/>
      <c r="K997" s="32"/>
      <c r="L997" s="32"/>
      <c r="M997" s="32"/>
      <c r="N997" s="32"/>
      <c r="O997" s="2"/>
      <c r="P997" s="2"/>
      <c r="Q997" s="32"/>
      <c r="R997" s="32"/>
      <c r="S997" s="32"/>
      <c r="T997" s="3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10"/>
      <c r="F998" s="10"/>
      <c r="G998" s="32"/>
      <c r="H998" s="32"/>
      <c r="I998" s="32"/>
      <c r="J998" s="73"/>
      <c r="K998" s="32"/>
      <c r="L998" s="32"/>
      <c r="M998" s="32"/>
      <c r="N998" s="32"/>
      <c r="O998" s="2"/>
      <c r="P998" s="2"/>
      <c r="Q998" s="32"/>
      <c r="R998" s="32"/>
      <c r="S998" s="32"/>
      <c r="T998" s="3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10"/>
      <c r="F999" s="10"/>
      <c r="G999" s="32"/>
      <c r="H999" s="32"/>
      <c r="I999" s="32"/>
      <c r="J999" s="73"/>
      <c r="K999" s="32"/>
      <c r="L999" s="32"/>
      <c r="M999" s="32"/>
      <c r="N999" s="32"/>
      <c r="O999" s="2"/>
      <c r="P999" s="2"/>
      <c r="Q999" s="32"/>
      <c r="R999" s="32"/>
      <c r="S999" s="32"/>
      <c r="T999" s="3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10"/>
      <c r="F1000" s="10"/>
      <c r="G1000" s="32"/>
      <c r="H1000" s="32"/>
      <c r="I1000" s="32"/>
      <c r="J1000" s="73"/>
      <c r="K1000" s="32"/>
      <c r="L1000" s="32"/>
      <c r="M1000" s="32"/>
      <c r="N1000" s="32"/>
      <c r="O1000" s="2"/>
      <c r="P1000" s="2"/>
      <c r="Q1000" s="32"/>
      <c r="R1000" s="32"/>
      <c r="S1000" s="32"/>
      <c r="T1000" s="3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10" t="s">
        <v>603</v>
      </c>
      <c r="B2" s="10" t="s">
        <v>603</v>
      </c>
      <c r="C2" s="10" t="s">
        <v>603</v>
      </c>
      <c r="D2" s="10" t="s">
        <v>603</v>
      </c>
      <c r="E2" s="10" t="s">
        <v>603</v>
      </c>
      <c r="F2" s="10" t="s">
        <v>603</v>
      </c>
      <c r="G2" s="10" t="s">
        <v>603</v>
      </c>
      <c r="H2" s="10" t="s">
        <v>603</v>
      </c>
      <c r="I2" s="10" t="s">
        <v>603</v>
      </c>
      <c r="J2" s="7" t="s">
        <v>603</v>
      </c>
      <c r="K2" s="7" t="s">
        <v>603</v>
      </c>
      <c r="L2" s="58">
        <f>SUM(J:K)</f>
        <v>0</v>
      </c>
      <c r="M2" s="2" t="s">
        <v>412</v>
      </c>
      <c r="N2" s="2" t="s">
        <v>413</v>
      </c>
      <c r="O2" s="32">
        <v>-0.81</v>
      </c>
      <c r="P2" s="32">
        <f>SUM(I:I)</f>
        <v>0</v>
      </c>
      <c r="Q2" s="32">
        <f>SUM(O:O)</f>
        <v>-0.81</v>
      </c>
      <c r="R2" s="32">
        <f>P2+Q2</f>
        <v>-0.81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/>
      <c r="B3" s="10"/>
      <c r="C3" s="10"/>
      <c r="D3" s="10"/>
      <c r="E3" s="32"/>
      <c r="F3" s="32"/>
      <c r="G3" s="32"/>
      <c r="H3" s="73"/>
      <c r="I3" s="32"/>
      <c r="J3" s="32"/>
      <c r="K3" s="32"/>
      <c r="L3" s="32"/>
      <c r="M3" s="2"/>
      <c r="N3" s="2"/>
      <c r="O3" s="32"/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/>
      <c r="B4" s="10"/>
      <c r="C4" s="10"/>
      <c r="D4" s="10"/>
      <c r="E4" s="32"/>
      <c r="F4" s="32"/>
      <c r="G4" s="32"/>
      <c r="H4" s="73"/>
      <c r="I4" s="32"/>
      <c r="J4" s="32"/>
      <c r="K4" s="32"/>
      <c r="L4" s="32"/>
      <c r="M4" s="2"/>
      <c r="N4" s="2"/>
      <c r="O4" s="32"/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/>
      <c r="B5" s="10"/>
      <c r="C5" s="10"/>
      <c r="D5" s="10"/>
      <c r="E5" s="32"/>
      <c r="F5" s="32"/>
      <c r="G5" s="32"/>
      <c r="H5" s="73"/>
      <c r="I5" s="32"/>
      <c r="J5" s="32"/>
      <c r="K5" s="32"/>
      <c r="L5" s="32"/>
      <c r="M5" s="2"/>
      <c r="N5" s="2"/>
      <c r="O5" s="32"/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/>
      <c r="B6" s="46"/>
      <c r="C6" s="10"/>
      <c r="D6" s="10"/>
      <c r="E6" s="32"/>
      <c r="F6" s="32"/>
      <c r="G6" s="32"/>
      <c r="H6" s="73"/>
      <c r="I6" s="32"/>
      <c r="J6" s="32"/>
      <c r="K6" s="32"/>
      <c r="L6" s="32"/>
      <c r="M6" s="2"/>
      <c r="N6" s="2"/>
      <c r="O6" s="32"/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/>
      <c r="B7" s="32"/>
      <c r="C7" s="10"/>
      <c r="D7" s="32"/>
      <c r="E7" s="69"/>
      <c r="F7" s="69"/>
      <c r="G7" s="32"/>
      <c r="H7" s="75"/>
      <c r="I7" s="32"/>
      <c r="J7" s="32"/>
      <c r="K7" s="32"/>
      <c r="L7" s="32"/>
      <c r="M7" s="2"/>
      <c r="N7" s="2"/>
      <c r="O7" s="32"/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/>
      <c r="B8" s="32"/>
      <c r="C8" s="10"/>
      <c r="D8" s="32"/>
      <c r="E8" s="69"/>
      <c r="F8" s="69"/>
      <c r="G8" s="32"/>
      <c r="H8" s="75"/>
      <c r="I8" s="32"/>
      <c r="J8" s="32"/>
      <c r="K8" s="32"/>
      <c r="L8" s="32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/>
      <c r="B9" s="10"/>
      <c r="C9" s="10"/>
      <c r="D9" s="10"/>
      <c r="E9" s="32"/>
      <c r="F9" s="32"/>
      <c r="G9" s="32"/>
      <c r="H9" s="73"/>
      <c r="I9" s="32"/>
      <c r="J9" s="32"/>
      <c r="K9" s="32"/>
      <c r="L9" s="32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/>
      <c r="B10" s="10"/>
      <c r="C10" s="10"/>
      <c r="D10" s="10"/>
      <c r="E10" s="32"/>
      <c r="F10" s="32"/>
      <c r="G10" s="32"/>
      <c r="H10" s="73"/>
      <c r="I10" s="32"/>
      <c r="J10" s="32"/>
      <c r="K10" s="32"/>
      <c r="L10" s="32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/>
      <c r="B11" s="10"/>
      <c r="C11" s="10"/>
      <c r="D11" s="10"/>
      <c r="E11" s="32"/>
      <c r="F11" s="32"/>
      <c r="G11" s="32"/>
      <c r="H11" s="73"/>
      <c r="I11" s="32"/>
      <c r="J11" s="32"/>
      <c r="K11" s="32"/>
      <c r="L11" s="32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46"/>
      <c r="C12" s="10"/>
      <c r="D12" s="10"/>
      <c r="E12" s="32"/>
      <c r="F12" s="32"/>
      <c r="G12" s="32"/>
      <c r="H12" s="73"/>
      <c r="I12" s="32"/>
      <c r="J12" s="32"/>
      <c r="K12" s="32"/>
      <c r="L12" s="32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32"/>
      <c r="E13" s="69"/>
      <c r="F13" s="69"/>
      <c r="G13" s="32"/>
      <c r="H13" s="75"/>
      <c r="I13" s="32"/>
      <c r="J13" s="32"/>
      <c r="K13" s="32"/>
      <c r="L13" s="32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69"/>
      <c r="H14" s="75"/>
      <c r="I14" s="69"/>
      <c r="J14" s="32"/>
      <c r="K14" s="32"/>
      <c r="L14" s="32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2"/>
      <c r="E15" s="32"/>
      <c r="F15" s="32"/>
      <c r="G15" s="32"/>
      <c r="H15" s="73"/>
      <c r="I15" s="32"/>
      <c r="J15" s="32"/>
      <c r="K15" s="32"/>
      <c r="L15" s="32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32"/>
      <c r="E16" s="32"/>
      <c r="F16" s="32"/>
      <c r="G16" s="32"/>
      <c r="H16" s="73"/>
      <c r="I16" s="32"/>
      <c r="J16" s="32"/>
      <c r="K16" s="32"/>
      <c r="L16" s="32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32"/>
      <c r="F17" s="32"/>
      <c r="G17" s="32"/>
      <c r="H17" s="73"/>
      <c r="I17" s="32"/>
      <c r="J17" s="32"/>
      <c r="K17" s="32"/>
      <c r="L17" s="32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77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332</v>
      </c>
      <c r="B2" s="32" t="s">
        <v>69</v>
      </c>
      <c r="C2" s="10" t="s">
        <v>1386</v>
      </c>
      <c r="D2" s="2" t="s">
        <v>1387</v>
      </c>
      <c r="E2" s="69">
        <v>-60000</v>
      </c>
      <c r="F2" s="69">
        <v>21467.919999999998</v>
      </c>
      <c r="G2" s="69">
        <f>F2*0.68</f>
        <v>14598.185600000001</v>
      </c>
      <c r="H2" s="70">
        <v>1</v>
      </c>
      <c r="I2" s="69">
        <f>(E2+G2)*H2</f>
        <v>-45401.814400000003</v>
      </c>
      <c r="J2" s="78">
        <f>F2*0.05*H2</f>
        <v>1073.396</v>
      </c>
      <c r="K2" s="61">
        <v>0</v>
      </c>
      <c r="L2" s="61">
        <f>F2*0.12*H2</f>
        <v>2576.1503999999995</v>
      </c>
      <c r="M2" s="58">
        <f>SUM(K:L)</f>
        <v>1812.5345739999993</v>
      </c>
      <c r="N2" s="2" t="s">
        <v>899</v>
      </c>
      <c r="O2" s="2" t="s">
        <v>1388</v>
      </c>
      <c r="P2" s="32">
        <v>57962</v>
      </c>
      <c r="Q2" s="32">
        <f>SUM(I:I)</f>
        <v>-57962.201800000003</v>
      </c>
      <c r="R2" s="32">
        <f>SUM(P:P)</f>
        <v>57962</v>
      </c>
      <c r="S2" s="32">
        <f>Q2+R2</f>
        <v>-0.2018000000025495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332</v>
      </c>
      <c r="B3" s="2" t="s">
        <v>55</v>
      </c>
      <c r="C3" s="10" t="s">
        <v>1386</v>
      </c>
      <c r="D3" s="2" t="s">
        <v>1387</v>
      </c>
      <c r="E3" s="69">
        <v>-14970.91</v>
      </c>
      <c r="F3" s="69">
        <v>1691.54</v>
      </c>
      <c r="G3" s="69">
        <f>F3*0.6</f>
        <v>1014.924</v>
      </c>
      <c r="H3" s="70">
        <v>1</v>
      </c>
      <c r="I3" s="69">
        <f>(E3+G3)*H3*0.9</f>
        <v>-12560.387400000001</v>
      </c>
      <c r="J3" s="79" t="s">
        <v>468</v>
      </c>
      <c r="K3" s="61">
        <f>(E3*0.1-E3*0.03)*H3</f>
        <v>-1047.9637000000002</v>
      </c>
      <c r="L3" s="61">
        <f>(F3*0.13*0.97+G3*0.1-G3*0.03)*H3</f>
        <v>284.34787400000005</v>
      </c>
      <c r="M3" s="58"/>
      <c r="N3" s="2"/>
      <c r="O3" s="2"/>
      <c r="P3" s="32"/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340</v>
      </c>
      <c r="B4" s="10" t="s">
        <v>468</v>
      </c>
      <c r="C4" s="10" t="s">
        <v>468</v>
      </c>
      <c r="D4" s="10" t="s">
        <v>468</v>
      </c>
      <c r="E4" s="46" t="s">
        <v>468</v>
      </c>
      <c r="F4" s="46" t="s">
        <v>468</v>
      </c>
      <c r="G4" s="46" t="s">
        <v>468</v>
      </c>
      <c r="H4" s="81" t="s">
        <v>468</v>
      </c>
      <c r="I4" s="46" t="s">
        <v>468</v>
      </c>
      <c r="J4" s="79" t="s">
        <v>468</v>
      </c>
      <c r="K4" s="82" t="s">
        <v>468</v>
      </c>
      <c r="L4" s="82" t="s">
        <v>468</v>
      </c>
      <c r="M4" s="58"/>
      <c r="N4" s="2"/>
      <c r="O4" s="2"/>
      <c r="P4" s="32"/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32" t="s">
        <v>359</v>
      </c>
      <c r="B5" s="10" t="s">
        <v>468</v>
      </c>
      <c r="C5" s="10" t="s">
        <v>468</v>
      </c>
      <c r="D5" s="10" t="s">
        <v>468</v>
      </c>
      <c r="E5" s="46" t="s">
        <v>468</v>
      </c>
      <c r="F5" s="46" t="s">
        <v>468</v>
      </c>
      <c r="G5" s="46" t="s">
        <v>468</v>
      </c>
      <c r="H5" s="81" t="s">
        <v>468</v>
      </c>
      <c r="I5" s="46" t="s">
        <v>468</v>
      </c>
      <c r="J5" s="79" t="s">
        <v>468</v>
      </c>
      <c r="K5" s="82" t="s">
        <v>468</v>
      </c>
      <c r="L5" s="82" t="s">
        <v>468</v>
      </c>
      <c r="M5" s="58"/>
      <c r="N5" s="2"/>
      <c r="O5" s="2"/>
      <c r="P5" s="32"/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603</v>
      </c>
      <c r="B6" s="10" t="s">
        <v>603</v>
      </c>
      <c r="C6" s="10" t="s">
        <v>603</v>
      </c>
      <c r="D6" s="10" t="s">
        <v>603</v>
      </c>
      <c r="E6" s="10" t="s">
        <v>603</v>
      </c>
      <c r="F6" s="10" t="s">
        <v>603</v>
      </c>
      <c r="G6" s="10" t="s">
        <v>603</v>
      </c>
      <c r="H6" s="10" t="s">
        <v>603</v>
      </c>
      <c r="I6" s="10" t="s">
        <v>603</v>
      </c>
      <c r="J6" s="100" t="s">
        <v>603</v>
      </c>
      <c r="K6" s="7" t="s">
        <v>603</v>
      </c>
      <c r="L6" s="7" t="s">
        <v>603</v>
      </c>
      <c r="M6" s="58"/>
      <c r="N6" s="2"/>
      <c r="O6" s="2"/>
      <c r="P6" s="32"/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/>
      <c r="B7" s="32"/>
      <c r="C7" s="10"/>
      <c r="D7" s="32"/>
      <c r="E7" s="69"/>
      <c r="F7" s="69"/>
      <c r="G7" s="32"/>
      <c r="H7" s="75"/>
      <c r="I7" s="32"/>
      <c r="J7" s="32"/>
      <c r="K7" s="32"/>
      <c r="L7" s="32"/>
      <c r="M7" s="32"/>
      <c r="N7" s="2"/>
      <c r="O7" s="2"/>
      <c r="P7" s="32"/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/>
      <c r="B8" s="32"/>
      <c r="C8" s="10"/>
      <c r="D8" s="32"/>
      <c r="E8" s="69"/>
      <c r="F8" s="69"/>
      <c r="G8" s="32"/>
      <c r="H8" s="75"/>
      <c r="I8" s="32"/>
      <c r="J8" s="32"/>
      <c r="K8" s="32"/>
      <c r="L8" s="32"/>
      <c r="M8" s="32"/>
      <c r="N8" s="2"/>
      <c r="O8" s="2"/>
      <c r="P8" s="32"/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/>
      <c r="B9" s="10"/>
      <c r="C9" s="10"/>
      <c r="D9" s="10"/>
      <c r="E9" s="32"/>
      <c r="F9" s="32"/>
      <c r="G9" s="32"/>
      <c r="H9" s="73"/>
      <c r="I9" s="32"/>
      <c r="J9" s="32"/>
      <c r="K9" s="32"/>
      <c r="L9" s="32"/>
      <c r="M9" s="32"/>
      <c r="N9" s="2"/>
      <c r="O9" s="2"/>
      <c r="P9" s="32"/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/>
      <c r="B10" s="10"/>
      <c r="C10" s="10"/>
      <c r="D10" s="10"/>
      <c r="E10" s="32"/>
      <c r="F10" s="32"/>
      <c r="G10" s="32"/>
      <c r="H10" s="73"/>
      <c r="I10" s="32"/>
      <c r="J10" s="32"/>
      <c r="K10" s="32"/>
      <c r="L10" s="32"/>
      <c r="M10" s="32"/>
      <c r="N10" s="2"/>
      <c r="O10" s="2"/>
      <c r="P10" s="32"/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/>
      <c r="B11" s="10"/>
      <c r="C11" s="10"/>
      <c r="D11" s="10"/>
      <c r="E11" s="32"/>
      <c r="F11" s="32"/>
      <c r="G11" s="32"/>
      <c r="H11" s="73"/>
      <c r="I11" s="32"/>
      <c r="J11" s="32"/>
      <c r="K11" s="32"/>
      <c r="L11" s="32"/>
      <c r="M11" s="32"/>
      <c r="N11" s="2"/>
      <c r="O11" s="2"/>
      <c r="P11" s="32"/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46"/>
      <c r="C12" s="10"/>
      <c r="D12" s="10"/>
      <c r="E12" s="32"/>
      <c r="F12" s="32"/>
      <c r="G12" s="32"/>
      <c r="H12" s="73"/>
      <c r="I12" s="32"/>
      <c r="J12" s="32"/>
      <c r="K12" s="32"/>
      <c r="L12" s="32"/>
      <c r="M12" s="32"/>
      <c r="N12" s="2"/>
      <c r="O12" s="2"/>
      <c r="P12" s="32"/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32"/>
      <c r="E13" s="69"/>
      <c r="F13" s="69"/>
      <c r="G13" s="32"/>
      <c r="H13" s="75"/>
      <c r="I13" s="32"/>
      <c r="J13" s="32"/>
      <c r="K13" s="32"/>
      <c r="L13" s="32"/>
      <c r="M13" s="32"/>
      <c r="N13" s="2"/>
      <c r="O13" s="2"/>
      <c r="P13" s="32"/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69"/>
      <c r="H14" s="75"/>
      <c r="I14" s="69"/>
      <c r="J14" s="32"/>
      <c r="K14" s="32"/>
      <c r="L14" s="32"/>
      <c r="M14" s="32"/>
      <c r="N14" s="2"/>
      <c r="O14" s="2"/>
      <c r="P14" s="32"/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2"/>
      <c r="E15" s="32"/>
      <c r="F15" s="32"/>
      <c r="G15" s="32"/>
      <c r="H15" s="73"/>
      <c r="I15" s="32"/>
      <c r="J15" s="32"/>
      <c r="K15" s="32"/>
      <c r="L15" s="32"/>
      <c r="M15" s="32"/>
      <c r="N15" s="2"/>
      <c r="O15" s="2"/>
      <c r="P15" s="32"/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32"/>
      <c r="E16" s="32"/>
      <c r="F16" s="32"/>
      <c r="G16" s="32"/>
      <c r="H16" s="73"/>
      <c r="I16" s="32"/>
      <c r="J16" s="32"/>
      <c r="K16" s="32"/>
      <c r="L16" s="32"/>
      <c r="M16" s="32"/>
      <c r="N16" s="2"/>
      <c r="O16" s="2"/>
      <c r="P16" s="32"/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32"/>
      <c r="F17" s="32"/>
      <c r="G17" s="32"/>
      <c r="H17" s="73"/>
      <c r="I17" s="32"/>
      <c r="J17" s="32"/>
      <c r="K17" s="32"/>
      <c r="L17" s="32"/>
      <c r="M17" s="32"/>
      <c r="N17" s="2"/>
      <c r="O17" s="2"/>
      <c r="P17" s="32"/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32"/>
      <c r="N18" s="2"/>
      <c r="O18" s="2"/>
      <c r="P18" s="32"/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32"/>
      <c r="N19" s="2"/>
      <c r="O19" s="2"/>
      <c r="P19" s="32"/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32"/>
      <c r="N20" s="2"/>
      <c r="O20" s="2"/>
      <c r="P20" s="32"/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32"/>
      <c r="N21" s="2"/>
      <c r="O21" s="2"/>
      <c r="P21" s="32"/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32"/>
      <c r="N22" s="2"/>
      <c r="O22" s="2"/>
      <c r="P22" s="32"/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32"/>
      <c r="N23" s="2"/>
      <c r="O23" s="2"/>
      <c r="P23" s="32"/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32"/>
      <c r="N24" s="2"/>
      <c r="O24" s="2"/>
      <c r="P24" s="32"/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32"/>
      <c r="N25" s="2"/>
      <c r="O25" s="2"/>
      <c r="P25" s="32"/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32"/>
      <c r="N26" s="2"/>
      <c r="O26" s="2"/>
      <c r="P26" s="32"/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32"/>
      <c r="N27" s="2"/>
      <c r="O27" s="2"/>
      <c r="P27" s="32"/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32"/>
      <c r="N28" s="2"/>
      <c r="O28" s="2"/>
      <c r="P28" s="32"/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32"/>
      <c r="N29" s="2"/>
      <c r="O29" s="2"/>
      <c r="P29" s="32"/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32"/>
      <c r="N30" s="2"/>
      <c r="O30" s="2"/>
      <c r="P30" s="32"/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32"/>
      <c r="N31" s="2"/>
      <c r="O31" s="2"/>
      <c r="P31" s="32"/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32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32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32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32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32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32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32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69"/>
      <c r="M39" s="32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69"/>
      <c r="M40" s="32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32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32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32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32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69"/>
      <c r="M45" s="32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32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32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32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32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32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32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32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32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32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32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69"/>
      <c r="M56" s="32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69"/>
      <c r="M57" s="32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32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32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69"/>
      <c r="M60" s="32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32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69"/>
      <c r="M62" s="32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69"/>
      <c r="M63" s="32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69"/>
      <c r="M64" s="32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32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32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69"/>
      <c r="M67" s="32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69"/>
      <c r="M68" s="32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69"/>
      <c r="M69" s="32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69"/>
      <c r="M70" s="32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32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32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69"/>
      <c r="M73" s="32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32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32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32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69"/>
      <c r="M77" s="32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69"/>
      <c r="M78" s="32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32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32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69"/>
      <c r="M81" s="32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69"/>
      <c r="M82" s="32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32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32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69"/>
      <c r="M85" s="32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69"/>
      <c r="M86" s="32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32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32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69"/>
      <c r="M89" s="32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32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32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69"/>
      <c r="M92" s="32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69"/>
      <c r="M93" s="32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32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32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32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69"/>
      <c r="M97" s="32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32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32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69"/>
      <c r="M100" s="32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69"/>
      <c r="M101" s="32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>
        <f>SUM(J2:J100)</f>
        <v>1073.396</v>
      </c>
      <c r="K102" s="32"/>
      <c r="L102" s="32"/>
      <c r="M102" s="32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32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32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32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32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32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69"/>
      <c r="M108" s="32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69"/>
      <c r="M109" s="32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32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69"/>
      <c r="M111" s="32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32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69"/>
      <c r="M113" s="32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32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32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69"/>
      <c r="M116" s="32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69"/>
      <c r="M117" s="32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69"/>
      <c r="M118" s="32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32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32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32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69"/>
      <c r="M122" s="32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69"/>
      <c r="M123" s="32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69"/>
      <c r="M124" s="32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32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32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32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69"/>
      <c r="M128" s="32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32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69"/>
      <c r="M130" s="32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69"/>
      <c r="M131" s="32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32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69"/>
      <c r="M133" s="32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32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32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32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32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32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32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32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32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32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32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69"/>
      <c r="M144" s="32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32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69"/>
      <c r="M146" s="32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32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32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32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32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32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32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32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69"/>
      <c r="M154" s="32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32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32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32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32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32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32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32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69"/>
      <c r="M162" s="32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32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32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32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32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32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32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32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32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32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32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32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32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32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32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32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32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32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32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32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69"/>
      <c r="M182" s="32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69"/>
      <c r="M183" s="32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69"/>
      <c r="M184" s="32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69"/>
      <c r="M185" s="32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32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32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32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32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32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32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69"/>
      <c r="M192" s="32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69"/>
      <c r="M193" s="32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32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32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32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32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32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32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69"/>
      <c r="M200" s="32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32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32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32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32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76"/>
      <c r="L205" s="32"/>
      <c r="M205" s="32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76"/>
      <c r="L206" s="32"/>
      <c r="M206" s="32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76"/>
      <c r="L207" s="32"/>
      <c r="M207" s="32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32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32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32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32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32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76"/>
      <c r="L213" s="32"/>
      <c r="M213" s="32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32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32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32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76"/>
      <c r="L217" s="32"/>
      <c r="M217" s="32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76"/>
      <c r="L218" s="32"/>
      <c r="M218" s="32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76"/>
      <c r="L219" s="32"/>
      <c r="M219" s="32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69"/>
      <c r="L220" s="32"/>
      <c r="M220" s="32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69"/>
      <c r="L221" s="32"/>
      <c r="M221" s="32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32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32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32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32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32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76"/>
      <c r="L227" s="32"/>
      <c r="M227" s="32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32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32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69"/>
      <c r="L230" s="32"/>
      <c r="M230" s="32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69"/>
      <c r="L231" s="32"/>
      <c r="M231" s="32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69"/>
      <c r="L232" s="32"/>
      <c r="M232" s="32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76"/>
      <c r="L233" s="32"/>
      <c r="M233" s="32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69"/>
      <c r="M234" s="32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32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69"/>
      <c r="L236" s="32"/>
      <c r="M236" s="32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69"/>
      <c r="L237" s="32"/>
      <c r="M237" s="32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76"/>
      <c r="L238" s="32"/>
      <c r="M238" s="32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69"/>
      <c r="M239" s="32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32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32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69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69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69"/>
      <c r="L245" s="32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76"/>
      <c r="L246" s="32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69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69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69"/>
      <c r="L253" s="32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69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69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69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69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69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10" t="s">
        <v>603</v>
      </c>
      <c r="B2" s="10" t="s">
        <v>603</v>
      </c>
      <c r="C2" s="10" t="s">
        <v>603</v>
      </c>
      <c r="D2" s="10" t="s">
        <v>603</v>
      </c>
      <c r="E2" s="10" t="s">
        <v>603</v>
      </c>
      <c r="F2" s="10" t="s">
        <v>603</v>
      </c>
      <c r="G2" s="10" t="s">
        <v>603</v>
      </c>
      <c r="H2" s="10" t="s">
        <v>603</v>
      </c>
      <c r="I2" s="10" t="s">
        <v>603</v>
      </c>
      <c r="J2" s="7" t="s">
        <v>603</v>
      </c>
      <c r="K2" s="7" t="s">
        <v>603</v>
      </c>
      <c r="L2" s="58">
        <f>SUM(J:K)</f>
        <v>0</v>
      </c>
      <c r="M2" s="2" t="s">
        <v>412</v>
      </c>
      <c r="N2" s="2" t="s">
        <v>413</v>
      </c>
      <c r="O2" s="32">
        <v>-30760.42</v>
      </c>
      <c r="P2" s="32">
        <f>SUM(I:I)</f>
        <v>0</v>
      </c>
      <c r="Q2" s="32">
        <f>SUM(O:O)</f>
        <v>4875.0000000000018</v>
      </c>
      <c r="R2" s="32">
        <f>P2+Q2</f>
        <v>4875.0000000000018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/>
      <c r="B3" s="10"/>
      <c r="C3" s="10"/>
      <c r="D3" s="10"/>
      <c r="E3" s="32"/>
      <c r="F3" s="32"/>
      <c r="G3" s="32"/>
      <c r="H3" s="73"/>
      <c r="I3" s="32"/>
      <c r="J3" s="32"/>
      <c r="K3" s="32"/>
      <c r="L3" s="32"/>
      <c r="M3" s="2" t="s">
        <v>311</v>
      </c>
      <c r="N3" s="2" t="s">
        <v>1389</v>
      </c>
      <c r="O3" s="32">
        <v>9000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/>
      <c r="B4" s="10"/>
      <c r="C4" s="10"/>
      <c r="D4" s="10"/>
      <c r="E4" s="32"/>
      <c r="F4" s="32"/>
      <c r="G4" s="32"/>
      <c r="H4" s="73"/>
      <c r="I4" s="32"/>
      <c r="J4" s="32"/>
      <c r="K4" s="32"/>
      <c r="L4" s="32"/>
      <c r="M4" s="2" t="s">
        <v>541</v>
      </c>
      <c r="N4" s="2" t="s">
        <v>473</v>
      </c>
      <c r="O4" s="32">
        <v>-830</v>
      </c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/>
      <c r="B5" s="10"/>
      <c r="C5" s="10"/>
      <c r="D5" s="10"/>
      <c r="E5" s="32"/>
      <c r="F5" s="32"/>
      <c r="G5" s="32"/>
      <c r="H5" s="73"/>
      <c r="I5" s="32"/>
      <c r="J5" s="32"/>
      <c r="K5" s="32"/>
      <c r="L5" s="32"/>
      <c r="M5" s="2" t="s">
        <v>441</v>
      </c>
      <c r="N5" s="2" t="s">
        <v>1390</v>
      </c>
      <c r="O5" s="32">
        <v>10000</v>
      </c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/>
      <c r="B6" s="46"/>
      <c r="C6" s="10"/>
      <c r="D6" s="10"/>
      <c r="E6" s="32"/>
      <c r="F6" s="32"/>
      <c r="G6" s="32"/>
      <c r="H6" s="73"/>
      <c r="I6" s="32"/>
      <c r="J6" s="32"/>
      <c r="K6" s="32"/>
      <c r="L6" s="32"/>
      <c r="M6" s="2" t="s">
        <v>1391</v>
      </c>
      <c r="N6" s="2" t="s">
        <v>1390</v>
      </c>
      <c r="O6" s="32">
        <v>9000</v>
      </c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/>
      <c r="B7" s="32"/>
      <c r="C7" s="10"/>
      <c r="D7" s="32"/>
      <c r="E7" s="69"/>
      <c r="F7" s="69"/>
      <c r="G7" s="32"/>
      <c r="H7" s="75"/>
      <c r="I7" s="32"/>
      <c r="J7" s="32"/>
      <c r="K7" s="32"/>
      <c r="L7" s="32"/>
      <c r="M7" s="2" t="s">
        <v>683</v>
      </c>
      <c r="N7" s="2" t="s">
        <v>1390</v>
      </c>
      <c r="O7" s="32">
        <v>3750</v>
      </c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/>
      <c r="B8" s="32"/>
      <c r="C8" s="10"/>
      <c r="D8" s="32"/>
      <c r="E8" s="69"/>
      <c r="F8" s="69"/>
      <c r="G8" s="32"/>
      <c r="H8" s="75"/>
      <c r="I8" s="32"/>
      <c r="J8" s="32"/>
      <c r="K8" s="32"/>
      <c r="L8" s="32"/>
      <c r="M8" s="2" t="s">
        <v>683</v>
      </c>
      <c r="N8" s="2" t="s">
        <v>473</v>
      </c>
      <c r="O8" s="32">
        <v>-159.58000000000001</v>
      </c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/>
      <c r="B9" s="10"/>
      <c r="C9" s="10"/>
      <c r="D9" s="10"/>
      <c r="E9" s="32"/>
      <c r="F9" s="32"/>
      <c r="G9" s="32"/>
      <c r="H9" s="73"/>
      <c r="I9" s="32"/>
      <c r="J9" s="32"/>
      <c r="K9" s="32"/>
      <c r="L9" s="32"/>
      <c r="M9" s="2" t="s">
        <v>348</v>
      </c>
      <c r="N9" s="2" t="s">
        <v>1390</v>
      </c>
      <c r="O9" s="32">
        <v>3000</v>
      </c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/>
      <c r="B10" s="10"/>
      <c r="C10" s="10"/>
      <c r="D10" s="10"/>
      <c r="E10" s="32"/>
      <c r="F10" s="32"/>
      <c r="G10" s="32"/>
      <c r="H10" s="73"/>
      <c r="I10" s="32"/>
      <c r="J10" s="32"/>
      <c r="K10" s="32"/>
      <c r="L10" s="32"/>
      <c r="M10" s="2" t="s">
        <v>492</v>
      </c>
      <c r="N10" s="2" t="s">
        <v>1390</v>
      </c>
      <c r="O10" s="32">
        <v>1875</v>
      </c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/>
      <c r="B11" s="10"/>
      <c r="C11" s="10"/>
      <c r="D11" s="10"/>
      <c r="E11" s="32"/>
      <c r="F11" s="32"/>
      <c r="G11" s="32"/>
      <c r="H11" s="73"/>
      <c r="I11" s="32"/>
      <c r="J11" s="32"/>
      <c r="K11" s="32"/>
      <c r="L11" s="32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46"/>
      <c r="C12" s="10"/>
      <c r="D12" s="10"/>
      <c r="E12" s="32"/>
      <c r="F12" s="32"/>
      <c r="G12" s="32"/>
      <c r="H12" s="73"/>
      <c r="I12" s="32"/>
      <c r="J12" s="32"/>
      <c r="K12" s="32"/>
      <c r="L12" s="32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32"/>
      <c r="E13" s="69"/>
      <c r="F13" s="69"/>
      <c r="G13" s="32"/>
      <c r="H13" s="75"/>
      <c r="I13" s="32"/>
      <c r="J13" s="32"/>
      <c r="K13" s="32"/>
      <c r="L13" s="32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69"/>
      <c r="H14" s="75"/>
      <c r="I14" s="69"/>
      <c r="J14" s="32"/>
      <c r="K14" s="32"/>
      <c r="L14" s="32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2"/>
      <c r="E15" s="32"/>
      <c r="F15" s="32"/>
      <c r="G15" s="32"/>
      <c r="H15" s="73"/>
      <c r="I15" s="32"/>
      <c r="J15" s="32"/>
      <c r="K15" s="32"/>
      <c r="L15" s="32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32"/>
      <c r="E16" s="32"/>
      <c r="F16" s="32"/>
      <c r="G16" s="32"/>
      <c r="H16" s="73"/>
      <c r="I16" s="32"/>
      <c r="J16" s="32"/>
      <c r="K16" s="32"/>
      <c r="L16" s="32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32"/>
      <c r="F17" s="32"/>
      <c r="G17" s="32"/>
      <c r="H17" s="73"/>
      <c r="I17" s="32"/>
      <c r="J17" s="32"/>
      <c r="K17" s="32"/>
      <c r="L17" s="32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77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29" t="s">
        <v>35</v>
      </c>
      <c r="C2" s="10" t="s">
        <v>1392</v>
      </c>
      <c r="D2" s="32" t="s">
        <v>1393</v>
      </c>
      <c r="E2" s="69">
        <v>-131360.29999999999</v>
      </c>
      <c r="F2" s="69">
        <v>60282.33</v>
      </c>
      <c r="G2" s="69">
        <f t="shared" ref="G2:G3" si="0">F2*0.7</f>
        <v>42197.631000000001</v>
      </c>
      <c r="H2" s="75">
        <v>0.26985999999999999</v>
      </c>
      <c r="I2" s="69">
        <f>(E2+G2)*H2</f>
        <v>-24061.437856339999</v>
      </c>
      <c r="J2" s="78">
        <f>F2*0.05*H2</f>
        <v>813.38947869000003</v>
      </c>
      <c r="K2" s="61">
        <v>0</v>
      </c>
      <c r="L2" s="61">
        <f>F2*0.13*H2</f>
        <v>2114.8126445940002</v>
      </c>
      <c r="M2" s="58">
        <f>SUM(K:L)</f>
        <v>2104.8937315387502</v>
      </c>
      <c r="N2" s="2" t="s">
        <v>412</v>
      </c>
      <c r="O2" s="2" t="s">
        <v>413</v>
      </c>
      <c r="P2" s="32">
        <v>-166.07</v>
      </c>
      <c r="Q2" s="32">
        <f>SUM(I:I)</f>
        <v>-25902.473901839498</v>
      </c>
      <c r="R2" s="32">
        <f>SUM(P:P)</f>
        <v>-166.07</v>
      </c>
      <c r="S2" s="32">
        <f>Q2+R2</f>
        <v>-26068.543901839497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2" t="s">
        <v>10</v>
      </c>
      <c r="C3" s="10">
        <v>842458</v>
      </c>
      <c r="D3" s="32" t="s">
        <v>1394</v>
      </c>
      <c r="E3" s="69">
        <v>-2427.4</v>
      </c>
      <c r="F3" s="69">
        <v>149.65</v>
      </c>
      <c r="G3" s="69">
        <f t="shared" si="0"/>
        <v>104.755</v>
      </c>
      <c r="H3" s="70">
        <v>0.20533899999999999</v>
      </c>
      <c r="I3" s="69">
        <f>(E3+G3)*H3*0.9</f>
        <v>-429.23664148950002</v>
      </c>
      <c r="J3" s="79" t="s">
        <v>468</v>
      </c>
      <c r="K3" s="61">
        <v>0</v>
      </c>
      <c r="L3" s="61">
        <f>F3*0.05*H3*0.9</f>
        <v>1.3828041607500001</v>
      </c>
      <c r="M3" s="58"/>
      <c r="N3" s="2"/>
      <c r="O3" s="2"/>
      <c r="P3" s="32"/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10" t="s">
        <v>65</v>
      </c>
      <c r="C4" s="10">
        <v>142275</v>
      </c>
      <c r="D4" s="32" t="s">
        <v>1395</v>
      </c>
      <c r="E4" s="32">
        <v>-2045.82</v>
      </c>
      <c r="F4" s="32">
        <v>653.42999999999995</v>
      </c>
      <c r="G4" s="32">
        <f>F4*0.65</f>
        <v>424.72949999999997</v>
      </c>
      <c r="H4" s="75">
        <v>0.26985999999999999</v>
      </c>
      <c r="I4" s="32">
        <f t="shared" ref="I4:I5" si="1">(E4+G4)*H4</f>
        <v>-437.46748233</v>
      </c>
      <c r="J4" s="78" t="s">
        <v>468</v>
      </c>
      <c r="K4" s="61">
        <v>0</v>
      </c>
      <c r="L4" s="61">
        <f>F4*0.2*H4</f>
        <v>35.26692396</v>
      </c>
      <c r="M4" s="71"/>
      <c r="N4" s="2"/>
      <c r="O4" s="2"/>
      <c r="P4" s="32"/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32" t="s">
        <v>317</v>
      </c>
      <c r="B5" s="29" t="s">
        <v>35</v>
      </c>
      <c r="C5" s="10" t="s">
        <v>1392</v>
      </c>
      <c r="D5" s="10" t="s">
        <v>1393</v>
      </c>
      <c r="E5" s="32">
        <v>-1775.78</v>
      </c>
      <c r="F5" s="32">
        <v>497.22</v>
      </c>
      <c r="G5" s="69">
        <f t="shared" ref="G5:G6" si="2">F5*0.7</f>
        <v>348.05399999999997</v>
      </c>
      <c r="H5" s="75">
        <v>0.26644000000000001</v>
      </c>
      <c r="I5" s="69">
        <f t="shared" si="1"/>
        <v>-380.40331544000003</v>
      </c>
      <c r="J5" s="78">
        <f>F5*0.05*H5</f>
        <v>6.6239648400000011</v>
      </c>
      <c r="K5" s="61">
        <v>0</v>
      </c>
      <c r="L5" s="61">
        <f>F5*0.13*H5</f>
        <v>17.222308584000004</v>
      </c>
      <c r="M5" s="71"/>
      <c r="N5" s="2"/>
      <c r="O5" s="2"/>
      <c r="P5" s="32"/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32" t="s">
        <v>317</v>
      </c>
      <c r="B6" s="2" t="s">
        <v>10</v>
      </c>
      <c r="C6" s="10">
        <v>842458</v>
      </c>
      <c r="D6" s="32" t="s">
        <v>1394</v>
      </c>
      <c r="E6" s="69">
        <v>-3357</v>
      </c>
      <c r="F6" s="69">
        <v>213.95</v>
      </c>
      <c r="G6" s="69">
        <f t="shared" si="2"/>
        <v>149.76499999999999</v>
      </c>
      <c r="H6" s="73">
        <v>0.20576</v>
      </c>
      <c r="I6" s="69">
        <f>(E6+G6)*H6*0.9</f>
        <v>-593.92860624000002</v>
      </c>
      <c r="J6" s="79" t="s">
        <v>468</v>
      </c>
      <c r="K6" s="61">
        <f>E6*0.1*H6</f>
        <v>-69.073632000000003</v>
      </c>
      <c r="L6" s="61">
        <f>(F6*0.05+G6*0.1)*H6</f>
        <v>5.2826822399999998</v>
      </c>
      <c r="M6" s="58"/>
      <c r="N6" s="2"/>
      <c r="O6" s="2"/>
      <c r="P6" s="32"/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325</v>
      </c>
      <c r="B7" s="10" t="s">
        <v>468</v>
      </c>
      <c r="C7" s="10" t="s">
        <v>468</v>
      </c>
      <c r="D7" s="46" t="s">
        <v>468</v>
      </c>
      <c r="E7" s="46" t="s">
        <v>468</v>
      </c>
      <c r="F7" s="46" t="s">
        <v>468</v>
      </c>
      <c r="G7" s="46" t="s">
        <v>468</v>
      </c>
      <c r="H7" s="81" t="s">
        <v>468</v>
      </c>
      <c r="I7" s="46" t="s">
        <v>468</v>
      </c>
      <c r="J7" s="79" t="s">
        <v>468</v>
      </c>
      <c r="K7" s="82" t="s">
        <v>468</v>
      </c>
      <c r="L7" s="82" t="s">
        <v>468</v>
      </c>
      <c r="M7" s="58"/>
      <c r="N7" s="2"/>
      <c r="O7" s="2"/>
      <c r="P7" s="32"/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2" t="s">
        <v>332</v>
      </c>
      <c r="B8" s="10" t="s">
        <v>468</v>
      </c>
      <c r="C8" s="10" t="s">
        <v>468</v>
      </c>
      <c r="D8" s="46" t="s">
        <v>468</v>
      </c>
      <c r="E8" s="46" t="s">
        <v>468</v>
      </c>
      <c r="F8" s="46" t="s">
        <v>468</v>
      </c>
      <c r="G8" s="46" t="s">
        <v>468</v>
      </c>
      <c r="H8" s="81" t="s">
        <v>468</v>
      </c>
      <c r="I8" s="46" t="s">
        <v>468</v>
      </c>
      <c r="J8" s="79" t="s">
        <v>468</v>
      </c>
      <c r="K8" s="82" t="s">
        <v>468</v>
      </c>
      <c r="L8" s="82" t="s">
        <v>468</v>
      </c>
      <c r="M8" s="58"/>
      <c r="N8" s="2"/>
      <c r="O8" s="2"/>
      <c r="P8" s="32"/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 t="s">
        <v>340</v>
      </c>
      <c r="B9" s="10" t="s">
        <v>468</v>
      </c>
      <c r="C9" s="10" t="s">
        <v>468</v>
      </c>
      <c r="D9" s="46" t="s">
        <v>468</v>
      </c>
      <c r="E9" s="46" t="s">
        <v>468</v>
      </c>
      <c r="F9" s="46" t="s">
        <v>468</v>
      </c>
      <c r="G9" s="46" t="s">
        <v>468</v>
      </c>
      <c r="H9" s="81" t="s">
        <v>468</v>
      </c>
      <c r="I9" s="46" t="s">
        <v>468</v>
      </c>
      <c r="J9" s="79" t="s">
        <v>468</v>
      </c>
      <c r="K9" s="82" t="s">
        <v>468</v>
      </c>
      <c r="L9" s="82" t="s">
        <v>468</v>
      </c>
      <c r="M9" s="58"/>
      <c r="N9" s="2"/>
      <c r="O9" s="2"/>
      <c r="P9" s="32"/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 t="s">
        <v>359</v>
      </c>
      <c r="B10" s="10" t="s">
        <v>468</v>
      </c>
      <c r="C10" s="10" t="s">
        <v>468</v>
      </c>
      <c r="D10" s="46" t="s">
        <v>468</v>
      </c>
      <c r="E10" s="46" t="s">
        <v>468</v>
      </c>
      <c r="F10" s="46" t="s">
        <v>468</v>
      </c>
      <c r="G10" s="46" t="s">
        <v>468</v>
      </c>
      <c r="H10" s="81" t="s">
        <v>468</v>
      </c>
      <c r="I10" s="46" t="s">
        <v>468</v>
      </c>
      <c r="J10" s="79" t="s">
        <v>468</v>
      </c>
      <c r="K10" s="82" t="s">
        <v>468</v>
      </c>
      <c r="L10" s="82" t="s">
        <v>468</v>
      </c>
      <c r="M10" s="58"/>
      <c r="N10" s="2"/>
      <c r="O10" s="2"/>
      <c r="P10" s="32"/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603</v>
      </c>
      <c r="B11" s="10" t="s">
        <v>603</v>
      </c>
      <c r="C11" s="10" t="s">
        <v>603</v>
      </c>
      <c r="D11" s="10" t="s">
        <v>603</v>
      </c>
      <c r="E11" s="10" t="s">
        <v>603</v>
      </c>
      <c r="F11" s="10" t="s">
        <v>603</v>
      </c>
      <c r="G11" s="10" t="s">
        <v>603</v>
      </c>
      <c r="H11" s="10" t="s">
        <v>603</v>
      </c>
      <c r="I11" s="10" t="s">
        <v>603</v>
      </c>
      <c r="J11" s="100" t="s">
        <v>603</v>
      </c>
      <c r="K11" s="7" t="s">
        <v>603</v>
      </c>
      <c r="L11" s="7" t="s">
        <v>603</v>
      </c>
      <c r="M11" s="58"/>
      <c r="N11" s="2"/>
      <c r="O11" s="2"/>
      <c r="P11" s="32"/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10"/>
      <c r="C12" s="10"/>
      <c r="D12" s="10"/>
      <c r="E12" s="32"/>
      <c r="F12" s="32"/>
      <c r="G12" s="32"/>
      <c r="H12" s="73"/>
      <c r="I12" s="32"/>
      <c r="J12" s="32"/>
      <c r="K12" s="32"/>
      <c r="L12" s="32"/>
      <c r="M12" s="32"/>
      <c r="N12" s="2"/>
      <c r="O12" s="2"/>
      <c r="P12" s="32"/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46"/>
      <c r="C13" s="10"/>
      <c r="D13" s="10"/>
      <c r="E13" s="32"/>
      <c r="F13" s="32"/>
      <c r="G13" s="32"/>
      <c r="H13" s="73"/>
      <c r="I13" s="32"/>
      <c r="J13" s="32"/>
      <c r="K13" s="32"/>
      <c r="L13" s="32"/>
      <c r="M13" s="32"/>
      <c r="N13" s="2"/>
      <c r="O13" s="2"/>
      <c r="P13" s="32"/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32"/>
      <c r="H14" s="75"/>
      <c r="I14" s="32"/>
      <c r="J14" s="32"/>
      <c r="K14" s="32"/>
      <c r="L14" s="32"/>
      <c r="M14" s="32"/>
      <c r="N14" s="2"/>
      <c r="O14" s="2"/>
      <c r="P14" s="32"/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32"/>
      <c r="C15" s="10"/>
      <c r="D15" s="32"/>
      <c r="E15" s="69"/>
      <c r="F15" s="69"/>
      <c r="G15" s="69"/>
      <c r="H15" s="75"/>
      <c r="I15" s="69"/>
      <c r="J15" s="32"/>
      <c r="K15" s="84" t="s">
        <v>1396</v>
      </c>
      <c r="L15" s="32"/>
      <c r="M15" s="32"/>
      <c r="N15" s="2"/>
      <c r="O15" s="2"/>
      <c r="P15" s="32"/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46"/>
      <c r="C16" s="10"/>
      <c r="D16" s="2"/>
      <c r="E16" s="32"/>
      <c r="F16" s="32"/>
      <c r="G16" s="32"/>
      <c r="H16" s="73"/>
      <c r="I16" s="32"/>
      <c r="J16" s="32"/>
      <c r="K16" s="80" t="s">
        <v>498</v>
      </c>
      <c r="L16" s="32"/>
      <c r="M16" s="32"/>
      <c r="N16" s="2"/>
      <c r="O16" s="2"/>
      <c r="P16" s="32"/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10"/>
      <c r="C17" s="10"/>
      <c r="D17" s="32"/>
      <c r="E17" s="32"/>
      <c r="F17" s="32"/>
      <c r="G17" s="32"/>
      <c r="H17" s="73"/>
      <c r="I17" s="32"/>
      <c r="J17" s="32"/>
      <c r="K17" s="32"/>
      <c r="L17" s="32"/>
      <c r="M17" s="32"/>
      <c r="N17" s="2"/>
      <c r="O17" s="2"/>
      <c r="P17" s="32"/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2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32"/>
      <c r="N18" s="2"/>
      <c r="O18" s="2"/>
      <c r="P18" s="32"/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32"/>
      <c r="N19" s="2"/>
      <c r="O19" s="2"/>
      <c r="P19" s="32"/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32"/>
      <c r="N20" s="2"/>
      <c r="O20" s="2"/>
      <c r="P20" s="32"/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32"/>
      <c r="N21" s="2"/>
      <c r="O21" s="2"/>
      <c r="P21" s="32"/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32"/>
      <c r="N22" s="2"/>
      <c r="O22" s="2"/>
      <c r="P22" s="32"/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32"/>
      <c r="N23" s="2"/>
      <c r="O23" s="2"/>
      <c r="P23" s="32"/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32"/>
      <c r="N24" s="2"/>
      <c r="O24" s="2"/>
      <c r="P24" s="32"/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32"/>
      <c r="N25" s="2"/>
      <c r="O25" s="2"/>
      <c r="P25" s="32"/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32"/>
      <c r="N26" s="2"/>
      <c r="O26" s="2"/>
      <c r="P26" s="32"/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32"/>
      <c r="N27" s="2"/>
      <c r="O27" s="2"/>
      <c r="P27" s="32"/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32"/>
      <c r="N28" s="2"/>
      <c r="O28" s="2"/>
      <c r="P28" s="32"/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32"/>
      <c r="N29" s="2"/>
      <c r="O29" s="2"/>
      <c r="P29" s="32"/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32"/>
      <c r="N30" s="2"/>
      <c r="O30" s="2"/>
      <c r="P30" s="32"/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32"/>
      <c r="N31" s="2"/>
      <c r="O31" s="2"/>
      <c r="P31" s="32"/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32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32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32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32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32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32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32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69"/>
      <c r="M39" s="32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69"/>
      <c r="M40" s="32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32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32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32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32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69"/>
      <c r="M45" s="32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32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32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32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32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32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32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32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32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32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32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69"/>
      <c r="M56" s="32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69"/>
      <c r="M57" s="32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32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32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69"/>
      <c r="M60" s="32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32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69"/>
      <c r="M62" s="32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69"/>
      <c r="M63" s="32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69"/>
      <c r="M64" s="32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32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32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69"/>
      <c r="M67" s="32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69"/>
      <c r="M68" s="32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69"/>
      <c r="M69" s="32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69"/>
      <c r="M70" s="32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32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32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69"/>
      <c r="M73" s="32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32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32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32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69"/>
      <c r="M77" s="32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69"/>
      <c r="M78" s="32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32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32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69"/>
      <c r="M81" s="32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69"/>
      <c r="M82" s="32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32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32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69"/>
      <c r="M85" s="32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69"/>
      <c r="M86" s="32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32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32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69"/>
      <c r="M89" s="32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32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32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69"/>
      <c r="M92" s="32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69"/>
      <c r="M93" s="32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32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32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32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69"/>
      <c r="M97" s="32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32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32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69"/>
      <c r="M100" s="32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69"/>
      <c r="M101" s="32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>
        <f>SUM(J2:J100)</f>
        <v>820.01344353000002</v>
      </c>
      <c r="K102" s="32"/>
      <c r="L102" s="32"/>
      <c r="M102" s="32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32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32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32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32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32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69"/>
      <c r="M108" s="32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69"/>
      <c r="M109" s="32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32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69"/>
      <c r="M111" s="32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32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69"/>
      <c r="M113" s="32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32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32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69"/>
      <c r="M116" s="32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69"/>
      <c r="M117" s="32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69"/>
      <c r="M118" s="32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32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32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32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69"/>
      <c r="M122" s="32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69"/>
      <c r="M123" s="32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69"/>
      <c r="M124" s="32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32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32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32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69"/>
      <c r="M128" s="32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32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69"/>
      <c r="M130" s="32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69"/>
      <c r="M131" s="32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32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69"/>
      <c r="M133" s="32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32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32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32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32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32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32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32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32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32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32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69"/>
      <c r="M144" s="32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32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69"/>
      <c r="M146" s="32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32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32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32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32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32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32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32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69"/>
      <c r="M154" s="32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32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32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32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32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32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32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32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69"/>
      <c r="M162" s="32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32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32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32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32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32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32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32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32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32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32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32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32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32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32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32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32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32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32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32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69"/>
      <c r="M182" s="32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69"/>
      <c r="M183" s="32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69"/>
      <c r="M184" s="32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69"/>
      <c r="M185" s="32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32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32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32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32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32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32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69"/>
      <c r="M192" s="32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69"/>
      <c r="M193" s="32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32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32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32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32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32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32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69"/>
      <c r="M200" s="32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32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32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32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32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76"/>
      <c r="L205" s="32"/>
      <c r="M205" s="32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76"/>
      <c r="L206" s="32"/>
      <c r="M206" s="32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76"/>
      <c r="L207" s="32"/>
      <c r="M207" s="32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32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32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32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32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32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76"/>
      <c r="L213" s="32"/>
      <c r="M213" s="32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32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32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32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76"/>
      <c r="L217" s="32"/>
      <c r="M217" s="32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76"/>
      <c r="L218" s="32"/>
      <c r="M218" s="32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76"/>
      <c r="L219" s="32"/>
      <c r="M219" s="32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69"/>
      <c r="L220" s="32"/>
      <c r="M220" s="32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69"/>
      <c r="L221" s="32"/>
      <c r="M221" s="32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32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32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32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32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32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76"/>
      <c r="L227" s="32"/>
      <c r="M227" s="32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32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32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69"/>
      <c r="L230" s="32"/>
      <c r="M230" s="32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69"/>
      <c r="L231" s="32"/>
      <c r="M231" s="32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69"/>
      <c r="L232" s="32"/>
      <c r="M232" s="32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76"/>
      <c r="L233" s="32"/>
      <c r="M233" s="32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69"/>
      <c r="M234" s="32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32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69"/>
      <c r="L236" s="32"/>
      <c r="M236" s="32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69"/>
      <c r="L237" s="32"/>
      <c r="M237" s="32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76"/>
      <c r="L238" s="32"/>
      <c r="M238" s="32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69"/>
      <c r="M239" s="32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32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32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69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69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69"/>
      <c r="L245" s="32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76"/>
      <c r="L246" s="32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69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69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69"/>
      <c r="L253" s="32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69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69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69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69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69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76</v>
      </c>
      <c r="C2" s="10">
        <v>2381696</v>
      </c>
      <c r="D2" s="32" t="s">
        <v>1397</v>
      </c>
      <c r="E2" s="69">
        <v>-4154.6499999999996</v>
      </c>
      <c r="F2" s="69">
        <v>2433.92</v>
      </c>
      <c r="G2" s="69">
        <f t="shared" ref="G2:G3" si="0">F2*0.5</f>
        <v>1216.96</v>
      </c>
      <c r="H2" s="70">
        <v>1</v>
      </c>
      <c r="I2" s="69">
        <f t="shared" ref="I2:I3" si="1">(E2+G2)*H2*0.8</f>
        <v>-2350.1519999999996</v>
      </c>
      <c r="J2" s="58">
        <v>0</v>
      </c>
      <c r="K2" s="58">
        <v>0</v>
      </c>
      <c r="L2" s="58">
        <f>SUM(J:K)</f>
        <v>0</v>
      </c>
      <c r="M2" s="2" t="s">
        <v>412</v>
      </c>
      <c r="N2" s="2" t="s">
        <v>413</v>
      </c>
      <c r="O2" s="32">
        <v>-395.23</v>
      </c>
      <c r="P2" s="32">
        <f>SUM(I:I)</f>
        <v>-2960.3879999999995</v>
      </c>
      <c r="Q2" s="32">
        <f>SUM(O:O)</f>
        <v>2604.77</v>
      </c>
      <c r="R2" s="32">
        <f>P2+Q2</f>
        <v>-355.61799999999948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32" t="s">
        <v>317</v>
      </c>
      <c r="B3" s="32" t="s">
        <v>76</v>
      </c>
      <c r="C3" s="10">
        <v>2381696</v>
      </c>
      <c r="D3" s="32" t="s">
        <v>1397</v>
      </c>
      <c r="E3" s="69">
        <v>-980.68</v>
      </c>
      <c r="F3" s="69">
        <v>435.77</v>
      </c>
      <c r="G3" s="69">
        <f t="shared" si="0"/>
        <v>217.88499999999999</v>
      </c>
      <c r="H3" s="70">
        <v>1</v>
      </c>
      <c r="I3" s="69">
        <f t="shared" si="1"/>
        <v>-610.23599999999999</v>
      </c>
      <c r="J3" s="58">
        <v>0</v>
      </c>
      <c r="K3" s="58">
        <v>0</v>
      </c>
      <c r="L3" s="58"/>
      <c r="M3" s="2" t="s">
        <v>599</v>
      </c>
      <c r="N3" s="2" t="s">
        <v>473</v>
      </c>
      <c r="O3" s="32">
        <v>3000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325</v>
      </c>
      <c r="B4" s="46" t="s">
        <v>468</v>
      </c>
      <c r="C4" s="10" t="s">
        <v>468</v>
      </c>
      <c r="D4" s="46" t="s">
        <v>468</v>
      </c>
      <c r="E4" s="46" t="s">
        <v>468</v>
      </c>
      <c r="F4" s="46" t="s">
        <v>468</v>
      </c>
      <c r="G4" s="46" t="s">
        <v>468</v>
      </c>
      <c r="H4" s="81" t="s">
        <v>468</v>
      </c>
      <c r="I4" s="46" t="s">
        <v>468</v>
      </c>
      <c r="J4" s="82" t="s">
        <v>468</v>
      </c>
      <c r="K4" s="82" t="s">
        <v>468</v>
      </c>
      <c r="L4" s="58"/>
      <c r="M4" s="2"/>
      <c r="N4" s="2"/>
      <c r="O4" s="32"/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332</v>
      </c>
      <c r="B5" s="46" t="s">
        <v>468</v>
      </c>
      <c r="C5" s="10" t="s">
        <v>468</v>
      </c>
      <c r="D5" s="46" t="s">
        <v>468</v>
      </c>
      <c r="E5" s="46" t="s">
        <v>468</v>
      </c>
      <c r="F5" s="46" t="s">
        <v>468</v>
      </c>
      <c r="G5" s="46" t="s">
        <v>468</v>
      </c>
      <c r="H5" s="81" t="s">
        <v>468</v>
      </c>
      <c r="I5" s="46" t="s">
        <v>468</v>
      </c>
      <c r="J5" s="82" t="s">
        <v>468</v>
      </c>
      <c r="K5" s="82" t="s">
        <v>468</v>
      </c>
      <c r="L5" s="58"/>
      <c r="M5" s="2"/>
      <c r="N5" s="2"/>
      <c r="O5" s="32"/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340</v>
      </c>
      <c r="B6" s="46" t="s">
        <v>468</v>
      </c>
      <c r="C6" s="10" t="s">
        <v>468</v>
      </c>
      <c r="D6" s="46" t="s">
        <v>468</v>
      </c>
      <c r="E6" s="46" t="s">
        <v>468</v>
      </c>
      <c r="F6" s="46" t="s">
        <v>468</v>
      </c>
      <c r="G6" s="46" t="s">
        <v>468</v>
      </c>
      <c r="H6" s="81" t="s">
        <v>468</v>
      </c>
      <c r="I6" s="46" t="s">
        <v>468</v>
      </c>
      <c r="J6" s="82" t="s">
        <v>468</v>
      </c>
      <c r="K6" s="82" t="s">
        <v>468</v>
      </c>
      <c r="L6" s="58"/>
      <c r="M6" s="2"/>
      <c r="N6" s="2"/>
      <c r="O6" s="32"/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359</v>
      </c>
      <c r="B7" s="46" t="s">
        <v>468</v>
      </c>
      <c r="C7" s="10" t="s">
        <v>468</v>
      </c>
      <c r="D7" s="46" t="s">
        <v>468</v>
      </c>
      <c r="E7" s="46" t="s">
        <v>468</v>
      </c>
      <c r="F7" s="46" t="s">
        <v>468</v>
      </c>
      <c r="G7" s="46" t="s">
        <v>468</v>
      </c>
      <c r="H7" s="81" t="s">
        <v>468</v>
      </c>
      <c r="I7" s="46" t="s">
        <v>468</v>
      </c>
      <c r="J7" s="82" t="s">
        <v>468</v>
      </c>
      <c r="K7" s="82" t="s">
        <v>468</v>
      </c>
      <c r="L7" s="58"/>
      <c r="M7" s="2"/>
      <c r="N7" s="2"/>
      <c r="O7" s="32"/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2" t="s">
        <v>603</v>
      </c>
      <c r="B8" s="10" t="s">
        <v>603</v>
      </c>
      <c r="C8" s="10" t="s">
        <v>603</v>
      </c>
      <c r="D8" s="10" t="s">
        <v>603</v>
      </c>
      <c r="E8" s="10" t="s">
        <v>603</v>
      </c>
      <c r="F8" s="10" t="s">
        <v>603</v>
      </c>
      <c r="G8" s="10" t="s">
        <v>603</v>
      </c>
      <c r="H8" s="10" t="s">
        <v>603</v>
      </c>
      <c r="I8" s="10" t="s">
        <v>603</v>
      </c>
      <c r="J8" s="7" t="s">
        <v>603</v>
      </c>
      <c r="K8" s="7" t="s">
        <v>603</v>
      </c>
      <c r="L8" s="58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/>
      <c r="B9" s="10"/>
      <c r="C9" s="10"/>
      <c r="D9" s="10"/>
      <c r="E9" s="32"/>
      <c r="F9" s="32"/>
      <c r="G9" s="32"/>
      <c r="H9" s="73"/>
      <c r="I9" s="32"/>
      <c r="J9" s="32"/>
      <c r="K9" s="32"/>
      <c r="L9" s="32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/>
      <c r="B10" s="10"/>
      <c r="C10" s="10"/>
      <c r="D10" s="10"/>
      <c r="E10" s="32"/>
      <c r="F10" s="32"/>
      <c r="G10" s="32"/>
      <c r="H10" s="73"/>
      <c r="I10" s="32"/>
      <c r="J10" s="32"/>
      <c r="K10" s="32"/>
      <c r="L10" s="32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/>
      <c r="B11" s="10"/>
      <c r="C11" s="10"/>
      <c r="D11" s="10"/>
      <c r="E11" s="32"/>
      <c r="F11" s="32"/>
      <c r="G11" s="32"/>
      <c r="H11" s="73"/>
      <c r="I11" s="32"/>
      <c r="J11" s="32"/>
      <c r="K11" s="32"/>
      <c r="L11" s="32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46"/>
      <c r="C12" s="10"/>
      <c r="D12" s="10"/>
      <c r="E12" s="32"/>
      <c r="F12" s="32"/>
      <c r="G12" s="32"/>
      <c r="H12" s="73"/>
      <c r="I12" s="32"/>
      <c r="J12" s="32"/>
      <c r="K12" s="32"/>
      <c r="L12" s="32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32"/>
      <c r="E13" s="69"/>
      <c r="F13" s="69"/>
      <c r="G13" s="32"/>
      <c r="H13" s="75"/>
      <c r="I13" s="32"/>
      <c r="J13" s="32"/>
      <c r="K13" s="32"/>
      <c r="L13" s="32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69"/>
      <c r="H14" s="75"/>
      <c r="I14" s="69"/>
      <c r="J14" s="32"/>
      <c r="K14" s="32"/>
      <c r="L14" s="32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2"/>
      <c r="E15" s="32"/>
      <c r="F15" s="32"/>
      <c r="G15" s="32"/>
      <c r="H15" s="73"/>
      <c r="I15" s="32"/>
      <c r="J15" s="32"/>
      <c r="K15" s="32"/>
      <c r="L15" s="32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32"/>
      <c r="E16" s="32"/>
      <c r="F16" s="32"/>
      <c r="G16" s="32"/>
      <c r="H16" s="73"/>
      <c r="I16" s="32"/>
      <c r="J16" s="32"/>
      <c r="K16" s="32"/>
      <c r="L16" s="32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32"/>
      <c r="F17" s="32"/>
      <c r="G17" s="32"/>
      <c r="H17" s="73"/>
      <c r="I17" s="32"/>
      <c r="J17" s="32"/>
      <c r="K17" s="32"/>
      <c r="L17" s="32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99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10" t="s">
        <v>603</v>
      </c>
      <c r="B2" s="10" t="s">
        <v>603</v>
      </c>
      <c r="C2" s="10" t="s">
        <v>603</v>
      </c>
      <c r="D2" s="10" t="s">
        <v>603</v>
      </c>
      <c r="E2" s="10" t="s">
        <v>603</v>
      </c>
      <c r="F2" s="10" t="s">
        <v>603</v>
      </c>
      <c r="G2" s="10" t="s">
        <v>603</v>
      </c>
      <c r="H2" s="10" t="s">
        <v>603</v>
      </c>
      <c r="I2" s="10" t="s">
        <v>603</v>
      </c>
      <c r="J2" s="7" t="s">
        <v>603</v>
      </c>
      <c r="K2" s="7" t="s">
        <v>603</v>
      </c>
      <c r="L2" s="58">
        <f>SUM(J:K)</f>
        <v>0</v>
      </c>
      <c r="M2" s="2" t="s">
        <v>412</v>
      </c>
      <c r="N2" s="2" t="s">
        <v>413</v>
      </c>
      <c r="O2" s="32">
        <v>241.73</v>
      </c>
      <c r="P2" s="32">
        <f>SUM(I:I)</f>
        <v>0</v>
      </c>
      <c r="Q2" s="32">
        <f>SUM(O:O)</f>
        <v>0</v>
      </c>
      <c r="R2" s="32">
        <f>P2+Q2</f>
        <v>0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/>
      <c r="B3" s="10"/>
      <c r="C3" s="10"/>
      <c r="D3" s="10"/>
      <c r="E3" s="32"/>
      <c r="F3" s="32"/>
      <c r="G3" s="32"/>
      <c r="H3" s="73"/>
      <c r="I3" s="32"/>
      <c r="J3" s="32"/>
      <c r="K3" s="32"/>
      <c r="L3" s="32"/>
      <c r="M3" s="2" t="s">
        <v>295</v>
      </c>
      <c r="N3" s="32" t="s">
        <v>529</v>
      </c>
      <c r="O3" s="32">
        <v>-241.73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/>
      <c r="B4" s="10"/>
      <c r="C4" s="10"/>
      <c r="D4" s="10"/>
      <c r="E4" s="32"/>
      <c r="F4" s="32"/>
      <c r="G4" s="32"/>
      <c r="H4" s="73"/>
      <c r="I4" s="32"/>
      <c r="J4" s="32"/>
      <c r="K4" s="32"/>
      <c r="L4" s="32"/>
      <c r="M4" s="2"/>
      <c r="N4" s="2"/>
      <c r="O4" s="32"/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/>
      <c r="B5" s="10"/>
      <c r="C5" s="10"/>
      <c r="D5" s="10"/>
      <c r="E5" s="32"/>
      <c r="F5" s="32"/>
      <c r="G5" s="32"/>
      <c r="H5" s="73"/>
      <c r="I5" s="32"/>
      <c r="J5" s="32"/>
      <c r="K5" s="32"/>
      <c r="L5" s="32"/>
      <c r="M5" s="2"/>
      <c r="N5" s="2"/>
      <c r="O5" s="32"/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/>
      <c r="B6" s="46"/>
      <c r="C6" s="10"/>
      <c r="D6" s="10"/>
      <c r="E6" s="32"/>
      <c r="F6" s="32"/>
      <c r="G6" s="32"/>
      <c r="H6" s="73"/>
      <c r="I6" s="32"/>
      <c r="J6" s="32"/>
      <c r="K6" s="32"/>
      <c r="L6" s="32"/>
      <c r="M6" s="2"/>
      <c r="N6" s="2"/>
      <c r="O6" s="32"/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/>
      <c r="B7" s="32"/>
      <c r="C7" s="10"/>
      <c r="D7" s="32"/>
      <c r="E7" s="69"/>
      <c r="F7" s="69"/>
      <c r="G7" s="32"/>
      <c r="H7" s="75"/>
      <c r="I7" s="32"/>
      <c r="J7" s="32"/>
      <c r="K7" s="32"/>
      <c r="L7" s="32"/>
      <c r="M7" s="2"/>
      <c r="N7" s="2"/>
      <c r="O7" s="32"/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/>
      <c r="B8" s="32"/>
      <c r="C8" s="10"/>
      <c r="D8" s="32"/>
      <c r="E8" s="69"/>
      <c r="F8" s="69"/>
      <c r="G8" s="32"/>
      <c r="H8" s="75"/>
      <c r="I8" s="32"/>
      <c r="J8" s="32"/>
      <c r="K8" s="32"/>
      <c r="L8" s="32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/>
      <c r="B9" s="10"/>
      <c r="C9" s="10"/>
      <c r="D9" s="10"/>
      <c r="E9" s="32"/>
      <c r="F9" s="32"/>
      <c r="G9" s="32"/>
      <c r="H9" s="73"/>
      <c r="I9" s="32"/>
      <c r="J9" s="32"/>
      <c r="K9" s="32"/>
      <c r="L9" s="32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/>
      <c r="B10" s="10"/>
      <c r="C10" s="10"/>
      <c r="D10" s="10"/>
      <c r="E10" s="32"/>
      <c r="F10" s="32"/>
      <c r="G10" s="32"/>
      <c r="H10" s="73"/>
      <c r="I10" s="32"/>
      <c r="J10" s="32"/>
      <c r="K10" s="32"/>
      <c r="L10" s="32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/>
      <c r="B11" s="10"/>
      <c r="C11" s="10"/>
      <c r="D11" s="10"/>
      <c r="E11" s="32"/>
      <c r="F11" s="32"/>
      <c r="G11" s="32"/>
      <c r="H11" s="73"/>
      <c r="I11" s="32"/>
      <c r="J11" s="32"/>
      <c r="K11" s="32"/>
      <c r="L11" s="32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46"/>
      <c r="C12" s="10"/>
      <c r="D12" s="10"/>
      <c r="E12" s="32"/>
      <c r="F12" s="32"/>
      <c r="G12" s="32"/>
      <c r="H12" s="73"/>
      <c r="I12" s="32"/>
      <c r="J12" s="32"/>
      <c r="K12" s="32"/>
      <c r="L12" s="32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32"/>
      <c r="E13" s="69"/>
      <c r="F13" s="69"/>
      <c r="G13" s="32"/>
      <c r="H13" s="75"/>
      <c r="I13" s="32"/>
      <c r="J13" s="32"/>
      <c r="K13" s="32"/>
      <c r="L13" s="32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69"/>
      <c r="H14" s="75"/>
      <c r="I14" s="69"/>
      <c r="J14" s="32"/>
      <c r="K14" s="32"/>
      <c r="L14" s="32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2"/>
      <c r="E15" s="32"/>
      <c r="F15" s="32"/>
      <c r="G15" s="32"/>
      <c r="H15" s="73"/>
      <c r="I15" s="32"/>
      <c r="J15" s="32"/>
      <c r="K15" s="32"/>
      <c r="L15" s="32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32"/>
      <c r="E16" s="32"/>
      <c r="F16" s="32"/>
      <c r="G16" s="32"/>
      <c r="H16" s="73"/>
      <c r="I16" s="32"/>
      <c r="J16" s="32"/>
      <c r="K16" s="32"/>
      <c r="L16" s="32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32"/>
      <c r="F17" s="32"/>
      <c r="G17" s="32"/>
      <c r="H17" s="73"/>
      <c r="I17" s="32"/>
      <c r="J17" s="32"/>
      <c r="K17" s="32"/>
      <c r="L17" s="32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99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101" t="s">
        <v>401</v>
      </c>
      <c r="F1" s="101" t="s">
        <v>402</v>
      </c>
      <c r="G1" s="101" t="s">
        <v>403</v>
      </c>
      <c r="H1" s="102" t="s">
        <v>404</v>
      </c>
      <c r="I1" s="101" t="s">
        <v>405</v>
      </c>
      <c r="J1" s="103" t="s">
        <v>406</v>
      </c>
      <c r="K1" s="103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296</v>
      </c>
      <c r="B2" s="32" t="s">
        <v>76</v>
      </c>
      <c r="C2" s="10">
        <v>2405990</v>
      </c>
      <c r="D2" s="32" t="s">
        <v>1398</v>
      </c>
      <c r="E2" s="69">
        <v>-16</v>
      </c>
      <c r="F2" s="69">
        <v>1.6</v>
      </c>
      <c r="G2" s="69">
        <f t="shared" ref="G2:G5" si="0">F2*0.55</f>
        <v>0.88000000000000012</v>
      </c>
      <c r="H2" s="70">
        <v>1</v>
      </c>
      <c r="I2" s="69">
        <f t="shared" ref="I2:I144" si="1">(E2+G2)*H2*0.8</f>
        <v>-12.096</v>
      </c>
      <c r="J2" s="61">
        <v>0</v>
      </c>
      <c r="K2" s="61">
        <v>0</v>
      </c>
      <c r="L2" s="58">
        <f>SUM(J:K)</f>
        <v>555.3674679999998</v>
      </c>
      <c r="M2" s="2" t="s">
        <v>412</v>
      </c>
      <c r="N2" s="2" t="s">
        <v>413</v>
      </c>
      <c r="O2" s="32">
        <v>1039.97</v>
      </c>
      <c r="P2" s="32">
        <f>SUM(I:I)</f>
        <v>7203.2847999999994</v>
      </c>
      <c r="Q2" s="32">
        <f>SUM(O:O)</f>
        <v>-7203.28</v>
      </c>
      <c r="R2" s="32">
        <f>P2+Q2</f>
        <v>4.7999999997045961E-3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296</v>
      </c>
      <c r="B3" s="32" t="s">
        <v>76</v>
      </c>
      <c r="C3" s="10">
        <v>2406479</v>
      </c>
      <c r="D3" s="10" t="s">
        <v>1399</v>
      </c>
      <c r="E3" s="69">
        <v>-10</v>
      </c>
      <c r="F3" s="69">
        <v>1</v>
      </c>
      <c r="G3" s="69">
        <f t="shared" si="0"/>
        <v>0.55000000000000004</v>
      </c>
      <c r="H3" s="70">
        <v>1</v>
      </c>
      <c r="I3" s="69">
        <f t="shared" si="1"/>
        <v>-7.56</v>
      </c>
      <c r="J3" s="61">
        <v>0</v>
      </c>
      <c r="K3" s="61">
        <v>0</v>
      </c>
      <c r="L3" s="58"/>
      <c r="M3" s="2" t="s">
        <v>376</v>
      </c>
      <c r="N3" s="2" t="s">
        <v>473</v>
      </c>
      <c r="O3" s="32">
        <v>-5000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296</v>
      </c>
      <c r="B4" s="32" t="s">
        <v>76</v>
      </c>
      <c r="C4" s="10">
        <v>2406828</v>
      </c>
      <c r="D4" s="10" t="s">
        <v>1400</v>
      </c>
      <c r="E4" s="69">
        <v>-32</v>
      </c>
      <c r="F4" s="69">
        <v>3.2</v>
      </c>
      <c r="G4" s="69">
        <f t="shared" si="0"/>
        <v>1.7600000000000002</v>
      </c>
      <c r="H4" s="70">
        <v>1</v>
      </c>
      <c r="I4" s="69">
        <f t="shared" si="1"/>
        <v>-24.192</v>
      </c>
      <c r="J4" s="61">
        <v>0</v>
      </c>
      <c r="K4" s="61">
        <v>0</v>
      </c>
      <c r="L4" s="58"/>
      <c r="M4" s="2" t="s">
        <v>1401</v>
      </c>
      <c r="N4" s="2" t="s">
        <v>529</v>
      </c>
      <c r="O4" s="32">
        <v>-3243.25</v>
      </c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296</v>
      </c>
      <c r="B5" s="32" t="s">
        <v>76</v>
      </c>
      <c r="C5" s="10">
        <v>2407075</v>
      </c>
      <c r="D5" s="10" t="s">
        <v>1402</v>
      </c>
      <c r="E5" s="69">
        <v>-31</v>
      </c>
      <c r="F5" s="69">
        <v>3.1</v>
      </c>
      <c r="G5" s="69">
        <f t="shared" si="0"/>
        <v>1.7050000000000003</v>
      </c>
      <c r="H5" s="70">
        <v>1</v>
      </c>
      <c r="I5" s="69">
        <f t="shared" si="1"/>
        <v>-23.436</v>
      </c>
      <c r="J5" s="61">
        <v>0</v>
      </c>
      <c r="K5" s="61">
        <v>0</v>
      </c>
      <c r="L5" s="58"/>
      <c r="M5" s="2"/>
      <c r="N5" s="2"/>
      <c r="O5" s="32"/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32" t="s">
        <v>317</v>
      </c>
      <c r="B6" s="32" t="s">
        <v>107</v>
      </c>
      <c r="C6" s="10">
        <v>2404538</v>
      </c>
      <c r="D6" s="86" t="s">
        <v>1219</v>
      </c>
      <c r="E6" s="69">
        <v>155.30000000000001</v>
      </c>
      <c r="F6" s="69">
        <v>4</v>
      </c>
      <c r="G6" s="69">
        <f t="shared" ref="G6:G9" si="2">F6*0.6</f>
        <v>2.4</v>
      </c>
      <c r="H6" s="70">
        <v>1</v>
      </c>
      <c r="I6" s="69">
        <f t="shared" si="1"/>
        <v>126.16000000000003</v>
      </c>
      <c r="J6" s="61">
        <f t="shared" ref="J6:J9" si="3">(-F6*0.25*0.04)*H6*0.7+(E6+G6)*H6*0.16</f>
        <v>25.204000000000004</v>
      </c>
      <c r="K6" s="61">
        <f t="shared" ref="K6:K9" si="4">F6*0.15*0.96*H6*0.7+F6*0.02*0.04*H6+F6*0.02*0.96*H6</f>
        <v>0.48319999999999991</v>
      </c>
      <c r="L6" s="58"/>
      <c r="M6" s="2"/>
      <c r="N6" s="2"/>
      <c r="O6" s="32"/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 t="s">
        <v>317</v>
      </c>
      <c r="B7" s="32" t="s">
        <v>107</v>
      </c>
      <c r="C7" s="10">
        <v>2405286</v>
      </c>
      <c r="D7" s="46" t="s">
        <v>1220</v>
      </c>
      <c r="E7" s="69">
        <v>-30</v>
      </c>
      <c r="F7" s="69">
        <v>3</v>
      </c>
      <c r="G7" s="69">
        <f t="shared" si="2"/>
        <v>1.7999999999999998</v>
      </c>
      <c r="H7" s="70">
        <v>1</v>
      </c>
      <c r="I7" s="69">
        <f t="shared" si="1"/>
        <v>-22.560000000000002</v>
      </c>
      <c r="J7" s="61">
        <f t="shared" si="3"/>
        <v>-4.5329999999999995</v>
      </c>
      <c r="K7" s="61">
        <f t="shared" si="4"/>
        <v>0.36239999999999994</v>
      </c>
      <c r="L7" s="58"/>
      <c r="M7" s="2"/>
      <c r="N7" s="2"/>
      <c r="O7" s="32"/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317</v>
      </c>
      <c r="B8" s="32" t="s">
        <v>107</v>
      </c>
      <c r="C8" s="10">
        <v>2405626</v>
      </c>
      <c r="D8" s="46" t="s">
        <v>1221</v>
      </c>
      <c r="E8" s="69">
        <v>-50</v>
      </c>
      <c r="F8" s="69">
        <v>5</v>
      </c>
      <c r="G8" s="69">
        <f t="shared" si="2"/>
        <v>3</v>
      </c>
      <c r="H8" s="70">
        <v>1</v>
      </c>
      <c r="I8" s="69">
        <f t="shared" si="1"/>
        <v>-37.6</v>
      </c>
      <c r="J8" s="61">
        <f t="shared" si="3"/>
        <v>-7.5550000000000006</v>
      </c>
      <c r="K8" s="61">
        <f t="shared" si="4"/>
        <v>0.60399999999999998</v>
      </c>
      <c r="L8" s="58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 t="s">
        <v>317</v>
      </c>
      <c r="B9" s="32" t="s">
        <v>107</v>
      </c>
      <c r="C9" s="10">
        <v>2409185</v>
      </c>
      <c r="D9" s="10" t="s">
        <v>1222</v>
      </c>
      <c r="E9" s="69">
        <v>-20</v>
      </c>
      <c r="F9" s="69">
        <v>2</v>
      </c>
      <c r="G9" s="69">
        <f t="shared" si="2"/>
        <v>1.2</v>
      </c>
      <c r="H9" s="70">
        <v>1</v>
      </c>
      <c r="I9" s="69">
        <f t="shared" si="1"/>
        <v>-15.040000000000001</v>
      </c>
      <c r="J9" s="61">
        <f t="shared" si="3"/>
        <v>-3.0219999999999998</v>
      </c>
      <c r="K9" s="61">
        <f t="shared" si="4"/>
        <v>0.24159999999999995</v>
      </c>
      <c r="L9" s="58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 t="s">
        <v>317</v>
      </c>
      <c r="B10" s="32" t="s">
        <v>76</v>
      </c>
      <c r="C10" s="10">
        <v>2405990</v>
      </c>
      <c r="D10" s="10" t="s">
        <v>1398</v>
      </c>
      <c r="E10" s="69">
        <v>-53.07</v>
      </c>
      <c r="F10" s="69">
        <v>7.8</v>
      </c>
      <c r="G10" s="69">
        <f t="shared" ref="G10:G13" si="5">F10*0.55</f>
        <v>4.29</v>
      </c>
      <c r="H10" s="70">
        <v>1</v>
      </c>
      <c r="I10" s="69">
        <f t="shared" si="1"/>
        <v>-39.024000000000001</v>
      </c>
      <c r="J10" s="61">
        <v>0</v>
      </c>
      <c r="K10" s="61">
        <v>0</v>
      </c>
      <c r="L10" s="58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 t="s">
        <v>317</v>
      </c>
      <c r="B11" s="32" t="s">
        <v>76</v>
      </c>
      <c r="C11" s="10">
        <v>2406479</v>
      </c>
      <c r="D11" s="10" t="s">
        <v>1399</v>
      </c>
      <c r="E11" s="69">
        <v>235.67</v>
      </c>
      <c r="F11" s="69">
        <v>4.2</v>
      </c>
      <c r="G11" s="69">
        <f t="shared" si="5"/>
        <v>2.3100000000000005</v>
      </c>
      <c r="H11" s="70">
        <v>1</v>
      </c>
      <c r="I11" s="69">
        <f t="shared" si="1"/>
        <v>190.38400000000001</v>
      </c>
      <c r="J11" s="61">
        <v>0</v>
      </c>
      <c r="K11" s="61">
        <v>0</v>
      </c>
      <c r="L11" s="58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 t="s">
        <v>317</v>
      </c>
      <c r="B12" s="32" t="s">
        <v>76</v>
      </c>
      <c r="C12" s="10">
        <v>2406828</v>
      </c>
      <c r="D12" s="10" t="s">
        <v>1400</v>
      </c>
      <c r="E12" s="69">
        <v>-26</v>
      </c>
      <c r="F12" s="69">
        <v>2.6</v>
      </c>
      <c r="G12" s="69">
        <f t="shared" si="5"/>
        <v>1.4300000000000002</v>
      </c>
      <c r="H12" s="70">
        <v>1</v>
      </c>
      <c r="I12" s="69">
        <f t="shared" si="1"/>
        <v>-19.656000000000002</v>
      </c>
      <c r="J12" s="61">
        <v>0</v>
      </c>
      <c r="K12" s="61">
        <v>0</v>
      </c>
      <c r="L12" s="58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 t="s">
        <v>317</v>
      </c>
      <c r="B13" s="32" t="s">
        <v>76</v>
      </c>
      <c r="C13" s="10">
        <v>2407075</v>
      </c>
      <c r="D13" s="32" t="s">
        <v>1402</v>
      </c>
      <c r="E13" s="69">
        <v>-62</v>
      </c>
      <c r="F13" s="69">
        <v>6.2</v>
      </c>
      <c r="G13" s="69">
        <f t="shared" si="5"/>
        <v>3.4100000000000006</v>
      </c>
      <c r="H13" s="70">
        <v>1</v>
      </c>
      <c r="I13" s="69">
        <f t="shared" si="1"/>
        <v>-46.872</v>
      </c>
      <c r="J13" s="61">
        <v>0</v>
      </c>
      <c r="K13" s="61">
        <v>0</v>
      </c>
      <c r="L13" s="58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 t="s">
        <v>325</v>
      </c>
      <c r="B14" s="32" t="s">
        <v>107</v>
      </c>
      <c r="C14" s="10">
        <v>2404538</v>
      </c>
      <c r="D14" s="86" t="s">
        <v>1219</v>
      </c>
      <c r="E14" s="69">
        <v>156.4</v>
      </c>
      <c r="F14" s="69">
        <v>2</v>
      </c>
      <c r="G14" s="69">
        <f t="shared" ref="G14:G16" si="6">F14*0.6</f>
        <v>1.2</v>
      </c>
      <c r="H14" s="70">
        <v>1</v>
      </c>
      <c r="I14" s="69">
        <f t="shared" si="1"/>
        <v>126.08</v>
      </c>
      <c r="J14" s="61">
        <f t="shared" ref="J14:J16" si="7">(-F14*0.25*0.04)*H14*0.7+(E14+G14)*H14*0.16</f>
        <v>25.202000000000002</v>
      </c>
      <c r="K14" s="61">
        <f t="shared" ref="K14:K16" si="8">F14*0.15*0.96*H14*0.7+F14*0.02*0.04*H14+F14*0.02*0.96*H14</f>
        <v>0.24159999999999995</v>
      </c>
      <c r="L14" s="58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 t="s">
        <v>325</v>
      </c>
      <c r="B15" s="32" t="s">
        <v>107</v>
      </c>
      <c r="C15" s="10">
        <v>2405286</v>
      </c>
      <c r="D15" s="46" t="s">
        <v>1220</v>
      </c>
      <c r="E15" s="69">
        <v>31.97</v>
      </c>
      <c r="F15" s="69">
        <v>2</v>
      </c>
      <c r="G15" s="69">
        <f t="shared" si="6"/>
        <v>1.2</v>
      </c>
      <c r="H15" s="70">
        <v>1</v>
      </c>
      <c r="I15" s="69">
        <f t="shared" si="1"/>
        <v>26.536000000000001</v>
      </c>
      <c r="J15" s="61">
        <f t="shared" si="7"/>
        <v>5.2932000000000006</v>
      </c>
      <c r="K15" s="61">
        <f t="shared" si="8"/>
        <v>0.24159999999999995</v>
      </c>
      <c r="L15" s="58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 t="s">
        <v>325</v>
      </c>
      <c r="B16" s="32" t="s">
        <v>107</v>
      </c>
      <c r="C16" s="10">
        <v>2405626</v>
      </c>
      <c r="D16" s="46" t="s">
        <v>1221</v>
      </c>
      <c r="E16" s="69">
        <v>92.3</v>
      </c>
      <c r="F16" s="69">
        <v>4</v>
      </c>
      <c r="G16" s="69">
        <f t="shared" si="6"/>
        <v>2.4</v>
      </c>
      <c r="H16" s="70">
        <v>1</v>
      </c>
      <c r="I16" s="69">
        <f t="shared" si="1"/>
        <v>75.760000000000005</v>
      </c>
      <c r="J16" s="61">
        <f t="shared" si="7"/>
        <v>15.124000000000001</v>
      </c>
      <c r="K16" s="61">
        <f t="shared" si="8"/>
        <v>0.48319999999999991</v>
      </c>
      <c r="L16" s="58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 t="s">
        <v>325</v>
      </c>
      <c r="B17" s="32" t="s">
        <v>76</v>
      </c>
      <c r="C17" s="10">
        <v>2405990</v>
      </c>
      <c r="D17" s="10" t="s">
        <v>1398</v>
      </c>
      <c r="E17" s="69">
        <v>-1.63</v>
      </c>
      <c r="F17" s="69">
        <v>3.2</v>
      </c>
      <c r="G17" s="69">
        <f t="shared" ref="G17:G20" si="9">F17*0.55</f>
        <v>1.7600000000000002</v>
      </c>
      <c r="H17" s="70">
        <v>1</v>
      </c>
      <c r="I17" s="69">
        <f t="shared" si="1"/>
        <v>0.10400000000000027</v>
      </c>
      <c r="J17" s="61">
        <v>0</v>
      </c>
      <c r="K17" s="61">
        <v>0</v>
      </c>
      <c r="L17" s="58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 t="s">
        <v>325</v>
      </c>
      <c r="B18" s="32" t="s">
        <v>76</v>
      </c>
      <c r="C18" s="10">
        <v>2406479</v>
      </c>
      <c r="D18" s="10" t="s">
        <v>1399</v>
      </c>
      <c r="E18" s="69">
        <v>-32</v>
      </c>
      <c r="F18" s="69">
        <v>3.2</v>
      </c>
      <c r="G18" s="69">
        <f t="shared" si="9"/>
        <v>1.7600000000000002</v>
      </c>
      <c r="H18" s="70">
        <v>1</v>
      </c>
      <c r="I18" s="69">
        <f t="shared" si="1"/>
        <v>-24.192</v>
      </c>
      <c r="J18" s="61">
        <v>0</v>
      </c>
      <c r="K18" s="61">
        <v>0</v>
      </c>
      <c r="L18" s="58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 t="s">
        <v>325</v>
      </c>
      <c r="B19" s="32" t="s">
        <v>76</v>
      </c>
      <c r="C19" s="10">
        <v>2406828</v>
      </c>
      <c r="D19" s="10" t="s">
        <v>1400</v>
      </c>
      <c r="E19" s="69">
        <v>35.33</v>
      </c>
      <c r="F19" s="69">
        <v>3.2</v>
      </c>
      <c r="G19" s="69">
        <f t="shared" si="9"/>
        <v>1.7600000000000002</v>
      </c>
      <c r="H19" s="70">
        <v>1</v>
      </c>
      <c r="I19" s="69">
        <f t="shared" si="1"/>
        <v>29.671999999999997</v>
      </c>
      <c r="J19" s="61">
        <v>0</v>
      </c>
      <c r="K19" s="61">
        <v>0</v>
      </c>
      <c r="L19" s="58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32" t="s">
        <v>325</v>
      </c>
      <c r="B20" s="32" t="s">
        <v>76</v>
      </c>
      <c r="C20" s="10">
        <v>2407075</v>
      </c>
      <c r="D20" s="32" t="s">
        <v>1402</v>
      </c>
      <c r="E20" s="69">
        <v>227.07</v>
      </c>
      <c r="F20" s="69">
        <v>5.2</v>
      </c>
      <c r="G20" s="69">
        <f t="shared" si="9"/>
        <v>2.8600000000000003</v>
      </c>
      <c r="H20" s="70">
        <v>1</v>
      </c>
      <c r="I20" s="69">
        <f t="shared" si="1"/>
        <v>183.94400000000002</v>
      </c>
      <c r="J20" s="61">
        <v>0</v>
      </c>
      <c r="K20" s="61">
        <v>0</v>
      </c>
      <c r="L20" s="58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32" t="s">
        <v>332</v>
      </c>
      <c r="B21" s="2" t="s">
        <v>107</v>
      </c>
      <c r="C21" s="10">
        <v>2404538</v>
      </c>
      <c r="D21" s="32" t="s">
        <v>1219</v>
      </c>
      <c r="E21" s="69">
        <v>-20</v>
      </c>
      <c r="F21" s="69">
        <v>2</v>
      </c>
      <c r="G21" s="69">
        <f t="shared" ref="G21:G24" si="10">F21*0.6</f>
        <v>1.2</v>
      </c>
      <c r="H21" s="70">
        <v>1</v>
      </c>
      <c r="I21" s="69">
        <f t="shared" si="1"/>
        <v>-15.040000000000001</v>
      </c>
      <c r="J21" s="61">
        <f t="shared" ref="J21:J24" si="11">(-F21*0.25*0.04)*H21*0.7+(E21+G21)*H21*0.16</f>
        <v>-3.0219999999999998</v>
      </c>
      <c r="K21" s="61">
        <f t="shared" ref="K21:K24" si="12">F21*0.15*0.96*H21*0.7+F21*0.02*0.04*H21+F21*0.02*0.96*H21</f>
        <v>0.24159999999999995</v>
      </c>
      <c r="L21" s="58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32" t="s">
        <v>332</v>
      </c>
      <c r="B22" s="2" t="s">
        <v>107</v>
      </c>
      <c r="C22" s="10">
        <v>2405286</v>
      </c>
      <c r="D22" s="2" t="s">
        <v>1220</v>
      </c>
      <c r="E22" s="69">
        <v>167.2</v>
      </c>
      <c r="F22" s="69">
        <v>2</v>
      </c>
      <c r="G22" s="69">
        <f t="shared" si="10"/>
        <v>1.2</v>
      </c>
      <c r="H22" s="70">
        <v>1</v>
      </c>
      <c r="I22" s="69">
        <f t="shared" si="1"/>
        <v>134.72</v>
      </c>
      <c r="J22" s="61">
        <f t="shared" si="11"/>
        <v>26.929999999999996</v>
      </c>
      <c r="K22" s="61">
        <f t="shared" si="12"/>
        <v>0.24159999999999995</v>
      </c>
      <c r="L22" s="58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32" t="s">
        <v>332</v>
      </c>
      <c r="B23" s="2" t="s">
        <v>107</v>
      </c>
      <c r="C23" s="10">
        <v>2405626</v>
      </c>
      <c r="D23" s="32" t="s">
        <v>1221</v>
      </c>
      <c r="E23" s="69">
        <v>48.31</v>
      </c>
      <c r="F23" s="69">
        <v>2</v>
      </c>
      <c r="G23" s="69">
        <f t="shared" si="10"/>
        <v>1.2</v>
      </c>
      <c r="H23" s="70">
        <v>1</v>
      </c>
      <c r="I23" s="69">
        <f t="shared" si="1"/>
        <v>39.608000000000004</v>
      </c>
      <c r="J23" s="61">
        <f t="shared" si="11"/>
        <v>7.9076000000000004</v>
      </c>
      <c r="K23" s="61">
        <f t="shared" si="12"/>
        <v>0.24159999999999995</v>
      </c>
      <c r="L23" s="58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32" t="s">
        <v>332</v>
      </c>
      <c r="B24" s="2" t="s">
        <v>107</v>
      </c>
      <c r="C24" s="10">
        <v>2409185</v>
      </c>
      <c r="D24" s="32" t="s">
        <v>1222</v>
      </c>
      <c r="E24" s="69">
        <v>-20</v>
      </c>
      <c r="F24" s="69">
        <v>2</v>
      </c>
      <c r="G24" s="69">
        <f t="shared" si="10"/>
        <v>1.2</v>
      </c>
      <c r="H24" s="70">
        <v>1</v>
      </c>
      <c r="I24" s="69">
        <f t="shared" si="1"/>
        <v>-15.040000000000001</v>
      </c>
      <c r="J24" s="61">
        <f t="shared" si="11"/>
        <v>-3.0219999999999998</v>
      </c>
      <c r="K24" s="61">
        <f t="shared" si="12"/>
        <v>0.24159999999999995</v>
      </c>
      <c r="L24" s="58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 t="s">
        <v>332</v>
      </c>
      <c r="B25" s="2" t="s">
        <v>76</v>
      </c>
      <c r="C25" s="10">
        <v>2405990</v>
      </c>
      <c r="D25" s="10" t="s">
        <v>1398</v>
      </c>
      <c r="E25" s="69">
        <v>-36</v>
      </c>
      <c r="F25" s="69">
        <v>3.6</v>
      </c>
      <c r="G25" s="69">
        <f t="shared" ref="G25:G28" si="13">F25*0.55</f>
        <v>1.9800000000000002</v>
      </c>
      <c r="H25" s="70">
        <v>1</v>
      </c>
      <c r="I25" s="69">
        <f t="shared" si="1"/>
        <v>-27.216000000000005</v>
      </c>
      <c r="J25" s="61">
        <v>0</v>
      </c>
      <c r="K25" s="61">
        <v>0</v>
      </c>
      <c r="L25" s="58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 t="s">
        <v>332</v>
      </c>
      <c r="B26" s="2" t="s">
        <v>76</v>
      </c>
      <c r="C26" s="10">
        <v>2406479</v>
      </c>
      <c r="D26" s="10" t="s">
        <v>1399</v>
      </c>
      <c r="E26" s="69">
        <v>-48</v>
      </c>
      <c r="F26" s="69">
        <v>4.8</v>
      </c>
      <c r="G26" s="69">
        <f t="shared" si="13"/>
        <v>2.64</v>
      </c>
      <c r="H26" s="70">
        <v>1</v>
      </c>
      <c r="I26" s="69">
        <f t="shared" si="1"/>
        <v>-36.288000000000004</v>
      </c>
      <c r="J26" s="61">
        <v>0</v>
      </c>
      <c r="K26" s="61">
        <v>0</v>
      </c>
      <c r="L26" s="58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 t="s">
        <v>332</v>
      </c>
      <c r="B27" s="2" t="s">
        <v>76</v>
      </c>
      <c r="C27" s="10">
        <v>2406828</v>
      </c>
      <c r="D27" s="32" t="s">
        <v>1400</v>
      </c>
      <c r="E27" s="69">
        <v>119.7</v>
      </c>
      <c r="F27" s="69">
        <v>3.6</v>
      </c>
      <c r="G27" s="69">
        <f t="shared" si="13"/>
        <v>1.9800000000000002</v>
      </c>
      <c r="H27" s="70">
        <v>1</v>
      </c>
      <c r="I27" s="69">
        <f t="shared" si="1"/>
        <v>97.344000000000008</v>
      </c>
      <c r="J27" s="61">
        <v>0</v>
      </c>
      <c r="K27" s="61">
        <v>0</v>
      </c>
      <c r="L27" s="58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 t="s">
        <v>332</v>
      </c>
      <c r="B28" s="2" t="s">
        <v>76</v>
      </c>
      <c r="C28" s="10">
        <v>2407075</v>
      </c>
      <c r="D28" s="10" t="s">
        <v>1402</v>
      </c>
      <c r="E28" s="69">
        <v>260.01</v>
      </c>
      <c r="F28" s="69">
        <v>4.8</v>
      </c>
      <c r="G28" s="69">
        <f t="shared" si="13"/>
        <v>2.64</v>
      </c>
      <c r="H28" s="70">
        <v>1</v>
      </c>
      <c r="I28" s="69">
        <f t="shared" si="1"/>
        <v>210.12</v>
      </c>
      <c r="J28" s="61">
        <v>0</v>
      </c>
      <c r="K28" s="61">
        <v>0</v>
      </c>
      <c r="L28" s="58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 t="s">
        <v>340</v>
      </c>
      <c r="B29" s="2" t="s">
        <v>107</v>
      </c>
      <c r="C29" s="10">
        <v>2319777</v>
      </c>
      <c r="D29" s="10" t="s">
        <v>1273</v>
      </c>
      <c r="E29" s="69">
        <v>-75</v>
      </c>
      <c r="F29" s="69">
        <v>7.5</v>
      </c>
      <c r="G29" s="69">
        <f t="shared" ref="G29:G33" si="14">F29*0.6</f>
        <v>4.5</v>
      </c>
      <c r="H29" s="70">
        <v>1</v>
      </c>
      <c r="I29" s="69">
        <f t="shared" si="1"/>
        <v>-56.400000000000006</v>
      </c>
      <c r="J29" s="61">
        <f t="shared" ref="J29:J33" si="15">(-F29*0.25*0.04)*H29*0.7+(E29+G29)*H29*0.16</f>
        <v>-11.3325</v>
      </c>
      <c r="K29" s="61">
        <f t="shared" ref="K29:K33" si="16">F29*0.15*0.96*H29*0.7+F29*0.02*0.04*H29+F29*0.02*0.96*H29</f>
        <v>0.90600000000000003</v>
      </c>
      <c r="L29" s="58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 t="s">
        <v>340</v>
      </c>
      <c r="B30" s="2" t="s">
        <v>107</v>
      </c>
      <c r="C30" s="10">
        <v>2405626</v>
      </c>
      <c r="D30" s="10" t="s">
        <v>1221</v>
      </c>
      <c r="E30" s="69">
        <v>-20</v>
      </c>
      <c r="F30" s="69">
        <v>2</v>
      </c>
      <c r="G30" s="69">
        <f t="shared" si="14"/>
        <v>1.2</v>
      </c>
      <c r="H30" s="70">
        <v>1</v>
      </c>
      <c r="I30" s="69">
        <f t="shared" si="1"/>
        <v>-15.040000000000001</v>
      </c>
      <c r="J30" s="61">
        <f t="shared" si="15"/>
        <v>-3.0219999999999998</v>
      </c>
      <c r="K30" s="61">
        <f t="shared" si="16"/>
        <v>0.24159999999999995</v>
      </c>
      <c r="L30" s="58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 t="s">
        <v>340</v>
      </c>
      <c r="B31" s="2" t="s">
        <v>107</v>
      </c>
      <c r="C31" s="10">
        <v>2409185</v>
      </c>
      <c r="D31" s="32" t="s">
        <v>1222</v>
      </c>
      <c r="E31" s="69">
        <v>-20</v>
      </c>
      <c r="F31" s="69">
        <v>2</v>
      </c>
      <c r="G31" s="69">
        <f t="shared" si="14"/>
        <v>1.2</v>
      </c>
      <c r="H31" s="70">
        <v>1</v>
      </c>
      <c r="I31" s="69">
        <f t="shared" si="1"/>
        <v>-15.040000000000001</v>
      </c>
      <c r="J31" s="61">
        <f t="shared" si="15"/>
        <v>-3.0219999999999998</v>
      </c>
      <c r="K31" s="61">
        <f t="shared" si="16"/>
        <v>0.24159999999999995</v>
      </c>
      <c r="L31" s="58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 t="s">
        <v>340</v>
      </c>
      <c r="B32" s="2" t="s">
        <v>107</v>
      </c>
      <c r="C32" s="10">
        <v>2471817</v>
      </c>
      <c r="D32" s="32" t="s">
        <v>1274</v>
      </c>
      <c r="E32" s="69">
        <v>-2.5</v>
      </c>
      <c r="F32" s="69">
        <v>2.5</v>
      </c>
      <c r="G32" s="69">
        <f t="shared" si="14"/>
        <v>1.5</v>
      </c>
      <c r="H32" s="70">
        <v>1</v>
      </c>
      <c r="I32" s="69">
        <f t="shared" si="1"/>
        <v>-0.8</v>
      </c>
      <c r="J32" s="61">
        <f t="shared" si="15"/>
        <v>-0.17749999999999999</v>
      </c>
      <c r="K32" s="61">
        <f t="shared" si="16"/>
        <v>0.30199999999999999</v>
      </c>
      <c r="L32" s="58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2" t="s">
        <v>340</v>
      </c>
      <c r="B33" s="2" t="s">
        <v>107</v>
      </c>
      <c r="C33" s="10">
        <v>2496019</v>
      </c>
      <c r="D33" s="32" t="s">
        <v>1275</v>
      </c>
      <c r="E33" s="69">
        <v>-25</v>
      </c>
      <c r="F33" s="69">
        <v>2.5</v>
      </c>
      <c r="G33" s="69">
        <f t="shared" si="14"/>
        <v>1.5</v>
      </c>
      <c r="H33" s="70">
        <v>1</v>
      </c>
      <c r="I33" s="69">
        <f t="shared" si="1"/>
        <v>-18.8</v>
      </c>
      <c r="J33" s="61">
        <f t="shared" si="15"/>
        <v>-3.7775000000000003</v>
      </c>
      <c r="K33" s="61">
        <f t="shared" si="16"/>
        <v>0.30199999999999999</v>
      </c>
      <c r="L33" s="58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2" t="s">
        <v>340</v>
      </c>
      <c r="B34" s="2" t="s">
        <v>76</v>
      </c>
      <c r="C34" s="10">
        <v>2319730</v>
      </c>
      <c r="D34" s="32" t="s">
        <v>1403</v>
      </c>
      <c r="E34" s="69">
        <v>35.93</v>
      </c>
      <c r="F34" s="69">
        <v>1.6</v>
      </c>
      <c r="G34" s="69">
        <f t="shared" ref="G34:G41" si="17">F34*0.55</f>
        <v>0.88000000000000012</v>
      </c>
      <c r="H34" s="70">
        <v>1</v>
      </c>
      <c r="I34" s="69">
        <f t="shared" si="1"/>
        <v>29.448000000000004</v>
      </c>
      <c r="J34" s="61">
        <v>0</v>
      </c>
      <c r="K34" s="61">
        <v>0</v>
      </c>
      <c r="L34" s="58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2" t="s">
        <v>340</v>
      </c>
      <c r="B35" s="2" t="s">
        <v>76</v>
      </c>
      <c r="C35" s="10">
        <v>2405990</v>
      </c>
      <c r="D35" s="32" t="s">
        <v>1398</v>
      </c>
      <c r="E35" s="69">
        <v>-52</v>
      </c>
      <c r="F35" s="69">
        <v>5.2</v>
      </c>
      <c r="G35" s="69">
        <f t="shared" si="17"/>
        <v>2.8600000000000003</v>
      </c>
      <c r="H35" s="70">
        <v>1</v>
      </c>
      <c r="I35" s="69">
        <f t="shared" si="1"/>
        <v>-39.312000000000005</v>
      </c>
      <c r="J35" s="61">
        <v>0</v>
      </c>
      <c r="K35" s="61">
        <v>0</v>
      </c>
      <c r="L35" s="58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2" t="s">
        <v>340</v>
      </c>
      <c r="B36" s="2" t="s">
        <v>76</v>
      </c>
      <c r="C36" s="10">
        <v>2406479</v>
      </c>
      <c r="D36" s="32" t="s">
        <v>1399</v>
      </c>
      <c r="E36" s="69">
        <v>-92</v>
      </c>
      <c r="F36" s="69">
        <v>9.1999999999999993</v>
      </c>
      <c r="G36" s="69">
        <f t="shared" si="17"/>
        <v>5.0599999999999996</v>
      </c>
      <c r="H36" s="70">
        <v>1</v>
      </c>
      <c r="I36" s="69">
        <f t="shared" si="1"/>
        <v>-69.552000000000007</v>
      </c>
      <c r="J36" s="61">
        <v>0</v>
      </c>
      <c r="K36" s="61">
        <v>0</v>
      </c>
      <c r="L36" s="58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2" t="s">
        <v>340</v>
      </c>
      <c r="B37" s="2" t="s">
        <v>76</v>
      </c>
      <c r="C37" s="10">
        <v>2406828</v>
      </c>
      <c r="D37" s="32" t="s">
        <v>1400</v>
      </c>
      <c r="E37" s="69">
        <v>35.93</v>
      </c>
      <c r="F37" s="69">
        <v>1.6</v>
      </c>
      <c r="G37" s="69">
        <f t="shared" si="17"/>
        <v>0.88000000000000012</v>
      </c>
      <c r="H37" s="70">
        <v>1</v>
      </c>
      <c r="I37" s="69">
        <f t="shared" si="1"/>
        <v>29.448000000000004</v>
      </c>
      <c r="J37" s="61">
        <v>0</v>
      </c>
      <c r="K37" s="61">
        <v>0</v>
      </c>
      <c r="L37" s="58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2" t="s">
        <v>340</v>
      </c>
      <c r="B38" s="2" t="s">
        <v>76</v>
      </c>
      <c r="C38" s="10">
        <v>2407075</v>
      </c>
      <c r="D38" s="10" t="s">
        <v>1402</v>
      </c>
      <c r="E38" s="69">
        <v>59.96</v>
      </c>
      <c r="F38" s="69">
        <v>3.6</v>
      </c>
      <c r="G38" s="69">
        <f t="shared" si="17"/>
        <v>1.9800000000000002</v>
      </c>
      <c r="H38" s="70">
        <v>1</v>
      </c>
      <c r="I38" s="69">
        <f t="shared" si="1"/>
        <v>49.552</v>
      </c>
      <c r="J38" s="61">
        <v>0</v>
      </c>
      <c r="K38" s="61">
        <v>0</v>
      </c>
      <c r="L38" s="58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" t="s">
        <v>340</v>
      </c>
      <c r="B39" s="2" t="s">
        <v>76</v>
      </c>
      <c r="C39" s="10">
        <v>2471825</v>
      </c>
      <c r="D39" s="32" t="s">
        <v>1404</v>
      </c>
      <c r="E39" s="69">
        <v>-52</v>
      </c>
      <c r="F39" s="69">
        <v>5.2</v>
      </c>
      <c r="G39" s="69">
        <f t="shared" si="17"/>
        <v>2.8600000000000003</v>
      </c>
      <c r="H39" s="70">
        <v>1</v>
      </c>
      <c r="I39" s="69">
        <f t="shared" si="1"/>
        <v>-39.312000000000005</v>
      </c>
      <c r="J39" s="61">
        <v>0</v>
      </c>
      <c r="K39" s="61">
        <v>0</v>
      </c>
      <c r="L39" s="58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" t="s">
        <v>340</v>
      </c>
      <c r="B40" s="2" t="s">
        <v>76</v>
      </c>
      <c r="C40" s="10">
        <v>2479322</v>
      </c>
      <c r="D40" s="32" t="s">
        <v>1405</v>
      </c>
      <c r="E40" s="69">
        <v>-46</v>
      </c>
      <c r="F40" s="69">
        <v>4.5999999999999996</v>
      </c>
      <c r="G40" s="69">
        <f t="shared" si="17"/>
        <v>2.5299999999999998</v>
      </c>
      <c r="H40" s="70">
        <v>1</v>
      </c>
      <c r="I40" s="69">
        <f t="shared" si="1"/>
        <v>-34.776000000000003</v>
      </c>
      <c r="J40" s="61">
        <v>0</v>
      </c>
      <c r="K40" s="61">
        <v>0</v>
      </c>
      <c r="L40" s="58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" t="s">
        <v>340</v>
      </c>
      <c r="B41" s="2" t="s">
        <v>76</v>
      </c>
      <c r="C41" s="10">
        <v>2496009</v>
      </c>
      <c r="D41" s="10" t="s">
        <v>1406</v>
      </c>
      <c r="E41" s="69">
        <v>-52</v>
      </c>
      <c r="F41" s="69">
        <v>5.2</v>
      </c>
      <c r="G41" s="69">
        <f t="shared" si="17"/>
        <v>2.8600000000000003</v>
      </c>
      <c r="H41" s="70">
        <v>1</v>
      </c>
      <c r="I41" s="69">
        <f t="shared" si="1"/>
        <v>-39.312000000000005</v>
      </c>
      <c r="J41" s="61">
        <v>0</v>
      </c>
      <c r="K41" s="61">
        <v>0</v>
      </c>
      <c r="L41" s="58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 t="s">
        <v>359</v>
      </c>
      <c r="B42" s="2" t="s">
        <v>107</v>
      </c>
      <c r="C42" s="10">
        <v>2319777</v>
      </c>
      <c r="D42" s="10" t="s">
        <v>1273</v>
      </c>
      <c r="E42" s="69">
        <v>178.28</v>
      </c>
      <c r="F42" s="69">
        <v>21.5</v>
      </c>
      <c r="G42" s="69">
        <f t="shared" ref="G42:G49" si="18">F42*0.6</f>
        <v>12.9</v>
      </c>
      <c r="H42" s="70">
        <v>1</v>
      </c>
      <c r="I42" s="69">
        <f t="shared" si="1"/>
        <v>152.94400000000002</v>
      </c>
      <c r="J42" s="61">
        <f t="shared" ref="J42:J49" si="19">(-F42*0.25*0.04)*H42*0.7+(E42+G42)*H42*0.16</f>
        <v>30.438300000000002</v>
      </c>
      <c r="K42" s="61">
        <f t="shared" ref="K42:K49" si="20">F42*0.15*0.96*H42*0.7+F42*0.02*0.04*H42+F42*0.02*0.96*H42</f>
        <v>2.5971999999999995</v>
      </c>
      <c r="L42" s="58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 t="s">
        <v>359</v>
      </c>
      <c r="B43" s="2" t="s">
        <v>107</v>
      </c>
      <c r="C43" s="10">
        <v>2404538</v>
      </c>
      <c r="D43" s="10" t="s">
        <v>1219</v>
      </c>
      <c r="E43" s="69">
        <v>-20</v>
      </c>
      <c r="F43" s="69">
        <v>2</v>
      </c>
      <c r="G43" s="69">
        <f t="shared" si="18"/>
        <v>1.2</v>
      </c>
      <c r="H43" s="70">
        <v>1</v>
      </c>
      <c r="I43" s="69">
        <f t="shared" si="1"/>
        <v>-15.040000000000001</v>
      </c>
      <c r="J43" s="61">
        <f t="shared" si="19"/>
        <v>-3.0219999999999998</v>
      </c>
      <c r="K43" s="61">
        <f t="shared" si="20"/>
        <v>0.24159999999999995</v>
      </c>
      <c r="L43" s="58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 t="s">
        <v>359</v>
      </c>
      <c r="B44" s="2" t="s">
        <v>107</v>
      </c>
      <c r="C44" s="10">
        <v>2405626</v>
      </c>
      <c r="D44" s="32" t="s">
        <v>1221</v>
      </c>
      <c r="E44" s="69">
        <v>-20</v>
      </c>
      <c r="F44" s="69">
        <v>2</v>
      </c>
      <c r="G44" s="69">
        <f t="shared" si="18"/>
        <v>1.2</v>
      </c>
      <c r="H44" s="70">
        <v>1</v>
      </c>
      <c r="I44" s="69">
        <f t="shared" si="1"/>
        <v>-15.040000000000001</v>
      </c>
      <c r="J44" s="61">
        <f t="shared" si="19"/>
        <v>-3.0219999999999998</v>
      </c>
      <c r="K44" s="61">
        <f t="shared" si="20"/>
        <v>0.24159999999999995</v>
      </c>
      <c r="L44" s="58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32" t="s">
        <v>359</v>
      </c>
      <c r="B45" s="2" t="s">
        <v>107</v>
      </c>
      <c r="C45" s="10">
        <v>2471817</v>
      </c>
      <c r="D45" s="32" t="s">
        <v>1274</v>
      </c>
      <c r="E45" s="69">
        <v>-88.75</v>
      </c>
      <c r="F45" s="69">
        <v>14.5</v>
      </c>
      <c r="G45" s="69">
        <f t="shared" si="18"/>
        <v>8.6999999999999993</v>
      </c>
      <c r="H45" s="70">
        <v>1</v>
      </c>
      <c r="I45" s="69">
        <f t="shared" si="1"/>
        <v>-64.040000000000006</v>
      </c>
      <c r="J45" s="61">
        <f t="shared" si="19"/>
        <v>-12.9095</v>
      </c>
      <c r="K45" s="61">
        <f t="shared" si="20"/>
        <v>1.7515999999999996</v>
      </c>
      <c r="L45" s="58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32" t="s">
        <v>359</v>
      </c>
      <c r="B46" s="2" t="s">
        <v>107</v>
      </c>
      <c r="C46" s="10">
        <v>2479329</v>
      </c>
      <c r="D46" s="10" t="s">
        <v>1279</v>
      </c>
      <c r="E46" s="69">
        <v>6.25</v>
      </c>
      <c r="F46" s="69">
        <v>9.5</v>
      </c>
      <c r="G46" s="69">
        <f t="shared" si="18"/>
        <v>5.7</v>
      </c>
      <c r="H46" s="70">
        <v>1</v>
      </c>
      <c r="I46" s="69">
        <f t="shared" si="1"/>
        <v>9.56</v>
      </c>
      <c r="J46" s="61">
        <f t="shared" si="19"/>
        <v>1.8454999999999999</v>
      </c>
      <c r="K46" s="61">
        <f t="shared" si="20"/>
        <v>1.1476</v>
      </c>
      <c r="L46" s="58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32" t="s">
        <v>359</v>
      </c>
      <c r="B47" s="2" t="s">
        <v>107</v>
      </c>
      <c r="C47" s="10">
        <v>2496019</v>
      </c>
      <c r="D47" s="32" t="s">
        <v>1275</v>
      </c>
      <c r="E47" s="69">
        <v>42.35</v>
      </c>
      <c r="F47" s="69">
        <v>13</v>
      </c>
      <c r="G47" s="69">
        <f t="shared" si="18"/>
        <v>7.8</v>
      </c>
      <c r="H47" s="70">
        <v>1</v>
      </c>
      <c r="I47" s="69">
        <f t="shared" si="1"/>
        <v>40.120000000000005</v>
      </c>
      <c r="J47" s="61">
        <f t="shared" si="19"/>
        <v>7.9329999999999989</v>
      </c>
      <c r="K47" s="61">
        <f t="shared" si="20"/>
        <v>1.5703999999999998</v>
      </c>
      <c r="L47" s="58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32" t="s">
        <v>359</v>
      </c>
      <c r="B48" s="2" t="s">
        <v>107</v>
      </c>
      <c r="C48" s="10">
        <v>2571823</v>
      </c>
      <c r="D48" s="10" t="s">
        <v>1280</v>
      </c>
      <c r="E48" s="69">
        <v>-165</v>
      </c>
      <c r="F48" s="69">
        <v>16.5</v>
      </c>
      <c r="G48" s="69">
        <f t="shared" si="18"/>
        <v>9.9</v>
      </c>
      <c r="H48" s="70">
        <v>1</v>
      </c>
      <c r="I48" s="69">
        <f t="shared" si="1"/>
        <v>-124.08</v>
      </c>
      <c r="J48" s="61">
        <f t="shared" si="19"/>
        <v>-24.9315</v>
      </c>
      <c r="K48" s="61">
        <f t="shared" si="20"/>
        <v>1.9931999999999999</v>
      </c>
      <c r="L48" s="58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32" t="s">
        <v>359</v>
      </c>
      <c r="B49" s="2" t="s">
        <v>107</v>
      </c>
      <c r="C49" s="10">
        <v>2573237</v>
      </c>
      <c r="D49" s="10" t="s">
        <v>1281</v>
      </c>
      <c r="E49" s="69">
        <v>-2.12</v>
      </c>
      <c r="F49" s="69">
        <v>9.5</v>
      </c>
      <c r="G49" s="69">
        <f t="shared" si="18"/>
        <v>5.7</v>
      </c>
      <c r="H49" s="70">
        <v>1</v>
      </c>
      <c r="I49" s="69">
        <f t="shared" si="1"/>
        <v>2.8640000000000003</v>
      </c>
      <c r="J49" s="61">
        <f t="shared" si="19"/>
        <v>0.50629999999999997</v>
      </c>
      <c r="K49" s="61">
        <f t="shared" si="20"/>
        <v>1.1476</v>
      </c>
      <c r="L49" s="58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32" t="s">
        <v>359</v>
      </c>
      <c r="B50" s="2" t="s">
        <v>76</v>
      </c>
      <c r="C50" s="10">
        <v>2319730</v>
      </c>
      <c r="D50" s="10" t="s">
        <v>1403</v>
      </c>
      <c r="E50" s="69">
        <v>116.69</v>
      </c>
      <c r="F50" s="69">
        <v>22.7</v>
      </c>
      <c r="G50" s="69">
        <f t="shared" ref="G50:G60" si="21">F50*0.55</f>
        <v>12.485000000000001</v>
      </c>
      <c r="H50" s="70">
        <v>1</v>
      </c>
      <c r="I50" s="69">
        <f t="shared" si="1"/>
        <v>103.34000000000002</v>
      </c>
      <c r="J50" s="61">
        <v>0</v>
      </c>
      <c r="K50" s="61">
        <v>0</v>
      </c>
      <c r="L50" s="58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 t="s">
        <v>359</v>
      </c>
      <c r="B51" s="2" t="s">
        <v>76</v>
      </c>
      <c r="C51" s="10">
        <v>2405990</v>
      </c>
      <c r="D51" s="10" t="s">
        <v>1398</v>
      </c>
      <c r="E51" s="69">
        <v>-18.739999999999998</v>
      </c>
      <c r="F51" s="69">
        <v>5.6</v>
      </c>
      <c r="G51" s="69">
        <f t="shared" si="21"/>
        <v>3.08</v>
      </c>
      <c r="H51" s="70">
        <v>1</v>
      </c>
      <c r="I51" s="69">
        <f t="shared" si="1"/>
        <v>-12.527999999999999</v>
      </c>
      <c r="J51" s="61">
        <v>0</v>
      </c>
      <c r="K51" s="61">
        <v>0</v>
      </c>
      <c r="L51" s="58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 t="s">
        <v>359</v>
      </c>
      <c r="B52" s="2" t="s">
        <v>76</v>
      </c>
      <c r="C52" s="10">
        <v>2406479</v>
      </c>
      <c r="D52" s="32" t="s">
        <v>1399</v>
      </c>
      <c r="E52" s="69">
        <v>577.30999999999995</v>
      </c>
      <c r="F52" s="69">
        <v>4.8</v>
      </c>
      <c r="G52" s="69">
        <f t="shared" si="21"/>
        <v>2.64</v>
      </c>
      <c r="H52" s="70">
        <v>1</v>
      </c>
      <c r="I52" s="69">
        <f t="shared" si="1"/>
        <v>463.96</v>
      </c>
      <c r="J52" s="61">
        <v>0</v>
      </c>
      <c r="K52" s="61">
        <v>0</v>
      </c>
      <c r="L52" s="58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 t="s">
        <v>359</v>
      </c>
      <c r="B53" s="2" t="s">
        <v>76</v>
      </c>
      <c r="C53" s="10">
        <v>2406828</v>
      </c>
      <c r="D53" s="32" t="s">
        <v>1400</v>
      </c>
      <c r="E53" s="69">
        <v>-60</v>
      </c>
      <c r="F53" s="69">
        <v>6</v>
      </c>
      <c r="G53" s="69">
        <f t="shared" si="21"/>
        <v>3.3000000000000003</v>
      </c>
      <c r="H53" s="70">
        <v>1</v>
      </c>
      <c r="I53" s="69">
        <f t="shared" si="1"/>
        <v>-45.360000000000007</v>
      </c>
      <c r="J53" s="61">
        <v>0</v>
      </c>
      <c r="K53" s="61">
        <v>0</v>
      </c>
      <c r="L53" s="58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 t="s">
        <v>359</v>
      </c>
      <c r="B54" s="2" t="s">
        <v>76</v>
      </c>
      <c r="C54" s="10">
        <v>2407075</v>
      </c>
      <c r="D54" s="10" t="s">
        <v>1402</v>
      </c>
      <c r="E54" s="69">
        <v>-32</v>
      </c>
      <c r="F54" s="69">
        <v>3.2</v>
      </c>
      <c r="G54" s="69">
        <f t="shared" si="21"/>
        <v>1.7600000000000002</v>
      </c>
      <c r="H54" s="70">
        <v>1</v>
      </c>
      <c r="I54" s="69">
        <f t="shared" si="1"/>
        <v>-24.192</v>
      </c>
      <c r="J54" s="61">
        <v>0</v>
      </c>
      <c r="K54" s="61">
        <v>0</v>
      </c>
      <c r="L54" s="58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 t="s">
        <v>359</v>
      </c>
      <c r="B55" s="2" t="s">
        <v>76</v>
      </c>
      <c r="C55" s="10">
        <v>2471825</v>
      </c>
      <c r="D55" s="10" t="s">
        <v>1404</v>
      </c>
      <c r="E55" s="69">
        <v>-73.180000000000007</v>
      </c>
      <c r="F55" s="69">
        <v>20.100000000000001</v>
      </c>
      <c r="G55" s="69">
        <f t="shared" si="21"/>
        <v>11.055000000000001</v>
      </c>
      <c r="H55" s="70">
        <v>1</v>
      </c>
      <c r="I55" s="69">
        <f t="shared" si="1"/>
        <v>-49.70000000000001</v>
      </c>
      <c r="J55" s="61">
        <v>0</v>
      </c>
      <c r="K55" s="61">
        <v>0</v>
      </c>
      <c r="L55" s="58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 t="s">
        <v>359</v>
      </c>
      <c r="B56" s="2" t="s">
        <v>76</v>
      </c>
      <c r="C56" s="10">
        <v>2479322</v>
      </c>
      <c r="D56" s="32" t="s">
        <v>1405</v>
      </c>
      <c r="E56" s="69">
        <v>35.1</v>
      </c>
      <c r="F56" s="69">
        <v>15.1</v>
      </c>
      <c r="G56" s="69">
        <f t="shared" si="21"/>
        <v>8.3049999999999997</v>
      </c>
      <c r="H56" s="70">
        <v>1</v>
      </c>
      <c r="I56" s="69">
        <f t="shared" si="1"/>
        <v>34.724000000000004</v>
      </c>
      <c r="J56" s="61">
        <v>0</v>
      </c>
      <c r="K56" s="61">
        <v>0</v>
      </c>
      <c r="L56" s="58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 t="s">
        <v>359</v>
      </c>
      <c r="B57" s="2" t="s">
        <v>76</v>
      </c>
      <c r="C57" s="10">
        <v>2496009</v>
      </c>
      <c r="D57" s="10" t="s">
        <v>1406</v>
      </c>
      <c r="E57" s="69">
        <v>341.09</v>
      </c>
      <c r="F57" s="69">
        <v>11.2</v>
      </c>
      <c r="G57" s="69">
        <f t="shared" si="21"/>
        <v>6.16</v>
      </c>
      <c r="H57" s="70">
        <v>1</v>
      </c>
      <c r="I57" s="69">
        <f t="shared" si="1"/>
        <v>277.8</v>
      </c>
      <c r="J57" s="61">
        <v>0</v>
      </c>
      <c r="K57" s="61">
        <v>0</v>
      </c>
      <c r="L57" s="58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 t="s">
        <v>359</v>
      </c>
      <c r="B58" s="2" t="s">
        <v>76</v>
      </c>
      <c r="C58" s="10">
        <v>2571819</v>
      </c>
      <c r="D58" s="10" t="s">
        <v>1407</v>
      </c>
      <c r="E58" s="69">
        <v>146.05000000000001</v>
      </c>
      <c r="F58" s="69">
        <v>11.6</v>
      </c>
      <c r="G58" s="69">
        <f t="shared" si="21"/>
        <v>6.38</v>
      </c>
      <c r="H58" s="70">
        <v>1</v>
      </c>
      <c r="I58" s="69">
        <f t="shared" si="1"/>
        <v>121.94400000000002</v>
      </c>
      <c r="J58" s="61">
        <v>0</v>
      </c>
      <c r="K58" s="61">
        <v>0</v>
      </c>
      <c r="L58" s="58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 t="s">
        <v>359</v>
      </c>
      <c r="B59" s="2" t="s">
        <v>76</v>
      </c>
      <c r="C59" s="10">
        <v>2573230</v>
      </c>
      <c r="D59" s="10" t="s">
        <v>1408</v>
      </c>
      <c r="E59" s="69">
        <v>-64.5</v>
      </c>
      <c r="F59" s="69">
        <v>7.2</v>
      </c>
      <c r="G59" s="69">
        <f t="shared" si="21"/>
        <v>3.9600000000000004</v>
      </c>
      <c r="H59" s="70">
        <v>1</v>
      </c>
      <c r="I59" s="69">
        <f t="shared" si="1"/>
        <v>-48.432000000000002</v>
      </c>
      <c r="J59" s="61">
        <v>0</v>
      </c>
      <c r="K59" s="61">
        <v>0</v>
      </c>
      <c r="L59" s="58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 t="s">
        <v>359</v>
      </c>
      <c r="B60" s="2" t="s">
        <v>76</v>
      </c>
      <c r="C60" s="10">
        <v>2577854</v>
      </c>
      <c r="D60" s="32" t="s">
        <v>1409</v>
      </c>
      <c r="E60" s="69">
        <v>0</v>
      </c>
      <c r="F60" s="69">
        <v>0</v>
      </c>
      <c r="G60" s="69">
        <f t="shared" si="21"/>
        <v>0</v>
      </c>
      <c r="H60" s="70">
        <v>1</v>
      </c>
      <c r="I60" s="69">
        <f t="shared" si="1"/>
        <v>0</v>
      </c>
      <c r="J60" s="61">
        <v>0</v>
      </c>
      <c r="K60" s="61">
        <v>0</v>
      </c>
      <c r="L60" s="58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 t="s">
        <v>366</v>
      </c>
      <c r="B61" s="2" t="s">
        <v>107</v>
      </c>
      <c r="C61" s="10">
        <v>2319777</v>
      </c>
      <c r="D61" s="10" t="s">
        <v>1273</v>
      </c>
      <c r="E61" s="69">
        <v>-302.74</v>
      </c>
      <c r="F61" s="69">
        <v>42.12</v>
      </c>
      <c r="G61" s="69">
        <f t="shared" ref="G61:G69" si="22">F61*0.6</f>
        <v>25.271999999999998</v>
      </c>
      <c r="H61" s="70">
        <v>1</v>
      </c>
      <c r="I61" s="69">
        <f t="shared" si="1"/>
        <v>-221.97440000000003</v>
      </c>
      <c r="J61" s="61">
        <f t="shared" ref="J61:J69" si="23">(-F61*0.25*0.04)*H61*0.7+(E61+G61)*H61*0.16</f>
        <v>-44.689720000000001</v>
      </c>
      <c r="K61" s="61">
        <f t="shared" ref="K61:K69" si="24">F61*0.15*0.96*H61*0.7+F61*0.02*0.04*H61+F61*0.02*0.96*H61</f>
        <v>5.0880959999999993</v>
      </c>
      <c r="L61" s="58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 t="s">
        <v>366</v>
      </c>
      <c r="B62" s="2" t="s">
        <v>107</v>
      </c>
      <c r="C62" s="10">
        <v>2404538</v>
      </c>
      <c r="D62" s="10" t="s">
        <v>1219</v>
      </c>
      <c r="E62" s="69">
        <v>-20</v>
      </c>
      <c r="F62" s="69">
        <v>2</v>
      </c>
      <c r="G62" s="69">
        <f t="shared" si="22"/>
        <v>1.2</v>
      </c>
      <c r="H62" s="70">
        <v>1</v>
      </c>
      <c r="I62" s="69">
        <f t="shared" si="1"/>
        <v>-15.040000000000001</v>
      </c>
      <c r="J62" s="61">
        <f t="shared" si="23"/>
        <v>-3.0219999999999998</v>
      </c>
      <c r="K62" s="61">
        <f t="shared" si="24"/>
        <v>0.24159999999999995</v>
      </c>
      <c r="L62" s="58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 t="s">
        <v>366</v>
      </c>
      <c r="B63" s="2" t="s">
        <v>107</v>
      </c>
      <c r="C63" s="10">
        <v>2405286</v>
      </c>
      <c r="D63" s="10" t="s">
        <v>1220</v>
      </c>
      <c r="E63" s="69">
        <v>-20</v>
      </c>
      <c r="F63" s="69">
        <v>2</v>
      </c>
      <c r="G63" s="69">
        <f t="shared" si="22"/>
        <v>1.2</v>
      </c>
      <c r="H63" s="70">
        <v>1</v>
      </c>
      <c r="I63" s="69">
        <f t="shared" si="1"/>
        <v>-15.040000000000001</v>
      </c>
      <c r="J63" s="61">
        <f t="shared" si="23"/>
        <v>-3.0219999999999998</v>
      </c>
      <c r="K63" s="61">
        <f t="shared" si="24"/>
        <v>0.24159999999999995</v>
      </c>
      <c r="L63" s="58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32" t="s">
        <v>366</v>
      </c>
      <c r="B64" s="2" t="s">
        <v>107</v>
      </c>
      <c r="C64" s="10">
        <v>2405626</v>
      </c>
      <c r="D64" s="10" t="s">
        <v>1221</v>
      </c>
      <c r="E64" s="69">
        <v>14.33</v>
      </c>
      <c r="F64" s="69">
        <v>4</v>
      </c>
      <c r="G64" s="69">
        <f t="shared" si="22"/>
        <v>2.4</v>
      </c>
      <c r="H64" s="70">
        <v>1</v>
      </c>
      <c r="I64" s="69">
        <f t="shared" si="1"/>
        <v>13.384</v>
      </c>
      <c r="J64" s="61">
        <f t="shared" si="23"/>
        <v>2.6488</v>
      </c>
      <c r="K64" s="61">
        <f t="shared" si="24"/>
        <v>0.48319999999999991</v>
      </c>
      <c r="L64" s="58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32" t="s">
        <v>366</v>
      </c>
      <c r="B65" s="2" t="s">
        <v>107</v>
      </c>
      <c r="C65" s="10">
        <v>2471817</v>
      </c>
      <c r="D65" s="10" t="s">
        <v>1274</v>
      </c>
      <c r="E65" s="69">
        <v>478.63</v>
      </c>
      <c r="F65" s="69">
        <v>36.619999999999997</v>
      </c>
      <c r="G65" s="69">
        <f t="shared" si="22"/>
        <v>21.971999999999998</v>
      </c>
      <c r="H65" s="70">
        <v>1</v>
      </c>
      <c r="I65" s="69">
        <f t="shared" si="1"/>
        <v>400.48160000000001</v>
      </c>
      <c r="J65" s="61">
        <f t="shared" si="23"/>
        <v>79.839979999999997</v>
      </c>
      <c r="K65" s="61">
        <f t="shared" si="24"/>
        <v>4.4236959999999987</v>
      </c>
      <c r="L65" s="58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32" t="s">
        <v>366</v>
      </c>
      <c r="B66" s="2" t="s">
        <v>107</v>
      </c>
      <c r="C66" s="10">
        <v>2479329</v>
      </c>
      <c r="D66" s="10" t="s">
        <v>1279</v>
      </c>
      <c r="E66" s="69">
        <v>-49.7</v>
      </c>
      <c r="F66" s="69">
        <v>22.28</v>
      </c>
      <c r="G66" s="69">
        <f t="shared" si="22"/>
        <v>13.368</v>
      </c>
      <c r="H66" s="70">
        <v>1</v>
      </c>
      <c r="I66" s="69">
        <f t="shared" si="1"/>
        <v>-29.065600000000003</v>
      </c>
      <c r="J66" s="61">
        <f t="shared" si="23"/>
        <v>-5.9690800000000008</v>
      </c>
      <c r="K66" s="61">
        <f t="shared" si="24"/>
        <v>2.691424</v>
      </c>
      <c r="L66" s="58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32" t="s">
        <v>366</v>
      </c>
      <c r="B67" s="2" t="s">
        <v>107</v>
      </c>
      <c r="C67" s="10">
        <v>2496019</v>
      </c>
      <c r="D67" s="46" t="s">
        <v>1275</v>
      </c>
      <c r="E67" s="69">
        <v>992.4</v>
      </c>
      <c r="F67" s="69">
        <v>20.84</v>
      </c>
      <c r="G67" s="69">
        <f t="shared" si="22"/>
        <v>12.504</v>
      </c>
      <c r="H67" s="70">
        <v>1</v>
      </c>
      <c r="I67" s="69">
        <f t="shared" si="1"/>
        <v>803.92320000000007</v>
      </c>
      <c r="J67" s="61">
        <f t="shared" si="23"/>
        <v>160.63875999999999</v>
      </c>
      <c r="K67" s="61">
        <f t="shared" si="24"/>
        <v>2.5174719999999993</v>
      </c>
      <c r="L67" s="58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 t="s">
        <v>366</v>
      </c>
      <c r="B68" s="2" t="s">
        <v>107</v>
      </c>
      <c r="C68" s="10">
        <v>2571823</v>
      </c>
      <c r="D68" s="10" t="s">
        <v>1280</v>
      </c>
      <c r="E68" s="69">
        <v>7.64</v>
      </c>
      <c r="F68" s="69">
        <v>20.84</v>
      </c>
      <c r="G68" s="69">
        <f t="shared" si="22"/>
        <v>12.504</v>
      </c>
      <c r="H68" s="70">
        <v>1</v>
      </c>
      <c r="I68" s="69">
        <f t="shared" si="1"/>
        <v>16.115199999999998</v>
      </c>
      <c r="J68" s="61">
        <f t="shared" si="23"/>
        <v>3.0771599999999997</v>
      </c>
      <c r="K68" s="61">
        <f t="shared" si="24"/>
        <v>2.5174719999999993</v>
      </c>
      <c r="L68" s="58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 t="s">
        <v>366</v>
      </c>
      <c r="B69" s="2" t="s">
        <v>107</v>
      </c>
      <c r="C69" s="10">
        <v>2573237</v>
      </c>
      <c r="D69" s="10" t="s">
        <v>1281</v>
      </c>
      <c r="E69" s="69">
        <v>-363</v>
      </c>
      <c r="F69" s="69">
        <v>32.340000000000003</v>
      </c>
      <c r="G69" s="69">
        <f t="shared" si="22"/>
        <v>19.404</v>
      </c>
      <c r="H69" s="70">
        <v>1</v>
      </c>
      <c r="I69" s="69">
        <f t="shared" si="1"/>
        <v>-274.8768</v>
      </c>
      <c r="J69" s="61">
        <f t="shared" si="23"/>
        <v>-55.201740000000001</v>
      </c>
      <c r="K69" s="61">
        <f t="shared" si="24"/>
        <v>3.9066719999999999</v>
      </c>
      <c r="L69" s="58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 t="s">
        <v>366</v>
      </c>
      <c r="B70" s="2" t="s">
        <v>76</v>
      </c>
      <c r="C70" s="10">
        <v>2319730</v>
      </c>
      <c r="D70" s="10" t="s">
        <v>1403</v>
      </c>
      <c r="E70" s="69">
        <v>156.37</v>
      </c>
      <c r="F70" s="69">
        <v>30.4</v>
      </c>
      <c r="G70" s="69">
        <f t="shared" ref="G70:G80" si="25">F70*0.55</f>
        <v>16.72</v>
      </c>
      <c r="H70" s="70">
        <v>1</v>
      </c>
      <c r="I70" s="69">
        <f t="shared" si="1"/>
        <v>138.47200000000001</v>
      </c>
      <c r="J70" s="61">
        <v>0</v>
      </c>
      <c r="K70" s="61">
        <v>0</v>
      </c>
      <c r="L70" s="58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32" t="s">
        <v>366</v>
      </c>
      <c r="B71" s="2" t="s">
        <v>76</v>
      </c>
      <c r="C71" s="10">
        <v>2405990</v>
      </c>
      <c r="D71" s="10" t="s">
        <v>1398</v>
      </c>
      <c r="E71" s="69">
        <v>-36</v>
      </c>
      <c r="F71" s="69">
        <v>3.6</v>
      </c>
      <c r="G71" s="69">
        <f t="shared" si="25"/>
        <v>1.9800000000000002</v>
      </c>
      <c r="H71" s="70">
        <v>1</v>
      </c>
      <c r="I71" s="69">
        <f t="shared" si="1"/>
        <v>-27.216000000000005</v>
      </c>
      <c r="J71" s="61">
        <v>0</v>
      </c>
      <c r="K71" s="61">
        <v>0</v>
      </c>
      <c r="L71" s="58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32" t="s">
        <v>366</v>
      </c>
      <c r="B72" s="2" t="s">
        <v>76</v>
      </c>
      <c r="C72" s="10">
        <v>2406479</v>
      </c>
      <c r="D72" s="10" t="s">
        <v>1399</v>
      </c>
      <c r="E72" s="69">
        <v>107.57</v>
      </c>
      <c r="F72" s="69">
        <v>5.2</v>
      </c>
      <c r="G72" s="69">
        <f t="shared" si="25"/>
        <v>2.8600000000000003</v>
      </c>
      <c r="H72" s="70">
        <v>1</v>
      </c>
      <c r="I72" s="69">
        <f t="shared" si="1"/>
        <v>88.343999999999994</v>
      </c>
      <c r="J72" s="61">
        <v>0</v>
      </c>
      <c r="K72" s="61">
        <v>0</v>
      </c>
      <c r="L72" s="58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 t="s">
        <v>366</v>
      </c>
      <c r="B73" s="2" t="s">
        <v>76</v>
      </c>
      <c r="C73" s="10">
        <v>2406828</v>
      </c>
      <c r="D73" s="32" t="s">
        <v>1400</v>
      </c>
      <c r="E73" s="69">
        <v>-16</v>
      </c>
      <c r="F73" s="69">
        <v>1.6</v>
      </c>
      <c r="G73" s="69">
        <f t="shared" si="25"/>
        <v>0.88000000000000012</v>
      </c>
      <c r="H73" s="70">
        <v>1</v>
      </c>
      <c r="I73" s="69">
        <f t="shared" si="1"/>
        <v>-12.096</v>
      </c>
      <c r="J73" s="61">
        <v>0</v>
      </c>
      <c r="K73" s="61">
        <v>0</v>
      </c>
      <c r="L73" s="58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 t="s">
        <v>366</v>
      </c>
      <c r="B74" s="2" t="s">
        <v>76</v>
      </c>
      <c r="C74" s="10">
        <v>2407075</v>
      </c>
      <c r="D74" s="32" t="s">
        <v>1402</v>
      </c>
      <c r="E74" s="69">
        <v>-16</v>
      </c>
      <c r="F74" s="69">
        <v>1.6</v>
      </c>
      <c r="G74" s="69">
        <f t="shared" si="25"/>
        <v>0.88000000000000012</v>
      </c>
      <c r="H74" s="70">
        <v>1</v>
      </c>
      <c r="I74" s="69">
        <f t="shared" si="1"/>
        <v>-12.096</v>
      </c>
      <c r="J74" s="61">
        <v>0</v>
      </c>
      <c r="K74" s="61">
        <v>0</v>
      </c>
      <c r="L74" s="58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 t="s">
        <v>366</v>
      </c>
      <c r="B75" s="2" t="s">
        <v>76</v>
      </c>
      <c r="C75" s="10">
        <v>2471825</v>
      </c>
      <c r="D75" s="32" t="s">
        <v>1404</v>
      </c>
      <c r="E75" s="69">
        <v>-70.64</v>
      </c>
      <c r="F75" s="69">
        <v>17.100000000000001</v>
      </c>
      <c r="G75" s="69">
        <f t="shared" si="25"/>
        <v>9.4050000000000011</v>
      </c>
      <c r="H75" s="70">
        <v>1</v>
      </c>
      <c r="I75" s="69">
        <f t="shared" si="1"/>
        <v>-48.988</v>
      </c>
      <c r="J75" s="61">
        <v>0</v>
      </c>
      <c r="K75" s="61">
        <v>0</v>
      </c>
      <c r="L75" s="58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 t="s">
        <v>366</v>
      </c>
      <c r="B76" s="2" t="s">
        <v>76</v>
      </c>
      <c r="C76" s="10">
        <v>2479322</v>
      </c>
      <c r="D76" s="32" t="s">
        <v>1405</v>
      </c>
      <c r="E76" s="69">
        <v>-151</v>
      </c>
      <c r="F76" s="69">
        <v>15.1</v>
      </c>
      <c r="G76" s="69">
        <f t="shared" si="25"/>
        <v>8.3049999999999997</v>
      </c>
      <c r="H76" s="70">
        <v>1</v>
      </c>
      <c r="I76" s="69">
        <f t="shared" si="1"/>
        <v>-114.15600000000001</v>
      </c>
      <c r="J76" s="61">
        <v>0</v>
      </c>
      <c r="K76" s="61">
        <v>0</v>
      </c>
      <c r="L76" s="58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 t="s">
        <v>366</v>
      </c>
      <c r="B77" s="2" t="s">
        <v>76</v>
      </c>
      <c r="C77" s="10">
        <v>2496009</v>
      </c>
      <c r="D77" s="10" t="s">
        <v>1406</v>
      </c>
      <c r="E77" s="69">
        <v>-157.65</v>
      </c>
      <c r="F77" s="69">
        <v>18.100000000000001</v>
      </c>
      <c r="G77" s="69">
        <f t="shared" si="25"/>
        <v>9.9550000000000018</v>
      </c>
      <c r="H77" s="70">
        <v>1</v>
      </c>
      <c r="I77" s="69">
        <f t="shared" si="1"/>
        <v>-118.15600000000001</v>
      </c>
      <c r="J77" s="61">
        <v>0</v>
      </c>
      <c r="K77" s="61">
        <v>0</v>
      </c>
      <c r="L77" s="58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 t="s">
        <v>366</v>
      </c>
      <c r="B78" s="2" t="s">
        <v>76</v>
      </c>
      <c r="C78" s="10">
        <v>2571819</v>
      </c>
      <c r="D78" s="10" t="s">
        <v>1407</v>
      </c>
      <c r="E78" s="69">
        <v>-138.75</v>
      </c>
      <c r="F78" s="69">
        <v>18</v>
      </c>
      <c r="G78" s="69">
        <f t="shared" si="25"/>
        <v>9.9</v>
      </c>
      <c r="H78" s="70">
        <v>1</v>
      </c>
      <c r="I78" s="69">
        <f t="shared" si="1"/>
        <v>-103.08</v>
      </c>
      <c r="J78" s="61">
        <v>0</v>
      </c>
      <c r="K78" s="61">
        <v>0</v>
      </c>
      <c r="L78" s="58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 t="s">
        <v>366</v>
      </c>
      <c r="B79" s="2" t="s">
        <v>76</v>
      </c>
      <c r="C79" s="10">
        <v>2573230</v>
      </c>
      <c r="D79" s="10" t="s">
        <v>1408</v>
      </c>
      <c r="E79" s="69">
        <v>701.28</v>
      </c>
      <c r="F79" s="69">
        <v>28.5</v>
      </c>
      <c r="G79" s="69">
        <f t="shared" si="25"/>
        <v>15.675000000000001</v>
      </c>
      <c r="H79" s="70">
        <v>1</v>
      </c>
      <c r="I79" s="69">
        <f t="shared" si="1"/>
        <v>573.56399999999996</v>
      </c>
      <c r="J79" s="61">
        <v>0</v>
      </c>
      <c r="K79" s="61">
        <v>0</v>
      </c>
      <c r="L79" s="58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 t="s">
        <v>366</v>
      </c>
      <c r="B80" s="2" t="s">
        <v>76</v>
      </c>
      <c r="C80" s="10">
        <v>2577854</v>
      </c>
      <c r="D80" s="10" t="s">
        <v>1409</v>
      </c>
      <c r="E80" s="69">
        <v>1085.8699999999999</v>
      </c>
      <c r="F80" s="69">
        <v>29.6</v>
      </c>
      <c r="G80" s="69">
        <f t="shared" si="25"/>
        <v>16.28</v>
      </c>
      <c r="H80" s="70">
        <v>1</v>
      </c>
      <c r="I80" s="69">
        <f t="shared" si="1"/>
        <v>881.71999999999991</v>
      </c>
      <c r="J80" s="61">
        <v>0</v>
      </c>
      <c r="K80" s="61">
        <v>0</v>
      </c>
      <c r="L80" s="58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 t="s">
        <v>370</v>
      </c>
      <c r="B81" s="2" t="s">
        <v>107</v>
      </c>
      <c r="C81" s="10">
        <v>2319777</v>
      </c>
      <c r="D81" s="46" t="s">
        <v>1273</v>
      </c>
      <c r="E81" s="69">
        <v>309.44</v>
      </c>
      <c r="F81" s="69">
        <v>18.34</v>
      </c>
      <c r="G81" s="69">
        <f t="shared" ref="G81:G91" si="26">F81*0.6</f>
        <v>11.004</v>
      </c>
      <c r="H81" s="70">
        <v>1</v>
      </c>
      <c r="I81" s="69">
        <f t="shared" si="1"/>
        <v>256.35520000000002</v>
      </c>
      <c r="J81" s="61">
        <f t="shared" ref="J81:J91" si="27">(-F81*0.25*0.04)*H81*0.7+(E81+G81)*H81*0.16</f>
        <v>51.142660000000006</v>
      </c>
      <c r="K81" s="61">
        <f t="shared" ref="K81:K91" si="28">F81*0.15*0.96*H81*0.7+F81*0.02*0.04*H81+F81*0.02*0.96*H81</f>
        <v>2.2154719999999997</v>
      </c>
      <c r="L81" s="58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 t="s">
        <v>370</v>
      </c>
      <c r="B82" s="2" t="s">
        <v>107</v>
      </c>
      <c r="C82" s="10">
        <v>2404538</v>
      </c>
      <c r="D82" s="10" t="s">
        <v>1219</v>
      </c>
      <c r="E82" s="69">
        <v>-8.6</v>
      </c>
      <c r="F82" s="69">
        <v>5</v>
      </c>
      <c r="G82" s="69">
        <f t="shared" si="26"/>
        <v>3</v>
      </c>
      <c r="H82" s="70">
        <v>1</v>
      </c>
      <c r="I82" s="69">
        <f t="shared" si="1"/>
        <v>-4.4799999999999995</v>
      </c>
      <c r="J82" s="61">
        <f t="shared" si="27"/>
        <v>-0.93099999999999994</v>
      </c>
      <c r="K82" s="61">
        <f t="shared" si="28"/>
        <v>0.60399999999999998</v>
      </c>
      <c r="L82" s="58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 t="s">
        <v>370</v>
      </c>
      <c r="B83" s="2" t="s">
        <v>107</v>
      </c>
      <c r="C83" s="10">
        <v>2405286</v>
      </c>
      <c r="D83" s="10" t="s">
        <v>1220</v>
      </c>
      <c r="E83" s="69">
        <v>-10</v>
      </c>
      <c r="F83" s="69">
        <v>1</v>
      </c>
      <c r="G83" s="69">
        <f t="shared" si="26"/>
        <v>0.6</v>
      </c>
      <c r="H83" s="70">
        <v>1</v>
      </c>
      <c r="I83" s="69">
        <f t="shared" si="1"/>
        <v>-7.5200000000000005</v>
      </c>
      <c r="J83" s="61">
        <f t="shared" si="27"/>
        <v>-1.5109999999999999</v>
      </c>
      <c r="K83" s="61">
        <f t="shared" si="28"/>
        <v>0.12079999999999998</v>
      </c>
      <c r="L83" s="58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 t="s">
        <v>370</v>
      </c>
      <c r="B84" s="2" t="s">
        <v>107</v>
      </c>
      <c r="C84" s="10">
        <v>2405626</v>
      </c>
      <c r="D84" s="10" t="s">
        <v>1221</v>
      </c>
      <c r="E84" s="69">
        <v>-28.4</v>
      </c>
      <c r="F84" s="69">
        <v>5</v>
      </c>
      <c r="G84" s="69">
        <f t="shared" si="26"/>
        <v>3</v>
      </c>
      <c r="H84" s="70">
        <v>1</v>
      </c>
      <c r="I84" s="69">
        <f t="shared" si="1"/>
        <v>-20.32</v>
      </c>
      <c r="J84" s="61">
        <f t="shared" si="27"/>
        <v>-4.0990000000000002</v>
      </c>
      <c r="K84" s="61">
        <f t="shared" si="28"/>
        <v>0.60399999999999998</v>
      </c>
      <c r="L84" s="58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 t="s">
        <v>370</v>
      </c>
      <c r="B85" s="2" t="s">
        <v>107</v>
      </c>
      <c r="C85" s="10">
        <v>2409185</v>
      </c>
      <c r="D85" s="46" t="s">
        <v>1222</v>
      </c>
      <c r="E85" s="69">
        <v>-7.54</v>
      </c>
      <c r="F85" s="69">
        <v>2.6</v>
      </c>
      <c r="G85" s="69">
        <f t="shared" si="26"/>
        <v>1.56</v>
      </c>
      <c r="H85" s="70">
        <v>1</v>
      </c>
      <c r="I85" s="69">
        <f t="shared" si="1"/>
        <v>-4.7840000000000007</v>
      </c>
      <c r="J85" s="61">
        <f t="shared" si="27"/>
        <v>-0.97500000000000009</v>
      </c>
      <c r="K85" s="61">
        <f t="shared" si="28"/>
        <v>0.31408000000000003</v>
      </c>
      <c r="L85" s="58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2" t="s">
        <v>370</v>
      </c>
      <c r="B86" s="2" t="s">
        <v>107</v>
      </c>
      <c r="C86" s="10">
        <v>2471817</v>
      </c>
      <c r="D86" s="10" t="s">
        <v>1274</v>
      </c>
      <c r="E86" s="69">
        <v>1047.4000000000001</v>
      </c>
      <c r="F86" s="69">
        <v>34.119999999999997</v>
      </c>
      <c r="G86" s="69">
        <f t="shared" si="26"/>
        <v>20.471999999999998</v>
      </c>
      <c r="H86" s="70">
        <v>1</v>
      </c>
      <c r="I86" s="69">
        <f t="shared" si="1"/>
        <v>854.2976000000001</v>
      </c>
      <c r="J86" s="61">
        <f t="shared" si="27"/>
        <v>170.62067999999999</v>
      </c>
      <c r="K86" s="61">
        <f t="shared" si="28"/>
        <v>4.1216959999999991</v>
      </c>
      <c r="L86" s="58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 t="s">
        <v>370</v>
      </c>
      <c r="B87" s="2" t="s">
        <v>107</v>
      </c>
      <c r="C87" s="10">
        <v>2479329</v>
      </c>
      <c r="D87" s="10" t="s">
        <v>1279</v>
      </c>
      <c r="E87" s="69">
        <v>-62.15</v>
      </c>
      <c r="F87" s="69">
        <v>18.559999999999999</v>
      </c>
      <c r="G87" s="69">
        <f t="shared" si="26"/>
        <v>11.135999999999999</v>
      </c>
      <c r="H87" s="70">
        <v>1</v>
      </c>
      <c r="I87" s="69">
        <f t="shared" si="1"/>
        <v>-40.811199999999999</v>
      </c>
      <c r="J87" s="61">
        <f t="shared" si="27"/>
        <v>-8.2921599999999991</v>
      </c>
      <c r="K87" s="61">
        <f t="shared" si="28"/>
        <v>2.2420479999999996</v>
      </c>
      <c r="L87" s="58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 t="s">
        <v>370</v>
      </c>
      <c r="B88" s="2" t="s">
        <v>107</v>
      </c>
      <c r="C88" s="10">
        <v>2496019</v>
      </c>
      <c r="D88" s="10" t="s">
        <v>1275</v>
      </c>
      <c r="E88" s="69">
        <v>13.57</v>
      </c>
      <c r="F88" s="69">
        <v>30.84</v>
      </c>
      <c r="G88" s="69">
        <f t="shared" si="26"/>
        <v>18.503999999999998</v>
      </c>
      <c r="H88" s="70">
        <v>1</v>
      </c>
      <c r="I88" s="69">
        <f t="shared" si="1"/>
        <v>25.659199999999998</v>
      </c>
      <c r="J88" s="61">
        <f t="shared" si="27"/>
        <v>4.9159599999999992</v>
      </c>
      <c r="K88" s="61">
        <f t="shared" si="28"/>
        <v>3.725471999999999</v>
      </c>
      <c r="L88" s="58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 t="s">
        <v>370</v>
      </c>
      <c r="B89" s="2" t="s">
        <v>107</v>
      </c>
      <c r="C89" s="10">
        <v>2571823</v>
      </c>
      <c r="D89" s="10" t="s">
        <v>1280</v>
      </c>
      <c r="E89" s="69">
        <v>-169.2</v>
      </c>
      <c r="F89" s="69">
        <v>31.62</v>
      </c>
      <c r="G89" s="69">
        <f t="shared" si="26"/>
        <v>18.972000000000001</v>
      </c>
      <c r="H89" s="70">
        <v>1</v>
      </c>
      <c r="I89" s="69">
        <f t="shared" si="1"/>
        <v>-120.18239999999999</v>
      </c>
      <c r="J89" s="61">
        <f t="shared" si="27"/>
        <v>-24.257819999999999</v>
      </c>
      <c r="K89" s="61">
        <f t="shared" si="28"/>
        <v>3.819696</v>
      </c>
      <c r="L89" s="58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 t="s">
        <v>370</v>
      </c>
      <c r="B90" s="2" t="s">
        <v>107</v>
      </c>
      <c r="C90" s="10">
        <v>2573237</v>
      </c>
      <c r="D90" s="10" t="s">
        <v>1281</v>
      </c>
      <c r="E90" s="69">
        <v>-162</v>
      </c>
      <c r="F90" s="69">
        <v>13.56</v>
      </c>
      <c r="G90" s="69">
        <f t="shared" si="26"/>
        <v>8.1359999999999992</v>
      </c>
      <c r="H90" s="70">
        <v>1</v>
      </c>
      <c r="I90" s="69">
        <f t="shared" si="1"/>
        <v>-123.09120000000001</v>
      </c>
      <c r="J90" s="61">
        <f t="shared" si="27"/>
        <v>-24.713159999999998</v>
      </c>
      <c r="K90" s="61">
        <f t="shared" si="28"/>
        <v>1.6380479999999995</v>
      </c>
      <c r="L90" s="58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 t="s">
        <v>370</v>
      </c>
      <c r="B91" s="2" t="s">
        <v>107</v>
      </c>
      <c r="C91" s="10">
        <v>2587341</v>
      </c>
      <c r="D91" s="10" t="s">
        <v>1303</v>
      </c>
      <c r="E91" s="69">
        <v>-262</v>
      </c>
      <c r="F91" s="69">
        <v>23.56</v>
      </c>
      <c r="G91" s="69">
        <f t="shared" si="26"/>
        <v>14.135999999999999</v>
      </c>
      <c r="H91" s="70">
        <v>1</v>
      </c>
      <c r="I91" s="69">
        <f t="shared" si="1"/>
        <v>-198.2912</v>
      </c>
      <c r="J91" s="61">
        <f t="shared" si="27"/>
        <v>-39.823160000000001</v>
      </c>
      <c r="K91" s="61">
        <f t="shared" si="28"/>
        <v>2.8460479999999997</v>
      </c>
      <c r="L91" s="58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 t="s">
        <v>370</v>
      </c>
      <c r="B92" s="32" t="s">
        <v>76</v>
      </c>
      <c r="C92" s="10">
        <v>2319730</v>
      </c>
      <c r="D92" s="46" t="s">
        <v>1403</v>
      </c>
      <c r="E92" s="69">
        <v>-207.37</v>
      </c>
      <c r="F92" s="69">
        <v>27.4</v>
      </c>
      <c r="G92" s="69">
        <f t="shared" ref="G92:G102" si="29">F92*0.55</f>
        <v>15.07</v>
      </c>
      <c r="H92" s="70">
        <v>1</v>
      </c>
      <c r="I92" s="69">
        <f t="shared" si="1"/>
        <v>-153.84000000000003</v>
      </c>
      <c r="J92" s="61">
        <v>0</v>
      </c>
      <c r="K92" s="61">
        <v>0</v>
      </c>
      <c r="L92" s="58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 t="s">
        <v>370</v>
      </c>
      <c r="B93" s="32" t="s">
        <v>76</v>
      </c>
      <c r="C93" s="10">
        <v>2405990</v>
      </c>
      <c r="D93" s="10" t="s">
        <v>1398</v>
      </c>
      <c r="E93" s="69">
        <v>118.08</v>
      </c>
      <c r="F93" s="69">
        <v>8.6</v>
      </c>
      <c r="G93" s="69">
        <f t="shared" si="29"/>
        <v>4.7300000000000004</v>
      </c>
      <c r="H93" s="70">
        <v>1</v>
      </c>
      <c r="I93" s="69">
        <f t="shared" si="1"/>
        <v>98.248000000000005</v>
      </c>
      <c r="J93" s="61">
        <v>0</v>
      </c>
      <c r="K93" s="61">
        <v>0</v>
      </c>
      <c r="L93" s="58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 t="s">
        <v>370</v>
      </c>
      <c r="B94" s="32" t="s">
        <v>76</v>
      </c>
      <c r="C94" s="10">
        <v>2406479</v>
      </c>
      <c r="D94" s="10" t="s">
        <v>1399</v>
      </c>
      <c r="E94" s="69">
        <v>373.41</v>
      </c>
      <c r="F94" s="69">
        <v>7.4</v>
      </c>
      <c r="G94" s="69">
        <f t="shared" si="29"/>
        <v>4.07</v>
      </c>
      <c r="H94" s="70">
        <v>1</v>
      </c>
      <c r="I94" s="69">
        <f t="shared" si="1"/>
        <v>301.98400000000004</v>
      </c>
      <c r="J94" s="61">
        <v>0</v>
      </c>
      <c r="K94" s="61">
        <v>0</v>
      </c>
      <c r="L94" s="58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 t="s">
        <v>370</v>
      </c>
      <c r="B95" s="32" t="s">
        <v>76</v>
      </c>
      <c r="C95" s="10">
        <v>2406828</v>
      </c>
      <c r="D95" s="10" t="s">
        <v>1400</v>
      </c>
      <c r="E95" s="69">
        <v>-68</v>
      </c>
      <c r="F95" s="69">
        <v>6.8</v>
      </c>
      <c r="G95" s="69">
        <f t="shared" si="29"/>
        <v>3.74</v>
      </c>
      <c r="H95" s="70">
        <v>1</v>
      </c>
      <c r="I95" s="69">
        <f t="shared" si="1"/>
        <v>-51.408000000000008</v>
      </c>
      <c r="J95" s="61">
        <v>0</v>
      </c>
      <c r="K95" s="61">
        <v>0</v>
      </c>
      <c r="L95" s="58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 t="s">
        <v>370</v>
      </c>
      <c r="B96" s="32" t="s">
        <v>76</v>
      </c>
      <c r="C96" s="10">
        <v>2407075</v>
      </c>
      <c r="D96" s="10" t="s">
        <v>1402</v>
      </c>
      <c r="E96" s="69">
        <v>133.47999999999999</v>
      </c>
      <c r="F96" s="69">
        <v>11.2</v>
      </c>
      <c r="G96" s="69">
        <f t="shared" si="29"/>
        <v>6.16</v>
      </c>
      <c r="H96" s="70">
        <v>1</v>
      </c>
      <c r="I96" s="69">
        <f t="shared" si="1"/>
        <v>111.71199999999999</v>
      </c>
      <c r="J96" s="61">
        <v>0</v>
      </c>
      <c r="K96" s="61">
        <v>0</v>
      </c>
      <c r="L96" s="58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32" t="s">
        <v>370</v>
      </c>
      <c r="B97" s="32" t="s">
        <v>76</v>
      </c>
      <c r="C97" s="10">
        <v>2471825</v>
      </c>
      <c r="D97" s="10" t="s">
        <v>1404</v>
      </c>
      <c r="E97" s="69">
        <v>-209.41</v>
      </c>
      <c r="F97" s="69">
        <v>23.8</v>
      </c>
      <c r="G97" s="69">
        <f t="shared" si="29"/>
        <v>13.090000000000002</v>
      </c>
      <c r="H97" s="70">
        <v>1</v>
      </c>
      <c r="I97" s="69">
        <f t="shared" si="1"/>
        <v>-157.05600000000001</v>
      </c>
      <c r="J97" s="61">
        <v>0</v>
      </c>
      <c r="K97" s="61">
        <v>0</v>
      </c>
      <c r="L97" s="58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32" t="s">
        <v>370</v>
      </c>
      <c r="B98" s="32" t="s">
        <v>76</v>
      </c>
      <c r="C98" s="10">
        <v>2479322</v>
      </c>
      <c r="D98" s="10" t="s">
        <v>1405</v>
      </c>
      <c r="E98" s="69">
        <v>43.63</v>
      </c>
      <c r="F98" s="69">
        <v>10.8</v>
      </c>
      <c r="G98" s="69">
        <f t="shared" si="29"/>
        <v>5.9400000000000013</v>
      </c>
      <c r="H98" s="70">
        <v>1</v>
      </c>
      <c r="I98" s="69">
        <f t="shared" si="1"/>
        <v>39.656000000000006</v>
      </c>
      <c r="J98" s="61">
        <v>0</v>
      </c>
      <c r="K98" s="61">
        <v>0</v>
      </c>
      <c r="L98" s="58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32" t="s">
        <v>370</v>
      </c>
      <c r="B99" s="32" t="s">
        <v>76</v>
      </c>
      <c r="C99" s="10">
        <v>2496009</v>
      </c>
      <c r="D99" s="10" t="s">
        <v>1406</v>
      </c>
      <c r="E99" s="69">
        <v>-193.24</v>
      </c>
      <c r="F99" s="69">
        <v>24.7</v>
      </c>
      <c r="G99" s="69">
        <f t="shared" si="29"/>
        <v>13.585000000000001</v>
      </c>
      <c r="H99" s="70">
        <v>1</v>
      </c>
      <c r="I99" s="69">
        <f t="shared" si="1"/>
        <v>-143.72400000000002</v>
      </c>
      <c r="J99" s="61">
        <v>0</v>
      </c>
      <c r="K99" s="61">
        <v>0</v>
      </c>
      <c r="L99" s="58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32" t="s">
        <v>370</v>
      </c>
      <c r="B100" s="32" t="s">
        <v>76</v>
      </c>
      <c r="C100" s="10">
        <v>2571819</v>
      </c>
      <c r="D100" s="32" t="s">
        <v>1407</v>
      </c>
      <c r="E100" s="69">
        <v>-219.62</v>
      </c>
      <c r="F100" s="69">
        <v>33.799999999999997</v>
      </c>
      <c r="G100" s="69">
        <f t="shared" si="29"/>
        <v>18.59</v>
      </c>
      <c r="H100" s="70">
        <v>1</v>
      </c>
      <c r="I100" s="69">
        <f t="shared" si="1"/>
        <v>-160.82400000000001</v>
      </c>
      <c r="J100" s="61">
        <v>0</v>
      </c>
      <c r="K100" s="61">
        <v>0</v>
      </c>
      <c r="L100" s="58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32" t="s">
        <v>370</v>
      </c>
      <c r="B101" s="32" t="s">
        <v>76</v>
      </c>
      <c r="C101" s="10">
        <v>2573230</v>
      </c>
      <c r="D101" s="10" t="s">
        <v>1408</v>
      </c>
      <c r="E101" s="69">
        <v>560.74</v>
      </c>
      <c r="F101" s="69">
        <v>32.1</v>
      </c>
      <c r="G101" s="69">
        <f t="shared" si="29"/>
        <v>17.655000000000001</v>
      </c>
      <c r="H101" s="70">
        <v>1</v>
      </c>
      <c r="I101" s="69">
        <f t="shared" si="1"/>
        <v>462.71600000000001</v>
      </c>
      <c r="J101" s="61">
        <v>0</v>
      </c>
      <c r="K101" s="61">
        <v>0</v>
      </c>
      <c r="L101" s="58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32" t="s">
        <v>370</v>
      </c>
      <c r="B102" s="32" t="s">
        <v>76</v>
      </c>
      <c r="C102" s="10">
        <v>2577854</v>
      </c>
      <c r="D102" s="10" t="s">
        <v>1409</v>
      </c>
      <c r="E102" s="69">
        <v>541.77</v>
      </c>
      <c r="F102" s="69">
        <v>48</v>
      </c>
      <c r="G102" s="69">
        <f t="shared" si="29"/>
        <v>26.400000000000002</v>
      </c>
      <c r="H102" s="70">
        <v>1</v>
      </c>
      <c r="I102" s="69">
        <f t="shared" si="1"/>
        <v>454.536</v>
      </c>
      <c r="J102" s="61">
        <v>0</v>
      </c>
      <c r="K102" s="61">
        <v>0</v>
      </c>
      <c r="L102" s="58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 t="s">
        <v>372</v>
      </c>
      <c r="B103" s="2" t="s">
        <v>107</v>
      </c>
      <c r="C103" s="10">
        <v>2319777</v>
      </c>
      <c r="D103" s="10" t="s">
        <v>1273</v>
      </c>
      <c r="E103" s="69">
        <v>409.91</v>
      </c>
      <c r="F103" s="69">
        <v>28.06</v>
      </c>
      <c r="G103" s="69">
        <f t="shared" ref="G103:G113" si="30">F103*0.6</f>
        <v>16.835999999999999</v>
      </c>
      <c r="H103" s="70">
        <v>1</v>
      </c>
      <c r="I103" s="69">
        <f t="shared" si="1"/>
        <v>341.39680000000004</v>
      </c>
      <c r="J103" s="61">
        <f t="shared" ref="J103:J113" si="31">(-F103*0.25*0.04)*H103*0.7+(E103+G103)*H103*0.16</f>
        <v>68.082940000000008</v>
      </c>
      <c r="K103" s="61">
        <f t="shared" ref="K103:K113" si="32">F103*0.15*0.96*H103*0.7+F103*0.02*0.04*H103+F103*0.02*0.96*H103</f>
        <v>3.3896479999999998</v>
      </c>
      <c r="L103" s="58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 t="s">
        <v>372</v>
      </c>
      <c r="B104" s="2" t="s">
        <v>107</v>
      </c>
      <c r="C104" s="10">
        <v>2404538</v>
      </c>
      <c r="D104" s="10" t="s">
        <v>1219</v>
      </c>
      <c r="E104" s="69">
        <v>-40</v>
      </c>
      <c r="F104" s="69">
        <v>4</v>
      </c>
      <c r="G104" s="69">
        <f t="shared" si="30"/>
        <v>2.4</v>
      </c>
      <c r="H104" s="70">
        <v>1</v>
      </c>
      <c r="I104" s="69">
        <f t="shared" si="1"/>
        <v>-30.080000000000002</v>
      </c>
      <c r="J104" s="61">
        <f t="shared" si="31"/>
        <v>-6.0439999999999996</v>
      </c>
      <c r="K104" s="61">
        <f t="shared" si="32"/>
        <v>0.48319999999999991</v>
      </c>
      <c r="L104" s="58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 t="s">
        <v>372</v>
      </c>
      <c r="B105" s="2" t="s">
        <v>107</v>
      </c>
      <c r="C105" s="10">
        <v>2405286</v>
      </c>
      <c r="D105" s="10" t="s">
        <v>1220</v>
      </c>
      <c r="E105" s="69">
        <v>184</v>
      </c>
      <c r="F105" s="69">
        <v>7</v>
      </c>
      <c r="G105" s="69">
        <f t="shared" si="30"/>
        <v>4.2</v>
      </c>
      <c r="H105" s="70">
        <v>1</v>
      </c>
      <c r="I105" s="69">
        <f t="shared" si="1"/>
        <v>150.56</v>
      </c>
      <c r="J105" s="61">
        <f t="shared" si="31"/>
        <v>30.062999999999999</v>
      </c>
      <c r="K105" s="61">
        <f t="shared" si="32"/>
        <v>0.84560000000000013</v>
      </c>
      <c r="L105" s="58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 t="s">
        <v>372</v>
      </c>
      <c r="B106" s="2" t="s">
        <v>107</v>
      </c>
      <c r="C106" s="10">
        <v>2405626</v>
      </c>
      <c r="D106" s="10" t="s">
        <v>1221</v>
      </c>
      <c r="E106" s="69">
        <v>-20</v>
      </c>
      <c r="F106" s="69">
        <v>2</v>
      </c>
      <c r="G106" s="69">
        <f t="shared" si="30"/>
        <v>1.2</v>
      </c>
      <c r="H106" s="70">
        <v>1</v>
      </c>
      <c r="I106" s="69">
        <f t="shared" si="1"/>
        <v>-15.040000000000001</v>
      </c>
      <c r="J106" s="61">
        <f t="shared" si="31"/>
        <v>-3.0219999999999998</v>
      </c>
      <c r="K106" s="61">
        <f t="shared" si="32"/>
        <v>0.24159999999999995</v>
      </c>
      <c r="L106" s="58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 t="s">
        <v>372</v>
      </c>
      <c r="B107" s="2" t="s">
        <v>107</v>
      </c>
      <c r="C107" s="10">
        <v>2409185</v>
      </c>
      <c r="D107" s="10" t="s">
        <v>1222</v>
      </c>
      <c r="E107" s="69">
        <v>89.23</v>
      </c>
      <c r="F107" s="69">
        <v>5</v>
      </c>
      <c r="G107" s="69">
        <f t="shared" si="30"/>
        <v>3</v>
      </c>
      <c r="H107" s="70">
        <v>1</v>
      </c>
      <c r="I107" s="69">
        <f t="shared" si="1"/>
        <v>73.784000000000006</v>
      </c>
      <c r="J107" s="61">
        <f t="shared" si="31"/>
        <v>14.7218</v>
      </c>
      <c r="K107" s="61">
        <f t="shared" si="32"/>
        <v>0.60399999999999998</v>
      </c>
      <c r="L107" s="58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 t="s">
        <v>372</v>
      </c>
      <c r="B108" s="2" t="s">
        <v>107</v>
      </c>
      <c r="C108" s="10">
        <v>2471817</v>
      </c>
      <c r="D108" s="10" t="s">
        <v>1274</v>
      </c>
      <c r="E108" s="69">
        <v>25.25</v>
      </c>
      <c r="F108" s="69">
        <v>24.28</v>
      </c>
      <c r="G108" s="69">
        <f t="shared" si="30"/>
        <v>14.568</v>
      </c>
      <c r="H108" s="70">
        <v>1</v>
      </c>
      <c r="I108" s="69">
        <f t="shared" si="1"/>
        <v>31.854399999999998</v>
      </c>
      <c r="J108" s="61">
        <f t="shared" si="31"/>
        <v>6.20092</v>
      </c>
      <c r="K108" s="61">
        <f t="shared" si="32"/>
        <v>2.9330239999999996</v>
      </c>
      <c r="L108" s="58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 t="s">
        <v>372</v>
      </c>
      <c r="B109" s="2" t="s">
        <v>107</v>
      </c>
      <c r="C109" s="10">
        <v>2479329</v>
      </c>
      <c r="D109" s="10" t="s">
        <v>1279</v>
      </c>
      <c r="E109" s="69">
        <v>19.190000000000001</v>
      </c>
      <c r="F109" s="69">
        <v>15.28</v>
      </c>
      <c r="G109" s="69">
        <f t="shared" si="30"/>
        <v>9.1679999999999993</v>
      </c>
      <c r="H109" s="70">
        <v>1</v>
      </c>
      <c r="I109" s="69">
        <f t="shared" si="1"/>
        <v>22.686400000000003</v>
      </c>
      <c r="J109" s="61">
        <f t="shared" si="31"/>
        <v>4.43032</v>
      </c>
      <c r="K109" s="61">
        <f t="shared" si="32"/>
        <v>1.8458239999999995</v>
      </c>
      <c r="L109" s="58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2" t="s">
        <v>372</v>
      </c>
      <c r="B110" s="2" t="s">
        <v>107</v>
      </c>
      <c r="C110" s="10">
        <v>2496019</v>
      </c>
      <c r="D110" s="10" t="s">
        <v>1275</v>
      </c>
      <c r="E110" s="69">
        <v>-45</v>
      </c>
      <c r="F110" s="69">
        <v>4.5</v>
      </c>
      <c r="G110" s="69">
        <f t="shared" si="30"/>
        <v>2.6999999999999997</v>
      </c>
      <c r="H110" s="70">
        <v>1</v>
      </c>
      <c r="I110" s="69">
        <f t="shared" si="1"/>
        <v>-33.839999999999996</v>
      </c>
      <c r="J110" s="61">
        <f t="shared" si="31"/>
        <v>-6.7995000000000001</v>
      </c>
      <c r="K110" s="61">
        <f t="shared" si="32"/>
        <v>0.54359999999999986</v>
      </c>
      <c r="L110" s="58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2" t="s">
        <v>372</v>
      </c>
      <c r="B111" s="2" t="s">
        <v>107</v>
      </c>
      <c r="C111" s="10">
        <v>2571823</v>
      </c>
      <c r="D111" s="10" t="s">
        <v>1280</v>
      </c>
      <c r="E111" s="69">
        <v>-50</v>
      </c>
      <c r="F111" s="69">
        <v>5</v>
      </c>
      <c r="G111" s="69">
        <f t="shared" si="30"/>
        <v>3</v>
      </c>
      <c r="H111" s="70">
        <v>1</v>
      </c>
      <c r="I111" s="69">
        <f t="shared" si="1"/>
        <v>-37.6</v>
      </c>
      <c r="J111" s="61">
        <f t="shared" si="31"/>
        <v>-7.5550000000000006</v>
      </c>
      <c r="K111" s="61">
        <f t="shared" si="32"/>
        <v>0.60399999999999998</v>
      </c>
      <c r="L111" s="58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2" t="s">
        <v>372</v>
      </c>
      <c r="B112" s="2" t="s">
        <v>107</v>
      </c>
      <c r="C112" s="10">
        <v>2573237</v>
      </c>
      <c r="D112" s="10" t="s">
        <v>1281</v>
      </c>
      <c r="E112" s="69">
        <v>538.79999999999995</v>
      </c>
      <c r="F112" s="69">
        <v>17.559999999999999</v>
      </c>
      <c r="G112" s="69">
        <f t="shared" si="30"/>
        <v>10.536</v>
      </c>
      <c r="H112" s="70">
        <v>1</v>
      </c>
      <c r="I112" s="69">
        <f t="shared" si="1"/>
        <v>439.46879999999993</v>
      </c>
      <c r="J112" s="61">
        <f t="shared" si="31"/>
        <v>87.770839999999993</v>
      </c>
      <c r="K112" s="61">
        <f t="shared" si="32"/>
        <v>2.1212479999999996</v>
      </c>
      <c r="L112" s="58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2" t="s">
        <v>372</v>
      </c>
      <c r="B113" s="2" t="s">
        <v>107</v>
      </c>
      <c r="C113" s="10">
        <v>2587341</v>
      </c>
      <c r="D113" s="10" t="s">
        <v>1303</v>
      </c>
      <c r="E113" s="69">
        <v>-90</v>
      </c>
      <c r="F113" s="69">
        <v>9</v>
      </c>
      <c r="G113" s="69">
        <f t="shared" si="30"/>
        <v>5.3999999999999995</v>
      </c>
      <c r="H113" s="70">
        <v>1</v>
      </c>
      <c r="I113" s="69">
        <f t="shared" si="1"/>
        <v>-67.679999999999993</v>
      </c>
      <c r="J113" s="61">
        <f t="shared" si="31"/>
        <v>-13.599</v>
      </c>
      <c r="K113" s="61">
        <f t="shared" si="32"/>
        <v>1.0871999999999997</v>
      </c>
      <c r="L113" s="58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 t="s">
        <v>372</v>
      </c>
      <c r="B114" s="32" t="s">
        <v>76</v>
      </c>
      <c r="C114" s="10">
        <v>2319730</v>
      </c>
      <c r="D114" s="32" t="s">
        <v>1403</v>
      </c>
      <c r="E114" s="69">
        <v>133.18</v>
      </c>
      <c r="F114" s="69">
        <v>29.9</v>
      </c>
      <c r="G114" s="69">
        <f t="shared" ref="G114:G124" si="33">F114*0.55</f>
        <v>16.445</v>
      </c>
      <c r="H114" s="70">
        <v>1</v>
      </c>
      <c r="I114" s="69">
        <f t="shared" si="1"/>
        <v>119.7</v>
      </c>
      <c r="J114" s="61">
        <v>0</v>
      </c>
      <c r="K114" s="61">
        <v>0</v>
      </c>
      <c r="L114" s="58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 t="s">
        <v>372</v>
      </c>
      <c r="B115" s="32" t="s">
        <v>76</v>
      </c>
      <c r="C115" s="10">
        <v>2405990</v>
      </c>
      <c r="D115" s="10" t="s">
        <v>1398</v>
      </c>
      <c r="E115" s="69">
        <v>355.23</v>
      </c>
      <c r="F115" s="69">
        <v>8.6</v>
      </c>
      <c r="G115" s="69">
        <f t="shared" si="33"/>
        <v>4.7300000000000004</v>
      </c>
      <c r="H115" s="70">
        <v>1</v>
      </c>
      <c r="I115" s="69">
        <f t="shared" si="1"/>
        <v>287.96800000000002</v>
      </c>
      <c r="J115" s="61">
        <v>0</v>
      </c>
      <c r="K115" s="61">
        <v>0</v>
      </c>
      <c r="L115" s="58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 t="s">
        <v>372</v>
      </c>
      <c r="B116" s="32" t="s">
        <v>76</v>
      </c>
      <c r="C116" s="10">
        <v>2406479</v>
      </c>
      <c r="D116" s="32" t="s">
        <v>1399</v>
      </c>
      <c r="E116" s="69">
        <v>-30</v>
      </c>
      <c r="F116" s="69">
        <v>3</v>
      </c>
      <c r="G116" s="69">
        <f t="shared" si="33"/>
        <v>1.6500000000000001</v>
      </c>
      <c r="H116" s="70">
        <v>1</v>
      </c>
      <c r="I116" s="69">
        <f t="shared" si="1"/>
        <v>-22.680000000000003</v>
      </c>
      <c r="J116" s="61">
        <v>0</v>
      </c>
      <c r="K116" s="61">
        <v>0</v>
      </c>
      <c r="L116" s="58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 t="s">
        <v>372</v>
      </c>
      <c r="B117" s="32" t="s">
        <v>76</v>
      </c>
      <c r="C117" s="10">
        <v>2406828</v>
      </c>
      <c r="D117" s="10" t="s">
        <v>1400</v>
      </c>
      <c r="E117" s="69">
        <v>-98</v>
      </c>
      <c r="F117" s="69">
        <v>9.8000000000000007</v>
      </c>
      <c r="G117" s="69">
        <f t="shared" si="33"/>
        <v>5.3900000000000006</v>
      </c>
      <c r="H117" s="70">
        <v>1</v>
      </c>
      <c r="I117" s="69">
        <f t="shared" si="1"/>
        <v>-74.088000000000008</v>
      </c>
      <c r="J117" s="61">
        <v>0</v>
      </c>
      <c r="K117" s="61">
        <v>0</v>
      </c>
      <c r="L117" s="58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 t="s">
        <v>372</v>
      </c>
      <c r="B118" s="32" t="s">
        <v>76</v>
      </c>
      <c r="C118" s="10">
        <v>2407075</v>
      </c>
      <c r="D118" s="10" t="s">
        <v>1402</v>
      </c>
      <c r="E118" s="69">
        <v>-129.5</v>
      </c>
      <c r="F118" s="69">
        <v>13.4</v>
      </c>
      <c r="G118" s="69">
        <f t="shared" si="33"/>
        <v>7.370000000000001</v>
      </c>
      <c r="H118" s="70">
        <v>1</v>
      </c>
      <c r="I118" s="69">
        <f t="shared" si="1"/>
        <v>-97.704000000000008</v>
      </c>
      <c r="J118" s="61">
        <v>0</v>
      </c>
      <c r="K118" s="61">
        <v>0</v>
      </c>
      <c r="L118" s="58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 t="s">
        <v>372</v>
      </c>
      <c r="B119" s="32" t="s">
        <v>76</v>
      </c>
      <c r="C119" s="10">
        <v>2471825</v>
      </c>
      <c r="D119" s="32" t="s">
        <v>1404</v>
      </c>
      <c r="E119" s="69">
        <v>-166</v>
      </c>
      <c r="F119" s="69">
        <v>16.600000000000001</v>
      </c>
      <c r="G119" s="69">
        <f t="shared" si="33"/>
        <v>9.1300000000000008</v>
      </c>
      <c r="H119" s="70">
        <v>1</v>
      </c>
      <c r="I119" s="69">
        <f t="shared" si="1"/>
        <v>-125.49600000000001</v>
      </c>
      <c r="J119" s="61">
        <v>0</v>
      </c>
      <c r="K119" s="61">
        <v>0</v>
      </c>
      <c r="L119" s="58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 t="s">
        <v>372</v>
      </c>
      <c r="B120" s="32" t="s">
        <v>76</v>
      </c>
      <c r="C120" s="10">
        <v>2479322</v>
      </c>
      <c r="D120" s="10" t="s">
        <v>1405</v>
      </c>
      <c r="E120" s="69">
        <v>838.29</v>
      </c>
      <c r="F120" s="69">
        <v>24.4</v>
      </c>
      <c r="G120" s="69">
        <f t="shared" si="33"/>
        <v>13.42</v>
      </c>
      <c r="H120" s="70">
        <v>1</v>
      </c>
      <c r="I120" s="69">
        <f t="shared" si="1"/>
        <v>681.36799999999994</v>
      </c>
      <c r="J120" s="61">
        <v>0</v>
      </c>
      <c r="K120" s="61">
        <v>0</v>
      </c>
      <c r="L120" s="58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 t="s">
        <v>372</v>
      </c>
      <c r="B121" s="32" t="s">
        <v>76</v>
      </c>
      <c r="C121" s="10">
        <v>2496009</v>
      </c>
      <c r="D121" s="10" t="s">
        <v>1406</v>
      </c>
      <c r="E121" s="69">
        <v>30.13</v>
      </c>
      <c r="F121" s="69">
        <v>29.2</v>
      </c>
      <c r="G121" s="69">
        <f t="shared" si="33"/>
        <v>16.060000000000002</v>
      </c>
      <c r="H121" s="70">
        <v>1</v>
      </c>
      <c r="I121" s="69">
        <f t="shared" si="1"/>
        <v>36.951999999999998</v>
      </c>
      <c r="J121" s="61">
        <v>0</v>
      </c>
      <c r="K121" s="61">
        <v>0</v>
      </c>
      <c r="L121" s="58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 t="s">
        <v>372</v>
      </c>
      <c r="B122" s="32" t="s">
        <v>76</v>
      </c>
      <c r="C122" s="10">
        <v>2571819</v>
      </c>
      <c r="D122" s="10" t="s">
        <v>1407</v>
      </c>
      <c r="E122" s="69">
        <v>-100</v>
      </c>
      <c r="F122" s="69">
        <v>10</v>
      </c>
      <c r="G122" s="69">
        <f t="shared" si="33"/>
        <v>5.5</v>
      </c>
      <c r="H122" s="70">
        <v>1</v>
      </c>
      <c r="I122" s="69">
        <f t="shared" si="1"/>
        <v>-75.600000000000009</v>
      </c>
      <c r="J122" s="61">
        <v>0</v>
      </c>
      <c r="K122" s="61">
        <v>0</v>
      </c>
      <c r="L122" s="58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 t="s">
        <v>372</v>
      </c>
      <c r="B123" s="32" t="s">
        <v>76</v>
      </c>
      <c r="C123" s="10">
        <v>2573230</v>
      </c>
      <c r="D123" s="32" t="s">
        <v>1408</v>
      </c>
      <c r="E123" s="69">
        <v>-133.33000000000001</v>
      </c>
      <c r="F123" s="69">
        <v>47.5</v>
      </c>
      <c r="G123" s="69">
        <f t="shared" si="33"/>
        <v>26.125000000000004</v>
      </c>
      <c r="H123" s="70">
        <v>1</v>
      </c>
      <c r="I123" s="69">
        <f t="shared" si="1"/>
        <v>-85.76400000000001</v>
      </c>
      <c r="J123" s="61">
        <v>0</v>
      </c>
      <c r="K123" s="61">
        <v>0</v>
      </c>
      <c r="L123" s="58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 t="s">
        <v>372</v>
      </c>
      <c r="B124" s="32" t="s">
        <v>76</v>
      </c>
      <c r="C124" s="10">
        <v>2577854</v>
      </c>
      <c r="D124" s="10" t="s">
        <v>1409</v>
      </c>
      <c r="E124" s="69">
        <v>184.97</v>
      </c>
      <c r="F124" s="69">
        <v>46.1</v>
      </c>
      <c r="G124" s="69">
        <f t="shared" si="33"/>
        <v>25.355000000000004</v>
      </c>
      <c r="H124" s="70">
        <v>1</v>
      </c>
      <c r="I124" s="69">
        <f t="shared" si="1"/>
        <v>168.26</v>
      </c>
      <c r="J124" s="61">
        <v>0</v>
      </c>
      <c r="K124" s="61">
        <v>0</v>
      </c>
      <c r="L124" s="58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 t="s">
        <v>377</v>
      </c>
      <c r="B125" s="2" t="s">
        <v>107</v>
      </c>
      <c r="C125" s="10">
        <v>2319777</v>
      </c>
      <c r="D125" s="10" t="s">
        <v>1273</v>
      </c>
      <c r="E125" s="69">
        <v>-107.25</v>
      </c>
      <c r="F125" s="69">
        <v>12.78</v>
      </c>
      <c r="G125" s="69">
        <f t="shared" ref="G125:G133" si="34">F125*0.6</f>
        <v>7.6679999999999993</v>
      </c>
      <c r="H125" s="70">
        <v>1</v>
      </c>
      <c r="I125" s="69">
        <f t="shared" si="1"/>
        <v>-79.665599999999998</v>
      </c>
      <c r="J125" s="61">
        <f t="shared" ref="J125:J133" si="35">(-F125*0.25*0.04)*H125*0.7+(E125+G125)*H125*0.16</f>
        <v>-16.022579999999998</v>
      </c>
      <c r="K125" s="61">
        <f t="shared" ref="K125:K133" si="36">F125*0.15*0.96*H125*0.7+F125*0.02*0.04*H125+F125*0.02*0.96*H125</f>
        <v>1.5438239999999999</v>
      </c>
      <c r="L125" s="58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 t="s">
        <v>377</v>
      </c>
      <c r="B126" s="2" t="s">
        <v>107</v>
      </c>
      <c r="C126" s="10">
        <v>2404538</v>
      </c>
      <c r="D126" s="10" t="s">
        <v>1219</v>
      </c>
      <c r="E126" s="69">
        <v>-20</v>
      </c>
      <c r="F126" s="69">
        <v>2</v>
      </c>
      <c r="G126" s="69">
        <f t="shared" si="34"/>
        <v>1.2</v>
      </c>
      <c r="H126" s="70">
        <v>1</v>
      </c>
      <c r="I126" s="69">
        <f t="shared" si="1"/>
        <v>-15.040000000000001</v>
      </c>
      <c r="J126" s="61">
        <f t="shared" si="35"/>
        <v>-3.0219999999999998</v>
      </c>
      <c r="K126" s="61">
        <f t="shared" si="36"/>
        <v>0.24159999999999995</v>
      </c>
      <c r="L126" s="58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 t="s">
        <v>377</v>
      </c>
      <c r="B127" s="2" t="s">
        <v>107</v>
      </c>
      <c r="C127" s="10">
        <v>2409185</v>
      </c>
      <c r="D127" s="10" t="s">
        <v>1222</v>
      </c>
      <c r="E127" s="69">
        <v>-20</v>
      </c>
      <c r="F127" s="69">
        <v>2</v>
      </c>
      <c r="G127" s="69">
        <f t="shared" si="34"/>
        <v>1.2</v>
      </c>
      <c r="H127" s="70">
        <v>1</v>
      </c>
      <c r="I127" s="69">
        <f t="shared" si="1"/>
        <v>-15.040000000000001</v>
      </c>
      <c r="J127" s="61">
        <f t="shared" si="35"/>
        <v>-3.0219999999999998</v>
      </c>
      <c r="K127" s="61">
        <f t="shared" si="36"/>
        <v>0.24159999999999995</v>
      </c>
      <c r="L127" s="58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 t="s">
        <v>377</v>
      </c>
      <c r="B128" s="2" t="s">
        <v>107</v>
      </c>
      <c r="C128" s="10">
        <v>2471817</v>
      </c>
      <c r="D128" s="10" t="s">
        <v>1274</v>
      </c>
      <c r="E128" s="69">
        <v>6.62</v>
      </c>
      <c r="F128" s="69">
        <v>14.78</v>
      </c>
      <c r="G128" s="69">
        <f t="shared" si="34"/>
        <v>8.8679999999999986</v>
      </c>
      <c r="H128" s="70">
        <v>1</v>
      </c>
      <c r="I128" s="69">
        <f t="shared" si="1"/>
        <v>12.3904</v>
      </c>
      <c r="J128" s="61">
        <f t="shared" si="35"/>
        <v>2.3746199999999997</v>
      </c>
      <c r="K128" s="61">
        <f t="shared" si="36"/>
        <v>1.7854239999999997</v>
      </c>
      <c r="L128" s="58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2" t="s">
        <v>377</v>
      </c>
      <c r="B129" s="2" t="s">
        <v>107</v>
      </c>
      <c r="C129" s="10">
        <v>2479329</v>
      </c>
      <c r="D129" s="32" t="s">
        <v>1279</v>
      </c>
      <c r="E129" s="69">
        <v>-20</v>
      </c>
      <c r="F129" s="69">
        <v>2</v>
      </c>
      <c r="G129" s="69">
        <f t="shared" si="34"/>
        <v>1.2</v>
      </c>
      <c r="H129" s="70">
        <v>1</v>
      </c>
      <c r="I129" s="69">
        <f t="shared" si="1"/>
        <v>-15.040000000000001</v>
      </c>
      <c r="J129" s="61">
        <f t="shared" si="35"/>
        <v>-3.0219999999999998</v>
      </c>
      <c r="K129" s="61">
        <f t="shared" si="36"/>
        <v>0.24159999999999995</v>
      </c>
      <c r="L129" s="58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2" t="s">
        <v>377</v>
      </c>
      <c r="B130" s="2" t="s">
        <v>107</v>
      </c>
      <c r="C130" s="10">
        <v>2496019</v>
      </c>
      <c r="D130" s="32" t="s">
        <v>1275</v>
      </c>
      <c r="E130" s="69">
        <v>-240.75</v>
      </c>
      <c r="F130" s="69">
        <v>27.06</v>
      </c>
      <c r="G130" s="69">
        <f t="shared" si="34"/>
        <v>16.235999999999997</v>
      </c>
      <c r="H130" s="70">
        <v>1</v>
      </c>
      <c r="I130" s="69">
        <f t="shared" si="1"/>
        <v>-179.61120000000003</v>
      </c>
      <c r="J130" s="61">
        <f t="shared" si="35"/>
        <v>-36.111660000000001</v>
      </c>
      <c r="K130" s="61">
        <f t="shared" si="36"/>
        <v>3.2688479999999993</v>
      </c>
      <c r="L130" s="58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2" t="s">
        <v>377</v>
      </c>
      <c r="B131" s="2" t="s">
        <v>107</v>
      </c>
      <c r="C131" s="10">
        <v>2571823</v>
      </c>
      <c r="D131" s="10" t="s">
        <v>1280</v>
      </c>
      <c r="E131" s="69">
        <v>359.68</v>
      </c>
      <c r="F131" s="69">
        <v>10.56</v>
      </c>
      <c r="G131" s="69">
        <f t="shared" si="34"/>
        <v>6.3360000000000003</v>
      </c>
      <c r="H131" s="70">
        <v>1</v>
      </c>
      <c r="I131" s="69">
        <f t="shared" si="1"/>
        <v>292.81280000000004</v>
      </c>
      <c r="J131" s="61">
        <f t="shared" si="35"/>
        <v>58.488640000000004</v>
      </c>
      <c r="K131" s="61">
        <f t="shared" si="36"/>
        <v>1.2756479999999999</v>
      </c>
      <c r="L131" s="58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2" t="s">
        <v>377</v>
      </c>
      <c r="B132" s="2" t="s">
        <v>107</v>
      </c>
      <c r="C132" s="10">
        <v>2573237</v>
      </c>
      <c r="D132" s="10" t="s">
        <v>1281</v>
      </c>
      <c r="E132" s="69">
        <v>-66</v>
      </c>
      <c r="F132" s="69">
        <v>5.28</v>
      </c>
      <c r="G132" s="69">
        <f t="shared" si="34"/>
        <v>3.1680000000000001</v>
      </c>
      <c r="H132" s="70">
        <v>1</v>
      </c>
      <c r="I132" s="69">
        <f t="shared" si="1"/>
        <v>-50.265600000000006</v>
      </c>
      <c r="J132" s="61">
        <f t="shared" si="35"/>
        <v>-10.09008</v>
      </c>
      <c r="K132" s="61">
        <f t="shared" si="36"/>
        <v>0.63782399999999995</v>
      </c>
      <c r="L132" s="58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2" t="s">
        <v>377</v>
      </c>
      <c r="B133" s="2" t="s">
        <v>107</v>
      </c>
      <c r="C133" s="10">
        <v>2587341</v>
      </c>
      <c r="D133" s="10" t="s">
        <v>1303</v>
      </c>
      <c r="E133" s="69">
        <v>-66</v>
      </c>
      <c r="F133" s="69">
        <v>5.28</v>
      </c>
      <c r="G133" s="69">
        <f t="shared" si="34"/>
        <v>3.1680000000000001</v>
      </c>
      <c r="H133" s="70">
        <v>1</v>
      </c>
      <c r="I133" s="69">
        <f t="shared" si="1"/>
        <v>-50.265600000000006</v>
      </c>
      <c r="J133" s="61">
        <f t="shared" si="35"/>
        <v>-10.09008</v>
      </c>
      <c r="K133" s="61">
        <f t="shared" si="36"/>
        <v>0.63782399999999995</v>
      </c>
      <c r="L133" s="58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 t="s">
        <v>377</v>
      </c>
      <c r="B134" s="32" t="s">
        <v>76</v>
      </c>
      <c r="C134" s="10">
        <v>2319730</v>
      </c>
      <c r="D134" s="32" t="s">
        <v>1403</v>
      </c>
      <c r="E134" s="69">
        <v>-72</v>
      </c>
      <c r="F134" s="69">
        <v>7.2</v>
      </c>
      <c r="G134" s="69">
        <f t="shared" ref="G134:G144" si="37">F134*0.55</f>
        <v>3.9600000000000004</v>
      </c>
      <c r="H134" s="70">
        <v>1</v>
      </c>
      <c r="I134" s="69">
        <f t="shared" si="1"/>
        <v>-54.432000000000009</v>
      </c>
      <c r="J134" s="61">
        <v>0</v>
      </c>
      <c r="K134" s="61">
        <v>0</v>
      </c>
      <c r="L134" s="58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 t="s">
        <v>377</v>
      </c>
      <c r="B135" s="32" t="s">
        <v>76</v>
      </c>
      <c r="C135" s="10">
        <v>2405990</v>
      </c>
      <c r="D135" s="32" t="s">
        <v>1398</v>
      </c>
      <c r="E135" s="69">
        <v>-68</v>
      </c>
      <c r="F135" s="69">
        <v>6.8</v>
      </c>
      <c r="G135" s="69">
        <f t="shared" si="37"/>
        <v>3.74</v>
      </c>
      <c r="H135" s="70">
        <v>1</v>
      </c>
      <c r="I135" s="69">
        <f t="shared" si="1"/>
        <v>-51.408000000000008</v>
      </c>
      <c r="J135" s="61">
        <v>0</v>
      </c>
      <c r="K135" s="61">
        <v>0</v>
      </c>
      <c r="L135" s="58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 t="s">
        <v>377</v>
      </c>
      <c r="B136" s="32" t="s">
        <v>76</v>
      </c>
      <c r="C136" s="10">
        <v>2406479</v>
      </c>
      <c r="D136" s="32" t="s">
        <v>1399</v>
      </c>
      <c r="E136" s="69">
        <v>927.96</v>
      </c>
      <c r="F136" s="69">
        <v>6.8</v>
      </c>
      <c r="G136" s="69">
        <f t="shared" si="37"/>
        <v>3.74</v>
      </c>
      <c r="H136" s="70">
        <v>1</v>
      </c>
      <c r="I136" s="69">
        <f t="shared" si="1"/>
        <v>745.36000000000013</v>
      </c>
      <c r="J136" s="61">
        <v>0</v>
      </c>
      <c r="K136" s="61">
        <v>0</v>
      </c>
      <c r="L136" s="58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 t="s">
        <v>377</v>
      </c>
      <c r="B137" s="32" t="s">
        <v>76</v>
      </c>
      <c r="C137" s="10">
        <v>2406828</v>
      </c>
      <c r="D137" s="10" t="s">
        <v>1400</v>
      </c>
      <c r="E137" s="69">
        <v>-63.85</v>
      </c>
      <c r="F137" s="69">
        <v>8</v>
      </c>
      <c r="G137" s="69">
        <f t="shared" si="37"/>
        <v>4.4000000000000004</v>
      </c>
      <c r="H137" s="70">
        <v>1</v>
      </c>
      <c r="I137" s="69">
        <f t="shared" si="1"/>
        <v>-47.56</v>
      </c>
      <c r="J137" s="61">
        <v>0</v>
      </c>
      <c r="K137" s="61">
        <v>0</v>
      </c>
      <c r="L137" s="58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 t="s">
        <v>377</v>
      </c>
      <c r="B138" s="32" t="s">
        <v>76</v>
      </c>
      <c r="C138" s="10">
        <v>2407075</v>
      </c>
      <c r="D138" s="10" t="s">
        <v>1402</v>
      </c>
      <c r="E138" s="69">
        <v>-9.26</v>
      </c>
      <c r="F138" s="69">
        <v>4</v>
      </c>
      <c r="G138" s="69">
        <f t="shared" si="37"/>
        <v>2.2000000000000002</v>
      </c>
      <c r="H138" s="70">
        <v>1</v>
      </c>
      <c r="I138" s="69">
        <f t="shared" si="1"/>
        <v>-5.6479999999999997</v>
      </c>
      <c r="J138" s="61">
        <v>0</v>
      </c>
      <c r="K138" s="61">
        <v>0</v>
      </c>
      <c r="L138" s="58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 t="s">
        <v>377</v>
      </c>
      <c r="B139" s="32" t="s">
        <v>76</v>
      </c>
      <c r="C139" s="10">
        <v>2471825</v>
      </c>
      <c r="D139" s="10" t="s">
        <v>1404</v>
      </c>
      <c r="E139" s="69">
        <v>-31.27</v>
      </c>
      <c r="F139" s="69">
        <v>17.600000000000001</v>
      </c>
      <c r="G139" s="69">
        <f t="shared" si="37"/>
        <v>9.6800000000000015</v>
      </c>
      <c r="H139" s="70">
        <v>1</v>
      </c>
      <c r="I139" s="69">
        <f t="shared" si="1"/>
        <v>-17.271999999999998</v>
      </c>
      <c r="J139" s="61">
        <v>0</v>
      </c>
      <c r="K139" s="61">
        <v>0</v>
      </c>
      <c r="L139" s="58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 t="s">
        <v>377</v>
      </c>
      <c r="B140" s="32" t="s">
        <v>76</v>
      </c>
      <c r="C140" s="10">
        <v>2479322</v>
      </c>
      <c r="D140" s="10" t="s">
        <v>1405</v>
      </c>
      <c r="E140" s="69">
        <v>-139.75</v>
      </c>
      <c r="F140" s="69">
        <v>18.100000000000001</v>
      </c>
      <c r="G140" s="69">
        <f t="shared" si="37"/>
        <v>9.9550000000000018</v>
      </c>
      <c r="H140" s="70">
        <v>1</v>
      </c>
      <c r="I140" s="69">
        <f t="shared" si="1"/>
        <v>-103.836</v>
      </c>
      <c r="J140" s="61">
        <v>0</v>
      </c>
      <c r="K140" s="61">
        <v>0</v>
      </c>
      <c r="L140" s="58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 t="s">
        <v>377</v>
      </c>
      <c r="B141" s="32" t="s">
        <v>76</v>
      </c>
      <c r="C141" s="10">
        <v>2496009</v>
      </c>
      <c r="D141" s="10" t="s">
        <v>1406</v>
      </c>
      <c r="E141" s="69">
        <v>-82.9</v>
      </c>
      <c r="F141" s="69">
        <v>11.2</v>
      </c>
      <c r="G141" s="69">
        <f t="shared" si="37"/>
        <v>6.16</v>
      </c>
      <c r="H141" s="70">
        <v>1</v>
      </c>
      <c r="I141" s="69">
        <f t="shared" si="1"/>
        <v>-61.39200000000001</v>
      </c>
      <c r="J141" s="61">
        <v>0</v>
      </c>
      <c r="K141" s="61">
        <v>0</v>
      </c>
      <c r="L141" s="58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32" t="s">
        <v>377</v>
      </c>
      <c r="B142" s="32" t="s">
        <v>76</v>
      </c>
      <c r="C142" s="10">
        <v>2571819</v>
      </c>
      <c r="D142" s="10" t="s">
        <v>1407</v>
      </c>
      <c r="E142" s="69">
        <v>284.68</v>
      </c>
      <c r="F142" s="69">
        <v>13.1</v>
      </c>
      <c r="G142" s="69">
        <f t="shared" si="37"/>
        <v>7.2050000000000001</v>
      </c>
      <c r="H142" s="70">
        <v>1</v>
      </c>
      <c r="I142" s="69">
        <f t="shared" si="1"/>
        <v>233.50800000000001</v>
      </c>
      <c r="J142" s="61">
        <v>0</v>
      </c>
      <c r="K142" s="61">
        <v>0</v>
      </c>
      <c r="L142" s="58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32" t="s">
        <v>377</v>
      </c>
      <c r="B143" s="32" t="s">
        <v>76</v>
      </c>
      <c r="C143" s="10">
        <v>2573230</v>
      </c>
      <c r="D143" s="10" t="s">
        <v>1408</v>
      </c>
      <c r="E143" s="69">
        <v>-80</v>
      </c>
      <c r="F143" s="69">
        <v>8</v>
      </c>
      <c r="G143" s="69">
        <f t="shared" si="37"/>
        <v>4.4000000000000004</v>
      </c>
      <c r="H143" s="70">
        <v>1</v>
      </c>
      <c r="I143" s="69">
        <f t="shared" si="1"/>
        <v>-60.48</v>
      </c>
      <c r="J143" s="61">
        <v>0</v>
      </c>
      <c r="K143" s="61">
        <v>0</v>
      </c>
      <c r="L143" s="58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32" t="s">
        <v>377</v>
      </c>
      <c r="B144" s="32" t="s">
        <v>76</v>
      </c>
      <c r="C144" s="10">
        <v>2577854</v>
      </c>
      <c r="D144" s="10" t="s">
        <v>1409</v>
      </c>
      <c r="E144" s="69">
        <v>280.60000000000002</v>
      </c>
      <c r="F144" s="69">
        <v>15.1</v>
      </c>
      <c r="G144" s="69">
        <f t="shared" si="37"/>
        <v>8.3049999999999997</v>
      </c>
      <c r="H144" s="70">
        <v>1</v>
      </c>
      <c r="I144" s="69">
        <f t="shared" si="1"/>
        <v>231.12400000000002</v>
      </c>
      <c r="J144" s="61">
        <v>0</v>
      </c>
      <c r="K144" s="61">
        <v>0</v>
      </c>
      <c r="L144" s="58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 t="s">
        <v>379</v>
      </c>
      <c r="B145" s="46" t="s">
        <v>468</v>
      </c>
      <c r="C145" s="10" t="s">
        <v>468</v>
      </c>
      <c r="D145" s="10" t="s">
        <v>468</v>
      </c>
      <c r="E145" s="46" t="s">
        <v>468</v>
      </c>
      <c r="F145" s="46" t="s">
        <v>468</v>
      </c>
      <c r="G145" s="46" t="s">
        <v>468</v>
      </c>
      <c r="H145" s="81" t="s">
        <v>468</v>
      </c>
      <c r="I145" s="46" t="s">
        <v>468</v>
      </c>
      <c r="J145" s="82" t="s">
        <v>468</v>
      </c>
      <c r="K145" s="82" t="s">
        <v>468</v>
      </c>
      <c r="L145" s="58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32" t="s">
        <v>603</v>
      </c>
      <c r="B146" s="46" t="s">
        <v>603</v>
      </c>
      <c r="C146" s="46" t="s">
        <v>603</v>
      </c>
      <c r="D146" s="46" t="s">
        <v>603</v>
      </c>
      <c r="E146" s="46" t="s">
        <v>603</v>
      </c>
      <c r="F146" s="46" t="s">
        <v>603</v>
      </c>
      <c r="G146" s="46" t="s">
        <v>603</v>
      </c>
      <c r="H146" s="46" t="s">
        <v>603</v>
      </c>
      <c r="I146" s="46" t="s">
        <v>603</v>
      </c>
      <c r="J146" s="82" t="s">
        <v>603</v>
      </c>
      <c r="K146" s="82" t="s">
        <v>603</v>
      </c>
      <c r="L146" s="58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69"/>
      <c r="H147" s="74"/>
      <c r="I147" s="69"/>
      <c r="J147" s="69"/>
      <c r="K147" s="69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69"/>
      <c r="F148" s="69"/>
      <c r="G148" s="69"/>
      <c r="H148" s="70"/>
      <c r="I148" s="69"/>
      <c r="J148" s="69"/>
      <c r="K148" s="69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69"/>
      <c r="F149" s="69"/>
      <c r="G149" s="69"/>
      <c r="H149" s="70"/>
      <c r="I149" s="69"/>
      <c r="J149" s="69"/>
      <c r="K149" s="69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69"/>
      <c r="F150" s="69"/>
      <c r="G150" s="69"/>
      <c r="H150" s="70"/>
      <c r="I150" s="69"/>
      <c r="J150" s="69"/>
      <c r="K150" s="69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69"/>
      <c r="F151" s="69"/>
      <c r="G151" s="69"/>
      <c r="H151" s="70"/>
      <c r="I151" s="69"/>
      <c r="J151" s="69"/>
      <c r="K151" s="69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69"/>
      <c r="H152" s="74"/>
      <c r="I152" s="69"/>
      <c r="J152" s="69"/>
      <c r="K152" s="69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69"/>
      <c r="H153" s="74"/>
      <c r="I153" s="69"/>
      <c r="J153" s="69"/>
      <c r="K153" s="69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69"/>
      <c r="F154" s="69"/>
      <c r="G154" s="69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69"/>
      <c r="F155" s="69"/>
      <c r="G155" s="69"/>
      <c r="H155" s="70"/>
      <c r="I155" s="69"/>
      <c r="J155" s="69"/>
      <c r="K155" s="69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69"/>
      <c r="F156" s="69"/>
      <c r="G156" s="69"/>
      <c r="H156" s="70"/>
      <c r="I156" s="69"/>
      <c r="J156" s="69"/>
      <c r="K156" s="69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69"/>
      <c r="F157" s="69"/>
      <c r="G157" s="69"/>
      <c r="H157" s="70"/>
      <c r="I157" s="69"/>
      <c r="J157" s="69"/>
      <c r="K157" s="69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69"/>
      <c r="F158" s="69"/>
      <c r="G158" s="69"/>
      <c r="H158" s="70"/>
      <c r="I158" s="69"/>
      <c r="J158" s="69"/>
      <c r="K158" s="69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69"/>
      <c r="H159" s="74"/>
      <c r="I159" s="69"/>
      <c r="J159" s="69"/>
      <c r="K159" s="69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69"/>
      <c r="H160" s="74"/>
      <c r="I160" s="69"/>
      <c r="J160" s="69"/>
      <c r="K160" s="69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69"/>
      <c r="H161" s="74"/>
      <c r="I161" s="69"/>
      <c r="J161" s="69"/>
      <c r="K161" s="69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69"/>
      <c r="F162" s="69"/>
      <c r="G162" s="69"/>
      <c r="H162" s="70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69"/>
      <c r="F163" s="69"/>
      <c r="G163" s="69"/>
      <c r="H163" s="70"/>
      <c r="I163" s="69"/>
      <c r="J163" s="69"/>
      <c r="K163" s="69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69"/>
      <c r="H164" s="74"/>
      <c r="I164" s="69"/>
      <c r="J164" s="69"/>
      <c r="K164" s="69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69"/>
      <c r="H165" s="74"/>
      <c r="I165" s="69"/>
      <c r="J165" s="69"/>
      <c r="K165" s="69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69"/>
      <c r="F166" s="69"/>
      <c r="G166" s="69"/>
      <c r="H166" s="70"/>
      <c r="I166" s="69"/>
      <c r="J166" s="69"/>
      <c r="K166" s="69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69"/>
      <c r="F167" s="69"/>
      <c r="G167" s="69"/>
      <c r="H167" s="70"/>
      <c r="I167" s="69"/>
      <c r="J167" s="69"/>
      <c r="K167" s="69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69"/>
      <c r="F168" s="69"/>
      <c r="G168" s="69"/>
      <c r="H168" s="70"/>
      <c r="I168" s="69"/>
      <c r="J168" s="69"/>
      <c r="K168" s="69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69"/>
      <c r="H169" s="74"/>
      <c r="I169" s="69"/>
      <c r="J169" s="69"/>
      <c r="K169" s="69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69"/>
      <c r="F170" s="69"/>
      <c r="G170" s="69"/>
      <c r="H170" s="70"/>
      <c r="I170" s="69"/>
      <c r="J170" s="69"/>
      <c r="K170" s="69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69"/>
      <c r="F171" s="69"/>
      <c r="G171" s="69"/>
      <c r="H171" s="70"/>
      <c r="I171" s="69"/>
      <c r="J171" s="69"/>
      <c r="K171" s="69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69"/>
      <c r="F172" s="69"/>
      <c r="G172" s="69"/>
      <c r="H172" s="70"/>
      <c r="I172" s="69"/>
      <c r="J172" s="69"/>
      <c r="K172" s="69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69"/>
      <c r="F173" s="69"/>
      <c r="G173" s="69"/>
      <c r="H173" s="70"/>
      <c r="I173" s="69"/>
      <c r="J173" s="69"/>
      <c r="K173" s="69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69"/>
      <c r="F174" s="69"/>
      <c r="G174" s="69"/>
      <c r="H174" s="70"/>
      <c r="I174" s="69"/>
      <c r="J174" s="69"/>
      <c r="K174" s="69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69"/>
      <c r="H175" s="70"/>
      <c r="I175" s="69"/>
      <c r="J175" s="69"/>
      <c r="K175" s="69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69"/>
      <c r="H176" s="74"/>
      <c r="I176" s="69"/>
      <c r="J176" s="69"/>
      <c r="K176" s="69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69"/>
      <c r="H177" s="74"/>
      <c r="I177" s="69"/>
      <c r="J177" s="69"/>
      <c r="K177" s="69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69"/>
      <c r="H178" s="74"/>
      <c r="I178" s="69"/>
      <c r="J178" s="69"/>
      <c r="K178" s="69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69"/>
      <c r="F179" s="69"/>
      <c r="G179" s="69"/>
      <c r="H179" s="70"/>
      <c r="I179" s="69"/>
      <c r="J179" s="69"/>
      <c r="K179" s="69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69"/>
      <c r="F180" s="69"/>
      <c r="G180" s="69"/>
      <c r="H180" s="70"/>
      <c r="I180" s="69"/>
      <c r="J180" s="69"/>
      <c r="K180" s="69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69"/>
      <c r="F181" s="69"/>
      <c r="G181" s="69"/>
      <c r="H181" s="70"/>
      <c r="I181" s="69"/>
      <c r="J181" s="69"/>
      <c r="K181" s="69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69"/>
      <c r="F182" s="69"/>
      <c r="G182" s="69"/>
      <c r="H182" s="70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69"/>
      <c r="F183" s="69"/>
      <c r="G183" s="69"/>
      <c r="H183" s="70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69"/>
      <c r="F184" s="69"/>
      <c r="G184" s="69"/>
      <c r="H184" s="70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69"/>
      <c r="F185" s="69"/>
      <c r="G185" s="69"/>
      <c r="H185" s="70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69"/>
      <c r="F186" s="69"/>
      <c r="G186" s="69"/>
      <c r="H186" s="70"/>
      <c r="I186" s="69"/>
      <c r="J186" s="69"/>
      <c r="K186" s="69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69"/>
      <c r="F187" s="69"/>
      <c r="G187" s="69"/>
      <c r="H187" s="70"/>
      <c r="I187" s="69"/>
      <c r="J187" s="69"/>
      <c r="K187" s="69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69"/>
      <c r="F188" s="69"/>
      <c r="G188" s="69"/>
      <c r="H188" s="70"/>
      <c r="I188" s="69"/>
      <c r="J188" s="69"/>
      <c r="K188" s="69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69"/>
      <c r="H189" s="74"/>
      <c r="I189" s="69"/>
      <c r="J189" s="69"/>
      <c r="K189" s="69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69"/>
      <c r="H190" s="74"/>
      <c r="I190" s="69"/>
      <c r="J190" s="69"/>
      <c r="K190" s="69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69"/>
      <c r="H191" s="74"/>
      <c r="I191" s="69"/>
      <c r="J191" s="69"/>
      <c r="K191" s="69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69"/>
      <c r="F192" s="69"/>
      <c r="G192" s="69"/>
      <c r="H192" s="70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69"/>
      <c r="F193" s="69"/>
      <c r="G193" s="69"/>
      <c r="H193" s="70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69"/>
      <c r="H194" s="74"/>
      <c r="I194" s="69"/>
      <c r="J194" s="69"/>
      <c r="K194" s="69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69"/>
      <c r="H195" s="74"/>
      <c r="I195" s="69"/>
      <c r="J195" s="69"/>
      <c r="K195" s="69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69"/>
      <c r="H196" s="74"/>
      <c r="I196" s="69"/>
      <c r="J196" s="69"/>
      <c r="K196" s="69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69"/>
      <c r="F197" s="69"/>
      <c r="G197" s="69"/>
      <c r="H197" s="70"/>
      <c r="I197" s="69"/>
      <c r="J197" s="69"/>
      <c r="K197" s="69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69"/>
      <c r="F198" s="69"/>
      <c r="G198" s="69"/>
      <c r="H198" s="70"/>
      <c r="I198" s="69"/>
      <c r="J198" s="69"/>
      <c r="K198" s="69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69"/>
      <c r="F199" s="69"/>
      <c r="G199" s="69"/>
      <c r="H199" s="70"/>
      <c r="I199" s="69"/>
      <c r="J199" s="69"/>
      <c r="K199" s="69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69"/>
      <c r="F200" s="69"/>
      <c r="G200" s="69"/>
      <c r="H200" s="70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69"/>
      <c r="H201" s="74"/>
      <c r="I201" s="69"/>
      <c r="J201" s="69"/>
      <c r="K201" s="69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69"/>
      <c r="H202" s="74"/>
      <c r="I202" s="69"/>
      <c r="J202" s="69"/>
      <c r="K202" s="69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69"/>
      <c r="H203" s="74"/>
      <c r="I203" s="69"/>
      <c r="J203" s="69"/>
      <c r="K203" s="69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69"/>
      <c r="F204" s="69"/>
      <c r="G204" s="69"/>
      <c r="H204" s="74"/>
      <c r="I204" s="69"/>
      <c r="J204" s="69"/>
      <c r="K204" s="69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69"/>
      <c r="F205" s="69"/>
      <c r="G205" s="69"/>
      <c r="H205" s="70"/>
      <c r="I205" s="69"/>
      <c r="J205" s="104"/>
      <c r="K205" s="69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69"/>
      <c r="F206" s="69"/>
      <c r="G206" s="69"/>
      <c r="H206" s="70"/>
      <c r="I206" s="69"/>
      <c r="J206" s="104"/>
      <c r="K206" s="69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69"/>
      <c r="F207" s="69"/>
      <c r="G207" s="69"/>
      <c r="H207" s="70"/>
      <c r="I207" s="69"/>
      <c r="J207" s="104"/>
      <c r="K207" s="69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69"/>
      <c r="H208" s="74"/>
      <c r="I208" s="69"/>
      <c r="J208" s="69"/>
      <c r="K208" s="69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69"/>
      <c r="H209" s="74"/>
      <c r="I209" s="69"/>
      <c r="J209" s="69"/>
      <c r="K209" s="69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69"/>
      <c r="H210" s="74"/>
      <c r="I210" s="69"/>
      <c r="J210" s="69"/>
      <c r="K210" s="69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69"/>
      <c r="F211" s="69"/>
      <c r="G211" s="69"/>
      <c r="H211" s="70"/>
      <c r="I211" s="69"/>
      <c r="J211" s="69"/>
      <c r="K211" s="69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69"/>
      <c r="F212" s="69"/>
      <c r="G212" s="69"/>
      <c r="H212" s="70"/>
      <c r="I212" s="69"/>
      <c r="J212" s="69"/>
      <c r="K212" s="69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69"/>
      <c r="F213" s="69"/>
      <c r="G213" s="69"/>
      <c r="H213" s="70"/>
      <c r="I213" s="69"/>
      <c r="J213" s="104"/>
      <c r="K213" s="69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69"/>
      <c r="H214" s="74"/>
      <c r="I214" s="69"/>
      <c r="J214" s="69"/>
      <c r="K214" s="69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69"/>
      <c r="H215" s="74"/>
      <c r="I215" s="69"/>
      <c r="J215" s="69"/>
      <c r="K215" s="69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69"/>
      <c r="H216" s="74"/>
      <c r="I216" s="69"/>
      <c r="J216" s="69"/>
      <c r="K216" s="69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69"/>
      <c r="F217" s="69"/>
      <c r="G217" s="69"/>
      <c r="H217" s="70"/>
      <c r="I217" s="69"/>
      <c r="J217" s="104"/>
      <c r="K217" s="69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69"/>
      <c r="F218" s="69"/>
      <c r="G218" s="69"/>
      <c r="H218" s="70"/>
      <c r="I218" s="69"/>
      <c r="J218" s="104"/>
      <c r="K218" s="69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69"/>
      <c r="F219" s="69"/>
      <c r="G219" s="69"/>
      <c r="H219" s="70"/>
      <c r="I219" s="69"/>
      <c r="J219" s="104"/>
      <c r="K219" s="69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69"/>
      <c r="F220" s="69"/>
      <c r="G220" s="69"/>
      <c r="H220" s="70"/>
      <c r="I220" s="69"/>
      <c r="J220" s="69"/>
      <c r="K220" s="69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69"/>
      <c r="F221" s="69"/>
      <c r="G221" s="69"/>
      <c r="H221" s="70"/>
      <c r="I221" s="69"/>
      <c r="J221" s="69"/>
      <c r="K221" s="69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69"/>
      <c r="H222" s="74"/>
      <c r="I222" s="69"/>
      <c r="J222" s="69"/>
      <c r="K222" s="69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69"/>
      <c r="H223" s="74"/>
      <c r="I223" s="69"/>
      <c r="J223" s="69"/>
      <c r="K223" s="69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69"/>
      <c r="H224" s="74"/>
      <c r="I224" s="69"/>
      <c r="J224" s="69"/>
      <c r="K224" s="69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69"/>
      <c r="F225" s="69"/>
      <c r="G225" s="69"/>
      <c r="H225" s="70"/>
      <c r="I225" s="69"/>
      <c r="J225" s="69"/>
      <c r="K225" s="69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69"/>
      <c r="F226" s="69"/>
      <c r="G226" s="69"/>
      <c r="H226" s="70"/>
      <c r="I226" s="69"/>
      <c r="J226" s="69"/>
      <c r="K226" s="69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69"/>
      <c r="F227" s="69"/>
      <c r="G227" s="69"/>
      <c r="H227" s="70"/>
      <c r="I227" s="69"/>
      <c r="J227" s="104"/>
      <c r="K227" s="69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69"/>
      <c r="H228" s="74"/>
      <c r="I228" s="69"/>
      <c r="J228" s="69"/>
      <c r="K228" s="69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69"/>
      <c r="H229" s="74"/>
      <c r="I229" s="69"/>
      <c r="J229" s="69"/>
      <c r="K229" s="69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69"/>
      <c r="F230" s="69"/>
      <c r="G230" s="69"/>
      <c r="H230" s="70"/>
      <c r="I230" s="69"/>
      <c r="J230" s="69"/>
      <c r="K230" s="69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69"/>
      <c r="F231" s="69"/>
      <c r="G231" s="69"/>
      <c r="H231" s="70"/>
      <c r="I231" s="69"/>
      <c r="J231" s="69"/>
      <c r="K231" s="69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69"/>
      <c r="F232" s="69"/>
      <c r="G232" s="69"/>
      <c r="H232" s="70"/>
      <c r="I232" s="69"/>
      <c r="J232" s="69"/>
      <c r="K232" s="69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69"/>
      <c r="F233" s="69"/>
      <c r="G233" s="69"/>
      <c r="H233" s="70"/>
      <c r="I233" s="69"/>
      <c r="J233" s="104"/>
      <c r="K233" s="69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69"/>
      <c r="F234" s="69"/>
      <c r="G234" s="69"/>
      <c r="H234" s="70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69"/>
      <c r="H235" s="74"/>
      <c r="I235" s="69"/>
      <c r="J235" s="69"/>
      <c r="K235" s="69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69"/>
      <c r="F236" s="69"/>
      <c r="G236" s="69"/>
      <c r="H236" s="70"/>
      <c r="I236" s="69"/>
      <c r="J236" s="69"/>
      <c r="K236" s="69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69"/>
      <c r="F237" s="69"/>
      <c r="G237" s="69"/>
      <c r="H237" s="70"/>
      <c r="I237" s="69"/>
      <c r="J237" s="69"/>
      <c r="K237" s="69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69"/>
      <c r="F238" s="69"/>
      <c r="G238" s="69"/>
      <c r="H238" s="70"/>
      <c r="I238" s="69"/>
      <c r="J238" s="104"/>
      <c r="K238" s="69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69"/>
      <c r="F239" s="69"/>
      <c r="G239" s="69"/>
      <c r="H239" s="70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69"/>
      <c r="H240" s="74"/>
      <c r="I240" s="69"/>
      <c r="J240" s="69"/>
      <c r="K240" s="69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69"/>
      <c r="H241" s="74"/>
      <c r="I241" s="69"/>
      <c r="J241" s="69"/>
      <c r="K241" s="69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69"/>
      <c r="H242" s="74"/>
      <c r="I242" s="69"/>
      <c r="J242" s="69"/>
      <c r="K242" s="69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69"/>
      <c r="F243" s="69"/>
      <c r="G243" s="69"/>
      <c r="H243" s="70"/>
      <c r="I243" s="69"/>
      <c r="J243" s="69"/>
      <c r="K243" s="69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69"/>
      <c r="F244" s="69"/>
      <c r="G244" s="69"/>
      <c r="H244" s="70"/>
      <c r="I244" s="69"/>
      <c r="J244" s="69"/>
      <c r="K244" s="69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69"/>
      <c r="F245" s="69"/>
      <c r="G245" s="69"/>
      <c r="H245" s="70"/>
      <c r="I245" s="69"/>
      <c r="J245" s="69"/>
      <c r="K245" s="69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69"/>
      <c r="F246" s="69"/>
      <c r="G246" s="69"/>
      <c r="H246" s="70"/>
      <c r="I246" s="69"/>
      <c r="J246" s="104"/>
      <c r="K246" s="69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69"/>
      <c r="F247" s="69"/>
      <c r="G247" s="69"/>
      <c r="H247" s="70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69"/>
      <c r="H248" s="74"/>
      <c r="I248" s="69"/>
      <c r="J248" s="69"/>
      <c r="K248" s="69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69"/>
      <c r="H249" s="74"/>
      <c r="I249" s="69"/>
      <c r="J249" s="69"/>
      <c r="K249" s="69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69"/>
      <c r="H250" s="74"/>
      <c r="I250" s="69"/>
      <c r="J250" s="69"/>
      <c r="K250" s="69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69"/>
      <c r="H251" s="70"/>
      <c r="I251" s="69"/>
      <c r="J251" s="69"/>
      <c r="K251" s="69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69"/>
      <c r="F252" s="69"/>
      <c r="G252" s="69"/>
      <c r="H252" s="70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69"/>
      <c r="F253" s="69"/>
      <c r="G253" s="69"/>
      <c r="H253" s="70"/>
      <c r="I253" s="69"/>
      <c r="J253" s="69"/>
      <c r="K253" s="69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69"/>
      <c r="F254" s="69"/>
      <c r="G254" s="69"/>
      <c r="H254" s="70"/>
      <c r="I254" s="69"/>
      <c r="J254" s="69"/>
      <c r="K254" s="69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69"/>
      <c r="F255" s="69"/>
      <c r="G255" s="69"/>
      <c r="H255" s="70"/>
      <c r="I255" s="69"/>
      <c r="J255" s="69"/>
      <c r="K255" s="69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69"/>
      <c r="F256" s="69"/>
      <c r="G256" s="69"/>
      <c r="H256" s="70"/>
      <c r="I256" s="69"/>
      <c r="J256" s="69"/>
      <c r="K256" s="69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69"/>
      <c r="F257" s="69"/>
      <c r="G257" s="69"/>
      <c r="H257" s="70"/>
      <c r="I257" s="69"/>
      <c r="J257" s="69"/>
      <c r="K257" s="69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69"/>
      <c r="F258" s="69"/>
      <c r="G258" s="69"/>
      <c r="H258" s="70"/>
      <c r="I258" s="69"/>
      <c r="J258" s="69"/>
      <c r="K258" s="69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69"/>
      <c r="F259" s="69"/>
      <c r="G259" s="69"/>
      <c r="H259" s="70"/>
      <c r="I259" s="69"/>
      <c r="J259" s="69"/>
      <c r="K259" s="69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69"/>
      <c r="F260" s="69"/>
      <c r="G260" s="69"/>
      <c r="H260" s="70"/>
      <c r="I260" s="69"/>
      <c r="J260" s="69"/>
      <c r="K260" s="69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69"/>
      <c r="F261" s="69"/>
      <c r="G261" s="69"/>
      <c r="H261" s="70"/>
      <c r="I261" s="69"/>
      <c r="J261" s="69"/>
      <c r="K261" s="69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69"/>
      <c r="F262" s="69"/>
      <c r="G262" s="69"/>
      <c r="H262" s="70"/>
      <c r="I262" s="69"/>
      <c r="J262" s="69"/>
      <c r="K262" s="69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69"/>
      <c r="F263" s="69"/>
      <c r="G263" s="69"/>
      <c r="H263" s="70"/>
      <c r="I263" s="69"/>
      <c r="J263" s="69"/>
      <c r="K263" s="69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69"/>
      <c r="F264" s="69"/>
      <c r="G264" s="69"/>
      <c r="H264" s="70"/>
      <c r="I264" s="69"/>
      <c r="J264" s="69"/>
      <c r="K264" s="69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69"/>
      <c r="F265" s="69"/>
      <c r="G265" s="69"/>
      <c r="H265" s="70"/>
      <c r="I265" s="69"/>
      <c r="J265" s="69"/>
      <c r="K265" s="69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69"/>
      <c r="F266" s="69"/>
      <c r="G266" s="69"/>
      <c r="H266" s="70"/>
      <c r="I266" s="69"/>
      <c r="J266" s="69"/>
      <c r="K266" s="69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69"/>
      <c r="F267" s="69"/>
      <c r="G267" s="69"/>
      <c r="H267" s="70"/>
      <c r="I267" s="69"/>
      <c r="J267" s="69"/>
      <c r="K267" s="69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69"/>
      <c r="F268" s="69"/>
      <c r="G268" s="69"/>
      <c r="H268" s="70"/>
      <c r="I268" s="69"/>
      <c r="J268" s="69"/>
      <c r="K268" s="69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69"/>
      <c r="F269" s="69"/>
      <c r="G269" s="69"/>
      <c r="H269" s="70"/>
      <c r="I269" s="69"/>
      <c r="J269" s="69"/>
      <c r="K269" s="69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69"/>
      <c r="F270" s="69"/>
      <c r="G270" s="69"/>
      <c r="H270" s="70"/>
      <c r="I270" s="69"/>
      <c r="J270" s="69"/>
      <c r="K270" s="69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69"/>
      <c r="F271" s="69"/>
      <c r="G271" s="69"/>
      <c r="H271" s="70"/>
      <c r="I271" s="69"/>
      <c r="J271" s="69"/>
      <c r="K271" s="69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69"/>
      <c r="F272" s="69"/>
      <c r="G272" s="69"/>
      <c r="H272" s="70"/>
      <c r="I272" s="69"/>
      <c r="J272" s="69"/>
      <c r="K272" s="69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69"/>
      <c r="F273" s="69"/>
      <c r="G273" s="69"/>
      <c r="H273" s="70"/>
      <c r="I273" s="69"/>
      <c r="J273" s="69"/>
      <c r="K273" s="69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69"/>
      <c r="F274" s="69"/>
      <c r="G274" s="69"/>
      <c r="H274" s="70"/>
      <c r="I274" s="69"/>
      <c r="J274" s="69"/>
      <c r="K274" s="69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69"/>
      <c r="F275" s="69"/>
      <c r="G275" s="69"/>
      <c r="H275" s="70"/>
      <c r="I275" s="69"/>
      <c r="J275" s="69"/>
      <c r="K275" s="69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69"/>
      <c r="F276" s="69"/>
      <c r="G276" s="69"/>
      <c r="H276" s="70"/>
      <c r="I276" s="69"/>
      <c r="J276" s="69"/>
      <c r="K276" s="69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69"/>
      <c r="F277" s="69"/>
      <c r="G277" s="69"/>
      <c r="H277" s="70"/>
      <c r="I277" s="69"/>
      <c r="J277" s="69"/>
      <c r="K277" s="69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69"/>
      <c r="F278" s="69"/>
      <c r="G278" s="69"/>
      <c r="H278" s="70"/>
      <c r="I278" s="69"/>
      <c r="J278" s="69"/>
      <c r="K278" s="69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69"/>
      <c r="F279" s="69"/>
      <c r="G279" s="69"/>
      <c r="H279" s="70"/>
      <c r="I279" s="69"/>
      <c r="J279" s="69"/>
      <c r="K279" s="69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69"/>
      <c r="F280" s="69"/>
      <c r="G280" s="69"/>
      <c r="H280" s="70"/>
      <c r="I280" s="69"/>
      <c r="J280" s="69"/>
      <c r="K280" s="69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69"/>
      <c r="F281" s="69"/>
      <c r="G281" s="69"/>
      <c r="H281" s="70"/>
      <c r="I281" s="69"/>
      <c r="J281" s="69"/>
      <c r="K281" s="69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69"/>
      <c r="F282" s="69"/>
      <c r="G282" s="69"/>
      <c r="H282" s="70"/>
      <c r="I282" s="69"/>
      <c r="J282" s="69"/>
      <c r="K282" s="69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69"/>
      <c r="F283" s="69"/>
      <c r="G283" s="69"/>
      <c r="H283" s="70"/>
      <c r="I283" s="69"/>
      <c r="J283" s="69"/>
      <c r="K283" s="69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69"/>
      <c r="F284" s="69"/>
      <c r="G284" s="69"/>
      <c r="H284" s="70"/>
      <c r="I284" s="69"/>
      <c r="J284" s="69"/>
      <c r="K284" s="69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69"/>
      <c r="F285" s="69"/>
      <c r="G285" s="69"/>
      <c r="H285" s="70"/>
      <c r="I285" s="69"/>
      <c r="J285" s="69"/>
      <c r="K285" s="69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69"/>
      <c r="F286" s="69"/>
      <c r="G286" s="69"/>
      <c r="H286" s="70"/>
      <c r="I286" s="69"/>
      <c r="J286" s="69"/>
      <c r="K286" s="69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69"/>
      <c r="F287" s="69"/>
      <c r="G287" s="69"/>
      <c r="H287" s="70"/>
      <c r="I287" s="69"/>
      <c r="J287" s="69"/>
      <c r="K287" s="69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69"/>
      <c r="F288" s="69"/>
      <c r="G288" s="69"/>
      <c r="H288" s="70"/>
      <c r="I288" s="69"/>
      <c r="J288" s="69"/>
      <c r="K288" s="69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69"/>
      <c r="F289" s="69"/>
      <c r="G289" s="69"/>
      <c r="H289" s="70"/>
      <c r="I289" s="69"/>
      <c r="J289" s="69"/>
      <c r="K289" s="69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69"/>
      <c r="F290" s="69"/>
      <c r="G290" s="69"/>
      <c r="H290" s="70"/>
      <c r="I290" s="69"/>
      <c r="J290" s="69"/>
      <c r="K290" s="69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69"/>
      <c r="F291" s="69"/>
      <c r="G291" s="69"/>
      <c r="H291" s="70"/>
      <c r="I291" s="69"/>
      <c r="J291" s="69"/>
      <c r="K291" s="69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69"/>
      <c r="F292" s="69"/>
      <c r="G292" s="69"/>
      <c r="H292" s="70"/>
      <c r="I292" s="69"/>
      <c r="J292" s="69"/>
      <c r="K292" s="69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69"/>
      <c r="F293" s="69"/>
      <c r="G293" s="69"/>
      <c r="H293" s="70"/>
      <c r="I293" s="69"/>
      <c r="J293" s="69"/>
      <c r="K293" s="69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69"/>
      <c r="F294" s="69"/>
      <c r="G294" s="69"/>
      <c r="H294" s="70"/>
      <c r="I294" s="69"/>
      <c r="J294" s="69"/>
      <c r="K294" s="69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69"/>
      <c r="F295" s="69"/>
      <c r="G295" s="69"/>
      <c r="H295" s="70"/>
      <c r="I295" s="69"/>
      <c r="J295" s="69"/>
      <c r="K295" s="69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69"/>
      <c r="F296" s="69"/>
      <c r="G296" s="69"/>
      <c r="H296" s="70"/>
      <c r="I296" s="69"/>
      <c r="J296" s="69"/>
      <c r="K296" s="69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69"/>
      <c r="F297" s="69"/>
      <c r="G297" s="69"/>
      <c r="H297" s="70"/>
      <c r="I297" s="69"/>
      <c r="J297" s="69"/>
      <c r="K297" s="69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69"/>
      <c r="F298" s="69"/>
      <c r="G298" s="69"/>
      <c r="H298" s="70"/>
      <c r="I298" s="69"/>
      <c r="J298" s="69"/>
      <c r="K298" s="69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69"/>
      <c r="F299" s="69"/>
      <c r="G299" s="69"/>
      <c r="H299" s="70"/>
      <c r="I299" s="69"/>
      <c r="J299" s="69"/>
      <c r="K299" s="69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69"/>
      <c r="F300" s="69"/>
      <c r="G300" s="69"/>
      <c r="H300" s="70"/>
      <c r="I300" s="69"/>
      <c r="J300" s="69"/>
      <c r="K300" s="69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69"/>
      <c r="F301" s="69"/>
      <c r="G301" s="69"/>
      <c r="H301" s="70"/>
      <c r="I301" s="69"/>
      <c r="J301" s="69"/>
      <c r="K301" s="69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69"/>
      <c r="F302" s="69"/>
      <c r="G302" s="69"/>
      <c r="H302" s="70"/>
      <c r="I302" s="69"/>
      <c r="J302" s="69"/>
      <c r="K302" s="69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69"/>
      <c r="F303" s="69"/>
      <c r="G303" s="69"/>
      <c r="H303" s="70"/>
      <c r="I303" s="69"/>
      <c r="J303" s="69"/>
      <c r="K303" s="69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69"/>
      <c r="F304" s="69"/>
      <c r="G304" s="69"/>
      <c r="H304" s="70"/>
      <c r="I304" s="69"/>
      <c r="J304" s="69"/>
      <c r="K304" s="69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69"/>
      <c r="F305" s="69"/>
      <c r="G305" s="69"/>
      <c r="H305" s="70"/>
      <c r="I305" s="69"/>
      <c r="J305" s="69"/>
      <c r="K305" s="69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69"/>
      <c r="F306" s="69"/>
      <c r="G306" s="69"/>
      <c r="H306" s="70"/>
      <c r="I306" s="69"/>
      <c r="J306" s="69"/>
      <c r="K306" s="69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69"/>
      <c r="F307" s="69"/>
      <c r="G307" s="69"/>
      <c r="H307" s="70"/>
      <c r="I307" s="69"/>
      <c r="J307" s="69"/>
      <c r="K307" s="69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69"/>
      <c r="F308" s="69"/>
      <c r="G308" s="69"/>
      <c r="H308" s="70"/>
      <c r="I308" s="69"/>
      <c r="J308" s="69"/>
      <c r="K308" s="69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69"/>
      <c r="F309" s="69"/>
      <c r="G309" s="69"/>
      <c r="H309" s="70"/>
      <c r="I309" s="69"/>
      <c r="J309" s="69"/>
      <c r="K309" s="69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69"/>
      <c r="F310" s="69"/>
      <c r="G310" s="69"/>
      <c r="H310" s="70"/>
      <c r="I310" s="69"/>
      <c r="J310" s="69"/>
      <c r="K310" s="69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69"/>
      <c r="F311" s="69"/>
      <c r="G311" s="69"/>
      <c r="H311" s="70"/>
      <c r="I311" s="69"/>
      <c r="J311" s="69"/>
      <c r="K311" s="69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69"/>
      <c r="F312" s="69"/>
      <c r="G312" s="69"/>
      <c r="H312" s="70"/>
      <c r="I312" s="69"/>
      <c r="J312" s="69"/>
      <c r="K312" s="69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69"/>
      <c r="F313" s="69"/>
      <c r="G313" s="69"/>
      <c r="H313" s="70"/>
      <c r="I313" s="69"/>
      <c r="J313" s="69"/>
      <c r="K313" s="69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69"/>
      <c r="F314" s="69"/>
      <c r="G314" s="69"/>
      <c r="H314" s="70"/>
      <c r="I314" s="69"/>
      <c r="J314" s="69"/>
      <c r="K314" s="69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69"/>
      <c r="F315" s="69"/>
      <c r="G315" s="69"/>
      <c r="H315" s="70"/>
      <c r="I315" s="69"/>
      <c r="J315" s="69"/>
      <c r="K315" s="69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69"/>
      <c r="F316" s="69"/>
      <c r="G316" s="69"/>
      <c r="H316" s="70"/>
      <c r="I316" s="69"/>
      <c r="J316" s="69"/>
      <c r="K316" s="69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69"/>
      <c r="F317" s="69"/>
      <c r="G317" s="69"/>
      <c r="H317" s="70"/>
      <c r="I317" s="69"/>
      <c r="J317" s="69"/>
      <c r="K317" s="69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69"/>
      <c r="F318" s="69"/>
      <c r="G318" s="69"/>
      <c r="H318" s="70"/>
      <c r="I318" s="69"/>
      <c r="J318" s="69"/>
      <c r="K318" s="69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69"/>
      <c r="F319" s="69"/>
      <c r="G319" s="69"/>
      <c r="H319" s="70"/>
      <c r="I319" s="69"/>
      <c r="J319" s="69"/>
      <c r="K319" s="69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69"/>
      <c r="F320" s="69"/>
      <c r="G320" s="69"/>
      <c r="H320" s="70"/>
      <c r="I320" s="69"/>
      <c r="J320" s="69"/>
      <c r="K320" s="69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69"/>
      <c r="F321" s="69"/>
      <c r="G321" s="69"/>
      <c r="H321" s="70"/>
      <c r="I321" s="69"/>
      <c r="J321" s="69"/>
      <c r="K321" s="69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69"/>
      <c r="F322" s="69"/>
      <c r="G322" s="69"/>
      <c r="H322" s="70"/>
      <c r="I322" s="69"/>
      <c r="J322" s="69"/>
      <c r="K322" s="69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69"/>
      <c r="F323" s="69"/>
      <c r="G323" s="69"/>
      <c r="H323" s="70"/>
      <c r="I323" s="69"/>
      <c r="J323" s="69"/>
      <c r="K323" s="69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69"/>
      <c r="F324" s="69"/>
      <c r="G324" s="69"/>
      <c r="H324" s="70"/>
      <c r="I324" s="69"/>
      <c r="J324" s="69"/>
      <c r="K324" s="69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69"/>
      <c r="F325" s="69"/>
      <c r="G325" s="69"/>
      <c r="H325" s="70"/>
      <c r="I325" s="69"/>
      <c r="J325" s="69"/>
      <c r="K325" s="69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69"/>
      <c r="F326" s="69"/>
      <c r="G326" s="69"/>
      <c r="H326" s="70"/>
      <c r="I326" s="69"/>
      <c r="J326" s="69"/>
      <c r="K326" s="69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69"/>
      <c r="F327" s="69"/>
      <c r="G327" s="69"/>
      <c r="H327" s="70"/>
      <c r="I327" s="69"/>
      <c r="J327" s="69"/>
      <c r="K327" s="69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69"/>
      <c r="F328" s="69"/>
      <c r="G328" s="69"/>
      <c r="H328" s="70"/>
      <c r="I328" s="69"/>
      <c r="J328" s="69"/>
      <c r="K328" s="69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69"/>
      <c r="F329" s="69"/>
      <c r="G329" s="69"/>
      <c r="H329" s="70"/>
      <c r="I329" s="69"/>
      <c r="J329" s="69"/>
      <c r="K329" s="69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69"/>
      <c r="F330" s="69"/>
      <c r="G330" s="69"/>
      <c r="H330" s="70"/>
      <c r="I330" s="69"/>
      <c r="J330" s="69"/>
      <c r="K330" s="69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69"/>
      <c r="F331" s="69"/>
      <c r="G331" s="69"/>
      <c r="H331" s="70"/>
      <c r="I331" s="69"/>
      <c r="J331" s="69"/>
      <c r="K331" s="69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69"/>
      <c r="F332" s="69"/>
      <c r="G332" s="69"/>
      <c r="H332" s="70"/>
      <c r="I332" s="69"/>
      <c r="J332" s="69"/>
      <c r="K332" s="69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69"/>
      <c r="F333" s="69"/>
      <c r="G333" s="69"/>
      <c r="H333" s="70"/>
      <c r="I333" s="69"/>
      <c r="J333" s="69"/>
      <c r="K333" s="69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69"/>
      <c r="F334" s="69"/>
      <c r="G334" s="69"/>
      <c r="H334" s="70"/>
      <c r="I334" s="69"/>
      <c r="J334" s="69"/>
      <c r="K334" s="69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69"/>
      <c r="F335" s="69"/>
      <c r="G335" s="69"/>
      <c r="H335" s="70"/>
      <c r="I335" s="69"/>
      <c r="J335" s="69"/>
      <c r="K335" s="69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69"/>
      <c r="F336" s="69"/>
      <c r="G336" s="69"/>
      <c r="H336" s="70"/>
      <c r="I336" s="69"/>
      <c r="J336" s="69"/>
      <c r="K336" s="69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69"/>
      <c r="F337" s="69"/>
      <c r="G337" s="69"/>
      <c r="H337" s="70"/>
      <c r="I337" s="69"/>
      <c r="J337" s="69"/>
      <c r="K337" s="69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69"/>
      <c r="F338" s="69"/>
      <c r="G338" s="69"/>
      <c r="H338" s="70"/>
      <c r="I338" s="69"/>
      <c r="J338" s="69"/>
      <c r="K338" s="69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69"/>
      <c r="F339" s="69"/>
      <c r="G339" s="69"/>
      <c r="H339" s="70"/>
      <c r="I339" s="69"/>
      <c r="J339" s="69"/>
      <c r="K339" s="69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69"/>
      <c r="F340" s="69"/>
      <c r="G340" s="69"/>
      <c r="H340" s="70"/>
      <c r="I340" s="69"/>
      <c r="J340" s="69"/>
      <c r="K340" s="69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69"/>
      <c r="F341" s="69"/>
      <c r="G341" s="69"/>
      <c r="H341" s="70"/>
      <c r="I341" s="69"/>
      <c r="J341" s="69"/>
      <c r="K341" s="69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69"/>
      <c r="F342" s="69"/>
      <c r="G342" s="69"/>
      <c r="H342" s="70"/>
      <c r="I342" s="69"/>
      <c r="J342" s="69"/>
      <c r="K342" s="69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69"/>
      <c r="F343" s="69"/>
      <c r="G343" s="69"/>
      <c r="H343" s="70"/>
      <c r="I343" s="69"/>
      <c r="J343" s="69"/>
      <c r="K343" s="69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69"/>
      <c r="F344" s="69"/>
      <c r="G344" s="69"/>
      <c r="H344" s="70"/>
      <c r="I344" s="69"/>
      <c r="J344" s="69"/>
      <c r="K344" s="69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69"/>
      <c r="F345" s="69"/>
      <c r="G345" s="69"/>
      <c r="H345" s="70"/>
      <c r="I345" s="69"/>
      <c r="J345" s="69"/>
      <c r="K345" s="69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69"/>
      <c r="F346" s="69"/>
      <c r="G346" s="69"/>
      <c r="H346" s="70"/>
      <c r="I346" s="69"/>
      <c r="J346" s="69"/>
      <c r="K346" s="69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69"/>
      <c r="F347" s="69"/>
      <c r="G347" s="69"/>
      <c r="H347" s="70"/>
      <c r="I347" s="69"/>
      <c r="J347" s="69"/>
      <c r="K347" s="69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69"/>
      <c r="F348" s="69"/>
      <c r="G348" s="69"/>
      <c r="H348" s="70"/>
      <c r="I348" s="69"/>
      <c r="J348" s="69"/>
      <c r="K348" s="69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69"/>
      <c r="F349" s="69"/>
      <c r="G349" s="69"/>
      <c r="H349" s="70"/>
      <c r="I349" s="69"/>
      <c r="J349" s="69"/>
      <c r="K349" s="69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69"/>
      <c r="F350" s="69"/>
      <c r="G350" s="69"/>
      <c r="H350" s="70"/>
      <c r="I350" s="69"/>
      <c r="J350" s="69"/>
      <c r="K350" s="69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69"/>
      <c r="F351" s="69"/>
      <c r="G351" s="69"/>
      <c r="H351" s="70"/>
      <c r="I351" s="69"/>
      <c r="J351" s="69"/>
      <c r="K351" s="69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69"/>
      <c r="F352" s="69"/>
      <c r="G352" s="69"/>
      <c r="H352" s="70"/>
      <c r="I352" s="69"/>
      <c r="J352" s="69"/>
      <c r="K352" s="69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69"/>
      <c r="F353" s="69"/>
      <c r="G353" s="69"/>
      <c r="H353" s="70"/>
      <c r="I353" s="69"/>
      <c r="J353" s="69"/>
      <c r="K353" s="69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69"/>
      <c r="F354" s="69"/>
      <c r="G354" s="69"/>
      <c r="H354" s="70"/>
      <c r="I354" s="69"/>
      <c r="J354" s="69"/>
      <c r="K354" s="69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69"/>
      <c r="F355" s="69"/>
      <c r="G355" s="69"/>
      <c r="H355" s="70"/>
      <c r="I355" s="69"/>
      <c r="J355" s="69"/>
      <c r="K355" s="69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69"/>
      <c r="F356" s="69"/>
      <c r="G356" s="69"/>
      <c r="H356" s="70"/>
      <c r="I356" s="69"/>
      <c r="J356" s="69"/>
      <c r="K356" s="69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69"/>
      <c r="F357" s="69"/>
      <c r="G357" s="69"/>
      <c r="H357" s="70"/>
      <c r="I357" s="69"/>
      <c r="J357" s="69"/>
      <c r="K357" s="69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69"/>
      <c r="F358" s="69"/>
      <c r="G358" s="69"/>
      <c r="H358" s="70"/>
      <c r="I358" s="69"/>
      <c r="J358" s="69"/>
      <c r="K358" s="69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69"/>
      <c r="F359" s="69"/>
      <c r="G359" s="69"/>
      <c r="H359" s="70"/>
      <c r="I359" s="69"/>
      <c r="J359" s="69"/>
      <c r="K359" s="69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69"/>
      <c r="F360" s="69"/>
      <c r="G360" s="69"/>
      <c r="H360" s="70"/>
      <c r="I360" s="69"/>
      <c r="J360" s="69"/>
      <c r="K360" s="69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69"/>
      <c r="F361" s="69"/>
      <c r="G361" s="69"/>
      <c r="H361" s="70"/>
      <c r="I361" s="69"/>
      <c r="J361" s="69"/>
      <c r="K361" s="69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69"/>
      <c r="F362" s="69"/>
      <c r="G362" s="69"/>
      <c r="H362" s="70"/>
      <c r="I362" s="69"/>
      <c r="J362" s="69"/>
      <c r="K362" s="69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69"/>
      <c r="F363" s="69"/>
      <c r="G363" s="69"/>
      <c r="H363" s="70"/>
      <c r="I363" s="69"/>
      <c r="J363" s="69"/>
      <c r="K363" s="69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69"/>
      <c r="F364" s="69"/>
      <c r="G364" s="69"/>
      <c r="H364" s="70"/>
      <c r="I364" s="69"/>
      <c r="J364" s="69"/>
      <c r="K364" s="69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69"/>
      <c r="F365" s="69"/>
      <c r="G365" s="69"/>
      <c r="H365" s="70"/>
      <c r="I365" s="69"/>
      <c r="J365" s="69"/>
      <c r="K365" s="69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69"/>
      <c r="F366" s="69"/>
      <c r="G366" s="69"/>
      <c r="H366" s="70"/>
      <c r="I366" s="69"/>
      <c r="J366" s="69"/>
      <c r="K366" s="69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69"/>
      <c r="F367" s="69"/>
      <c r="G367" s="69"/>
      <c r="H367" s="70"/>
      <c r="I367" s="69"/>
      <c r="J367" s="69"/>
      <c r="K367" s="69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69"/>
      <c r="F368" s="69"/>
      <c r="G368" s="69"/>
      <c r="H368" s="70"/>
      <c r="I368" s="69"/>
      <c r="J368" s="69"/>
      <c r="K368" s="69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69"/>
      <c r="F369" s="69"/>
      <c r="G369" s="69"/>
      <c r="H369" s="70"/>
      <c r="I369" s="69"/>
      <c r="J369" s="69"/>
      <c r="K369" s="69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69"/>
      <c r="F370" s="69"/>
      <c r="G370" s="69"/>
      <c r="H370" s="70"/>
      <c r="I370" s="69"/>
      <c r="J370" s="69"/>
      <c r="K370" s="69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69"/>
      <c r="F371" s="69"/>
      <c r="G371" s="69"/>
      <c r="H371" s="70"/>
      <c r="I371" s="69"/>
      <c r="J371" s="69"/>
      <c r="K371" s="69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69"/>
      <c r="F372" s="69"/>
      <c r="G372" s="69"/>
      <c r="H372" s="70"/>
      <c r="I372" s="69"/>
      <c r="J372" s="69"/>
      <c r="K372" s="69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69"/>
      <c r="F373" s="69"/>
      <c r="G373" s="69"/>
      <c r="H373" s="70"/>
      <c r="I373" s="69"/>
      <c r="J373" s="69"/>
      <c r="K373" s="69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69"/>
      <c r="F374" s="69"/>
      <c r="G374" s="69"/>
      <c r="H374" s="70"/>
      <c r="I374" s="69"/>
      <c r="J374" s="69"/>
      <c r="K374" s="69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69"/>
      <c r="F375" s="69"/>
      <c r="G375" s="69"/>
      <c r="H375" s="70"/>
      <c r="I375" s="69"/>
      <c r="J375" s="69"/>
      <c r="K375" s="69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69"/>
      <c r="F376" s="69"/>
      <c r="G376" s="69"/>
      <c r="H376" s="70"/>
      <c r="I376" s="69"/>
      <c r="J376" s="69"/>
      <c r="K376" s="69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69"/>
      <c r="F377" s="69"/>
      <c r="G377" s="69"/>
      <c r="H377" s="70"/>
      <c r="I377" s="69"/>
      <c r="J377" s="69"/>
      <c r="K377" s="69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69"/>
      <c r="F378" s="69"/>
      <c r="G378" s="69"/>
      <c r="H378" s="70"/>
      <c r="I378" s="69"/>
      <c r="J378" s="69"/>
      <c r="K378" s="69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69"/>
      <c r="F379" s="69"/>
      <c r="G379" s="69"/>
      <c r="H379" s="70"/>
      <c r="I379" s="69"/>
      <c r="J379" s="69"/>
      <c r="K379" s="69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69"/>
      <c r="F380" s="69"/>
      <c r="G380" s="69"/>
      <c r="H380" s="70"/>
      <c r="I380" s="69"/>
      <c r="J380" s="69"/>
      <c r="K380" s="69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69"/>
      <c r="F381" s="69"/>
      <c r="G381" s="69"/>
      <c r="H381" s="70"/>
      <c r="I381" s="69"/>
      <c r="J381" s="69"/>
      <c r="K381" s="69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69"/>
      <c r="F382" s="69"/>
      <c r="G382" s="69"/>
      <c r="H382" s="70"/>
      <c r="I382" s="69"/>
      <c r="J382" s="69"/>
      <c r="K382" s="69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69"/>
      <c r="F383" s="69"/>
      <c r="G383" s="69"/>
      <c r="H383" s="70"/>
      <c r="I383" s="69"/>
      <c r="J383" s="69"/>
      <c r="K383" s="69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69"/>
      <c r="F384" s="69"/>
      <c r="G384" s="69"/>
      <c r="H384" s="70"/>
      <c r="I384" s="69"/>
      <c r="J384" s="69"/>
      <c r="K384" s="69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69"/>
      <c r="F385" s="69"/>
      <c r="G385" s="69"/>
      <c r="H385" s="70"/>
      <c r="I385" s="69"/>
      <c r="J385" s="69"/>
      <c r="K385" s="69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69"/>
      <c r="F386" s="69"/>
      <c r="G386" s="69"/>
      <c r="H386" s="70"/>
      <c r="I386" s="69"/>
      <c r="J386" s="69"/>
      <c r="K386" s="69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69"/>
      <c r="F387" s="69"/>
      <c r="G387" s="69"/>
      <c r="H387" s="70"/>
      <c r="I387" s="69"/>
      <c r="J387" s="69"/>
      <c r="K387" s="69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69"/>
      <c r="F388" s="69"/>
      <c r="G388" s="69"/>
      <c r="H388" s="70"/>
      <c r="I388" s="69"/>
      <c r="J388" s="69"/>
      <c r="K388" s="69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69"/>
      <c r="F389" s="69"/>
      <c r="G389" s="69"/>
      <c r="H389" s="70"/>
      <c r="I389" s="69"/>
      <c r="J389" s="69"/>
      <c r="K389" s="69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69"/>
      <c r="F390" s="69"/>
      <c r="G390" s="69"/>
      <c r="H390" s="70"/>
      <c r="I390" s="69"/>
      <c r="J390" s="69"/>
      <c r="K390" s="69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69"/>
      <c r="F391" s="69"/>
      <c r="G391" s="69"/>
      <c r="H391" s="70"/>
      <c r="I391" s="69"/>
      <c r="J391" s="69"/>
      <c r="K391" s="69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69"/>
      <c r="F392" s="69"/>
      <c r="G392" s="69"/>
      <c r="H392" s="70"/>
      <c r="I392" s="69"/>
      <c r="J392" s="69"/>
      <c r="K392" s="69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69"/>
      <c r="F393" s="69"/>
      <c r="G393" s="69"/>
      <c r="H393" s="70"/>
      <c r="I393" s="69"/>
      <c r="J393" s="69"/>
      <c r="K393" s="69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69"/>
      <c r="F394" s="69"/>
      <c r="G394" s="69"/>
      <c r="H394" s="70"/>
      <c r="I394" s="69"/>
      <c r="J394" s="69"/>
      <c r="K394" s="69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69"/>
      <c r="F395" s="69"/>
      <c r="G395" s="69"/>
      <c r="H395" s="70"/>
      <c r="I395" s="69"/>
      <c r="J395" s="69"/>
      <c r="K395" s="69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69"/>
      <c r="F396" s="69"/>
      <c r="G396" s="69"/>
      <c r="H396" s="70"/>
      <c r="I396" s="69"/>
      <c r="J396" s="69"/>
      <c r="K396" s="69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69"/>
      <c r="F397" s="69"/>
      <c r="G397" s="69"/>
      <c r="H397" s="70"/>
      <c r="I397" s="69"/>
      <c r="J397" s="69"/>
      <c r="K397" s="69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69"/>
      <c r="F398" s="69"/>
      <c r="G398" s="69"/>
      <c r="H398" s="70"/>
      <c r="I398" s="69"/>
      <c r="J398" s="69"/>
      <c r="K398" s="69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69"/>
      <c r="F399" s="69"/>
      <c r="G399" s="69"/>
      <c r="H399" s="70"/>
      <c r="I399" s="69"/>
      <c r="J399" s="69"/>
      <c r="K399" s="69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69"/>
      <c r="F400" s="69"/>
      <c r="G400" s="69"/>
      <c r="H400" s="70"/>
      <c r="I400" s="69"/>
      <c r="J400" s="69"/>
      <c r="K400" s="69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69"/>
      <c r="F401" s="69"/>
      <c r="G401" s="69"/>
      <c r="H401" s="70"/>
      <c r="I401" s="69"/>
      <c r="J401" s="69"/>
      <c r="K401" s="69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69"/>
      <c r="F402" s="69"/>
      <c r="G402" s="69"/>
      <c r="H402" s="70"/>
      <c r="I402" s="69"/>
      <c r="J402" s="69"/>
      <c r="K402" s="69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69"/>
      <c r="F403" s="69"/>
      <c r="G403" s="69"/>
      <c r="H403" s="70"/>
      <c r="I403" s="69"/>
      <c r="J403" s="69"/>
      <c r="K403" s="69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69"/>
      <c r="F404" s="69"/>
      <c r="G404" s="69"/>
      <c r="H404" s="70"/>
      <c r="I404" s="69"/>
      <c r="J404" s="69"/>
      <c r="K404" s="69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69"/>
      <c r="F405" s="69"/>
      <c r="G405" s="69"/>
      <c r="H405" s="70"/>
      <c r="I405" s="69"/>
      <c r="J405" s="69"/>
      <c r="K405" s="69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69"/>
      <c r="F406" s="69"/>
      <c r="G406" s="69"/>
      <c r="H406" s="70"/>
      <c r="I406" s="69"/>
      <c r="J406" s="69"/>
      <c r="K406" s="69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69"/>
      <c r="F407" s="69"/>
      <c r="G407" s="69"/>
      <c r="H407" s="70"/>
      <c r="I407" s="69"/>
      <c r="J407" s="69"/>
      <c r="K407" s="69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69"/>
      <c r="F408" s="69"/>
      <c r="G408" s="69"/>
      <c r="H408" s="70"/>
      <c r="I408" s="69"/>
      <c r="J408" s="69"/>
      <c r="K408" s="69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69"/>
      <c r="F409" s="69"/>
      <c r="G409" s="69"/>
      <c r="H409" s="70"/>
      <c r="I409" s="69"/>
      <c r="J409" s="69"/>
      <c r="K409" s="69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69"/>
      <c r="F410" s="69"/>
      <c r="G410" s="69"/>
      <c r="H410" s="70"/>
      <c r="I410" s="69"/>
      <c r="J410" s="69"/>
      <c r="K410" s="69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69"/>
      <c r="F411" s="69"/>
      <c r="G411" s="69"/>
      <c r="H411" s="70"/>
      <c r="I411" s="69"/>
      <c r="J411" s="69"/>
      <c r="K411" s="69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69"/>
      <c r="F412" s="69"/>
      <c r="G412" s="69"/>
      <c r="H412" s="70"/>
      <c r="I412" s="69"/>
      <c r="J412" s="69"/>
      <c r="K412" s="69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69"/>
      <c r="F413" s="69"/>
      <c r="G413" s="69"/>
      <c r="H413" s="70"/>
      <c r="I413" s="69"/>
      <c r="J413" s="69"/>
      <c r="K413" s="69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69"/>
      <c r="F414" s="69"/>
      <c r="G414" s="69"/>
      <c r="H414" s="70"/>
      <c r="I414" s="69"/>
      <c r="J414" s="69"/>
      <c r="K414" s="69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69"/>
      <c r="F415" s="69"/>
      <c r="G415" s="69"/>
      <c r="H415" s="70"/>
      <c r="I415" s="69"/>
      <c r="J415" s="69"/>
      <c r="K415" s="69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69"/>
      <c r="F416" s="69"/>
      <c r="G416" s="69"/>
      <c r="H416" s="70"/>
      <c r="I416" s="69"/>
      <c r="J416" s="69"/>
      <c r="K416" s="69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69"/>
      <c r="F417" s="69"/>
      <c r="G417" s="69"/>
      <c r="H417" s="70"/>
      <c r="I417" s="69"/>
      <c r="J417" s="69"/>
      <c r="K417" s="69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69"/>
      <c r="F418" s="69"/>
      <c r="G418" s="69"/>
      <c r="H418" s="70"/>
      <c r="I418" s="69"/>
      <c r="J418" s="69"/>
      <c r="K418" s="69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69"/>
      <c r="F419" s="69"/>
      <c r="G419" s="69"/>
      <c r="H419" s="70"/>
      <c r="I419" s="69"/>
      <c r="J419" s="69"/>
      <c r="K419" s="69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69"/>
      <c r="F420" s="69"/>
      <c r="G420" s="69"/>
      <c r="H420" s="70"/>
      <c r="I420" s="69"/>
      <c r="J420" s="69"/>
      <c r="K420" s="69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69"/>
      <c r="F421" s="69"/>
      <c r="G421" s="69"/>
      <c r="H421" s="70"/>
      <c r="I421" s="69"/>
      <c r="J421" s="69"/>
      <c r="K421" s="69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69"/>
      <c r="F422" s="69"/>
      <c r="G422" s="69"/>
      <c r="H422" s="70"/>
      <c r="I422" s="69"/>
      <c r="J422" s="69"/>
      <c r="K422" s="69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69"/>
      <c r="F423" s="69"/>
      <c r="G423" s="69"/>
      <c r="H423" s="70"/>
      <c r="I423" s="69"/>
      <c r="J423" s="69"/>
      <c r="K423" s="69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69"/>
      <c r="F424" s="69"/>
      <c r="G424" s="69"/>
      <c r="H424" s="70"/>
      <c r="I424" s="69"/>
      <c r="J424" s="69"/>
      <c r="K424" s="69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69"/>
      <c r="F425" s="69"/>
      <c r="G425" s="69"/>
      <c r="H425" s="70"/>
      <c r="I425" s="69"/>
      <c r="J425" s="69"/>
      <c r="K425" s="69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69"/>
      <c r="F426" s="69"/>
      <c r="G426" s="69"/>
      <c r="H426" s="70"/>
      <c r="I426" s="69"/>
      <c r="J426" s="69"/>
      <c r="K426" s="69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69"/>
      <c r="F427" s="69"/>
      <c r="G427" s="69"/>
      <c r="H427" s="70"/>
      <c r="I427" s="69"/>
      <c r="J427" s="69"/>
      <c r="K427" s="69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69"/>
      <c r="F428" s="69"/>
      <c r="G428" s="69"/>
      <c r="H428" s="70"/>
      <c r="I428" s="69"/>
      <c r="J428" s="69"/>
      <c r="K428" s="69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69"/>
      <c r="F429" s="69"/>
      <c r="G429" s="69"/>
      <c r="H429" s="70"/>
      <c r="I429" s="69"/>
      <c r="J429" s="69"/>
      <c r="K429" s="69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69"/>
      <c r="F430" s="69"/>
      <c r="G430" s="69"/>
      <c r="H430" s="70"/>
      <c r="I430" s="69"/>
      <c r="J430" s="69"/>
      <c r="K430" s="69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69"/>
      <c r="F431" s="69"/>
      <c r="G431" s="69"/>
      <c r="H431" s="70"/>
      <c r="I431" s="69"/>
      <c r="J431" s="69"/>
      <c r="K431" s="69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69"/>
      <c r="F432" s="69"/>
      <c r="G432" s="69"/>
      <c r="H432" s="70"/>
      <c r="I432" s="69"/>
      <c r="J432" s="69"/>
      <c r="K432" s="69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69"/>
      <c r="F433" s="69"/>
      <c r="G433" s="69"/>
      <c r="H433" s="70"/>
      <c r="I433" s="69"/>
      <c r="J433" s="69"/>
      <c r="K433" s="69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69"/>
      <c r="F434" s="69"/>
      <c r="G434" s="69"/>
      <c r="H434" s="70"/>
      <c r="I434" s="69"/>
      <c r="J434" s="69"/>
      <c r="K434" s="69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69"/>
      <c r="F435" s="69"/>
      <c r="G435" s="69"/>
      <c r="H435" s="70"/>
      <c r="I435" s="69"/>
      <c r="J435" s="69"/>
      <c r="K435" s="69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69"/>
      <c r="F436" s="69"/>
      <c r="G436" s="69"/>
      <c r="H436" s="70"/>
      <c r="I436" s="69"/>
      <c r="J436" s="69"/>
      <c r="K436" s="69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69"/>
      <c r="F437" s="69"/>
      <c r="G437" s="69"/>
      <c r="H437" s="70"/>
      <c r="I437" s="69"/>
      <c r="J437" s="69"/>
      <c r="K437" s="69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69"/>
      <c r="F438" s="69"/>
      <c r="G438" s="69"/>
      <c r="H438" s="70"/>
      <c r="I438" s="69"/>
      <c r="J438" s="69"/>
      <c r="K438" s="69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69"/>
      <c r="F439" s="69"/>
      <c r="G439" s="69"/>
      <c r="H439" s="70"/>
      <c r="I439" s="69"/>
      <c r="J439" s="69"/>
      <c r="K439" s="69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69"/>
      <c r="F440" s="69"/>
      <c r="G440" s="69"/>
      <c r="H440" s="70"/>
      <c r="I440" s="69"/>
      <c r="J440" s="69"/>
      <c r="K440" s="69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69"/>
      <c r="F441" s="69"/>
      <c r="G441" s="69"/>
      <c r="H441" s="70"/>
      <c r="I441" s="69"/>
      <c r="J441" s="69"/>
      <c r="K441" s="69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69"/>
      <c r="F442" s="69"/>
      <c r="G442" s="69"/>
      <c r="H442" s="70"/>
      <c r="I442" s="69"/>
      <c r="J442" s="69"/>
      <c r="K442" s="69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69"/>
      <c r="F443" s="69"/>
      <c r="G443" s="69"/>
      <c r="H443" s="70"/>
      <c r="I443" s="69"/>
      <c r="J443" s="69"/>
      <c r="K443" s="69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69"/>
      <c r="F444" s="69"/>
      <c r="G444" s="69"/>
      <c r="H444" s="70"/>
      <c r="I444" s="69"/>
      <c r="J444" s="69"/>
      <c r="K444" s="69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69"/>
      <c r="F445" s="69"/>
      <c r="G445" s="69"/>
      <c r="H445" s="70"/>
      <c r="I445" s="69"/>
      <c r="J445" s="69"/>
      <c r="K445" s="69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69"/>
      <c r="F446" s="69"/>
      <c r="G446" s="69"/>
      <c r="H446" s="70"/>
      <c r="I446" s="69"/>
      <c r="J446" s="69"/>
      <c r="K446" s="69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69"/>
      <c r="F447" s="69"/>
      <c r="G447" s="69"/>
      <c r="H447" s="70"/>
      <c r="I447" s="69"/>
      <c r="J447" s="69"/>
      <c r="K447" s="69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69"/>
      <c r="F448" s="69"/>
      <c r="G448" s="69"/>
      <c r="H448" s="70"/>
      <c r="I448" s="69"/>
      <c r="J448" s="69"/>
      <c r="K448" s="69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69"/>
      <c r="F449" s="69"/>
      <c r="G449" s="69"/>
      <c r="H449" s="70"/>
      <c r="I449" s="69"/>
      <c r="J449" s="69"/>
      <c r="K449" s="69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69"/>
      <c r="F450" s="69"/>
      <c r="G450" s="69"/>
      <c r="H450" s="70"/>
      <c r="I450" s="69"/>
      <c r="J450" s="69"/>
      <c r="K450" s="69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69"/>
      <c r="F451" s="69"/>
      <c r="G451" s="69"/>
      <c r="H451" s="70"/>
      <c r="I451" s="69"/>
      <c r="J451" s="69"/>
      <c r="K451" s="69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69"/>
      <c r="F452" s="69"/>
      <c r="G452" s="69"/>
      <c r="H452" s="70"/>
      <c r="I452" s="69"/>
      <c r="J452" s="69"/>
      <c r="K452" s="69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69"/>
      <c r="F453" s="69"/>
      <c r="G453" s="69"/>
      <c r="H453" s="70"/>
      <c r="I453" s="69"/>
      <c r="J453" s="69"/>
      <c r="K453" s="69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69"/>
      <c r="F454" s="69"/>
      <c r="G454" s="69"/>
      <c r="H454" s="70"/>
      <c r="I454" s="69"/>
      <c r="J454" s="69"/>
      <c r="K454" s="69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69"/>
      <c r="F455" s="69"/>
      <c r="G455" s="69"/>
      <c r="H455" s="70"/>
      <c r="I455" s="69"/>
      <c r="J455" s="69"/>
      <c r="K455" s="69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69"/>
      <c r="F456" s="69"/>
      <c r="G456" s="69"/>
      <c r="H456" s="70"/>
      <c r="I456" s="69"/>
      <c r="J456" s="69"/>
      <c r="K456" s="69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69"/>
      <c r="F457" s="69"/>
      <c r="G457" s="69"/>
      <c r="H457" s="70"/>
      <c r="I457" s="69"/>
      <c r="J457" s="69"/>
      <c r="K457" s="69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69"/>
      <c r="F458" s="69"/>
      <c r="G458" s="69"/>
      <c r="H458" s="70"/>
      <c r="I458" s="69"/>
      <c r="J458" s="69"/>
      <c r="K458" s="69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69"/>
      <c r="F459" s="69"/>
      <c r="G459" s="69"/>
      <c r="H459" s="70"/>
      <c r="I459" s="69"/>
      <c r="J459" s="69"/>
      <c r="K459" s="69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69"/>
      <c r="F460" s="69"/>
      <c r="G460" s="69"/>
      <c r="H460" s="70"/>
      <c r="I460" s="69"/>
      <c r="J460" s="69"/>
      <c r="K460" s="69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69"/>
      <c r="F461" s="69"/>
      <c r="G461" s="69"/>
      <c r="H461" s="70"/>
      <c r="I461" s="69"/>
      <c r="J461" s="69"/>
      <c r="K461" s="69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69"/>
      <c r="F462" s="69"/>
      <c r="G462" s="69"/>
      <c r="H462" s="70"/>
      <c r="I462" s="69"/>
      <c r="J462" s="69"/>
      <c r="K462" s="69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69"/>
      <c r="F463" s="69"/>
      <c r="G463" s="69"/>
      <c r="H463" s="70"/>
      <c r="I463" s="69"/>
      <c r="J463" s="69"/>
      <c r="K463" s="69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69"/>
      <c r="F464" s="69"/>
      <c r="G464" s="69"/>
      <c r="H464" s="70"/>
      <c r="I464" s="69"/>
      <c r="J464" s="69"/>
      <c r="K464" s="69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69"/>
      <c r="F465" s="69"/>
      <c r="G465" s="69"/>
      <c r="H465" s="70"/>
      <c r="I465" s="69"/>
      <c r="J465" s="69"/>
      <c r="K465" s="69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69"/>
      <c r="F466" s="69"/>
      <c r="G466" s="69"/>
      <c r="H466" s="70"/>
      <c r="I466" s="69"/>
      <c r="J466" s="69"/>
      <c r="K466" s="69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69"/>
      <c r="F467" s="69"/>
      <c r="G467" s="69"/>
      <c r="H467" s="70"/>
      <c r="I467" s="69"/>
      <c r="J467" s="69"/>
      <c r="K467" s="69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69"/>
      <c r="F468" s="69"/>
      <c r="G468" s="69"/>
      <c r="H468" s="70"/>
      <c r="I468" s="69"/>
      <c r="J468" s="69"/>
      <c r="K468" s="69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69"/>
      <c r="F469" s="69"/>
      <c r="G469" s="69"/>
      <c r="H469" s="70"/>
      <c r="I469" s="69"/>
      <c r="J469" s="69"/>
      <c r="K469" s="69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69"/>
      <c r="F470" s="69"/>
      <c r="G470" s="69"/>
      <c r="H470" s="70"/>
      <c r="I470" s="69"/>
      <c r="J470" s="69"/>
      <c r="K470" s="69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69"/>
      <c r="F471" s="69"/>
      <c r="G471" s="69"/>
      <c r="H471" s="70"/>
      <c r="I471" s="69"/>
      <c r="J471" s="69"/>
      <c r="K471" s="69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69"/>
      <c r="F472" s="69"/>
      <c r="G472" s="69"/>
      <c r="H472" s="70"/>
      <c r="I472" s="69"/>
      <c r="J472" s="69"/>
      <c r="K472" s="69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69"/>
      <c r="F473" s="69"/>
      <c r="G473" s="69"/>
      <c r="H473" s="70"/>
      <c r="I473" s="69"/>
      <c r="J473" s="69"/>
      <c r="K473" s="69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69"/>
      <c r="F474" s="69"/>
      <c r="G474" s="69"/>
      <c r="H474" s="70"/>
      <c r="I474" s="69"/>
      <c r="J474" s="69"/>
      <c r="K474" s="69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69"/>
      <c r="F475" s="69"/>
      <c r="G475" s="69"/>
      <c r="H475" s="70"/>
      <c r="I475" s="69"/>
      <c r="J475" s="69"/>
      <c r="K475" s="69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69"/>
      <c r="F476" s="69"/>
      <c r="G476" s="69"/>
      <c r="H476" s="70"/>
      <c r="I476" s="69"/>
      <c r="J476" s="69"/>
      <c r="K476" s="69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69"/>
      <c r="F477" s="69"/>
      <c r="G477" s="69"/>
      <c r="H477" s="70"/>
      <c r="I477" s="69"/>
      <c r="J477" s="69"/>
      <c r="K477" s="69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69"/>
      <c r="F478" s="69"/>
      <c r="G478" s="69"/>
      <c r="H478" s="70"/>
      <c r="I478" s="69"/>
      <c r="J478" s="69"/>
      <c r="K478" s="69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69"/>
      <c r="F479" s="69"/>
      <c r="G479" s="69"/>
      <c r="H479" s="70"/>
      <c r="I479" s="69"/>
      <c r="J479" s="69"/>
      <c r="K479" s="69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69"/>
      <c r="F480" s="69"/>
      <c r="G480" s="69"/>
      <c r="H480" s="70"/>
      <c r="I480" s="69"/>
      <c r="J480" s="69"/>
      <c r="K480" s="69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69"/>
      <c r="F481" s="69"/>
      <c r="G481" s="69"/>
      <c r="H481" s="70"/>
      <c r="I481" s="69"/>
      <c r="J481" s="69"/>
      <c r="K481" s="69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69"/>
      <c r="F482" s="69"/>
      <c r="G482" s="69"/>
      <c r="H482" s="70"/>
      <c r="I482" s="69"/>
      <c r="J482" s="69"/>
      <c r="K482" s="69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69"/>
      <c r="F483" s="69"/>
      <c r="G483" s="69"/>
      <c r="H483" s="70"/>
      <c r="I483" s="69"/>
      <c r="J483" s="69"/>
      <c r="K483" s="69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69"/>
      <c r="F484" s="69"/>
      <c r="G484" s="69"/>
      <c r="H484" s="70"/>
      <c r="I484" s="69"/>
      <c r="J484" s="69"/>
      <c r="K484" s="69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69"/>
      <c r="F485" s="69"/>
      <c r="G485" s="69"/>
      <c r="H485" s="70"/>
      <c r="I485" s="69"/>
      <c r="J485" s="69"/>
      <c r="K485" s="69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69"/>
      <c r="F486" s="69"/>
      <c r="G486" s="69"/>
      <c r="H486" s="70"/>
      <c r="I486" s="69"/>
      <c r="J486" s="69"/>
      <c r="K486" s="69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69"/>
      <c r="F487" s="69"/>
      <c r="G487" s="69"/>
      <c r="H487" s="70"/>
      <c r="I487" s="69"/>
      <c r="J487" s="69"/>
      <c r="K487" s="69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69"/>
      <c r="F488" s="69"/>
      <c r="G488" s="69"/>
      <c r="H488" s="70"/>
      <c r="I488" s="69"/>
      <c r="J488" s="69"/>
      <c r="K488" s="69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69"/>
      <c r="F489" s="69"/>
      <c r="G489" s="69"/>
      <c r="H489" s="70"/>
      <c r="I489" s="69"/>
      <c r="J489" s="69"/>
      <c r="K489" s="69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69"/>
      <c r="F490" s="69"/>
      <c r="G490" s="69"/>
      <c r="H490" s="70"/>
      <c r="I490" s="69"/>
      <c r="J490" s="69"/>
      <c r="K490" s="69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69"/>
      <c r="F491" s="69"/>
      <c r="G491" s="69"/>
      <c r="H491" s="70"/>
      <c r="I491" s="69"/>
      <c r="J491" s="69"/>
      <c r="K491" s="69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69"/>
      <c r="F492" s="69"/>
      <c r="G492" s="69"/>
      <c r="H492" s="70"/>
      <c r="I492" s="69"/>
      <c r="J492" s="69"/>
      <c r="K492" s="69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69"/>
      <c r="F493" s="69"/>
      <c r="G493" s="69"/>
      <c r="H493" s="70"/>
      <c r="I493" s="69"/>
      <c r="J493" s="69"/>
      <c r="K493" s="69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69"/>
      <c r="F494" s="69"/>
      <c r="G494" s="69"/>
      <c r="H494" s="70"/>
      <c r="I494" s="69"/>
      <c r="J494" s="69"/>
      <c r="K494" s="69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69"/>
      <c r="F495" s="69"/>
      <c r="G495" s="69"/>
      <c r="H495" s="70"/>
      <c r="I495" s="69"/>
      <c r="J495" s="69"/>
      <c r="K495" s="69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69"/>
      <c r="F496" s="69"/>
      <c r="G496" s="69"/>
      <c r="H496" s="70"/>
      <c r="I496" s="69"/>
      <c r="J496" s="69"/>
      <c r="K496" s="69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69"/>
      <c r="F497" s="69"/>
      <c r="G497" s="69"/>
      <c r="H497" s="70"/>
      <c r="I497" s="69"/>
      <c r="J497" s="69"/>
      <c r="K497" s="69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69"/>
      <c r="F498" s="69"/>
      <c r="G498" s="69"/>
      <c r="H498" s="70"/>
      <c r="I498" s="69"/>
      <c r="J498" s="69"/>
      <c r="K498" s="69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69"/>
      <c r="F499" s="69"/>
      <c r="G499" s="69"/>
      <c r="H499" s="70"/>
      <c r="I499" s="69"/>
      <c r="J499" s="69"/>
      <c r="K499" s="69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69"/>
      <c r="F500" s="69"/>
      <c r="G500" s="69"/>
      <c r="H500" s="70"/>
      <c r="I500" s="69"/>
      <c r="J500" s="69"/>
      <c r="K500" s="69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69"/>
      <c r="F501" s="69"/>
      <c r="G501" s="69"/>
      <c r="H501" s="70"/>
      <c r="I501" s="69"/>
      <c r="J501" s="69"/>
      <c r="K501" s="69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69"/>
      <c r="F502" s="69"/>
      <c r="G502" s="69"/>
      <c r="H502" s="70"/>
      <c r="I502" s="69"/>
      <c r="J502" s="69"/>
      <c r="K502" s="69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69"/>
      <c r="F503" s="69"/>
      <c r="G503" s="69"/>
      <c r="H503" s="70"/>
      <c r="I503" s="69"/>
      <c r="J503" s="69"/>
      <c r="K503" s="69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69"/>
      <c r="F504" s="69"/>
      <c r="G504" s="69"/>
      <c r="H504" s="70"/>
      <c r="I504" s="69"/>
      <c r="J504" s="69"/>
      <c r="K504" s="69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69"/>
      <c r="F505" s="69"/>
      <c r="G505" s="69"/>
      <c r="H505" s="70"/>
      <c r="I505" s="69"/>
      <c r="J505" s="69"/>
      <c r="K505" s="69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69"/>
      <c r="F506" s="69"/>
      <c r="G506" s="69"/>
      <c r="H506" s="70"/>
      <c r="I506" s="69"/>
      <c r="J506" s="69"/>
      <c r="K506" s="69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69"/>
      <c r="F507" s="69"/>
      <c r="G507" s="69"/>
      <c r="H507" s="70"/>
      <c r="I507" s="69"/>
      <c r="J507" s="69"/>
      <c r="K507" s="69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69"/>
      <c r="F508" s="69"/>
      <c r="G508" s="69"/>
      <c r="H508" s="70"/>
      <c r="I508" s="69"/>
      <c r="J508" s="69"/>
      <c r="K508" s="69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69"/>
      <c r="F509" s="69"/>
      <c r="G509" s="69"/>
      <c r="H509" s="70"/>
      <c r="I509" s="69"/>
      <c r="J509" s="69"/>
      <c r="K509" s="69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69"/>
      <c r="F510" s="69"/>
      <c r="G510" s="69"/>
      <c r="H510" s="70"/>
      <c r="I510" s="69"/>
      <c r="J510" s="69"/>
      <c r="K510" s="69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69"/>
      <c r="F511" s="69"/>
      <c r="G511" s="69"/>
      <c r="H511" s="70"/>
      <c r="I511" s="69"/>
      <c r="J511" s="69"/>
      <c r="K511" s="69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69"/>
      <c r="F512" s="69"/>
      <c r="G512" s="69"/>
      <c r="H512" s="70"/>
      <c r="I512" s="69"/>
      <c r="J512" s="69"/>
      <c r="K512" s="69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69"/>
      <c r="F513" s="69"/>
      <c r="G513" s="69"/>
      <c r="H513" s="70"/>
      <c r="I513" s="69"/>
      <c r="J513" s="69"/>
      <c r="K513" s="69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69"/>
      <c r="F514" s="69"/>
      <c r="G514" s="69"/>
      <c r="H514" s="70"/>
      <c r="I514" s="69"/>
      <c r="J514" s="69"/>
      <c r="K514" s="69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69"/>
      <c r="F515" s="69"/>
      <c r="G515" s="69"/>
      <c r="H515" s="70"/>
      <c r="I515" s="69"/>
      <c r="J515" s="69"/>
      <c r="K515" s="69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69"/>
      <c r="F516" s="69"/>
      <c r="G516" s="69"/>
      <c r="H516" s="70"/>
      <c r="I516" s="69"/>
      <c r="J516" s="69"/>
      <c r="K516" s="69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69"/>
      <c r="F517" s="69"/>
      <c r="G517" s="69"/>
      <c r="H517" s="70"/>
      <c r="I517" s="69"/>
      <c r="J517" s="69"/>
      <c r="K517" s="69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69"/>
      <c r="F518" s="69"/>
      <c r="G518" s="69"/>
      <c r="H518" s="70"/>
      <c r="I518" s="69"/>
      <c r="J518" s="69"/>
      <c r="K518" s="69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69"/>
      <c r="F519" s="69"/>
      <c r="G519" s="69"/>
      <c r="H519" s="70"/>
      <c r="I519" s="69"/>
      <c r="J519" s="69"/>
      <c r="K519" s="69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69"/>
      <c r="F520" s="69"/>
      <c r="G520" s="69"/>
      <c r="H520" s="70"/>
      <c r="I520" s="69"/>
      <c r="J520" s="69"/>
      <c r="K520" s="69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69"/>
      <c r="F521" s="69"/>
      <c r="G521" s="69"/>
      <c r="H521" s="70"/>
      <c r="I521" s="69"/>
      <c r="J521" s="69"/>
      <c r="K521" s="69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69"/>
      <c r="F522" s="69"/>
      <c r="G522" s="69"/>
      <c r="H522" s="70"/>
      <c r="I522" s="69"/>
      <c r="J522" s="69"/>
      <c r="K522" s="69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69"/>
      <c r="F523" s="69"/>
      <c r="G523" s="69"/>
      <c r="H523" s="70"/>
      <c r="I523" s="69"/>
      <c r="J523" s="69"/>
      <c r="K523" s="69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69"/>
      <c r="F524" s="69"/>
      <c r="G524" s="69"/>
      <c r="H524" s="70"/>
      <c r="I524" s="69"/>
      <c r="J524" s="69"/>
      <c r="K524" s="69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69"/>
      <c r="F525" s="69"/>
      <c r="G525" s="69"/>
      <c r="H525" s="70"/>
      <c r="I525" s="69"/>
      <c r="J525" s="69"/>
      <c r="K525" s="69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69"/>
      <c r="F526" s="69"/>
      <c r="G526" s="69"/>
      <c r="H526" s="70"/>
      <c r="I526" s="69"/>
      <c r="J526" s="69"/>
      <c r="K526" s="69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69"/>
      <c r="F527" s="69"/>
      <c r="G527" s="69"/>
      <c r="H527" s="70"/>
      <c r="I527" s="69"/>
      <c r="J527" s="69"/>
      <c r="K527" s="69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69"/>
      <c r="F528" s="69"/>
      <c r="G528" s="69"/>
      <c r="H528" s="70"/>
      <c r="I528" s="69"/>
      <c r="J528" s="69"/>
      <c r="K528" s="69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69"/>
      <c r="F529" s="69"/>
      <c r="G529" s="69"/>
      <c r="H529" s="70"/>
      <c r="I529" s="69"/>
      <c r="J529" s="69"/>
      <c r="K529" s="69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69"/>
      <c r="F530" s="69"/>
      <c r="G530" s="69"/>
      <c r="H530" s="70"/>
      <c r="I530" s="69"/>
      <c r="J530" s="69"/>
      <c r="K530" s="69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69"/>
      <c r="F531" s="69"/>
      <c r="G531" s="69"/>
      <c r="H531" s="70"/>
      <c r="I531" s="69"/>
      <c r="J531" s="69"/>
      <c r="K531" s="69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69"/>
      <c r="F532" s="69"/>
      <c r="G532" s="69"/>
      <c r="H532" s="70"/>
      <c r="I532" s="69"/>
      <c r="J532" s="69"/>
      <c r="K532" s="69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69"/>
      <c r="F533" s="69"/>
      <c r="G533" s="69"/>
      <c r="H533" s="70"/>
      <c r="I533" s="69"/>
      <c r="J533" s="69"/>
      <c r="K533" s="69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69"/>
      <c r="F534" s="69"/>
      <c r="G534" s="69"/>
      <c r="H534" s="70"/>
      <c r="I534" s="69"/>
      <c r="J534" s="69"/>
      <c r="K534" s="69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69"/>
      <c r="F535" s="69"/>
      <c r="G535" s="69"/>
      <c r="H535" s="70"/>
      <c r="I535" s="69"/>
      <c r="J535" s="69"/>
      <c r="K535" s="69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69"/>
      <c r="F536" s="69"/>
      <c r="G536" s="69"/>
      <c r="H536" s="70"/>
      <c r="I536" s="69"/>
      <c r="J536" s="69"/>
      <c r="K536" s="69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69"/>
      <c r="F537" s="69"/>
      <c r="G537" s="69"/>
      <c r="H537" s="70"/>
      <c r="I537" s="69"/>
      <c r="J537" s="69"/>
      <c r="K537" s="69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69"/>
      <c r="F538" s="69"/>
      <c r="G538" s="69"/>
      <c r="H538" s="70"/>
      <c r="I538" s="69"/>
      <c r="J538" s="69"/>
      <c r="K538" s="69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69"/>
      <c r="F539" s="69"/>
      <c r="G539" s="69"/>
      <c r="H539" s="70"/>
      <c r="I539" s="69"/>
      <c r="J539" s="69"/>
      <c r="K539" s="69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69"/>
      <c r="F540" s="69"/>
      <c r="G540" s="69"/>
      <c r="H540" s="70"/>
      <c r="I540" s="69"/>
      <c r="J540" s="69"/>
      <c r="K540" s="69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69"/>
      <c r="F541" s="69"/>
      <c r="G541" s="69"/>
      <c r="H541" s="70"/>
      <c r="I541" s="69"/>
      <c r="J541" s="69"/>
      <c r="K541" s="69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69"/>
      <c r="F542" s="69"/>
      <c r="G542" s="69"/>
      <c r="H542" s="70"/>
      <c r="I542" s="69"/>
      <c r="J542" s="69"/>
      <c r="K542" s="69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69"/>
      <c r="F543" s="69"/>
      <c r="G543" s="69"/>
      <c r="H543" s="70"/>
      <c r="I543" s="69"/>
      <c r="J543" s="69"/>
      <c r="K543" s="69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69"/>
      <c r="F544" s="69"/>
      <c r="G544" s="69"/>
      <c r="H544" s="70"/>
      <c r="I544" s="69"/>
      <c r="J544" s="69"/>
      <c r="K544" s="69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69"/>
      <c r="F545" s="69"/>
      <c r="G545" s="69"/>
      <c r="H545" s="70"/>
      <c r="I545" s="69"/>
      <c r="J545" s="69"/>
      <c r="K545" s="69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69"/>
      <c r="F546" s="69"/>
      <c r="G546" s="69"/>
      <c r="H546" s="70"/>
      <c r="I546" s="69"/>
      <c r="J546" s="69"/>
      <c r="K546" s="69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69"/>
      <c r="F547" s="69"/>
      <c r="G547" s="69"/>
      <c r="H547" s="70"/>
      <c r="I547" s="69"/>
      <c r="J547" s="69"/>
      <c r="K547" s="69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69"/>
      <c r="F548" s="69"/>
      <c r="G548" s="69"/>
      <c r="H548" s="70"/>
      <c r="I548" s="69"/>
      <c r="J548" s="69"/>
      <c r="K548" s="69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69"/>
      <c r="F549" s="69"/>
      <c r="G549" s="69"/>
      <c r="H549" s="70"/>
      <c r="I549" s="69"/>
      <c r="J549" s="69"/>
      <c r="K549" s="69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69"/>
      <c r="F550" s="69"/>
      <c r="G550" s="69"/>
      <c r="H550" s="70"/>
      <c r="I550" s="69"/>
      <c r="J550" s="69"/>
      <c r="K550" s="69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69"/>
      <c r="F551" s="69"/>
      <c r="G551" s="69"/>
      <c r="H551" s="70"/>
      <c r="I551" s="69"/>
      <c r="J551" s="69"/>
      <c r="K551" s="69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69"/>
      <c r="F552" s="69"/>
      <c r="G552" s="69"/>
      <c r="H552" s="70"/>
      <c r="I552" s="69"/>
      <c r="J552" s="69"/>
      <c r="K552" s="69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69"/>
      <c r="F553" s="69"/>
      <c r="G553" s="69"/>
      <c r="H553" s="70"/>
      <c r="I553" s="69"/>
      <c r="J553" s="69"/>
      <c r="K553" s="69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69"/>
      <c r="F554" s="69"/>
      <c r="G554" s="69"/>
      <c r="H554" s="70"/>
      <c r="I554" s="69"/>
      <c r="J554" s="69"/>
      <c r="K554" s="69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69"/>
      <c r="F555" s="69"/>
      <c r="G555" s="69"/>
      <c r="H555" s="70"/>
      <c r="I555" s="69"/>
      <c r="J555" s="69"/>
      <c r="K555" s="69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69"/>
      <c r="F556" s="69"/>
      <c r="G556" s="69"/>
      <c r="H556" s="70"/>
      <c r="I556" s="69"/>
      <c r="J556" s="69"/>
      <c r="K556" s="69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69"/>
      <c r="F557" s="69"/>
      <c r="G557" s="69"/>
      <c r="H557" s="70"/>
      <c r="I557" s="69"/>
      <c r="J557" s="69"/>
      <c r="K557" s="69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69"/>
      <c r="F558" s="69"/>
      <c r="G558" s="69"/>
      <c r="H558" s="70"/>
      <c r="I558" s="69"/>
      <c r="J558" s="69"/>
      <c r="K558" s="69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69"/>
      <c r="F559" s="69"/>
      <c r="G559" s="69"/>
      <c r="H559" s="70"/>
      <c r="I559" s="69"/>
      <c r="J559" s="69"/>
      <c r="K559" s="69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69"/>
      <c r="F560" s="69"/>
      <c r="G560" s="69"/>
      <c r="H560" s="70"/>
      <c r="I560" s="69"/>
      <c r="J560" s="69"/>
      <c r="K560" s="69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69"/>
      <c r="F561" s="69"/>
      <c r="G561" s="69"/>
      <c r="H561" s="70"/>
      <c r="I561" s="69"/>
      <c r="J561" s="69"/>
      <c r="K561" s="69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69"/>
      <c r="F562" s="69"/>
      <c r="G562" s="69"/>
      <c r="H562" s="70"/>
      <c r="I562" s="69"/>
      <c r="J562" s="69"/>
      <c r="K562" s="69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69"/>
      <c r="F563" s="69"/>
      <c r="G563" s="69"/>
      <c r="H563" s="70"/>
      <c r="I563" s="69"/>
      <c r="J563" s="69"/>
      <c r="K563" s="69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69"/>
      <c r="F564" s="69"/>
      <c r="G564" s="69"/>
      <c r="H564" s="70"/>
      <c r="I564" s="69"/>
      <c r="J564" s="69"/>
      <c r="K564" s="69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69"/>
      <c r="F565" s="69"/>
      <c r="G565" s="69"/>
      <c r="H565" s="70"/>
      <c r="I565" s="69"/>
      <c r="J565" s="69"/>
      <c r="K565" s="69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69"/>
      <c r="F566" s="69"/>
      <c r="G566" s="69"/>
      <c r="H566" s="70"/>
      <c r="I566" s="69"/>
      <c r="J566" s="69"/>
      <c r="K566" s="69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69"/>
      <c r="F567" s="69"/>
      <c r="G567" s="69"/>
      <c r="H567" s="70"/>
      <c r="I567" s="69"/>
      <c r="J567" s="69"/>
      <c r="K567" s="69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69"/>
      <c r="F568" s="69"/>
      <c r="G568" s="69"/>
      <c r="H568" s="70"/>
      <c r="I568" s="69"/>
      <c r="J568" s="69"/>
      <c r="K568" s="69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69"/>
      <c r="F569" s="69"/>
      <c r="G569" s="69"/>
      <c r="H569" s="70"/>
      <c r="I569" s="69"/>
      <c r="J569" s="69"/>
      <c r="K569" s="69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69"/>
      <c r="F570" s="69"/>
      <c r="G570" s="69"/>
      <c r="H570" s="70"/>
      <c r="I570" s="69"/>
      <c r="J570" s="69"/>
      <c r="K570" s="69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69"/>
      <c r="F571" s="69"/>
      <c r="G571" s="69"/>
      <c r="H571" s="70"/>
      <c r="I571" s="69"/>
      <c r="J571" s="69"/>
      <c r="K571" s="69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69"/>
      <c r="F572" s="69"/>
      <c r="G572" s="69"/>
      <c r="H572" s="70"/>
      <c r="I572" s="69"/>
      <c r="J572" s="69"/>
      <c r="K572" s="69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69"/>
      <c r="F573" s="69"/>
      <c r="G573" s="69"/>
      <c r="H573" s="70"/>
      <c r="I573" s="69"/>
      <c r="J573" s="69"/>
      <c r="K573" s="69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69"/>
      <c r="F574" s="69"/>
      <c r="G574" s="69"/>
      <c r="H574" s="70"/>
      <c r="I574" s="69"/>
      <c r="J574" s="69"/>
      <c r="K574" s="69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69"/>
      <c r="F575" s="69"/>
      <c r="G575" s="69"/>
      <c r="H575" s="70"/>
      <c r="I575" s="69"/>
      <c r="J575" s="69"/>
      <c r="K575" s="69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69"/>
      <c r="F576" s="69"/>
      <c r="G576" s="69"/>
      <c r="H576" s="70"/>
      <c r="I576" s="69"/>
      <c r="J576" s="69"/>
      <c r="K576" s="69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69"/>
      <c r="F577" s="69"/>
      <c r="G577" s="69"/>
      <c r="H577" s="70"/>
      <c r="I577" s="69"/>
      <c r="J577" s="69"/>
      <c r="K577" s="69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69"/>
      <c r="F578" s="69"/>
      <c r="G578" s="69"/>
      <c r="H578" s="70"/>
      <c r="I578" s="69"/>
      <c r="J578" s="69"/>
      <c r="K578" s="69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69"/>
      <c r="F579" s="69"/>
      <c r="G579" s="69"/>
      <c r="H579" s="70"/>
      <c r="I579" s="69"/>
      <c r="J579" s="69"/>
      <c r="K579" s="69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69"/>
      <c r="F580" s="69"/>
      <c r="G580" s="69"/>
      <c r="H580" s="70"/>
      <c r="I580" s="69"/>
      <c r="J580" s="69"/>
      <c r="K580" s="69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69"/>
      <c r="F581" s="69"/>
      <c r="G581" s="69"/>
      <c r="H581" s="70"/>
      <c r="I581" s="69"/>
      <c r="J581" s="69"/>
      <c r="K581" s="69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69"/>
      <c r="F582" s="69"/>
      <c r="G582" s="69"/>
      <c r="H582" s="70"/>
      <c r="I582" s="69"/>
      <c r="J582" s="69"/>
      <c r="K582" s="69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69"/>
      <c r="F583" s="69"/>
      <c r="G583" s="69"/>
      <c r="H583" s="70"/>
      <c r="I583" s="69"/>
      <c r="J583" s="69"/>
      <c r="K583" s="69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69"/>
      <c r="F584" s="69"/>
      <c r="G584" s="69"/>
      <c r="H584" s="70"/>
      <c r="I584" s="69"/>
      <c r="J584" s="69"/>
      <c r="K584" s="69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69"/>
      <c r="F585" s="69"/>
      <c r="G585" s="69"/>
      <c r="H585" s="70"/>
      <c r="I585" s="69"/>
      <c r="J585" s="69"/>
      <c r="K585" s="69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69"/>
      <c r="F586" s="69"/>
      <c r="G586" s="69"/>
      <c r="H586" s="70"/>
      <c r="I586" s="69"/>
      <c r="J586" s="69"/>
      <c r="K586" s="69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69"/>
      <c r="F587" s="69"/>
      <c r="G587" s="69"/>
      <c r="H587" s="70"/>
      <c r="I587" s="69"/>
      <c r="J587" s="69"/>
      <c r="K587" s="69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69"/>
      <c r="F588" s="69"/>
      <c r="G588" s="69"/>
      <c r="H588" s="70"/>
      <c r="I588" s="69"/>
      <c r="J588" s="69"/>
      <c r="K588" s="69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69"/>
      <c r="F589" s="69"/>
      <c r="G589" s="69"/>
      <c r="H589" s="70"/>
      <c r="I589" s="69"/>
      <c r="J589" s="69"/>
      <c r="K589" s="69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69"/>
      <c r="F590" s="69"/>
      <c r="G590" s="69"/>
      <c r="H590" s="70"/>
      <c r="I590" s="69"/>
      <c r="J590" s="69"/>
      <c r="K590" s="69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69"/>
      <c r="F591" s="69"/>
      <c r="G591" s="69"/>
      <c r="H591" s="70"/>
      <c r="I591" s="69"/>
      <c r="J591" s="69"/>
      <c r="K591" s="69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69"/>
      <c r="F592" s="69"/>
      <c r="G592" s="69"/>
      <c r="H592" s="70"/>
      <c r="I592" s="69"/>
      <c r="J592" s="69"/>
      <c r="K592" s="69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69"/>
      <c r="F593" s="69"/>
      <c r="G593" s="69"/>
      <c r="H593" s="70"/>
      <c r="I593" s="69"/>
      <c r="J593" s="69"/>
      <c r="K593" s="69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69"/>
      <c r="F594" s="69"/>
      <c r="G594" s="69"/>
      <c r="H594" s="70"/>
      <c r="I594" s="69"/>
      <c r="J594" s="69"/>
      <c r="K594" s="69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69"/>
      <c r="F595" s="69"/>
      <c r="G595" s="69"/>
      <c r="H595" s="70"/>
      <c r="I595" s="69"/>
      <c r="J595" s="69"/>
      <c r="K595" s="69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69"/>
      <c r="F596" s="69"/>
      <c r="G596" s="69"/>
      <c r="H596" s="70"/>
      <c r="I596" s="69"/>
      <c r="J596" s="69"/>
      <c r="K596" s="69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69"/>
      <c r="F597" s="69"/>
      <c r="G597" s="69"/>
      <c r="H597" s="70"/>
      <c r="I597" s="69"/>
      <c r="J597" s="69"/>
      <c r="K597" s="69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69"/>
      <c r="F598" s="69"/>
      <c r="G598" s="69"/>
      <c r="H598" s="70"/>
      <c r="I598" s="69"/>
      <c r="J598" s="69"/>
      <c r="K598" s="69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69"/>
      <c r="F599" s="69"/>
      <c r="G599" s="69"/>
      <c r="H599" s="70"/>
      <c r="I599" s="69"/>
      <c r="J599" s="69"/>
      <c r="K599" s="69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69"/>
      <c r="F600" s="69"/>
      <c r="G600" s="69"/>
      <c r="H600" s="70"/>
      <c r="I600" s="69"/>
      <c r="J600" s="69"/>
      <c r="K600" s="69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69"/>
      <c r="F601" s="69"/>
      <c r="G601" s="69"/>
      <c r="H601" s="70"/>
      <c r="I601" s="69"/>
      <c r="J601" s="69"/>
      <c r="K601" s="69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69"/>
      <c r="F602" s="69"/>
      <c r="G602" s="69"/>
      <c r="H602" s="70"/>
      <c r="I602" s="69"/>
      <c r="J602" s="69"/>
      <c r="K602" s="69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69"/>
      <c r="F603" s="69"/>
      <c r="G603" s="69"/>
      <c r="H603" s="70"/>
      <c r="I603" s="69"/>
      <c r="J603" s="69"/>
      <c r="K603" s="69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69"/>
      <c r="F604" s="69"/>
      <c r="G604" s="69"/>
      <c r="H604" s="70"/>
      <c r="I604" s="69"/>
      <c r="J604" s="69"/>
      <c r="K604" s="69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69"/>
      <c r="F605" s="69"/>
      <c r="G605" s="69"/>
      <c r="H605" s="70"/>
      <c r="I605" s="69"/>
      <c r="J605" s="69"/>
      <c r="K605" s="69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69"/>
      <c r="F606" s="69"/>
      <c r="G606" s="69"/>
      <c r="H606" s="70"/>
      <c r="I606" s="69"/>
      <c r="J606" s="69"/>
      <c r="K606" s="69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69"/>
      <c r="F607" s="69"/>
      <c r="G607" s="69"/>
      <c r="H607" s="70"/>
      <c r="I607" s="69"/>
      <c r="J607" s="69"/>
      <c r="K607" s="69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69"/>
      <c r="F608" s="69"/>
      <c r="G608" s="69"/>
      <c r="H608" s="70"/>
      <c r="I608" s="69"/>
      <c r="J608" s="69"/>
      <c r="K608" s="69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69"/>
      <c r="F609" s="69"/>
      <c r="G609" s="69"/>
      <c r="H609" s="70"/>
      <c r="I609" s="69"/>
      <c r="J609" s="69"/>
      <c r="K609" s="69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69"/>
      <c r="F610" s="69"/>
      <c r="G610" s="69"/>
      <c r="H610" s="70"/>
      <c r="I610" s="69"/>
      <c r="J610" s="69"/>
      <c r="K610" s="69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69"/>
      <c r="F611" s="69"/>
      <c r="G611" s="69"/>
      <c r="H611" s="70"/>
      <c r="I611" s="69"/>
      <c r="J611" s="69"/>
      <c r="K611" s="69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69"/>
      <c r="F612" s="69"/>
      <c r="G612" s="69"/>
      <c r="H612" s="70"/>
      <c r="I612" s="69"/>
      <c r="J612" s="69"/>
      <c r="K612" s="69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69"/>
      <c r="F613" s="69"/>
      <c r="G613" s="69"/>
      <c r="H613" s="70"/>
      <c r="I613" s="69"/>
      <c r="J613" s="69"/>
      <c r="K613" s="69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69"/>
      <c r="F614" s="69"/>
      <c r="G614" s="69"/>
      <c r="H614" s="70"/>
      <c r="I614" s="69"/>
      <c r="J614" s="69"/>
      <c r="K614" s="69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69"/>
      <c r="F615" s="69"/>
      <c r="G615" s="69"/>
      <c r="H615" s="70"/>
      <c r="I615" s="69"/>
      <c r="J615" s="69"/>
      <c r="K615" s="69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69"/>
      <c r="F616" s="69"/>
      <c r="G616" s="69"/>
      <c r="H616" s="70"/>
      <c r="I616" s="69"/>
      <c r="J616" s="69"/>
      <c r="K616" s="69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69"/>
      <c r="F617" s="69"/>
      <c r="G617" s="69"/>
      <c r="H617" s="70"/>
      <c r="I617" s="69"/>
      <c r="J617" s="69"/>
      <c r="K617" s="69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69"/>
      <c r="F618" s="69"/>
      <c r="G618" s="69"/>
      <c r="H618" s="70"/>
      <c r="I618" s="69"/>
      <c r="J618" s="69"/>
      <c r="K618" s="69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69"/>
      <c r="F619" s="69"/>
      <c r="G619" s="69"/>
      <c r="H619" s="70"/>
      <c r="I619" s="69"/>
      <c r="J619" s="69"/>
      <c r="K619" s="69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69"/>
      <c r="F620" s="69"/>
      <c r="G620" s="69"/>
      <c r="H620" s="70"/>
      <c r="I620" s="69"/>
      <c r="J620" s="69"/>
      <c r="K620" s="69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69"/>
      <c r="F621" s="69"/>
      <c r="G621" s="69"/>
      <c r="H621" s="70"/>
      <c r="I621" s="69"/>
      <c r="J621" s="69"/>
      <c r="K621" s="69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69"/>
      <c r="F622" s="69"/>
      <c r="G622" s="69"/>
      <c r="H622" s="70"/>
      <c r="I622" s="69"/>
      <c r="J622" s="69"/>
      <c r="K622" s="69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69"/>
      <c r="F623" s="69"/>
      <c r="G623" s="69"/>
      <c r="H623" s="70"/>
      <c r="I623" s="69"/>
      <c r="J623" s="69"/>
      <c r="K623" s="69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69"/>
      <c r="F624" s="69"/>
      <c r="G624" s="69"/>
      <c r="H624" s="70"/>
      <c r="I624" s="69"/>
      <c r="J624" s="69"/>
      <c r="K624" s="69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69"/>
      <c r="F625" s="69"/>
      <c r="G625" s="69"/>
      <c r="H625" s="70"/>
      <c r="I625" s="69"/>
      <c r="J625" s="69"/>
      <c r="K625" s="69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69"/>
      <c r="F626" s="69"/>
      <c r="G626" s="69"/>
      <c r="H626" s="70"/>
      <c r="I626" s="69"/>
      <c r="J626" s="69"/>
      <c r="K626" s="69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69"/>
      <c r="F627" s="69"/>
      <c r="G627" s="69"/>
      <c r="H627" s="70"/>
      <c r="I627" s="69"/>
      <c r="J627" s="69"/>
      <c r="K627" s="69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69"/>
      <c r="F628" s="69"/>
      <c r="G628" s="69"/>
      <c r="H628" s="70"/>
      <c r="I628" s="69"/>
      <c r="J628" s="69"/>
      <c r="K628" s="69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69"/>
      <c r="F629" s="69"/>
      <c r="G629" s="69"/>
      <c r="H629" s="70"/>
      <c r="I629" s="69"/>
      <c r="J629" s="69"/>
      <c r="K629" s="69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69"/>
      <c r="F630" s="69"/>
      <c r="G630" s="69"/>
      <c r="H630" s="70"/>
      <c r="I630" s="69"/>
      <c r="J630" s="69"/>
      <c r="K630" s="69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69"/>
      <c r="F631" s="69"/>
      <c r="G631" s="69"/>
      <c r="H631" s="70"/>
      <c r="I631" s="69"/>
      <c r="J631" s="69"/>
      <c r="K631" s="69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69"/>
      <c r="F632" s="69"/>
      <c r="G632" s="69"/>
      <c r="H632" s="70"/>
      <c r="I632" s="69"/>
      <c r="J632" s="69"/>
      <c r="K632" s="69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69"/>
      <c r="F633" s="69"/>
      <c r="G633" s="69"/>
      <c r="H633" s="70"/>
      <c r="I633" s="69"/>
      <c r="J633" s="69"/>
      <c r="K633" s="69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69"/>
      <c r="F634" s="69"/>
      <c r="G634" s="69"/>
      <c r="H634" s="70"/>
      <c r="I634" s="69"/>
      <c r="J634" s="69"/>
      <c r="K634" s="69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69"/>
      <c r="F635" s="69"/>
      <c r="G635" s="69"/>
      <c r="H635" s="70"/>
      <c r="I635" s="69"/>
      <c r="J635" s="69"/>
      <c r="K635" s="69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69"/>
      <c r="F636" s="69"/>
      <c r="G636" s="69"/>
      <c r="H636" s="70"/>
      <c r="I636" s="69"/>
      <c r="J636" s="69"/>
      <c r="K636" s="69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69"/>
      <c r="F637" s="69"/>
      <c r="G637" s="69"/>
      <c r="H637" s="70"/>
      <c r="I637" s="69"/>
      <c r="J637" s="69"/>
      <c r="K637" s="69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69"/>
      <c r="F638" s="69"/>
      <c r="G638" s="69"/>
      <c r="H638" s="70"/>
      <c r="I638" s="69"/>
      <c r="J638" s="69"/>
      <c r="K638" s="69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69"/>
      <c r="F639" s="69"/>
      <c r="G639" s="69"/>
      <c r="H639" s="70"/>
      <c r="I639" s="69"/>
      <c r="J639" s="69"/>
      <c r="K639" s="69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69"/>
      <c r="F640" s="69"/>
      <c r="G640" s="69"/>
      <c r="H640" s="70"/>
      <c r="I640" s="69"/>
      <c r="J640" s="69"/>
      <c r="K640" s="69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69"/>
      <c r="F641" s="69"/>
      <c r="G641" s="69"/>
      <c r="H641" s="70"/>
      <c r="I641" s="69"/>
      <c r="J641" s="69"/>
      <c r="K641" s="69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69"/>
      <c r="F642" s="69"/>
      <c r="G642" s="69"/>
      <c r="H642" s="70"/>
      <c r="I642" s="69"/>
      <c r="J642" s="69"/>
      <c r="K642" s="69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69"/>
      <c r="F643" s="69"/>
      <c r="G643" s="69"/>
      <c r="H643" s="70"/>
      <c r="I643" s="69"/>
      <c r="J643" s="69"/>
      <c r="K643" s="69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69"/>
      <c r="F644" s="69"/>
      <c r="G644" s="69"/>
      <c r="H644" s="70"/>
      <c r="I644" s="69"/>
      <c r="J644" s="69"/>
      <c r="K644" s="69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69"/>
      <c r="F645" s="69"/>
      <c r="G645" s="69"/>
      <c r="H645" s="70"/>
      <c r="I645" s="69"/>
      <c r="J645" s="69"/>
      <c r="K645" s="69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69"/>
      <c r="F646" s="69"/>
      <c r="G646" s="69"/>
      <c r="H646" s="70"/>
      <c r="I646" s="69"/>
      <c r="J646" s="69"/>
      <c r="K646" s="69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69"/>
      <c r="F647" s="69"/>
      <c r="G647" s="69"/>
      <c r="H647" s="70"/>
      <c r="I647" s="69"/>
      <c r="J647" s="69"/>
      <c r="K647" s="69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69"/>
      <c r="F648" s="69"/>
      <c r="G648" s="69"/>
      <c r="H648" s="70"/>
      <c r="I648" s="69"/>
      <c r="J648" s="69"/>
      <c r="K648" s="69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69"/>
      <c r="F649" s="69"/>
      <c r="G649" s="69"/>
      <c r="H649" s="70"/>
      <c r="I649" s="69"/>
      <c r="J649" s="69"/>
      <c r="K649" s="69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69"/>
      <c r="F650" s="69"/>
      <c r="G650" s="69"/>
      <c r="H650" s="70"/>
      <c r="I650" s="69"/>
      <c r="J650" s="69"/>
      <c r="K650" s="69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69"/>
      <c r="F651" s="69"/>
      <c r="G651" s="69"/>
      <c r="H651" s="70"/>
      <c r="I651" s="69"/>
      <c r="J651" s="69"/>
      <c r="K651" s="69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69"/>
      <c r="F652" s="69"/>
      <c r="G652" s="69"/>
      <c r="H652" s="70"/>
      <c r="I652" s="69"/>
      <c r="J652" s="69"/>
      <c r="K652" s="69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69"/>
      <c r="F653" s="69"/>
      <c r="G653" s="69"/>
      <c r="H653" s="70"/>
      <c r="I653" s="69"/>
      <c r="J653" s="69"/>
      <c r="K653" s="69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69"/>
      <c r="F654" s="69"/>
      <c r="G654" s="69"/>
      <c r="H654" s="70"/>
      <c r="I654" s="69"/>
      <c r="J654" s="69"/>
      <c r="K654" s="69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69"/>
      <c r="F655" s="69"/>
      <c r="G655" s="69"/>
      <c r="H655" s="70"/>
      <c r="I655" s="69"/>
      <c r="J655" s="69"/>
      <c r="K655" s="69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69"/>
      <c r="F656" s="69"/>
      <c r="G656" s="69"/>
      <c r="H656" s="70"/>
      <c r="I656" s="69"/>
      <c r="J656" s="69"/>
      <c r="K656" s="69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69"/>
      <c r="F657" s="69"/>
      <c r="G657" s="69"/>
      <c r="H657" s="70"/>
      <c r="I657" s="69"/>
      <c r="J657" s="69"/>
      <c r="K657" s="69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69"/>
      <c r="F658" s="69"/>
      <c r="G658" s="69"/>
      <c r="H658" s="70"/>
      <c r="I658" s="69"/>
      <c r="J658" s="69"/>
      <c r="K658" s="69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69"/>
      <c r="F659" s="69"/>
      <c r="G659" s="69"/>
      <c r="H659" s="70"/>
      <c r="I659" s="69"/>
      <c r="J659" s="69"/>
      <c r="K659" s="69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69"/>
      <c r="F660" s="69"/>
      <c r="G660" s="69"/>
      <c r="H660" s="70"/>
      <c r="I660" s="69"/>
      <c r="J660" s="69"/>
      <c r="K660" s="69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69"/>
      <c r="F661" s="69"/>
      <c r="G661" s="69"/>
      <c r="H661" s="70"/>
      <c r="I661" s="69"/>
      <c r="J661" s="69"/>
      <c r="K661" s="69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69"/>
      <c r="F662" s="69"/>
      <c r="G662" s="69"/>
      <c r="H662" s="70"/>
      <c r="I662" s="69"/>
      <c r="J662" s="69"/>
      <c r="K662" s="69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69"/>
      <c r="F663" s="69"/>
      <c r="G663" s="69"/>
      <c r="H663" s="70"/>
      <c r="I663" s="69"/>
      <c r="J663" s="69"/>
      <c r="K663" s="69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69"/>
      <c r="F664" s="69"/>
      <c r="G664" s="69"/>
      <c r="H664" s="70"/>
      <c r="I664" s="69"/>
      <c r="J664" s="69"/>
      <c r="K664" s="69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69"/>
      <c r="F665" s="69"/>
      <c r="G665" s="69"/>
      <c r="H665" s="70"/>
      <c r="I665" s="69"/>
      <c r="J665" s="69"/>
      <c r="K665" s="69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69"/>
      <c r="F666" s="69"/>
      <c r="G666" s="69"/>
      <c r="H666" s="70"/>
      <c r="I666" s="69"/>
      <c r="J666" s="69"/>
      <c r="K666" s="69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69"/>
      <c r="F667" s="69"/>
      <c r="G667" s="69"/>
      <c r="H667" s="70"/>
      <c r="I667" s="69"/>
      <c r="J667" s="69"/>
      <c r="K667" s="69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69"/>
      <c r="F668" s="69"/>
      <c r="G668" s="69"/>
      <c r="H668" s="70"/>
      <c r="I668" s="69"/>
      <c r="J668" s="69"/>
      <c r="K668" s="69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69"/>
      <c r="F669" s="69"/>
      <c r="G669" s="69"/>
      <c r="H669" s="70"/>
      <c r="I669" s="69"/>
      <c r="J669" s="69"/>
      <c r="K669" s="69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69"/>
      <c r="F670" s="69"/>
      <c r="G670" s="69"/>
      <c r="H670" s="70"/>
      <c r="I670" s="69"/>
      <c r="J670" s="69"/>
      <c r="K670" s="69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69"/>
      <c r="F671" s="69"/>
      <c r="G671" s="69"/>
      <c r="H671" s="70"/>
      <c r="I671" s="69"/>
      <c r="J671" s="69"/>
      <c r="K671" s="69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69"/>
      <c r="F672" s="69"/>
      <c r="G672" s="69"/>
      <c r="H672" s="70"/>
      <c r="I672" s="69"/>
      <c r="J672" s="69"/>
      <c r="K672" s="69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69"/>
      <c r="F673" s="69"/>
      <c r="G673" s="69"/>
      <c r="H673" s="70"/>
      <c r="I673" s="69"/>
      <c r="J673" s="69"/>
      <c r="K673" s="69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69"/>
      <c r="F674" s="69"/>
      <c r="G674" s="69"/>
      <c r="H674" s="70"/>
      <c r="I674" s="69"/>
      <c r="J674" s="69"/>
      <c r="K674" s="69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69"/>
      <c r="F675" s="69"/>
      <c r="G675" s="69"/>
      <c r="H675" s="70"/>
      <c r="I675" s="69"/>
      <c r="J675" s="69"/>
      <c r="K675" s="69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69"/>
      <c r="F676" s="69"/>
      <c r="G676" s="69"/>
      <c r="H676" s="70"/>
      <c r="I676" s="69"/>
      <c r="J676" s="69"/>
      <c r="K676" s="69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69"/>
      <c r="F677" s="69"/>
      <c r="G677" s="69"/>
      <c r="H677" s="70"/>
      <c r="I677" s="69"/>
      <c r="J677" s="69"/>
      <c r="K677" s="69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69"/>
      <c r="F678" s="69"/>
      <c r="G678" s="69"/>
      <c r="H678" s="70"/>
      <c r="I678" s="69"/>
      <c r="J678" s="69"/>
      <c r="K678" s="69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69"/>
      <c r="F679" s="69"/>
      <c r="G679" s="69"/>
      <c r="H679" s="70"/>
      <c r="I679" s="69"/>
      <c r="J679" s="69"/>
      <c r="K679" s="69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69"/>
      <c r="F680" s="69"/>
      <c r="G680" s="69"/>
      <c r="H680" s="70"/>
      <c r="I680" s="69"/>
      <c r="J680" s="69"/>
      <c r="K680" s="69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69"/>
      <c r="F681" s="69"/>
      <c r="G681" s="69"/>
      <c r="H681" s="70"/>
      <c r="I681" s="69"/>
      <c r="J681" s="69"/>
      <c r="K681" s="69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69"/>
      <c r="F682" s="69"/>
      <c r="G682" s="69"/>
      <c r="H682" s="70"/>
      <c r="I682" s="69"/>
      <c r="J682" s="69"/>
      <c r="K682" s="69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69"/>
      <c r="F683" s="69"/>
      <c r="G683" s="69"/>
      <c r="H683" s="70"/>
      <c r="I683" s="69"/>
      <c r="J683" s="69"/>
      <c r="K683" s="69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69"/>
      <c r="F684" s="69"/>
      <c r="G684" s="69"/>
      <c r="H684" s="70"/>
      <c r="I684" s="69"/>
      <c r="J684" s="69"/>
      <c r="K684" s="69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69"/>
      <c r="F685" s="69"/>
      <c r="G685" s="69"/>
      <c r="H685" s="70"/>
      <c r="I685" s="69"/>
      <c r="J685" s="69"/>
      <c r="K685" s="69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69"/>
      <c r="F686" s="69"/>
      <c r="G686" s="69"/>
      <c r="H686" s="70"/>
      <c r="I686" s="69"/>
      <c r="J686" s="69"/>
      <c r="K686" s="69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69"/>
      <c r="F687" s="69"/>
      <c r="G687" s="69"/>
      <c r="H687" s="70"/>
      <c r="I687" s="69"/>
      <c r="J687" s="69"/>
      <c r="K687" s="69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69"/>
      <c r="F688" s="69"/>
      <c r="G688" s="69"/>
      <c r="H688" s="70"/>
      <c r="I688" s="69"/>
      <c r="J688" s="69"/>
      <c r="K688" s="69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69"/>
      <c r="F689" s="69"/>
      <c r="G689" s="69"/>
      <c r="H689" s="70"/>
      <c r="I689" s="69"/>
      <c r="J689" s="69"/>
      <c r="K689" s="69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69"/>
      <c r="F690" s="69"/>
      <c r="G690" s="69"/>
      <c r="H690" s="70"/>
      <c r="I690" s="69"/>
      <c r="J690" s="69"/>
      <c r="K690" s="69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69"/>
      <c r="F691" s="69"/>
      <c r="G691" s="69"/>
      <c r="H691" s="70"/>
      <c r="I691" s="69"/>
      <c r="J691" s="69"/>
      <c r="K691" s="69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69"/>
      <c r="F692" s="69"/>
      <c r="G692" s="69"/>
      <c r="H692" s="70"/>
      <c r="I692" s="69"/>
      <c r="J692" s="69"/>
      <c r="K692" s="69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69"/>
      <c r="F693" s="69"/>
      <c r="G693" s="69"/>
      <c r="H693" s="70"/>
      <c r="I693" s="69"/>
      <c r="J693" s="69"/>
      <c r="K693" s="69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69"/>
      <c r="F694" s="69"/>
      <c r="G694" s="69"/>
      <c r="H694" s="70"/>
      <c r="I694" s="69"/>
      <c r="J694" s="69"/>
      <c r="K694" s="69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69"/>
      <c r="F695" s="69"/>
      <c r="G695" s="69"/>
      <c r="H695" s="70"/>
      <c r="I695" s="69"/>
      <c r="J695" s="69"/>
      <c r="K695" s="69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69"/>
      <c r="F696" s="69"/>
      <c r="G696" s="69"/>
      <c r="H696" s="70"/>
      <c r="I696" s="69"/>
      <c r="J696" s="69"/>
      <c r="K696" s="69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69"/>
      <c r="F697" s="69"/>
      <c r="G697" s="69"/>
      <c r="H697" s="70"/>
      <c r="I697" s="69"/>
      <c r="J697" s="69"/>
      <c r="K697" s="69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69"/>
      <c r="F698" s="69"/>
      <c r="G698" s="69"/>
      <c r="H698" s="70"/>
      <c r="I698" s="69"/>
      <c r="J698" s="69"/>
      <c r="K698" s="69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69"/>
      <c r="F699" s="69"/>
      <c r="G699" s="69"/>
      <c r="H699" s="70"/>
      <c r="I699" s="69"/>
      <c r="J699" s="69"/>
      <c r="K699" s="69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69"/>
      <c r="F700" s="69"/>
      <c r="G700" s="69"/>
      <c r="H700" s="70"/>
      <c r="I700" s="69"/>
      <c r="J700" s="69"/>
      <c r="K700" s="69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69"/>
      <c r="F701" s="69"/>
      <c r="G701" s="69"/>
      <c r="H701" s="70"/>
      <c r="I701" s="69"/>
      <c r="J701" s="69"/>
      <c r="K701" s="69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69"/>
      <c r="F702" s="69"/>
      <c r="G702" s="69"/>
      <c r="H702" s="70"/>
      <c r="I702" s="69"/>
      <c r="J702" s="69"/>
      <c r="K702" s="69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69"/>
      <c r="F703" s="69"/>
      <c r="G703" s="69"/>
      <c r="H703" s="70"/>
      <c r="I703" s="69"/>
      <c r="J703" s="69"/>
      <c r="K703" s="69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69"/>
      <c r="F704" s="69"/>
      <c r="G704" s="69"/>
      <c r="H704" s="70"/>
      <c r="I704" s="69"/>
      <c r="J704" s="69"/>
      <c r="K704" s="69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69"/>
      <c r="F705" s="69"/>
      <c r="G705" s="69"/>
      <c r="H705" s="70"/>
      <c r="I705" s="69"/>
      <c r="J705" s="69"/>
      <c r="K705" s="69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69"/>
      <c r="F706" s="69"/>
      <c r="G706" s="69"/>
      <c r="H706" s="70"/>
      <c r="I706" s="69"/>
      <c r="J706" s="69"/>
      <c r="K706" s="69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69"/>
      <c r="F707" s="69"/>
      <c r="G707" s="69"/>
      <c r="H707" s="70"/>
      <c r="I707" s="69"/>
      <c r="J707" s="69"/>
      <c r="K707" s="69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69"/>
      <c r="F708" s="69"/>
      <c r="G708" s="69"/>
      <c r="H708" s="70"/>
      <c r="I708" s="69"/>
      <c r="J708" s="69"/>
      <c r="K708" s="69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69"/>
      <c r="F709" s="69"/>
      <c r="G709" s="69"/>
      <c r="H709" s="70"/>
      <c r="I709" s="69"/>
      <c r="J709" s="69"/>
      <c r="K709" s="69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69"/>
      <c r="F710" s="69"/>
      <c r="G710" s="69"/>
      <c r="H710" s="70"/>
      <c r="I710" s="69"/>
      <c r="J710" s="69"/>
      <c r="K710" s="69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69"/>
      <c r="F711" s="69"/>
      <c r="G711" s="69"/>
      <c r="H711" s="70"/>
      <c r="I711" s="69"/>
      <c r="J711" s="69"/>
      <c r="K711" s="69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69"/>
      <c r="F712" s="69"/>
      <c r="G712" s="69"/>
      <c r="H712" s="70"/>
      <c r="I712" s="69"/>
      <c r="J712" s="69"/>
      <c r="K712" s="69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69"/>
      <c r="F713" s="69"/>
      <c r="G713" s="69"/>
      <c r="H713" s="70"/>
      <c r="I713" s="69"/>
      <c r="J713" s="69"/>
      <c r="K713" s="69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69"/>
      <c r="F714" s="69"/>
      <c r="G714" s="69"/>
      <c r="H714" s="70"/>
      <c r="I714" s="69"/>
      <c r="J714" s="69"/>
      <c r="K714" s="69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69"/>
      <c r="F715" s="69"/>
      <c r="G715" s="69"/>
      <c r="H715" s="70"/>
      <c r="I715" s="69"/>
      <c r="J715" s="69"/>
      <c r="K715" s="69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69"/>
      <c r="F716" s="69"/>
      <c r="G716" s="69"/>
      <c r="H716" s="70"/>
      <c r="I716" s="69"/>
      <c r="J716" s="69"/>
      <c r="K716" s="69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69"/>
      <c r="F717" s="69"/>
      <c r="G717" s="69"/>
      <c r="H717" s="70"/>
      <c r="I717" s="69"/>
      <c r="J717" s="69"/>
      <c r="K717" s="69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69"/>
      <c r="F718" s="69"/>
      <c r="G718" s="69"/>
      <c r="H718" s="70"/>
      <c r="I718" s="69"/>
      <c r="J718" s="69"/>
      <c r="K718" s="69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69"/>
      <c r="F719" s="69"/>
      <c r="G719" s="69"/>
      <c r="H719" s="70"/>
      <c r="I719" s="69"/>
      <c r="J719" s="69"/>
      <c r="K719" s="69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69"/>
      <c r="F720" s="69"/>
      <c r="G720" s="69"/>
      <c r="H720" s="70"/>
      <c r="I720" s="69"/>
      <c r="J720" s="69"/>
      <c r="K720" s="69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69"/>
      <c r="F721" s="69"/>
      <c r="G721" s="69"/>
      <c r="H721" s="70"/>
      <c r="I721" s="69"/>
      <c r="J721" s="69"/>
      <c r="K721" s="69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69"/>
      <c r="F722" s="69"/>
      <c r="G722" s="69"/>
      <c r="H722" s="70"/>
      <c r="I722" s="69"/>
      <c r="J722" s="69"/>
      <c r="K722" s="69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69"/>
      <c r="F723" s="69"/>
      <c r="G723" s="69"/>
      <c r="H723" s="70"/>
      <c r="I723" s="69"/>
      <c r="J723" s="69"/>
      <c r="K723" s="69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69"/>
      <c r="F724" s="69"/>
      <c r="G724" s="69"/>
      <c r="H724" s="70"/>
      <c r="I724" s="69"/>
      <c r="J724" s="69"/>
      <c r="K724" s="69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69"/>
      <c r="F725" s="69"/>
      <c r="G725" s="69"/>
      <c r="H725" s="70"/>
      <c r="I725" s="69"/>
      <c r="J725" s="69"/>
      <c r="K725" s="69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69"/>
      <c r="F726" s="69"/>
      <c r="G726" s="69"/>
      <c r="H726" s="70"/>
      <c r="I726" s="69"/>
      <c r="J726" s="69"/>
      <c r="K726" s="69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69"/>
      <c r="F727" s="69"/>
      <c r="G727" s="69"/>
      <c r="H727" s="70"/>
      <c r="I727" s="69"/>
      <c r="J727" s="69"/>
      <c r="K727" s="69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69"/>
      <c r="F728" s="69"/>
      <c r="G728" s="69"/>
      <c r="H728" s="70"/>
      <c r="I728" s="69"/>
      <c r="J728" s="69"/>
      <c r="K728" s="69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69"/>
      <c r="F729" s="69"/>
      <c r="G729" s="69"/>
      <c r="H729" s="70"/>
      <c r="I729" s="69"/>
      <c r="J729" s="69"/>
      <c r="K729" s="69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69"/>
      <c r="F730" s="69"/>
      <c r="G730" s="69"/>
      <c r="H730" s="70"/>
      <c r="I730" s="69"/>
      <c r="J730" s="69"/>
      <c r="K730" s="69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69"/>
      <c r="F731" s="69"/>
      <c r="G731" s="69"/>
      <c r="H731" s="70"/>
      <c r="I731" s="69"/>
      <c r="J731" s="69"/>
      <c r="K731" s="69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69"/>
      <c r="F732" s="69"/>
      <c r="G732" s="69"/>
      <c r="H732" s="70"/>
      <c r="I732" s="69"/>
      <c r="J732" s="69"/>
      <c r="K732" s="69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69"/>
      <c r="F733" s="69"/>
      <c r="G733" s="69"/>
      <c r="H733" s="70"/>
      <c r="I733" s="69"/>
      <c r="J733" s="69"/>
      <c r="K733" s="69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69"/>
      <c r="F734" s="69"/>
      <c r="G734" s="69"/>
      <c r="H734" s="70"/>
      <c r="I734" s="69"/>
      <c r="J734" s="69"/>
      <c r="K734" s="69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69"/>
      <c r="F735" s="69"/>
      <c r="G735" s="69"/>
      <c r="H735" s="70"/>
      <c r="I735" s="69"/>
      <c r="J735" s="69"/>
      <c r="K735" s="69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69"/>
      <c r="F736" s="69"/>
      <c r="G736" s="69"/>
      <c r="H736" s="70"/>
      <c r="I736" s="69"/>
      <c r="J736" s="69"/>
      <c r="K736" s="69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69"/>
      <c r="F737" s="69"/>
      <c r="G737" s="69"/>
      <c r="H737" s="70"/>
      <c r="I737" s="69"/>
      <c r="J737" s="69"/>
      <c r="K737" s="69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69"/>
      <c r="F738" s="69"/>
      <c r="G738" s="69"/>
      <c r="H738" s="70"/>
      <c r="I738" s="69"/>
      <c r="J738" s="69"/>
      <c r="K738" s="69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69"/>
      <c r="F739" s="69"/>
      <c r="G739" s="69"/>
      <c r="H739" s="70"/>
      <c r="I739" s="69"/>
      <c r="J739" s="69"/>
      <c r="K739" s="69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69"/>
      <c r="F740" s="69"/>
      <c r="G740" s="69"/>
      <c r="H740" s="70"/>
      <c r="I740" s="69"/>
      <c r="J740" s="69"/>
      <c r="K740" s="69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69"/>
      <c r="F741" s="69"/>
      <c r="G741" s="69"/>
      <c r="H741" s="70"/>
      <c r="I741" s="69"/>
      <c r="J741" s="69"/>
      <c r="K741" s="69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69"/>
      <c r="F742" s="69"/>
      <c r="G742" s="69"/>
      <c r="H742" s="70"/>
      <c r="I742" s="69"/>
      <c r="J742" s="69"/>
      <c r="K742" s="69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69"/>
      <c r="F743" s="69"/>
      <c r="G743" s="69"/>
      <c r="H743" s="70"/>
      <c r="I743" s="69"/>
      <c r="J743" s="69"/>
      <c r="K743" s="69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69"/>
      <c r="F744" s="69"/>
      <c r="G744" s="69"/>
      <c r="H744" s="70"/>
      <c r="I744" s="69"/>
      <c r="J744" s="69"/>
      <c r="K744" s="69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69"/>
      <c r="F745" s="69"/>
      <c r="G745" s="69"/>
      <c r="H745" s="70"/>
      <c r="I745" s="69"/>
      <c r="J745" s="69"/>
      <c r="K745" s="69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69"/>
      <c r="F746" s="69"/>
      <c r="G746" s="69"/>
      <c r="H746" s="70"/>
      <c r="I746" s="69"/>
      <c r="J746" s="69"/>
      <c r="K746" s="69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69"/>
      <c r="F747" s="69"/>
      <c r="G747" s="69"/>
      <c r="H747" s="70"/>
      <c r="I747" s="69"/>
      <c r="J747" s="69"/>
      <c r="K747" s="69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69"/>
      <c r="F748" s="69"/>
      <c r="G748" s="69"/>
      <c r="H748" s="70"/>
      <c r="I748" s="69"/>
      <c r="J748" s="69"/>
      <c r="K748" s="69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69"/>
      <c r="F749" s="69"/>
      <c r="G749" s="69"/>
      <c r="H749" s="70"/>
      <c r="I749" s="69"/>
      <c r="J749" s="69"/>
      <c r="K749" s="69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69"/>
      <c r="F750" s="69"/>
      <c r="G750" s="69"/>
      <c r="H750" s="70"/>
      <c r="I750" s="69"/>
      <c r="J750" s="69"/>
      <c r="K750" s="69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69"/>
      <c r="F751" s="69"/>
      <c r="G751" s="69"/>
      <c r="H751" s="70"/>
      <c r="I751" s="69"/>
      <c r="J751" s="69"/>
      <c r="K751" s="69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69"/>
      <c r="F752" s="69"/>
      <c r="G752" s="69"/>
      <c r="H752" s="70"/>
      <c r="I752" s="69"/>
      <c r="J752" s="69"/>
      <c r="K752" s="69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69"/>
      <c r="F753" s="69"/>
      <c r="G753" s="69"/>
      <c r="H753" s="70"/>
      <c r="I753" s="69"/>
      <c r="J753" s="69"/>
      <c r="K753" s="69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69"/>
      <c r="F754" s="69"/>
      <c r="G754" s="69"/>
      <c r="H754" s="70"/>
      <c r="I754" s="69"/>
      <c r="J754" s="69"/>
      <c r="K754" s="69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69"/>
      <c r="F755" s="69"/>
      <c r="G755" s="69"/>
      <c r="H755" s="70"/>
      <c r="I755" s="69"/>
      <c r="J755" s="69"/>
      <c r="K755" s="69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69"/>
      <c r="F756" s="69"/>
      <c r="G756" s="69"/>
      <c r="H756" s="70"/>
      <c r="I756" s="69"/>
      <c r="J756" s="69"/>
      <c r="K756" s="69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69"/>
      <c r="F757" s="69"/>
      <c r="G757" s="69"/>
      <c r="H757" s="70"/>
      <c r="I757" s="69"/>
      <c r="J757" s="69"/>
      <c r="K757" s="69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69"/>
      <c r="F758" s="69"/>
      <c r="G758" s="69"/>
      <c r="H758" s="70"/>
      <c r="I758" s="69"/>
      <c r="J758" s="69"/>
      <c r="K758" s="69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69"/>
      <c r="F759" s="69"/>
      <c r="G759" s="69"/>
      <c r="H759" s="70"/>
      <c r="I759" s="69"/>
      <c r="J759" s="69"/>
      <c r="K759" s="69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69"/>
      <c r="F760" s="69"/>
      <c r="G760" s="69"/>
      <c r="H760" s="70"/>
      <c r="I760" s="69"/>
      <c r="J760" s="69"/>
      <c r="K760" s="69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69"/>
      <c r="F761" s="69"/>
      <c r="G761" s="69"/>
      <c r="H761" s="70"/>
      <c r="I761" s="69"/>
      <c r="J761" s="69"/>
      <c r="K761" s="69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69"/>
      <c r="F762" s="69"/>
      <c r="G762" s="69"/>
      <c r="H762" s="70"/>
      <c r="I762" s="69"/>
      <c r="J762" s="69"/>
      <c r="K762" s="69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69"/>
      <c r="F763" s="69"/>
      <c r="G763" s="69"/>
      <c r="H763" s="70"/>
      <c r="I763" s="69"/>
      <c r="J763" s="69"/>
      <c r="K763" s="69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69"/>
      <c r="F764" s="69"/>
      <c r="G764" s="69"/>
      <c r="H764" s="70"/>
      <c r="I764" s="69"/>
      <c r="J764" s="69"/>
      <c r="K764" s="69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69"/>
      <c r="F765" s="69"/>
      <c r="G765" s="69"/>
      <c r="H765" s="70"/>
      <c r="I765" s="69"/>
      <c r="J765" s="69"/>
      <c r="K765" s="69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69"/>
      <c r="F766" s="69"/>
      <c r="G766" s="69"/>
      <c r="H766" s="70"/>
      <c r="I766" s="69"/>
      <c r="J766" s="69"/>
      <c r="K766" s="69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69"/>
      <c r="F767" s="69"/>
      <c r="G767" s="69"/>
      <c r="H767" s="70"/>
      <c r="I767" s="69"/>
      <c r="J767" s="69"/>
      <c r="K767" s="69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69"/>
      <c r="F768" s="69"/>
      <c r="G768" s="69"/>
      <c r="H768" s="70"/>
      <c r="I768" s="69"/>
      <c r="J768" s="69"/>
      <c r="K768" s="69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69"/>
      <c r="F769" s="69"/>
      <c r="G769" s="69"/>
      <c r="H769" s="70"/>
      <c r="I769" s="69"/>
      <c r="J769" s="69"/>
      <c r="K769" s="69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69"/>
      <c r="F770" s="69"/>
      <c r="G770" s="69"/>
      <c r="H770" s="70"/>
      <c r="I770" s="69"/>
      <c r="J770" s="69"/>
      <c r="K770" s="69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69"/>
      <c r="F771" s="69"/>
      <c r="G771" s="69"/>
      <c r="H771" s="70"/>
      <c r="I771" s="69"/>
      <c r="J771" s="69"/>
      <c r="K771" s="69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69"/>
      <c r="F772" s="69"/>
      <c r="G772" s="69"/>
      <c r="H772" s="70"/>
      <c r="I772" s="69"/>
      <c r="J772" s="69"/>
      <c r="K772" s="69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69"/>
      <c r="F773" s="69"/>
      <c r="G773" s="69"/>
      <c r="H773" s="70"/>
      <c r="I773" s="69"/>
      <c r="J773" s="69"/>
      <c r="K773" s="69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69"/>
      <c r="F774" s="69"/>
      <c r="G774" s="69"/>
      <c r="H774" s="70"/>
      <c r="I774" s="69"/>
      <c r="J774" s="69"/>
      <c r="K774" s="69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69"/>
      <c r="F775" s="69"/>
      <c r="G775" s="69"/>
      <c r="H775" s="70"/>
      <c r="I775" s="69"/>
      <c r="J775" s="69"/>
      <c r="K775" s="69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69"/>
      <c r="F776" s="69"/>
      <c r="G776" s="69"/>
      <c r="H776" s="70"/>
      <c r="I776" s="69"/>
      <c r="J776" s="69"/>
      <c r="K776" s="69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69"/>
      <c r="F777" s="69"/>
      <c r="G777" s="69"/>
      <c r="H777" s="70"/>
      <c r="I777" s="69"/>
      <c r="J777" s="69"/>
      <c r="K777" s="69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69"/>
      <c r="F778" s="69"/>
      <c r="G778" s="69"/>
      <c r="H778" s="70"/>
      <c r="I778" s="69"/>
      <c r="J778" s="69"/>
      <c r="K778" s="69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69"/>
      <c r="F779" s="69"/>
      <c r="G779" s="69"/>
      <c r="H779" s="70"/>
      <c r="I779" s="69"/>
      <c r="J779" s="69"/>
      <c r="K779" s="69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69"/>
      <c r="F780" s="69"/>
      <c r="G780" s="69"/>
      <c r="H780" s="70"/>
      <c r="I780" s="69"/>
      <c r="J780" s="69"/>
      <c r="K780" s="69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69"/>
      <c r="F781" s="69"/>
      <c r="G781" s="69"/>
      <c r="H781" s="70"/>
      <c r="I781" s="69"/>
      <c r="J781" s="69"/>
      <c r="K781" s="69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69"/>
      <c r="F782" s="69"/>
      <c r="G782" s="69"/>
      <c r="H782" s="70"/>
      <c r="I782" s="69"/>
      <c r="J782" s="69"/>
      <c r="K782" s="69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69"/>
      <c r="F783" s="69"/>
      <c r="G783" s="69"/>
      <c r="H783" s="70"/>
      <c r="I783" s="69"/>
      <c r="J783" s="69"/>
      <c r="K783" s="69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69"/>
      <c r="F784" s="69"/>
      <c r="G784" s="69"/>
      <c r="H784" s="70"/>
      <c r="I784" s="69"/>
      <c r="J784" s="69"/>
      <c r="K784" s="69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69"/>
      <c r="F785" s="69"/>
      <c r="G785" s="69"/>
      <c r="H785" s="70"/>
      <c r="I785" s="69"/>
      <c r="J785" s="69"/>
      <c r="K785" s="69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69"/>
      <c r="F786" s="69"/>
      <c r="G786" s="69"/>
      <c r="H786" s="70"/>
      <c r="I786" s="69"/>
      <c r="J786" s="69"/>
      <c r="K786" s="69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69"/>
      <c r="F787" s="69"/>
      <c r="G787" s="69"/>
      <c r="H787" s="70"/>
      <c r="I787" s="69"/>
      <c r="J787" s="69"/>
      <c r="K787" s="69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69"/>
      <c r="F788" s="69"/>
      <c r="G788" s="69"/>
      <c r="H788" s="70"/>
      <c r="I788" s="69"/>
      <c r="J788" s="69"/>
      <c r="K788" s="69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69"/>
      <c r="F789" s="69"/>
      <c r="G789" s="69"/>
      <c r="H789" s="70"/>
      <c r="I789" s="69"/>
      <c r="J789" s="69"/>
      <c r="K789" s="69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69"/>
      <c r="F790" s="69"/>
      <c r="G790" s="69"/>
      <c r="H790" s="70"/>
      <c r="I790" s="69"/>
      <c r="J790" s="69"/>
      <c r="K790" s="69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69"/>
      <c r="F791" s="69"/>
      <c r="G791" s="69"/>
      <c r="H791" s="70"/>
      <c r="I791" s="69"/>
      <c r="J791" s="69"/>
      <c r="K791" s="69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69"/>
      <c r="F792" s="69"/>
      <c r="G792" s="69"/>
      <c r="H792" s="70"/>
      <c r="I792" s="69"/>
      <c r="J792" s="69"/>
      <c r="K792" s="69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69"/>
      <c r="F793" s="69"/>
      <c r="G793" s="69"/>
      <c r="H793" s="70"/>
      <c r="I793" s="69"/>
      <c r="J793" s="69"/>
      <c r="K793" s="69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69"/>
      <c r="F794" s="69"/>
      <c r="G794" s="69"/>
      <c r="H794" s="70"/>
      <c r="I794" s="69"/>
      <c r="J794" s="69"/>
      <c r="K794" s="69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69"/>
      <c r="F795" s="69"/>
      <c r="G795" s="69"/>
      <c r="H795" s="70"/>
      <c r="I795" s="69"/>
      <c r="J795" s="69"/>
      <c r="K795" s="69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69"/>
      <c r="F796" s="69"/>
      <c r="G796" s="69"/>
      <c r="H796" s="70"/>
      <c r="I796" s="69"/>
      <c r="J796" s="69"/>
      <c r="K796" s="69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69"/>
      <c r="F797" s="69"/>
      <c r="G797" s="69"/>
      <c r="H797" s="70"/>
      <c r="I797" s="69"/>
      <c r="J797" s="69"/>
      <c r="K797" s="69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69"/>
      <c r="F798" s="69"/>
      <c r="G798" s="69"/>
      <c r="H798" s="70"/>
      <c r="I798" s="69"/>
      <c r="J798" s="69"/>
      <c r="K798" s="69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69"/>
      <c r="F799" s="69"/>
      <c r="G799" s="69"/>
      <c r="H799" s="70"/>
      <c r="I799" s="69"/>
      <c r="J799" s="69"/>
      <c r="K799" s="69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69"/>
      <c r="F800" s="69"/>
      <c r="G800" s="69"/>
      <c r="H800" s="70"/>
      <c r="I800" s="69"/>
      <c r="J800" s="69"/>
      <c r="K800" s="69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69"/>
      <c r="F801" s="69"/>
      <c r="G801" s="69"/>
      <c r="H801" s="70"/>
      <c r="I801" s="69"/>
      <c r="J801" s="69"/>
      <c r="K801" s="69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69"/>
      <c r="F802" s="69"/>
      <c r="G802" s="69"/>
      <c r="H802" s="70"/>
      <c r="I802" s="69"/>
      <c r="J802" s="69"/>
      <c r="K802" s="69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69"/>
      <c r="F803" s="69"/>
      <c r="G803" s="69"/>
      <c r="H803" s="70"/>
      <c r="I803" s="69"/>
      <c r="J803" s="69"/>
      <c r="K803" s="69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69"/>
      <c r="F804" s="69"/>
      <c r="G804" s="69"/>
      <c r="H804" s="70"/>
      <c r="I804" s="69"/>
      <c r="J804" s="69"/>
      <c r="K804" s="69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69"/>
      <c r="F805" s="69"/>
      <c r="G805" s="69"/>
      <c r="H805" s="70"/>
      <c r="I805" s="69"/>
      <c r="J805" s="69"/>
      <c r="K805" s="69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69"/>
      <c r="F806" s="69"/>
      <c r="G806" s="69"/>
      <c r="H806" s="70"/>
      <c r="I806" s="69"/>
      <c r="J806" s="69"/>
      <c r="K806" s="69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69"/>
      <c r="F807" s="69"/>
      <c r="G807" s="69"/>
      <c r="H807" s="70"/>
      <c r="I807" s="69"/>
      <c r="J807" s="69"/>
      <c r="K807" s="69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69"/>
      <c r="F808" s="69"/>
      <c r="G808" s="69"/>
      <c r="H808" s="70"/>
      <c r="I808" s="69"/>
      <c r="J808" s="69"/>
      <c r="K808" s="69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69"/>
      <c r="F809" s="69"/>
      <c r="G809" s="69"/>
      <c r="H809" s="70"/>
      <c r="I809" s="69"/>
      <c r="J809" s="69"/>
      <c r="K809" s="69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69"/>
      <c r="F810" s="69"/>
      <c r="G810" s="69"/>
      <c r="H810" s="70"/>
      <c r="I810" s="69"/>
      <c r="J810" s="69"/>
      <c r="K810" s="69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69"/>
      <c r="F811" s="69"/>
      <c r="G811" s="69"/>
      <c r="H811" s="70"/>
      <c r="I811" s="69"/>
      <c r="J811" s="69"/>
      <c r="K811" s="69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69"/>
      <c r="F812" s="69"/>
      <c r="G812" s="69"/>
      <c r="H812" s="70"/>
      <c r="I812" s="69"/>
      <c r="J812" s="69"/>
      <c r="K812" s="69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69"/>
      <c r="F813" s="69"/>
      <c r="G813" s="69"/>
      <c r="H813" s="70"/>
      <c r="I813" s="69"/>
      <c r="J813" s="69"/>
      <c r="K813" s="69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69"/>
      <c r="F814" s="69"/>
      <c r="G814" s="69"/>
      <c r="H814" s="70"/>
      <c r="I814" s="69"/>
      <c r="J814" s="69"/>
      <c r="K814" s="69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69"/>
      <c r="F815" s="69"/>
      <c r="G815" s="69"/>
      <c r="H815" s="70"/>
      <c r="I815" s="69"/>
      <c r="J815" s="69"/>
      <c r="K815" s="69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69"/>
      <c r="F816" s="69"/>
      <c r="G816" s="69"/>
      <c r="H816" s="70"/>
      <c r="I816" s="69"/>
      <c r="J816" s="69"/>
      <c r="K816" s="69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69"/>
      <c r="F817" s="69"/>
      <c r="G817" s="69"/>
      <c r="H817" s="70"/>
      <c r="I817" s="69"/>
      <c r="J817" s="69"/>
      <c r="K817" s="69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69"/>
      <c r="F818" s="69"/>
      <c r="G818" s="69"/>
      <c r="H818" s="70"/>
      <c r="I818" s="69"/>
      <c r="J818" s="69"/>
      <c r="K818" s="69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69"/>
      <c r="F819" s="69"/>
      <c r="G819" s="69"/>
      <c r="H819" s="70"/>
      <c r="I819" s="69"/>
      <c r="J819" s="69"/>
      <c r="K819" s="69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69"/>
      <c r="F820" s="69"/>
      <c r="G820" s="69"/>
      <c r="H820" s="70"/>
      <c r="I820" s="69"/>
      <c r="J820" s="69"/>
      <c r="K820" s="69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69"/>
      <c r="F821" s="69"/>
      <c r="G821" s="69"/>
      <c r="H821" s="70"/>
      <c r="I821" s="69"/>
      <c r="J821" s="69"/>
      <c r="K821" s="69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69"/>
      <c r="F822" s="69"/>
      <c r="G822" s="69"/>
      <c r="H822" s="70"/>
      <c r="I822" s="69"/>
      <c r="J822" s="69"/>
      <c r="K822" s="69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69"/>
      <c r="F823" s="69"/>
      <c r="G823" s="69"/>
      <c r="H823" s="70"/>
      <c r="I823" s="69"/>
      <c r="J823" s="69"/>
      <c r="K823" s="69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69"/>
      <c r="F824" s="69"/>
      <c r="G824" s="69"/>
      <c r="H824" s="70"/>
      <c r="I824" s="69"/>
      <c r="J824" s="69"/>
      <c r="K824" s="69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69"/>
      <c r="F825" s="69"/>
      <c r="G825" s="69"/>
      <c r="H825" s="70"/>
      <c r="I825" s="69"/>
      <c r="J825" s="69"/>
      <c r="K825" s="69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69"/>
      <c r="F826" s="69"/>
      <c r="G826" s="69"/>
      <c r="H826" s="70"/>
      <c r="I826" s="69"/>
      <c r="J826" s="69"/>
      <c r="K826" s="69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69"/>
      <c r="F827" s="69"/>
      <c r="G827" s="69"/>
      <c r="H827" s="70"/>
      <c r="I827" s="69"/>
      <c r="J827" s="69"/>
      <c r="K827" s="69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69"/>
      <c r="F828" s="69"/>
      <c r="G828" s="69"/>
      <c r="H828" s="70"/>
      <c r="I828" s="69"/>
      <c r="J828" s="69"/>
      <c r="K828" s="69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69"/>
      <c r="F829" s="69"/>
      <c r="G829" s="69"/>
      <c r="H829" s="70"/>
      <c r="I829" s="69"/>
      <c r="J829" s="69"/>
      <c r="K829" s="69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69"/>
      <c r="F830" s="69"/>
      <c r="G830" s="69"/>
      <c r="H830" s="70"/>
      <c r="I830" s="69"/>
      <c r="J830" s="69"/>
      <c r="K830" s="69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69"/>
      <c r="F831" s="69"/>
      <c r="G831" s="69"/>
      <c r="H831" s="70"/>
      <c r="I831" s="69"/>
      <c r="J831" s="69"/>
      <c r="K831" s="69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69"/>
      <c r="F832" s="69"/>
      <c r="G832" s="69"/>
      <c r="H832" s="70"/>
      <c r="I832" s="69"/>
      <c r="J832" s="69"/>
      <c r="K832" s="69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69"/>
      <c r="F833" s="69"/>
      <c r="G833" s="69"/>
      <c r="H833" s="70"/>
      <c r="I833" s="69"/>
      <c r="J833" s="69"/>
      <c r="K833" s="69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69"/>
      <c r="F834" s="69"/>
      <c r="G834" s="69"/>
      <c r="H834" s="70"/>
      <c r="I834" s="69"/>
      <c r="J834" s="69"/>
      <c r="K834" s="69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69"/>
      <c r="F835" s="69"/>
      <c r="G835" s="69"/>
      <c r="H835" s="70"/>
      <c r="I835" s="69"/>
      <c r="J835" s="69"/>
      <c r="K835" s="69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69"/>
      <c r="F836" s="69"/>
      <c r="G836" s="69"/>
      <c r="H836" s="70"/>
      <c r="I836" s="69"/>
      <c r="J836" s="69"/>
      <c r="K836" s="69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69"/>
      <c r="F837" s="69"/>
      <c r="G837" s="69"/>
      <c r="H837" s="70"/>
      <c r="I837" s="69"/>
      <c r="J837" s="69"/>
      <c r="K837" s="69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69"/>
      <c r="F838" s="69"/>
      <c r="G838" s="69"/>
      <c r="H838" s="70"/>
      <c r="I838" s="69"/>
      <c r="J838" s="69"/>
      <c r="K838" s="69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69"/>
      <c r="F839" s="69"/>
      <c r="G839" s="69"/>
      <c r="H839" s="70"/>
      <c r="I839" s="69"/>
      <c r="J839" s="69"/>
      <c r="K839" s="69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69"/>
      <c r="F840" s="69"/>
      <c r="G840" s="69"/>
      <c r="H840" s="70"/>
      <c r="I840" s="69"/>
      <c r="J840" s="69"/>
      <c r="K840" s="69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69"/>
      <c r="F841" s="69"/>
      <c r="G841" s="69"/>
      <c r="H841" s="70"/>
      <c r="I841" s="69"/>
      <c r="J841" s="69"/>
      <c r="K841" s="69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69"/>
      <c r="F842" s="69"/>
      <c r="G842" s="69"/>
      <c r="H842" s="70"/>
      <c r="I842" s="69"/>
      <c r="J842" s="69"/>
      <c r="K842" s="69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69"/>
      <c r="F843" s="69"/>
      <c r="G843" s="69"/>
      <c r="H843" s="70"/>
      <c r="I843" s="69"/>
      <c r="J843" s="69"/>
      <c r="K843" s="69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69"/>
      <c r="F844" s="69"/>
      <c r="G844" s="69"/>
      <c r="H844" s="70"/>
      <c r="I844" s="69"/>
      <c r="J844" s="69"/>
      <c r="K844" s="69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69"/>
      <c r="F845" s="69"/>
      <c r="G845" s="69"/>
      <c r="H845" s="70"/>
      <c r="I845" s="69"/>
      <c r="J845" s="69"/>
      <c r="K845" s="69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69"/>
      <c r="F846" s="69"/>
      <c r="G846" s="69"/>
      <c r="H846" s="70"/>
      <c r="I846" s="69"/>
      <c r="J846" s="69"/>
      <c r="K846" s="69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69"/>
      <c r="F847" s="69"/>
      <c r="G847" s="69"/>
      <c r="H847" s="70"/>
      <c r="I847" s="69"/>
      <c r="J847" s="69"/>
      <c r="K847" s="69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69"/>
      <c r="F848" s="69"/>
      <c r="G848" s="69"/>
      <c r="H848" s="70"/>
      <c r="I848" s="69"/>
      <c r="J848" s="69"/>
      <c r="K848" s="69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69"/>
      <c r="F849" s="69"/>
      <c r="G849" s="69"/>
      <c r="H849" s="70"/>
      <c r="I849" s="69"/>
      <c r="J849" s="69"/>
      <c r="K849" s="69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69"/>
      <c r="F850" s="69"/>
      <c r="G850" s="69"/>
      <c r="H850" s="70"/>
      <c r="I850" s="69"/>
      <c r="J850" s="69"/>
      <c r="K850" s="69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69"/>
      <c r="F851" s="69"/>
      <c r="G851" s="69"/>
      <c r="H851" s="70"/>
      <c r="I851" s="69"/>
      <c r="J851" s="69"/>
      <c r="K851" s="69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69"/>
      <c r="F852" s="69"/>
      <c r="G852" s="69"/>
      <c r="H852" s="70"/>
      <c r="I852" s="69"/>
      <c r="J852" s="69"/>
      <c r="K852" s="69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69"/>
      <c r="F853" s="69"/>
      <c r="G853" s="69"/>
      <c r="H853" s="70"/>
      <c r="I853" s="69"/>
      <c r="J853" s="69"/>
      <c r="K853" s="69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69"/>
      <c r="F854" s="69"/>
      <c r="G854" s="69"/>
      <c r="H854" s="70"/>
      <c r="I854" s="69"/>
      <c r="J854" s="69"/>
      <c r="K854" s="69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69"/>
      <c r="F855" s="69"/>
      <c r="G855" s="69"/>
      <c r="H855" s="70"/>
      <c r="I855" s="69"/>
      <c r="J855" s="69"/>
      <c r="K855" s="69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69"/>
      <c r="F856" s="69"/>
      <c r="G856" s="69"/>
      <c r="H856" s="70"/>
      <c r="I856" s="69"/>
      <c r="J856" s="69"/>
      <c r="K856" s="69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69"/>
      <c r="F857" s="69"/>
      <c r="G857" s="69"/>
      <c r="H857" s="70"/>
      <c r="I857" s="69"/>
      <c r="J857" s="69"/>
      <c r="K857" s="69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69"/>
      <c r="F858" s="69"/>
      <c r="G858" s="69"/>
      <c r="H858" s="70"/>
      <c r="I858" s="69"/>
      <c r="J858" s="69"/>
      <c r="K858" s="69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69"/>
      <c r="F859" s="69"/>
      <c r="G859" s="69"/>
      <c r="H859" s="70"/>
      <c r="I859" s="69"/>
      <c r="J859" s="69"/>
      <c r="K859" s="69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69"/>
      <c r="F860" s="69"/>
      <c r="G860" s="69"/>
      <c r="H860" s="70"/>
      <c r="I860" s="69"/>
      <c r="J860" s="69"/>
      <c r="K860" s="69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69"/>
      <c r="F861" s="69"/>
      <c r="G861" s="69"/>
      <c r="H861" s="70"/>
      <c r="I861" s="69"/>
      <c r="J861" s="69"/>
      <c r="K861" s="69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69"/>
      <c r="F862" s="69"/>
      <c r="G862" s="69"/>
      <c r="H862" s="70"/>
      <c r="I862" s="69"/>
      <c r="J862" s="69"/>
      <c r="K862" s="69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69"/>
      <c r="F863" s="69"/>
      <c r="G863" s="69"/>
      <c r="H863" s="70"/>
      <c r="I863" s="69"/>
      <c r="J863" s="69"/>
      <c r="K863" s="69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69"/>
      <c r="F864" s="69"/>
      <c r="G864" s="69"/>
      <c r="H864" s="70"/>
      <c r="I864" s="69"/>
      <c r="J864" s="69"/>
      <c r="K864" s="69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69"/>
      <c r="F865" s="69"/>
      <c r="G865" s="69"/>
      <c r="H865" s="70"/>
      <c r="I865" s="69"/>
      <c r="J865" s="69"/>
      <c r="K865" s="69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69"/>
      <c r="F866" s="69"/>
      <c r="G866" s="69"/>
      <c r="H866" s="70"/>
      <c r="I866" s="69"/>
      <c r="J866" s="69"/>
      <c r="K866" s="69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69"/>
      <c r="F867" s="69"/>
      <c r="G867" s="69"/>
      <c r="H867" s="70"/>
      <c r="I867" s="69"/>
      <c r="J867" s="69"/>
      <c r="K867" s="69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69"/>
      <c r="F868" s="69"/>
      <c r="G868" s="69"/>
      <c r="H868" s="70"/>
      <c r="I868" s="69"/>
      <c r="J868" s="69"/>
      <c r="K868" s="69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69"/>
      <c r="F869" s="69"/>
      <c r="G869" s="69"/>
      <c r="H869" s="70"/>
      <c r="I869" s="69"/>
      <c r="J869" s="69"/>
      <c r="K869" s="69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69"/>
      <c r="F870" s="69"/>
      <c r="G870" s="69"/>
      <c r="H870" s="70"/>
      <c r="I870" s="69"/>
      <c r="J870" s="69"/>
      <c r="K870" s="69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69"/>
      <c r="F871" s="69"/>
      <c r="G871" s="69"/>
      <c r="H871" s="70"/>
      <c r="I871" s="69"/>
      <c r="J871" s="69"/>
      <c r="K871" s="69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69"/>
      <c r="F872" s="69"/>
      <c r="G872" s="69"/>
      <c r="H872" s="70"/>
      <c r="I872" s="69"/>
      <c r="J872" s="69"/>
      <c r="K872" s="69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69"/>
      <c r="F873" s="69"/>
      <c r="G873" s="69"/>
      <c r="H873" s="70"/>
      <c r="I873" s="69"/>
      <c r="J873" s="69"/>
      <c r="K873" s="69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69"/>
      <c r="F874" s="69"/>
      <c r="G874" s="69"/>
      <c r="H874" s="70"/>
      <c r="I874" s="69"/>
      <c r="J874" s="69"/>
      <c r="K874" s="69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69"/>
      <c r="F875" s="69"/>
      <c r="G875" s="69"/>
      <c r="H875" s="70"/>
      <c r="I875" s="69"/>
      <c r="J875" s="69"/>
      <c r="K875" s="69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69"/>
      <c r="F876" s="69"/>
      <c r="G876" s="69"/>
      <c r="H876" s="70"/>
      <c r="I876" s="69"/>
      <c r="J876" s="69"/>
      <c r="K876" s="69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69"/>
      <c r="F877" s="69"/>
      <c r="G877" s="69"/>
      <c r="H877" s="70"/>
      <c r="I877" s="69"/>
      <c r="J877" s="69"/>
      <c r="K877" s="69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69"/>
      <c r="F878" s="69"/>
      <c r="G878" s="69"/>
      <c r="H878" s="70"/>
      <c r="I878" s="69"/>
      <c r="J878" s="69"/>
      <c r="K878" s="69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69"/>
      <c r="F879" s="69"/>
      <c r="G879" s="69"/>
      <c r="H879" s="70"/>
      <c r="I879" s="69"/>
      <c r="J879" s="69"/>
      <c r="K879" s="69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69"/>
      <c r="F880" s="69"/>
      <c r="G880" s="69"/>
      <c r="H880" s="70"/>
      <c r="I880" s="69"/>
      <c r="J880" s="69"/>
      <c r="K880" s="69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69"/>
      <c r="F881" s="69"/>
      <c r="G881" s="69"/>
      <c r="H881" s="70"/>
      <c r="I881" s="69"/>
      <c r="J881" s="69"/>
      <c r="K881" s="69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69"/>
      <c r="F882" s="69"/>
      <c r="G882" s="69"/>
      <c r="H882" s="70"/>
      <c r="I882" s="69"/>
      <c r="J882" s="69"/>
      <c r="K882" s="69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69"/>
      <c r="F883" s="69"/>
      <c r="G883" s="69"/>
      <c r="H883" s="70"/>
      <c r="I883" s="69"/>
      <c r="J883" s="69"/>
      <c r="K883" s="69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69"/>
      <c r="F884" s="69"/>
      <c r="G884" s="69"/>
      <c r="H884" s="70"/>
      <c r="I884" s="69"/>
      <c r="J884" s="69"/>
      <c r="K884" s="69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69"/>
      <c r="F885" s="69"/>
      <c r="G885" s="69"/>
      <c r="H885" s="70"/>
      <c r="I885" s="69"/>
      <c r="J885" s="69"/>
      <c r="K885" s="69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69"/>
      <c r="F886" s="69"/>
      <c r="G886" s="69"/>
      <c r="H886" s="70"/>
      <c r="I886" s="69"/>
      <c r="J886" s="69"/>
      <c r="K886" s="69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69"/>
      <c r="F887" s="69"/>
      <c r="G887" s="69"/>
      <c r="H887" s="70"/>
      <c r="I887" s="69"/>
      <c r="J887" s="69"/>
      <c r="K887" s="69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69"/>
      <c r="F888" s="69"/>
      <c r="G888" s="69"/>
      <c r="H888" s="70"/>
      <c r="I888" s="69"/>
      <c r="J888" s="69"/>
      <c r="K888" s="69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69"/>
      <c r="F889" s="69"/>
      <c r="G889" s="69"/>
      <c r="H889" s="70"/>
      <c r="I889" s="69"/>
      <c r="J889" s="69"/>
      <c r="K889" s="69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69"/>
      <c r="F890" s="69"/>
      <c r="G890" s="69"/>
      <c r="H890" s="70"/>
      <c r="I890" s="69"/>
      <c r="J890" s="69"/>
      <c r="K890" s="69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69"/>
      <c r="F891" s="69"/>
      <c r="G891" s="69"/>
      <c r="H891" s="70"/>
      <c r="I891" s="69"/>
      <c r="J891" s="69"/>
      <c r="K891" s="69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69"/>
      <c r="F892" s="69"/>
      <c r="G892" s="69"/>
      <c r="H892" s="70"/>
      <c r="I892" s="69"/>
      <c r="J892" s="69"/>
      <c r="K892" s="69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69"/>
      <c r="F893" s="69"/>
      <c r="G893" s="69"/>
      <c r="H893" s="70"/>
      <c r="I893" s="69"/>
      <c r="J893" s="69"/>
      <c r="K893" s="69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69"/>
      <c r="F894" s="69"/>
      <c r="G894" s="69"/>
      <c r="H894" s="70"/>
      <c r="I894" s="69"/>
      <c r="J894" s="69"/>
      <c r="K894" s="69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69"/>
      <c r="F895" s="69"/>
      <c r="G895" s="69"/>
      <c r="H895" s="70"/>
      <c r="I895" s="69"/>
      <c r="J895" s="69"/>
      <c r="K895" s="69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69"/>
      <c r="F896" s="69"/>
      <c r="G896" s="69"/>
      <c r="H896" s="70"/>
      <c r="I896" s="69"/>
      <c r="J896" s="69"/>
      <c r="K896" s="69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69"/>
      <c r="F897" s="69"/>
      <c r="G897" s="69"/>
      <c r="H897" s="70"/>
      <c r="I897" s="69"/>
      <c r="J897" s="69"/>
      <c r="K897" s="69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69"/>
      <c r="F898" s="69"/>
      <c r="G898" s="69"/>
      <c r="H898" s="70"/>
      <c r="I898" s="69"/>
      <c r="J898" s="69"/>
      <c r="K898" s="69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69"/>
      <c r="F899" s="69"/>
      <c r="G899" s="69"/>
      <c r="H899" s="70"/>
      <c r="I899" s="69"/>
      <c r="J899" s="69"/>
      <c r="K899" s="69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69"/>
      <c r="F900" s="69"/>
      <c r="G900" s="69"/>
      <c r="H900" s="70"/>
      <c r="I900" s="69"/>
      <c r="J900" s="69"/>
      <c r="K900" s="69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69"/>
      <c r="F901" s="69"/>
      <c r="G901" s="69"/>
      <c r="H901" s="70"/>
      <c r="I901" s="69"/>
      <c r="J901" s="69"/>
      <c r="K901" s="69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69"/>
      <c r="F902" s="69"/>
      <c r="G902" s="69"/>
      <c r="H902" s="70"/>
      <c r="I902" s="69"/>
      <c r="J902" s="69"/>
      <c r="K902" s="69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69"/>
      <c r="F903" s="69"/>
      <c r="G903" s="69"/>
      <c r="H903" s="70"/>
      <c r="I903" s="69"/>
      <c r="J903" s="69"/>
      <c r="K903" s="69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69"/>
      <c r="F904" s="69"/>
      <c r="G904" s="69"/>
      <c r="H904" s="70"/>
      <c r="I904" s="69"/>
      <c r="J904" s="69"/>
      <c r="K904" s="69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69"/>
      <c r="F905" s="69"/>
      <c r="G905" s="69"/>
      <c r="H905" s="70"/>
      <c r="I905" s="69"/>
      <c r="J905" s="69"/>
      <c r="K905" s="69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69"/>
      <c r="F906" s="69"/>
      <c r="G906" s="69"/>
      <c r="H906" s="70"/>
      <c r="I906" s="69"/>
      <c r="J906" s="69"/>
      <c r="K906" s="69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69"/>
      <c r="F907" s="69"/>
      <c r="G907" s="69"/>
      <c r="H907" s="70"/>
      <c r="I907" s="69"/>
      <c r="J907" s="69"/>
      <c r="K907" s="69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69"/>
      <c r="F908" s="69"/>
      <c r="G908" s="69"/>
      <c r="H908" s="70"/>
      <c r="I908" s="69"/>
      <c r="J908" s="69"/>
      <c r="K908" s="69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69"/>
      <c r="F909" s="69"/>
      <c r="G909" s="69"/>
      <c r="H909" s="70"/>
      <c r="I909" s="69"/>
      <c r="J909" s="69"/>
      <c r="K909" s="69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69"/>
      <c r="F910" s="69"/>
      <c r="G910" s="69"/>
      <c r="H910" s="70"/>
      <c r="I910" s="69"/>
      <c r="J910" s="69"/>
      <c r="K910" s="69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69"/>
      <c r="F911" s="69"/>
      <c r="G911" s="69"/>
      <c r="H911" s="70"/>
      <c r="I911" s="69"/>
      <c r="J911" s="69"/>
      <c r="K911" s="69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69"/>
      <c r="F912" s="69"/>
      <c r="G912" s="69"/>
      <c r="H912" s="70"/>
      <c r="I912" s="69"/>
      <c r="J912" s="69"/>
      <c r="K912" s="69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69"/>
      <c r="F913" s="69"/>
      <c r="G913" s="69"/>
      <c r="H913" s="70"/>
      <c r="I913" s="69"/>
      <c r="J913" s="69"/>
      <c r="K913" s="69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69"/>
      <c r="F914" s="69"/>
      <c r="G914" s="69"/>
      <c r="H914" s="70"/>
      <c r="I914" s="69"/>
      <c r="J914" s="69"/>
      <c r="K914" s="69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69"/>
      <c r="F915" s="69"/>
      <c r="G915" s="69"/>
      <c r="H915" s="70"/>
      <c r="I915" s="69"/>
      <c r="J915" s="69"/>
      <c r="K915" s="69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69"/>
      <c r="F916" s="69"/>
      <c r="G916" s="69"/>
      <c r="H916" s="70"/>
      <c r="I916" s="69"/>
      <c r="J916" s="69"/>
      <c r="K916" s="69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69"/>
      <c r="F917" s="69"/>
      <c r="G917" s="69"/>
      <c r="H917" s="70"/>
      <c r="I917" s="69"/>
      <c r="J917" s="69"/>
      <c r="K917" s="69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69"/>
      <c r="F918" s="69"/>
      <c r="G918" s="69"/>
      <c r="H918" s="70"/>
      <c r="I918" s="69"/>
      <c r="J918" s="69"/>
      <c r="K918" s="69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69"/>
      <c r="F919" s="69"/>
      <c r="G919" s="69"/>
      <c r="H919" s="70"/>
      <c r="I919" s="69"/>
      <c r="J919" s="69"/>
      <c r="K919" s="69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69"/>
      <c r="F920" s="69"/>
      <c r="G920" s="69"/>
      <c r="H920" s="70"/>
      <c r="I920" s="69"/>
      <c r="J920" s="69"/>
      <c r="K920" s="69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69"/>
      <c r="F921" s="69"/>
      <c r="G921" s="69"/>
      <c r="H921" s="70"/>
      <c r="I921" s="69"/>
      <c r="J921" s="69"/>
      <c r="K921" s="69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69"/>
      <c r="F922" s="69"/>
      <c r="G922" s="69"/>
      <c r="H922" s="70"/>
      <c r="I922" s="69"/>
      <c r="J922" s="69"/>
      <c r="K922" s="69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69"/>
      <c r="F923" s="69"/>
      <c r="G923" s="69"/>
      <c r="H923" s="70"/>
      <c r="I923" s="69"/>
      <c r="J923" s="69"/>
      <c r="K923" s="69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69"/>
      <c r="F924" s="69"/>
      <c r="G924" s="69"/>
      <c r="H924" s="70"/>
      <c r="I924" s="69"/>
      <c r="J924" s="69"/>
      <c r="K924" s="69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69"/>
      <c r="F925" s="69"/>
      <c r="G925" s="69"/>
      <c r="H925" s="70"/>
      <c r="I925" s="69"/>
      <c r="J925" s="69"/>
      <c r="K925" s="69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69"/>
      <c r="F926" s="69"/>
      <c r="G926" s="69"/>
      <c r="H926" s="70"/>
      <c r="I926" s="69"/>
      <c r="J926" s="69"/>
      <c r="K926" s="69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69"/>
      <c r="F927" s="69"/>
      <c r="G927" s="69"/>
      <c r="H927" s="70"/>
      <c r="I927" s="69"/>
      <c r="J927" s="69"/>
      <c r="K927" s="69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69"/>
      <c r="F928" s="69"/>
      <c r="G928" s="69"/>
      <c r="H928" s="70"/>
      <c r="I928" s="69"/>
      <c r="J928" s="69"/>
      <c r="K928" s="69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69"/>
      <c r="F929" s="69"/>
      <c r="G929" s="69"/>
      <c r="H929" s="70"/>
      <c r="I929" s="69"/>
      <c r="J929" s="69"/>
      <c r="K929" s="69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69"/>
      <c r="F930" s="69"/>
      <c r="G930" s="69"/>
      <c r="H930" s="70"/>
      <c r="I930" s="69"/>
      <c r="J930" s="69"/>
      <c r="K930" s="69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69"/>
      <c r="F931" s="69"/>
      <c r="G931" s="69"/>
      <c r="H931" s="70"/>
      <c r="I931" s="69"/>
      <c r="J931" s="69"/>
      <c r="K931" s="69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69"/>
      <c r="F932" s="69"/>
      <c r="G932" s="69"/>
      <c r="H932" s="70"/>
      <c r="I932" s="69"/>
      <c r="J932" s="69"/>
      <c r="K932" s="69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69"/>
      <c r="F933" s="69"/>
      <c r="G933" s="69"/>
      <c r="H933" s="70"/>
      <c r="I933" s="69"/>
      <c r="J933" s="69"/>
      <c r="K933" s="69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69"/>
      <c r="F934" s="69"/>
      <c r="G934" s="69"/>
      <c r="H934" s="70"/>
      <c r="I934" s="69"/>
      <c r="J934" s="69"/>
      <c r="K934" s="69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69"/>
      <c r="F935" s="69"/>
      <c r="G935" s="69"/>
      <c r="H935" s="70"/>
      <c r="I935" s="69"/>
      <c r="J935" s="69"/>
      <c r="K935" s="69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69"/>
      <c r="F936" s="69"/>
      <c r="G936" s="69"/>
      <c r="H936" s="70"/>
      <c r="I936" s="69"/>
      <c r="J936" s="69"/>
      <c r="K936" s="69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69"/>
      <c r="F937" s="69"/>
      <c r="G937" s="69"/>
      <c r="H937" s="70"/>
      <c r="I937" s="69"/>
      <c r="J937" s="69"/>
      <c r="K937" s="69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69"/>
      <c r="F938" s="69"/>
      <c r="G938" s="69"/>
      <c r="H938" s="70"/>
      <c r="I938" s="69"/>
      <c r="J938" s="69"/>
      <c r="K938" s="69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69"/>
      <c r="F939" s="69"/>
      <c r="G939" s="69"/>
      <c r="H939" s="70"/>
      <c r="I939" s="69"/>
      <c r="J939" s="69"/>
      <c r="K939" s="69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69"/>
      <c r="F940" s="69"/>
      <c r="G940" s="69"/>
      <c r="H940" s="70"/>
      <c r="I940" s="69"/>
      <c r="J940" s="69"/>
      <c r="K940" s="69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69"/>
      <c r="F941" s="69"/>
      <c r="G941" s="69"/>
      <c r="H941" s="70"/>
      <c r="I941" s="69"/>
      <c r="J941" s="69"/>
      <c r="K941" s="69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69"/>
      <c r="F942" s="69"/>
      <c r="G942" s="69"/>
      <c r="H942" s="70"/>
      <c r="I942" s="69"/>
      <c r="J942" s="69"/>
      <c r="K942" s="69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69"/>
      <c r="F943" s="69"/>
      <c r="G943" s="69"/>
      <c r="H943" s="70"/>
      <c r="I943" s="69"/>
      <c r="J943" s="69"/>
      <c r="K943" s="69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69"/>
      <c r="F944" s="69"/>
      <c r="G944" s="69"/>
      <c r="H944" s="70"/>
      <c r="I944" s="69"/>
      <c r="J944" s="69"/>
      <c r="K944" s="69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69"/>
      <c r="F945" s="69"/>
      <c r="G945" s="69"/>
      <c r="H945" s="70"/>
      <c r="I945" s="69"/>
      <c r="J945" s="69"/>
      <c r="K945" s="69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69"/>
      <c r="F946" s="69"/>
      <c r="G946" s="69"/>
      <c r="H946" s="70"/>
      <c r="I946" s="69"/>
      <c r="J946" s="69"/>
      <c r="K946" s="69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69"/>
      <c r="F947" s="69"/>
      <c r="G947" s="69"/>
      <c r="H947" s="70"/>
      <c r="I947" s="69"/>
      <c r="J947" s="69"/>
      <c r="K947" s="69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69"/>
      <c r="F948" s="69"/>
      <c r="G948" s="69"/>
      <c r="H948" s="70"/>
      <c r="I948" s="69"/>
      <c r="J948" s="69"/>
      <c r="K948" s="69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69"/>
      <c r="F949" s="69"/>
      <c r="G949" s="69"/>
      <c r="H949" s="70"/>
      <c r="I949" s="69"/>
      <c r="J949" s="69"/>
      <c r="K949" s="69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69"/>
      <c r="F950" s="69"/>
      <c r="G950" s="69"/>
      <c r="H950" s="70"/>
      <c r="I950" s="69"/>
      <c r="J950" s="69"/>
      <c r="K950" s="69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69"/>
      <c r="F951" s="69"/>
      <c r="G951" s="69"/>
      <c r="H951" s="70"/>
      <c r="I951" s="69"/>
      <c r="J951" s="69"/>
      <c r="K951" s="69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69"/>
      <c r="F952" s="69"/>
      <c r="G952" s="69"/>
      <c r="H952" s="70"/>
      <c r="I952" s="69"/>
      <c r="J952" s="69"/>
      <c r="K952" s="69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69"/>
      <c r="F953" s="69"/>
      <c r="G953" s="69"/>
      <c r="H953" s="70"/>
      <c r="I953" s="69"/>
      <c r="J953" s="69"/>
      <c r="K953" s="69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69"/>
      <c r="F954" s="69"/>
      <c r="G954" s="69"/>
      <c r="H954" s="70"/>
      <c r="I954" s="69"/>
      <c r="J954" s="69"/>
      <c r="K954" s="69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69"/>
      <c r="F955" s="69"/>
      <c r="G955" s="69"/>
      <c r="H955" s="70"/>
      <c r="I955" s="69"/>
      <c r="J955" s="69"/>
      <c r="K955" s="69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69"/>
      <c r="F956" s="69"/>
      <c r="G956" s="69"/>
      <c r="H956" s="70"/>
      <c r="I956" s="69"/>
      <c r="J956" s="69"/>
      <c r="K956" s="69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69"/>
      <c r="F957" s="69"/>
      <c r="G957" s="69"/>
      <c r="H957" s="70"/>
      <c r="I957" s="69"/>
      <c r="J957" s="69"/>
      <c r="K957" s="69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69"/>
      <c r="F958" s="69"/>
      <c r="G958" s="69"/>
      <c r="H958" s="70"/>
      <c r="I958" s="69"/>
      <c r="J958" s="69"/>
      <c r="K958" s="69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69"/>
      <c r="F959" s="69"/>
      <c r="G959" s="69"/>
      <c r="H959" s="70"/>
      <c r="I959" s="69"/>
      <c r="J959" s="69"/>
      <c r="K959" s="69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69"/>
      <c r="F960" s="69"/>
      <c r="G960" s="69"/>
      <c r="H960" s="70"/>
      <c r="I960" s="69"/>
      <c r="J960" s="69"/>
      <c r="K960" s="69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69"/>
      <c r="F961" s="69"/>
      <c r="G961" s="69"/>
      <c r="H961" s="70"/>
      <c r="I961" s="69"/>
      <c r="J961" s="69"/>
      <c r="K961" s="69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69"/>
      <c r="F962" s="69"/>
      <c r="G962" s="69"/>
      <c r="H962" s="70"/>
      <c r="I962" s="69"/>
      <c r="J962" s="69"/>
      <c r="K962" s="69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69"/>
      <c r="F963" s="69"/>
      <c r="G963" s="69"/>
      <c r="H963" s="70"/>
      <c r="I963" s="69"/>
      <c r="J963" s="69"/>
      <c r="K963" s="69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69"/>
      <c r="F964" s="69"/>
      <c r="G964" s="69"/>
      <c r="H964" s="70"/>
      <c r="I964" s="69"/>
      <c r="J964" s="69"/>
      <c r="K964" s="69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69"/>
      <c r="F965" s="69"/>
      <c r="G965" s="69"/>
      <c r="H965" s="70"/>
      <c r="I965" s="69"/>
      <c r="J965" s="69"/>
      <c r="K965" s="69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69"/>
      <c r="F966" s="69"/>
      <c r="G966" s="69"/>
      <c r="H966" s="70"/>
      <c r="I966" s="69"/>
      <c r="J966" s="69"/>
      <c r="K966" s="69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69"/>
      <c r="F967" s="69"/>
      <c r="G967" s="69"/>
      <c r="H967" s="70"/>
      <c r="I967" s="69"/>
      <c r="J967" s="69"/>
      <c r="K967" s="69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69"/>
      <c r="F968" s="69"/>
      <c r="G968" s="69"/>
      <c r="H968" s="70"/>
      <c r="I968" s="69"/>
      <c r="J968" s="69"/>
      <c r="K968" s="69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69"/>
      <c r="F969" s="69"/>
      <c r="G969" s="69"/>
      <c r="H969" s="70"/>
      <c r="I969" s="69"/>
      <c r="J969" s="69"/>
      <c r="K969" s="69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69"/>
      <c r="F970" s="69"/>
      <c r="G970" s="69"/>
      <c r="H970" s="70"/>
      <c r="I970" s="69"/>
      <c r="J970" s="69"/>
      <c r="K970" s="69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69"/>
      <c r="F971" s="69"/>
      <c r="G971" s="69"/>
      <c r="H971" s="70"/>
      <c r="I971" s="69"/>
      <c r="J971" s="69"/>
      <c r="K971" s="69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69"/>
      <c r="F972" s="69"/>
      <c r="G972" s="69"/>
      <c r="H972" s="70"/>
      <c r="I972" s="69"/>
      <c r="J972" s="69"/>
      <c r="K972" s="69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69"/>
      <c r="F973" s="69"/>
      <c r="G973" s="69"/>
      <c r="H973" s="70"/>
      <c r="I973" s="69"/>
      <c r="J973" s="69"/>
      <c r="K973" s="69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69"/>
      <c r="F974" s="69"/>
      <c r="G974" s="69"/>
      <c r="H974" s="70"/>
      <c r="I974" s="69"/>
      <c r="J974" s="69"/>
      <c r="K974" s="69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69"/>
      <c r="F975" s="69"/>
      <c r="G975" s="69"/>
      <c r="H975" s="70"/>
      <c r="I975" s="69"/>
      <c r="J975" s="69"/>
      <c r="K975" s="69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69"/>
      <c r="F976" s="69"/>
      <c r="G976" s="69"/>
      <c r="H976" s="70"/>
      <c r="I976" s="69"/>
      <c r="J976" s="69"/>
      <c r="K976" s="69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69"/>
      <c r="F977" s="69"/>
      <c r="G977" s="69"/>
      <c r="H977" s="70"/>
      <c r="I977" s="69"/>
      <c r="J977" s="69"/>
      <c r="K977" s="69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69"/>
      <c r="F978" s="69"/>
      <c r="G978" s="69"/>
      <c r="H978" s="70"/>
      <c r="I978" s="69"/>
      <c r="J978" s="69"/>
      <c r="K978" s="69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69"/>
      <c r="F979" s="69"/>
      <c r="G979" s="69"/>
      <c r="H979" s="70"/>
      <c r="I979" s="69"/>
      <c r="J979" s="69"/>
      <c r="K979" s="69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69"/>
      <c r="F980" s="69"/>
      <c r="G980" s="69"/>
      <c r="H980" s="70"/>
      <c r="I980" s="69"/>
      <c r="J980" s="69"/>
      <c r="K980" s="69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69"/>
      <c r="F981" s="69"/>
      <c r="G981" s="69"/>
      <c r="H981" s="70"/>
      <c r="I981" s="69"/>
      <c r="J981" s="69"/>
      <c r="K981" s="69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69"/>
      <c r="F982" s="69"/>
      <c r="G982" s="69"/>
      <c r="H982" s="70"/>
      <c r="I982" s="69"/>
      <c r="J982" s="69"/>
      <c r="K982" s="69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69"/>
      <c r="F983" s="69"/>
      <c r="G983" s="69"/>
      <c r="H983" s="70"/>
      <c r="I983" s="69"/>
      <c r="J983" s="69"/>
      <c r="K983" s="69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69"/>
      <c r="F984" s="69"/>
      <c r="G984" s="69"/>
      <c r="H984" s="70"/>
      <c r="I984" s="69"/>
      <c r="J984" s="69"/>
      <c r="K984" s="69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69"/>
      <c r="F985" s="69"/>
      <c r="G985" s="69"/>
      <c r="H985" s="70"/>
      <c r="I985" s="69"/>
      <c r="J985" s="69"/>
      <c r="K985" s="69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69"/>
      <c r="F986" s="69"/>
      <c r="G986" s="69"/>
      <c r="H986" s="70"/>
      <c r="I986" s="69"/>
      <c r="J986" s="69"/>
      <c r="K986" s="69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69"/>
      <c r="F987" s="69"/>
      <c r="G987" s="69"/>
      <c r="H987" s="70"/>
      <c r="I987" s="69"/>
      <c r="J987" s="69"/>
      <c r="K987" s="69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69"/>
      <c r="F988" s="69"/>
      <c r="G988" s="69"/>
      <c r="H988" s="70"/>
      <c r="I988" s="69"/>
      <c r="J988" s="69"/>
      <c r="K988" s="69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69"/>
      <c r="F989" s="69"/>
      <c r="G989" s="69"/>
      <c r="H989" s="70"/>
      <c r="I989" s="69"/>
      <c r="J989" s="69"/>
      <c r="K989" s="69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69"/>
      <c r="F990" s="69"/>
      <c r="G990" s="69"/>
      <c r="H990" s="70"/>
      <c r="I990" s="69"/>
      <c r="J990" s="69"/>
      <c r="K990" s="69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69"/>
      <c r="F991" s="69"/>
      <c r="G991" s="69"/>
      <c r="H991" s="70"/>
      <c r="I991" s="69"/>
      <c r="J991" s="69"/>
      <c r="K991" s="69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69"/>
      <c r="F992" s="69"/>
      <c r="G992" s="69"/>
      <c r="H992" s="70"/>
      <c r="I992" s="69"/>
      <c r="J992" s="69"/>
      <c r="K992" s="69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69"/>
      <c r="F993" s="69"/>
      <c r="G993" s="69"/>
      <c r="H993" s="70"/>
      <c r="I993" s="69"/>
      <c r="J993" s="69"/>
      <c r="K993" s="69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69"/>
      <c r="F994" s="69"/>
      <c r="G994" s="69"/>
      <c r="H994" s="70"/>
      <c r="I994" s="69"/>
      <c r="J994" s="69"/>
      <c r="K994" s="69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69"/>
      <c r="F995" s="69"/>
      <c r="G995" s="69"/>
      <c r="H995" s="70"/>
      <c r="I995" s="69"/>
      <c r="J995" s="69"/>
      <c r="K995" s="69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69"/>
      <c r="F996" s="69"/>
      <c r="G996" s="69"/>
      <c r="H996" s="70"/>
      <c r="I996" s="69"/>
      <c r="J996" s="69"/>
      <c r="K996" s="69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69"/>
      <c r="F997" s="69"/>
      <c r="G997" s="69"/>
      <c r="H997" s="70"/>
      <c r="I997" s="69"/>
      <c r="J997" s="69"/>
      <c r="K997" s="69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69"/>
      <c r="F998" s="69"/>
      <c r="G998" s="69"/>
      <c r="H998" s="70"/>
      <c r="I998" s="69"/>
      <c r="J998" s="69"/>
      <c r="K998" s="69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69"/>
      <c r="F999" s="69"/>
      <c r="G999" s="69"/>
      <c r="H999" s="70"/>
      <c r="I999" s="69"/>
      <c r="J999" s="69"/>
      <c r="K999" s="69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69"/>
      <c r="F1000" s="69"/>
      <c r="G1000" s="69"/>
      <c r="H1000" s="70"/>
      <c r="I1000" s="69"/>
      <c r="J1000" s="69"/>
      <c r="K1000" s="69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99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2" width="12.6640625" customWidth="1"/>
    <col min="13" max="19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92" t="s">
        <v>464</v>
      </c>
      <c r="K1" s="65" t="s">
        <v>406</v>
      </c>
      <c r="L1" s="65" t="s">
        <v>407</v>
      </c>
      <c r="M1" s="65" t="s">
        <v>408</v>
      </c>
      <c r="N1" s="66" t="s">
        <v>409</v>
      </c>
      <c r="O1" s="66" t="s">
        <v>294</v>
      </c>
      <c r="P1" s="66" t="s">
        <v>410</v>
      </c>
      <c r="Q1" s="67" t="s">
        <v>283</v>
      </c>
      <c r="R1" s="67" t="s">
        <v>284</v>
      </c>
      <c r="S1" s="68" t="s">
        <v>285</v>
      </c>
      <c r="T1" s="2"/>
      <c r="U1" s="2"/>
      <c r="V1" s="2"/>
      <c r="W1" s="2"/>
      <c r="X1" s="2"/>
      <c r="Y1" s="2"/>
      <c r="Z1" s="2"/>
    </row>
    <row r="2" spans="1:26" ht="15.75" customHeight="1" x14ac:dyDescent="0.3">
      <c r="A2" s="32" t="s">
        <v>366</v>
      </c>
      <c r="B2" s="32" t="s">
        <v>259</v>
      </c>
      <c r="C2" s="10" t="s">
        <v>1410</v>
      </c>
      <c r="D2" s="32" t="s">
        <v>1411</v>
      </c>
      <c r="E2" s="69">
        <v>-12.2</v>
      </c>
      <c r="F2" s="69">
        <v>435.12</v>
      </c>
      <c r="G2" s="69">
        <f t="shared" ref="G2:G6" si="0">F2*0.45</f>
        <v>195.804</v>
      </c>
      <c r="H2" s="70">
        <v>0.73746999999999996</v>
      </c>
      <c r="I2" s="69">
        <f t="shared" ref="I2:I6" si="1">(E2+G2)*H2*0.9</f>
        <v>121.862197692</v>
      </c>
      <c r="J2" s="78">
        <f t="shared" ref="J2:J6" si="2">F2*0.05*H2*0.9</f>
        <v>14.439957587999999</v>
      </c>
      <c r="K2" s="61">
        <v>0</v>
      </c>
      <c r="L2" s="61">
        <f t="shared" ref="L2:L6" si="3">F2*0.2*H2*0.9</f>
        <v>57.759830351999994</v>
      </c>
      <c r="M2" s="58">
        <f>SUM(K:L)</f>
        <v>241.31171165400002</v>
      </c>
      <c r="N2" s="2" t="s">
        <v>1412</v>
      </c>
      <c r="O2" s="2" t="s">
        <v>529</v>
      </c>
      <c r="P2" s="32">
        <v>-2491.31</v>
      </c>
      <c r="Q2" s="32">
        <f>SUM(I:I)</f>
        <v>2491.3119207914997</v>
      </c>
      <c r="R2" s="32">
        <f>SUM(P:P)</f>
        <v>-2491.31</v>
      </c>
      <c r="S2" s="32">
        <f>Q2+R2</f>
        <v>1.9207914997423359E-3</v>
      </c>
      <c r="T2" s="2"/>
      <c r="U2" s="2"/>
      <c r="V2" s="2"/>
      <c r="W2" s="2"/>
      <c r="X2" s="2"/>
      <c r="Y2" s="2"/>
      <c r="Z2" s="2"/>
    </row>
    <row r="3" spans="1:26" ht="15.75" customHeight="1" x14ac:dyDescent="0.3">
      <c r="A3" s="32" t="s">
        <v>366</v>
      </c>
      <c r="B3" s="32" t="s">
        <v>259</v>
      </c>
      <c r="C3" s="10" t="s">
        <v>1413</v>
      </c>
      <c r="D3" s="32" t="s">
        <v>1414</v>
      </c>
      <c r="E3" s="69">
        <v>241.5</v>
      </c>
      <c r="F3" s="69">
        <v>201.03</v>
      </c>
      <c r="G3" s="69">
        <f t="shared" si="0"/>
        <v>90.463499999999996</v>
      </c>
      <c r="H3" s="70">
        <v>0.73746999999999996</v>
      </c>
      <c r="I3" s="69">
        <f t="shared" si="1"/>
        <v>220.33181011049999</v>
      </c>
      <c r="J3" s="78">
        <f t="shared" si="2"/>
        <v>6.6714117345000004</v>
      </c>
      <c r="K3" s="61">
        <v>0</v>
      </c>
      <c r="L3" s="61">
        <f t="shared" si="3"/>
        <v>26.685646938000001</v>
      </c>
      <c r="M3" s="58"/>
      <c r="N3" s="2"/>
      <c r="O3" s="2"/>
      <c r="P3" s="32"/>
      <c r="Q3" s="32"/>
      <c r="R3" s="32"/>
      <c r="S3" s="3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 t="s">
        <v>370</v>
      </c>
      <c r="B4" s="32" t="s">
        <v>259</v>
      </c>
      <c r="C4" s="10" t="s">
        <v>1410</v>
      </c>
      <c r="D4" s="32" t="s">
        <v>1411</v>
      </c>
      <c r="E4" s="69">
        <v>915.84</v>
      </c>
      <c r="F4" s="69">
        <v>402.57</v>
      </c>
      <c r="G4" s="69">
        <f t="shared" si="0"/>
        <v>181.15649999999999</v>
      </c>
      <c r="H4" s="70">
        <v>0.73746999999999996</v>
      </c>
      <c r="I4" s="69">
        <f t="shared" si="1"/>
        <v>728.10180796949999</v>
      </c>
      <c r="J4" s="78">
        <f t="shared" si="2"/>
        <v>13.359748405500001</v>
      </c>
      <c r="K4" s="61">
        <v>0</v>
      </c>
      <c r="L4" s="61">
        <f t="shared" si="3"/>
        <v>53.438993622000005</v>
      </c>
      <c r="M4" s="58"/>
      <c r="N4" s="2"/>
      <c r="O4" s="2"/>
      <c r="P4" s="32"/>
      <c r="Q4" s="32"/>
      <c r="R4" s="32"/>
      <c r="S4" s="3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370</v>
      </c>
      <c r="B5" s="32" t="s">
        <v>259</v>
      </c>
      <c r="C5" s="10" t="s">
        <v>1413</v>
      </c>
      <c r="D5" s="32" t="s">
        <v>1414</v>
      </c>
      <c r="E5" s="69">
        <v>1080.8499999999999</v>
      </c>
      <c r="F5" s="69">
        <v>580.66999999999996</v>
      </c>
      <c r="G5" s="69">
        <f t="shared" si="0"/>
        <v>261.30149999999998</v>
      </c>
      <c r="H5" s="70">
        <v>0.73746999999999996</v>
      </c>
      <c r="I5" s="69">
        <f t="shared" si="1"/>
        <v>890.81682003449998</v>
      </c>
      <c r="J5" s="78">
        <f t="shared" si="2"/>
        <v>19.270201720500001</v>
      </c>
      <c r="K5" s="61">
        <v>0</v>
      </c>
      <c r="L5" s="61">
        <f t="shared" si="3"/>
        <v>77.080806882000005</v>
      </c>
      <c r="M5" s="58"/>
      <c r="N5" s="2"/>
      <c r="O5" s="2"/>
      <c r="P5" s="32"/>
      <c r="Q5" s="32"/>
      <c r="R5" s="32"/>
      <c r="S5" s="3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 t="s">
        <v>372</v>
      </c>
      <c r="B6" s="32" t="s">
        <v>259</v>
      </c>
      <c r="C6" s="10" t="s">
        <v>1413</v>
      </c>
      <c r="D6" s="32" t="s">
        <v>1414</v>
      </c>
      <c r="E6" s="69">
        <v>710.64</v>
      </c>
      <c r="F6" s="69">
        <v>198.79</v>
      </c>
      <c r="G6" s="69">
        <f t="shared" si="0"/>
        <v>89.455500000000001</v>
      </c>
      <c r="H6" s="70">
        <v>0.73629999999999995</v>
      </c>
      <c r="I6" s="69">
        <f t="shared" si="1"/>
        <v>530.19928498499996</v>
      </c>
      <c r="J6" s="78">
        <f t="shared" si="2"/>
        <v>6.5866084650000003</v>
      </c>
      <c r="K6" s="61">
        <v>0</v>
      </c>
      <c r="L6" s="61">
        <f t="shared" si="3"/>
        <v>26.346433860000001</v>
      </c>
      <c r="M6" s="58"/>
      <c r="N6" s="2"/>
      <c r="O6" s="2"/>
      <c r="P6" s="32"/>
      <c r="Q6" s="32"/>
      <c r="R6" s="32"/>
      <c r="S6" s="3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377</v>
      </c>
      <c r="B7" s="46" t="s">
        <v>468</v>
      </c>
      <c r="C7" s="10" t="s">
        <v>468</v>
      </c>
      <c r="D7" s="46" t="s">
        <v>468</v>
      </c>
      <c r="E7" s="46" t="s">
        <v>468</v>
      </c>
      <c r="F7" s="46" t="s">
        <v>468</v>
      </c>
      <c r="G7" s="46" t="s">
        <v>468</v>
      </c>
      <c r="H7" s="81" t="s">
        <v>468</v>
      </c>
      <c r="I7" s="46" t="s">
        <v>468</v>
      </c>
      <c r="J7" s="79" t="s">
        <v>468</v>
      </c>
      <c r="K7" s="82" t="s">
        <v>468</v>
      </c>
      <c r="L7" s="82" t="s">
        <v>468</v>
      </c>
      <c r="M7" s="58"/>
      <c r="N7" s="2"/>
      <c r="O7" s="2"/>
      <c r="P7" s="32"/>
      <c r="Q7" s="32"/>
      <c r="R7" s="32"/>
      <c r="S7" s="3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379</v>
      </c>
      <c r="B8" s="46" t="s">
        <v>468</v>
      </c>
      <c r="C8" s="10" t="s">
        <v>468</v>
      </c>
      <c r="D8" s="46" t="s">
        <v>468</v>
      </c>
      <c r="E8" s="46" t="s">
        <v>468</v>
      </c>
      <c r="F8" s="46" t="s">
        <v>468</v>
      </c>
      <c r="G8" s="46" t="s">
        <v>468</v>
      </c>
      <c r="H8" s="81" t="s">
        <v>468</v>
      </c>
      <c r="I8" s="46" t="s">
        <v>468</v>
      </c>
      <c r="J8" s="79" t="s">
        <v>468</v>
      </c>
      <c r="K8" s="82" t="s">
        <v>468</v>
      </c>
      <c r="L8" s="82" t="s">
        <v>468</v>
      </c>
      <c r="M8" s="58"/>
      <c r="N8" s="2"/>
      <c r="O8" s="2"/>
      <c r="P8" s="32"/>
      <c r="Q8" s="32"/>
      <c r="R8" s="32"/>
      <c r="S8" s="3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 t="s">
        <v>603</v>
      </c>
      <c r="B9" s="46" t="s">
        <v>603</v>
      </c>
      <c r="C9" s="46" t="s">
        <v>603</v>
      </c>
      <c r="D9" s="46" t="s">
        <v>603</v>
      </c>
      <c r="E9" s="46" t="s">
        <v>603</v>
      </c>
      <c r="F9" s="46" t="s">
        <v>603</v>
      </c>
      <c r="G9" s="46" t="s">
        <v>603</v>
      </c>
      <c r="H9" s="46" t="s">
        <v>603</v>
      </c>
      <c r="I9" s="46" t="s">
        <v>603</v>
      </c>
      <c r="J9" s="79" t="s">
        <v>603</v>
      </c>
      <c r="K9" s="82" t="s">
        <v>603</v>
      </c>
      <c r="L9" s="82" t="s">
        <v>603</v>
      </c>
      <c r="M9" s="58"/>
      <c r="N9" s="2"/>
      <c r="O9" s="2"/>
      <c r="P9" s="32"/>
      <c r="Q9" s="32"/>
      <c r="R9" s="32"/>
      <c r="S9" s="3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/>
      <c r="B10" s="2"/>
      <c r="C10" s="10"/>
      <c r="D10" s="32"/>
      <c r="E10" s="69"/>
      <c r="F10" s="69"/>
      <c r="G10" s="69"/>
      <c r="H10" s="70"/>
      <c r="I10" s="69"/>
      <c r="J10" s="32"/>
      <c r="K10" s="32"/>
      <c r="L10" s="32"/>
      <c r="M10" s="32"/>
      <c r="N10" s="2"/>
      <c r="O10" s="2"/>
      <c r="P10" s="32"/>
      <c r="Q10" s="32"/>
      <c r="R10" s="32"/>
      <c r="S10" s="3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/>
      <c r="B11" s="10"/>
      <c r="C11" s="2"/>
      <c r="D11" s="32"/>
      <c r="E11" s="32"/>
      <c r="F11" s="32"/>
      <c r="G11" s="32"/>
      <c r="H11" s="75"/>
      <c r="I11" s="69"/>
      <c r="J11" s="32"/>
      <c r="K11" s="32"/>
      <c r="L11" s="32"/>
      <c r="M11" s="32"/>
      <c r="N11" s="2"/>
      <c r="O11" s="2"/>
      <c r="P11" s="32"/>
      <c r="Q11" s="32"/>
      <c r="R11" s="32"/>
      <c r="S11" s="3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2"/>
      <c r="B12" s="2"/>
      <c r="C12" s="10"/>
      <c r="D12" s="10"/>
      <c r="E12" s="32"/>
      <c r="F12" s="2"/>
      <c r="G12" s="69"/>
      <c r="H12" s="70"/>
      <c r="I12" s="69"/>
      <c r="J12" s="32"/>
      <c r="K12" s="32"/>
      <c r="L12" s="32"/>
      <c r="M12" s="32"/>
      <c r="N12" s="2"/>
      <c r="O12" s="2"/>
      <c r="P12" s="32"/>
      <c r="Q12" s="32"/>
      <c r="R12" s="32"/>
      <c r="S12" s="3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2"/>
      <c r="B13" s="2"/>
      <c r="C13" s="10"/>
      <c r="D13" s="2"/>
      <c r="E13" s="69"/>
      <c r="F13" s="23"/>
      <c r="G13" s="69"/>
      <c r="H13" s="70"/>
      <c r="I13" s="69"/>
      <c r="J13" s="32"/>
      <c r="K13" s="32"/>
      <c r="L13" s="32"/>
      <c r="M13" s="32"/>
      <c r="N13" s="2"/>
      <c r="O13" s="2"/>
      <c r="P13" s="32"/>
      <c r="Q13" s="32"/>
      <c r="R13" s="32"/>
      <c r="S13" s="3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2"/>
      <c r="B14" s="32"/>
      <c r="C14" s="10"/>
      <c r="D14" s="32"/>
      <c r="E14" s="69"/>
      <c r="F14" s="69"/>
      <c r="G14" s="69"/>
      <c r="H14" s="70"/>
      <c r="I14" s="69"/>
      <c r="J14" s="32"/>
      <c r="K14" s="32"/>
      <c r="L14" s="32"/>
      <c r="M14" s="32"/>
      <c r="N14" s="2"/>
      <c r="O14" s="2"/>
      <c r="P14" s="32"/>
      <c r="Q14" s="32"/>
      <c r="R14" s="32"/>
      <c r="S14" s="3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2"/>
      <c r="B15" s="10"/>
      <c r="C15" s="2"/>
      <c r="D15" s="32"/>
      <c r="E15" s="32"/>
      <c r="F15" s="32"/>
      <c r="G15" s="32"/>
      <c r="H15" s="75"/>
      <c r="I15" s="69"/>
      <c r="J15" s="32"/>
      <c r="K15" s="32"/>
      <c r="L15" s="32"/>
      <c r="M15" s="32"/>
      <c r="N15" s="2"/>
      <c r="O15" s="2"/>
      <c r="P15" s="32"/>
      <c r="Q15" s="32"/>
      <c r="R15" s="32"/>
      <c r="S15" s="3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2"/>
      <c r="B16" s="2"/>
      <c r="C16" s="10"/>
      <c r="D16" s="32"/>
      <c r="E16" s="32"/>
      <c r="F16" s="32"/>
      <c r="G16" s="69"/>
      <c r="H16" s="70"/>
      <c r="I16" s="69"/>
      <c r="J16" s="32"/>
      <c r="K16" s="32"/>
      <c r="L16" s="32"/>
      <c r="M16" s="32"/>
      <c r="N16" s="2"/>
      <c r="O16" s="2"/>
      <c r="P16" s="32"/>
      <c r="Q16" s="32"/>
      <c r="R16" s="32"/>
      <c r="S16" s="3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2"/>
      <c r="B17" s="32"/>
      <c r="C17" s="10"/>
      <c r="D17" s="32"/>
      <c r="E17" s="32"/>
      <c r="F17" s="32"/>
      <c r="G17" s="69"/>
      <c r="H17" s="70"/>
      <c r="I17" s="69"/>
      <c r="J17" s="32"/>
      <c r="K17" s="32"/>
      <c r="L17" s="32"/>
      <c r="M17" s="32"/>
      <c r="N17" s="2"/>
      <c r="O17" s="2"/>
      <c r="P17" s="32"/>
      <c r="Q17" s="32"/>
      <c r="R17" s="32"/>
      <c r="S17" s="3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2"/>
      <c r="B18" s="10"/>
      <c r="C18" s="72"/>
      <c r="D18" s="72"/>
      <c r="E18" s="32"/>
      <c r="F18" s="32"/>
      <c r="G18" s="32"/>
      <c r="H18" s="73"/>
      <c r="I18" s="69"/>
      <c r="J18" s="32"/>
      <c r="K18" s="32"/>
      <c r="L18" s="32"/>
      <c r="M18" s="32"/>
      <c r="N18" s="2"/>
      <c r="O18" s="2"/>
      <c r="P18" s="32"/>
      <c r="Q18" s="32"/>
      <c r="R18" s="32"/>
      <c r="S18" s="3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2"/>
      <c r="C19" s="10"/>
      <c r="D19" s="32"/>
      <c r="E19" s="69"/>
      <c r="F19" s="69"/>
      <c r="G19" s="69"/>
      <c r="H19" s="70"/>
      <c r="I19" s="69"/>
      <c r="J19" s="32"/>
      <c r="K19" s="32"/>
      <c r="L19" s="32"/>
      <c r="M19" s="32"/>
      <c r="N19" s="2"/>
      <c r="O19" s="2"/>
      <c r="P19" s="32"/>
      <c r="Q19" s="32"/>
      <c r="R19" s="32"/>
      <c r="S19" s="3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32"/>
      <c r="B20" s="2"/>
      <c r="C20" s="10"/>
      <c r="D20" s="2"/>
      <c r="E20" s="69"/>
      <c r="F20" s="69"/>
      <c r="G20" s="69"/>
      <c r="H20" s="70"/>
      <c r="I20" s="69"/>
      <c r="J20" s="32"/>
      <c r="K20" s="32"/>
      <c r="L20" s="32"/>
      <c r="M20" s="32"/>
      <c r="N20" s="2"/>
      <c r="O20" s="2"/>
      <c r="P20" s="32"/>
      <c r="Q20" s="32"/>
      <c r="R20" s="32"/>
      <c r="S20" s="3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32"/>
      <c r="B21" s="32"/>
      <c r="C21" s="10"/>
      <c r="D21" s="32"/>
      <c r="E21" s="32"/>
      <c r="F21" s="32"/>
      <c r="G21" s="69"/>
      <c r="H21" s="70"/>
      <c r="I21" s="69"/>
      <c r="J21" s="32"/>
      <c r="K21" s="32"/>
      <c r="L21" s="32"/>
      <c r="M21" s="32"/>
      <c r="N21" s="2"/>
      <c r="O21" s="2"/>
      <c r="P21" s="32"/>
      <c r="Q21" s="32"/>
      <c r="R21" s="32"/>
      <c r="S21" s="3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32"/>
      <c r="B22" s="10"/>
      <c r="C22" s="72"/>
      <c r="D22" s="72"/>
      <c r="E22" s="32"/>
      <c r="F22" s="32"/>
      <c r="G22" s="32"/>
      <c r="H22" s="70"/>
      <c r="I22" s="69"/>
      <c r="J22" s="32"/>
      <c r="K22" s="32"/>
      <c r="L22" s="32"/>
      <c r="M22" s="32"/>
      <c r="N22" s="2"/>
      <c r="O22" s="2"/>
      <c r="P22" s="32"/>
      <c r="Q22" s="32"/>
      <c r="R22" s="32"/>
      <c r="S22" s="3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32"/>
      <c r="C23" s="10"/>
      <c r="D23" s="32"/>
      <c r="E23" s="69"/>
      <c r="F23" s="69"/>
      <c r="G23" s="69"/>
      <c r="H23" s="70"/>
      <c r="I23" s="69"/>
      <c r="J23" s="32"/>
      <c r="K23" s="32"/>
      <c r="L23" s="32"/>
      <c r="M23" s="32"/>
      <c r="N23" s="2"/>
      <c r="O23" s="2"/>
      <c r="P23" s="32"/>
      <c r="Q23" s="32"/>
      <c r="R23" s="32"/>
      <c r="S23" s="3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10"/>
      <c r="D24" s="32"/>
      <c r="E24" s="69"/>
      <c r="F24" s="69"/>
      <c r="G24" s="69"/>
      <c r="H24" s="70"/>
      <c r="I24" s="69"/>
      <c r="J24" s="32"/>
      <c r="K24" s="32"/>
      <c r="L24" s="32"/>
      <c r="M24" s="32"/>
      <c r="N24" s="2"/>
      <c r="O24" s="2"/>
      <c r="P24" s="32"/>
      <c r="Q24" s="32"/>
      <c r="R24" s="32"/>
      <c r="S24" s="3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72"/>
      <c r="D25" s="72"/>
      <c r="E25" s="32"/>
      <c r="F25" s="32"/>
      <c r="G25" s="32"/>
      <c r="H25" s="70"/>
      <c r="I25" s="69"/>
      <c r="J25" s="32"/>
      <c r="K25" s="32"/>
      <c r="L25" s="32"/>
      <c r="M25" s="32"/>
      <c r="N25" s="2"/>
      <c r="O25" s="2"/>
      <c r="P25" s="32"/>
      <c r="Q25" s="32"/>
      <c r="R25" s="32"/>
      <c r="S25" s="3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32"/>
      <c r="C26" s="10"/>
      <c r="D26" s="2"/>
      <c r="E26" s="32"/>
      <c r="F26" s="32"/>
      <c r="G26" s="69"/>
      <c r="H26" s="70"/>
      <c r="I26" s="69"/>
      <c r="J26" s="32"/>
      <c r="K26" s="32"/>
      <c r="L26" s="32"/>
      <c r="M26" s="32"/>
      <c r="N26" s="2"/>
      <c r="O26" s="2"/>
      <c r="P26" s="32"/>
      <c r="Q26" s="32"/>
      <c r="R26" s="32"/>
      <c r="S26" s="3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32"/>
      <c r="C27" s="10"/>
      <c r="D27" s="32"/>
      <c r="E27" s="32"/>
      <c r="F27" s="32"/>
      <c r="G27" s="69"/>
      <c r="H27" s="70"/>
      <c r="I27" s="69"/>
      <c r="J27" s="32"/>
      <c r="K27" s="32"/>
      <c r="L27" s="32"/>
      <c r="M27" s="32"/>
      <c r="N27" s="2"/>
      <c r="O27" s="2"/>
      <c r="P27" s="32"/>
      <c r="Q27" s="32"/>
      <c r="R27" s="32"/>
      <c r="S27" s="3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10"/>
      <c r="D28" s="32"/>
      <c r="E28" s="32"/>
      <c r="F28" s="32"/>
      <c r="G28" s="69"/>
      <c r="H28" s="70"/>
      <c r="I28" s="69"/>
      <c r="J28" s="32"/>
      <c r="K28" s="32"/>
      <c r="L28" s="32"/>
      <c r="M28" s="32"/>
      <c r="N28" s="2"/>
      <c r="O28" s="2"/>
      <c r="P28" s="32"/>
      <c r="Q28" s="32"/>
      <c r="R28" s="32"/>
      <c r="S28" s="3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32"/>
      <c r="N29" s="2"/>
      <c r="O29" s="2"/>
      <c r="P29" s="32"/>
      <c r="Q29" s="32"/>
      <c r="R29" s="32"/>
      <c r="S29" s="3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32"/>
      <c r="N30" s="2"/>
      <c r="O30" s="2"/>
      <c r="P30" s="32"/>
      <c r="Q30" s="32"/>
      <c r="R30" s="32"/>
      <c r="S30" s="3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32"/>
      <c r="N31" s="2"/>
      <c r="O31" s="2"/>
      <c r="P31" s="32"/>
      <c r="Q31" s="32"/>
      <c r="R31" s="32"/>
      <c r="S31" s="3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32"/>
      <c r="N32" s="2"/>
      <c r="O32" s="2"/>
      <c r="P32" s="32"/>
      <c r="Q32" s="32"/>
      <c r="R32" s="32"/>
      <c r="S32" s="3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32"/>
      <c r="N33" s="2"/>
      <c r="O33" s="2"/>
      <c r="P33" s="32"/>
      <c r="Q33" s="32"/>
      <c r="R33" s="32"/>
      <c r="S33" s="3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32"/>
      <c r="N34" s="2"/>
      <c r="O34" s="2"/>
      <c r="P34" s="32"/>
      <c r="Q34" s="32"/>
      <c r="R34" s="32"/>
      <c r="S34" s="3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32"/>
      <c r="N35" s="2"/>
      <c r="O35" s="2"/>
      <c r="P35" s="32"/>
      <c r="Q35" s="32"/>
      <c r="R35" s="32"/>
      <c r="S35" s="3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32"/>
      <c r="N36" s="2"/>
      <c r="O36" s="2"/>
      <c r="P36" s="32"/>
      <c r="Q36" s="32"/>
      <c r="R36" s="32"/>
      <c r="S36" s="3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32"/>
      <c r="N37" s="2"/>
      <c r="O37" s="2"/>
      <c r="P37" s="32"/>
      <c r="Q37" s="32"/>
      <c r="R37" s="32"/>
      <c r="S37" s="3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32"/>
      <c r="N38" s="2"/>
      <c r="O38" s="2"/>
      <c r="P38" s="32"/>
      <c r="Q38" s="32"/>
      <c r="R38" s="32"/>
      <c r="S38" s="3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32"/>
      <c r="L39" s="69"/>
      <c r="M39" s="32"/>
      <c r="N39" s="2"/>
      <c r="O39" s="2"/>
      <c r="P39" s="32"/>
      <c r="Q39" s="32"/>
      <c r="R39" s="32"/>
      <c r="S39" s="3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32"/>
      <c r="L40" s="69"/>
      <c r="M40" s="32"/>
      <c r="N40" s="2"/>
      <c r="O40" s="2"/>
      <c r="P40" s="32"/>
      <c r="Q40" s="32"/>
      <c r="R40" s="32"/>
      <c r="S40" s="3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32"/>
      <c r="N41" s="2"/>
      <c r="O41" s="2"/>
      <c r="P41" s="32"/>
      <c r="Q41" s="32"/>
      <c r="R41" s="32"/>
      <c r="S41" s="3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32"/>
      <c r="N42" s="2"/>
      <c r="O42" s="2"/>
      <c r="P42" s="32"/>
      <c r="Q42" s="32"/>
      <c r="R42" s="32"/>
      <c r="S42" s="3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32"/>
      <c r="N43" s="2"/>
      <c r="O43" s="2"/>
      <c r="P43" s="32"/>
      <c r="Q43" s="32"/>
      <c r="R43" s="32"/>
      <c r="S43" s="3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32"/>
      <c r="N44" s="2"/>
      <c r="O44" s="2"/>
      <c r="P44" s="32"/>
      <c r="Q44" s="32"/>
      <c r="R44" s="32"/>
      <c r="S44" s="3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32"/>
      <c r="L45" s="69"/>
      <c r="M45" s="32"/>
      <c r="N45" s="2"/>
      <c r="O45" s="2"/>
      <c r="P45" s="32"/>
      <c r="Q45" s="32"/>
      <c r="R45" s="32"/>
      <c r="S45" s="3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32"/>
      <c r="N46" s="2"/>
      <c r="O46" s="2"/>
      <c r="P46" s="32"/>
      <c r="Q46" s="32"/>
      <c r="R46" s="32"/>
      <c r="S46" s="3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32"/>
      <c r="N47" s="2"/>
      <c r="O47" s="2"/>
      <c r="P47" s="32"/>
      <c r="Q47" s="32"/>
      <c r="R47" s="32"/>
      <c r="S47" s="3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32"/>
      <c r="N48" s="2"/>
      <c r="O48" s="2"/>
      <c r="P48" s="32"/>
      <c r="Q48" s="32"/>
      <c r="R48" s="32"/>
      <c r="S48" s="3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32"/>
      <c r="N49" s="2"/>
      <c r="O49" s="2"/>
      <c r="P49" s="32"/>
      <c r="Q49" s="32"/>
      <c r="R49" s="32"/>
      <c r="S49" s="3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32"/>
      <c r="N50" s="2"/>
      <c r="O50" s="2"/>
      <c r="P50" s="32"/>
      <c r="Q50" s="32"/>
      <c r="R50" s="32"/>
      <c r="S50" s="3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32"/>
      <c r="N51" s="2"/>
      <c r="O51" s="2"/>
      <c r="P51" s="32"/>
      <c r="Q51" s="32"/>
      <c r="R51" s="32"/>
      <c r="S51" s="3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32"/>
      <c r="N52" s="2"/>
      <c r="O52" s="2"/>
      <c r="P52" s="32"/>
      <c r="Q52" s="32"/>
      <c r="R52" s="32"/>
      <c r="S52" s="3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32"/>
      <c r="N53" s="2"/>
      <c r="O53" s="2"/>
      <c r="P53" s="32"/>
      <c r="Q53" s="32"/>
      <c r="R53" s="32"/>
      <c r="S53" s="3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32"/>
      <c r="N54" s="2"/>
      <c r="O54" s="2"/>
      <c r="P54" s="32"/>
      <c r="Q54" s="32"/>
      <c r="R54" s="32"/>
      <c r="S54" s="3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32"/>
      <c r="N55" s="2"/>
      <c r="O55" s="2"/>
      <c r="P55" s="32"/>
      <c r="Q55" s="32"/>
      <c r="R55" s="32"/>
      <c r="S55" s="3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69"/>
      <c r="M56" s="32"/>
      <c r="N56" s="2"/>
      <c r="O56" s="2"/>
      <c r="P56" s="32"/>
      <c r="Q56" s="32"/>
      <c r="R56" s="32"/>
      <c r="S56" s="3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69"/>
      <c r="M57" s="32"/>
      <c r="N57" s="2"/>
      <c r="O57" s="2"/>
      <c r="P57" s="32"/>
      <c r="Q57" s="32"/>
      <c r="R57" s="32"/>
      <c r="S57" s="3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32"/>
      <c r="N58" s="2"/>
      <c r="O58" s="2"/>
      <c r="P58" s="32"/>
      <c r="Q58" s="32"/>
      <c r="R58" s="32"/>
      <c r="S58" s="3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32"/>
      <c r="N59" s="2"/>
      <c r="O59" s="2"/>
      <c r="P59" s="32"/>
      <c r="Q59" s="32"/>
      <c r="R59" s="32"/>
      <c r="S59" s="3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69"/>
      <c r="M60" s="32"/>
      <c r="N60" s="2"/>
      <c r="O60" s="2"/>
      <c r="P60" s="32"/>
      <c r="Q60" s="32"/>
      <c r="R60" s="32"/>
      <c r="S60" s="3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32"/>
      <c r="N61" s="2"/>
      <c r="O61" s="2"/>
      <c r="P61" s="32"/>
      <c r="Q61" s="32"/>
      <c r="R61" s="32"/>
      <c r="S61" s="3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69"/>
      <c r="M62" s="32"/>
      <c r="N62" s="2"/>
      <c r="O62" s="2"/>
      <c r="P62" s="32"/>
      <c r="Q62" s="32"/>
      <c r="R62" s="32"/>
      <c r="S62" s="3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69"/>
      <c r="M63" s="32"/>
      <c r="N63" s="2"/>
      <c r="O63" s="2"/>
      <c r="P63" s="32"/>
      <c r="Q63" s="32"/>
      <c r="R63" s="32"/>
      <c r="S63" s="3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69"/>
      <c r="M64" s="32"/>
      <c r="N64" s="2"/>
      <c r="O64" s="2"/>
      <c r="P64" s="32"/>
      <c r="Q64" s="32"/>
      <c r="R64" s="32"/>
      <c r="S64" s="3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32"/>
      <c r="N65" s="2"/>
      <c r="O65" s="2"/>
      <c r="P65" s="32"/>
      <c r="Q65" s="32"/>
      <c r="R65" s="32"/>
      <c r="S65" s="3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32"/>
      <c r="N66" s="2"/>
      <c r="O66" s="2"/>
      <c r="P66" s="32"/>
      <c r="Q66" s="32"/>
      <c r="R66" s="32"/>
      <c r="S66" s="3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69"/>
      <c r="M67" s="32"/>
      <c r="N67" s="2"/>
      <c r="O67" s="2"/>
      <c r="P67" s="32"/>
      <c r="Q67" s="32"/>
      <c r="R67" s="32"/>
      <c r="S67" s="3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69"/>
      <c r="M68" s="32"/>
      <c r="N68" s="2"/>
      <c r="O68" s="2"/>
      <c r="P68" s="32"/>
      <c r="Q68" s="32"/>
      <c r="R68" s="32"/>
      <c r="S68" s="3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69"/>
      <c r="M69" s="32"/>
      <c r="N69" s="2"/>
      <c r="O69" s="2"/>
      <c r="P69" s="32"/>
      <c r="Q69" s="32"/>
      <c r="R69" s="32"/>
      <c r="S69" s="3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69"/>
      <c r="M70" s="32"/>
      <c r="N70" s="2"/>
      <c r="O70" s="2"/>
      <c r="P70" s="32"/>
      <c r="Q70" s="32"/>
      <c r="R70" s="32"/>
      <c r="S70" s="3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32"/>
      <c r="N71" s="2"/>
      <c r="O71" s="2"/>
      <c r="P71" s="32"/>
      <c r="Q71" s="32"/>
      <c r="R71" s="32"/>
      <c r="S71" s="3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32"/>
      <c r="N72" s="2"/>
      <c r="O72" s="2"/>
      <c r="P72" s="32"/>
      <c r="Q72" s="32"/>
      <c r="R72" s="32"/>
      <c r="S72" s="3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69"/>
      <c r="M73" s="32"/>
      <c r="N73" s="2"/>
      <c r="O73" s="2"/>
      <c r="P73" s="32"/>
      <c r="Q73" s="32"/>
      <c r="R73" s="32"/>
      <c r="S73" s="3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32"/>
      <c r="N74" s="2"/>
      <c r="O74" s="2"/>
      <c r="P74" s="32"/>
      <c r="Q74" s="32"/>
      <c r="R74" s="32"/>
      <c r="S74" s="3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32"/>
      <c r="N75" s="2"/>
      <c r="O75" s="2"/>
      <c r="P75" s="32"/>
      <c r="Q75" s="32"/>
      <c r="R75" s="32"/>
      <c r="S75" s="3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32"/>
      <c r="N76" s="2"/>
      <c r="O76" s="2"/>
      <c r="P76" s="32"/>
      <c r="Q76" s="32"/>
      <c r="R76" s="32"/>
      <c r="S76" s="3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69"/>
      <c r="M77" s="32"/>
      <c r="N77" s="2"/>
      <c r="O77" s="2"/>
      <c r="P77" s="32"/>
      <c r="Q77" s="32"/>
      <c r="R77" s="32"/>
      <c r="S77" s="3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69"/>
      <c r="M78" s="32"/>
      <c r="N78" s="2"/>
      <c r="O78" s="2"/>
      <c r="P78" s="32"/>
      <c r="Q78" s="32"/>
      <c r="R78" s="32"/>
      <c r="S78" s="3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32"/>
      <c r="N79" s="2"/>
      <c r="O79" s="2"/>
      <c r="P79" s="32"/>
      <c r="Q79" s="32"/>
      <c r="R79" s="32"/>
      <c r="S79" s="3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32"/>
      <c r="N80" s="2"/>
      <c r="O80" s="2"/>
      <c r="P80" s="32"/>
      <c r="Q80" s="32"/>
      <c r="R80" s="32"/>
      <c r="S80" s="3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69"/>
      <c r="M81" s="32"/>
      <c r="N81" s="2"/>
      <c r="O81" s="2"/>
      <c r="P81" s="32"/>
      <c r="Q81" s="32"/>
      <c r="R81" s="32"/>
      <c r="S81" s="3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69"/>
      <c r="M82" s="32"/>
      <c r="N82" s="2"/>
      <c r="O82" s="2"/>
      <c r="P82" s="32"/>
      <c r="Q82" s="32"/>
      <c r="R82" s="32"/>
      <c r="S82" s="3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32"/>
      <c r="N83" s="2"/>
      <c r="O83" s="2"/>
      <c r="P83" s="32"/>
      <c r="Q83" s="32"/>
      <c r="R83" s="32"/>
      <c r="S83" s="3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32"/>
      <c r="N84" s="2"/>
      <c r="O84" s="2"/>
      <c r="P84" s="32"/>
      <c r="Q84" s="32"/>
      <c r="R84" s="32"/>
      <c r="S84" s="3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69"/>
      <c r="M85" s="32"/>
      <c r="N85" s="2"/>
      <c r="O85" s="2"/>
      <c r="P85" s="32"/>
      <c r="Q85" s="32"/>
      <c r="R85" s="32"/>
      <c r="S85" s="3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69"/>
      <c r="M86" s="32"/>
      <c r="N86" s="2"/>
      <c r="O86" s="2"/>
      <c r="P86" s="32"/>
      <c r="Q86" s="32"/>
      <c r="R86" s="32"/>
      <c r="S86" s="3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32"/>
      <c r="N87" s="2"/>
      <c r="O87" s="2"/>
      <c r="P87" s="32"/>
      <c r="Q87" s="32"/>
      <c r="R87" s="32"/>
      <c r="S87" s="3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32"/>
      <c r="N88" s="2"/>
      <c r="O88" s="2"/>
      <c r="P88" s="32"/>
      <c r="Q88" s="32"/>
      <c r="R88" s="32"/>
      <c r="S88" s="3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69"/>
      <c r="M89" s="32"/>
      <c r="N89" s="2"/>
      <c r="O89" s="2"/>
      <c r="P89" s="32"/>
      <c r="Q89" s="32"/>
      <c r="R89" s="32"/>
      <c r="S89" s="3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32"/>
      <c r="N90" s="2"/>
      <c r="O90" s="2"/>
      <c r="P90" s="32"/>
      <c r="Q90" s="32"/>
      <c r="R90" s="32"/>
      <c r="S90" s="3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32"/>
      <c r="N91" s="2"/>
      <c r="O91" s="2"/>
      <c r="P91" s="32"/>
      <c r="Q91" s="32"/>
      <c r="R91" s="32"/>
      <c r="S91" s="3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69"/>
      <c r="M92" s="32"/>
      <c r="N92" s="2"/>
      <c r="O92" s="2"/>
      <c r="P92" s="32"/>
      <c r="Q92" s="32"/>
      <c r="R92" s="32"/>
      <c r="S92" s="3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69"/>
      <c r="M93" s="32"/>
      <c r="N93" s="2"/>
      <c r="O93" s="2"/>
      <c r="P93" s="32"/>
      <c r="Q93" s="32"/>
      <c r="R93" s="32"/>
      <c r="S93" s="3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32"/>
      <c r="N94" s="2"/>
      <c r="O94" s="2"/>
      <c r="P94" s="32"/>
      <c r="Q94" s="32"/>
      <c r="R94" s="32"/>
      <c r="S94" s="3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32"/>
      <c r="N95" s="2"/>
      <c r="O95" s="2"/>
      <c r="P95" s="32"/>
      <c r="Q95" s="32"/>
      <c r="R95" s="32"/>
      <c r="S95" s="3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32"/>
      <c r="N96" s="2"/>
      <c r="O96" s="2"/>
      <c r="P96" s="32"/>
      <c r="Q96" s="32"/>
      <c r="R96" s="32"/>
      <c r="S96" s="3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69"/>
      <c r="M97" s="32"/>
      <c r="N97" s="2"/>
      <c r="O97" s="2"/>
      <c r="P97" s="32"/>
      <c r="Q97" s="32"/>
      <c r="R97" s="32"/>
      <c r="S97" s="3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32"/>
      <c r="N98" s="2"/>
      <c r="O98" s="2"/>
      <c r="P98" s="32"/>
      <c r="Q98" s="32"/>
      <c r="R98" s="32"/>
      <c r="S98" s="3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32"/>
      <c r="N99" s="2"/>
      <c r="O99" s="2"/>
      <c r="P99" s="32"/>
      <c r="Q99" s="32"/>
      <c r="R99" s="32"/>
      <c r="S99" s="3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69"/>
      <c r="M100" s="32"/>
      <c r="N100" s="2"/>
      <c r="O100" s="2"/>
      <c r="P100" s="32"/>
      <c r="Q100" s="32"/>
      <c r="R100" s="32"/>
      <c r="S100" s="3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69"/>
      <c r="M101" s="32"/>
      <c r="N101" s="2"/>
      <c r="O101" s="2"/>
      <c r="P101" s="32"/>
      <c r="Q101" s="32"/>
      <c r="R101" s="32"/>
      <c r="S101" s="3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>
        <f>SUM(J2:J100)</f>
        <v>60.327927913500005</v>
      </c>
      <c r="K102" s="32"/>
      <c r="L102" s="32"/>
      <c r="M102" s="32"/>
      <c r="N102" s="2"/>
      <c r="O102" s="2"/>
      <c r="P102" s="32"/>
      <c r="Q102" s="32"/>
      <c r="R102" s="32"/>
      <c r="S102" s="3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32"/>
      <c r="N103" s="2"/>
      <c r="O103" s="2"/>
      <c r="P103" s="32"/>
      <c r="Q103" s="32"/>
      <c r="R103" s="32"/>
      <c r="S103" s="3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32"/>
      <c r="N104" s="2"/>
      <c r="O104" s="2"/>
      <c r="P104" s="32"/>
      <c r="Q104" s="32"/>
      <c r="R104" s="32"/>
      <c r="S104" s="3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32"/>
      <c r="N105" s="2"/>
      <c r="O105" s="2"/>
      <c r="P105" s="32"/>
      <c r="Q105" s="32"/>
      <c r="R105" s="32"/>
      <c r="S105" s="3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32"/>
      <c r="N106" s="2"/>
      <c r="O106" s="2"/>
      <c r="P106" s="32"/>
      <c r="Q106" s="32"/>
      <c r="R106" s="32"/>
      <c r="S106" s="3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32"/>
      <c r="N107" s="2"/>
      <c r="O107" s="2"/>
      <c r="P107" s="32"/>
      <c r="Q107" s="32"/>
      <c r="R107" s="32"/>
      <c r="S107" s="3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69"/>
      <c r="M108" s="32"/>
      <c r="N108" s="2"/>
      <c r="O108" s="2"/>
      <c r="P108" s="32"/>
      <c r="Q108" s="32"/>
      <c r="R108" s="32"/>
      <c r="S108" s="3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69"/>
      <c r="M109" s="32"/>
      <c r="N109" s="2"/>
      <c r="O109" s="2"/>
      <c r="P109" s="32"/>
      <c r="Q109" s="32"/>
      <c r="R109" s="32"/>
      <c r="S109" s="3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32"/>
      <c r="N110" s="2"/>
      <c r="O110" s="2"/>
      <c r="P110" s="32"/>
      <c r="Q110" s="32"/>
      <c r="R110" s="32"/>
      <c r="S110" s="3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69"/>
      <c r="M111" s="32"/>
      <c r="N111" s="2"/>
      <c r="O111" s="2"/>
      <c r="P111" s="32"/>
      <c r="Q111" s="32"/>
      <c r="R111" s="32"/>
      <c r="S111" s="3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32"/>
      <c r="N112" s="2"/>
      <c r="O112" s="2"/>
      <c r="P112" s="32"/>
      <c r="Q112" s="32"/>
      <c r="R112" s="32"/>
      <c r="S112" s="3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69"/>
      <c r="M113" s="32"/>
      <c r="N113" s="2"/>
      <c r="O113" s="2"/>
      <c r="P113" s="32"/>
      <c r="Q113" s="32"/>
      <c r="R113" s="32"/>
      <c r="S113" s="3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32"/>
      <c r="N114" s="2"/>
      <c r="O114" s="2"/>
      <c r="P114" s="32"/>
      <c r="Q114" s="32"/>
      <c r="R114" s="32"/>
      <c r="S114" s="3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32"/>
      <c r="N115" s="2"/>
      <c r="O115" s="2"/>
      <c r="P115" s="32"/>
      <c r="Q115" s="32"/>
      <c r="R115" s="32"/>
      <c r="S115" s="3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69"/>
      <c r="M116" s="32"/>
      <c r="N116" s="2"/>
      <c r="O116" s="2"/>
      <c r="P116" s="32"/>
      <c r="Q116" s="32"/>
      <c r="R116" s="32"/>
      <c r="S116" s="3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69"/>
      <c r="M117" s="32"/>
      <c r="N117" s="2"/>
      <c r="O117" s="2"/>
      <c r="P117" s="32"/>
      <c r="Q117" s="32"/>
      <c r="R117" s="32"/>
      <c r="S117" s="3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69"/>
      <c r="M118" s="32"/>
      <c r="N118" s="2"/>
      <c r="O118" s="2"/>
      <c r="P118" s="32"/>
      <c r="Q118" s="32"/>
      <c r="R118" s="32"/>
      <c r="S118" s="3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32"/>
      <c r="N119" s="2"/>
      <c r="O119" s="2"/>
      <c r="P119" s="32"/>
      <c r="Q119" s="32"/>
      <c r="R119" s="32"/>
      <c r="S119" s="3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32"/>
      <c r="N120" s="2"/>
      <c r="O120" s="2"/>
      <c r="P120" s="32"/>
      <c r="Q120" s="32"/>
      <c r="R120" s="32"/>
      <c r="S120" s="3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32"/>
      <c r="N121" s="2"/>
      <c r="O121" s="2"/>
      <c r="P121" s="32"/>
      <c r="Q121" s="32"/>
      <c r="R121" s="32"/>
      <c r="S121" s="3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69"/>
      <c r="M122" s="32"/>
      <c r="N122" s="2"/>
      <c r="O122" s="2"/>
      <c r="P122" s="32"/>
      <c r="Q122" s="32"/>
      <c r="R122" s="32"/>
      <c r="S122" s="3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69"/>
      <c r="M123" s="32"/>
      <c r="N123" s="2"/>
      <c r="O123" s="2"/>
      <c r="P123" s="32"/>
      <c r="Q123" s="32"/>
      <c r="R123" s="32"/>
      <c r="S123" s="3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69"/>
      <c r="M124" s="32"/>
      <c r="N124" s="2"/>
      <c r="O124" s="2"/>
      <c r="P124" s="32"/>
      <c r="Q124" s="32"/>
      <c r="R124" s="32"/>
      <c r="S124" s="3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32"/>
      <c r="N125" s="2"/>
      <c r="O125" s="2"/>
      <c r="P125" s="32"/>
      <c r="Q125" s="32"/>
      <c r="R125" s="32"/>
      <c r="S125" s="3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32"/>
      <c r="N126" s="2"/>
      <c r="O126" s="2"/>
      <c r="P126" s="32"/>
      <c r="Q126" s="32"/>
      <c r="R126" s="32"/>
      <c r="S126" s="3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32"/>
      <c r="N127" s="2"/>
      <c r="O127" s="2"/>
      <c r="P127" s="32"/>
      <c r="Q127" s="32"/>
      <c r="R127" s="32"/>
      <c r="S127" s="3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69"/>
      <c r="M128" s="32"/>
      <c r="N128" s="2"/>
      <c r="O128" s="2"/>
      <c r="P128" s="32"/>
      <c r="Q128" s="32"/>
      <c r="R128" s="32"/>
      <c r="S128" s="3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32"/>
      <c r="N129" s="2"/>
      <c r="O129" s="2"/>
      <c r="P129" s="32"/>
      <c r="Q129" s="32"/>
      <c r="R129" s="32"/>
      <c r="S129" s="3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69"/>
      <c r="M130" s="32"/>
      <c r="N130" s="2"/>
      <c r="O130" s="2"/>
      <c r="P130" s="32"/>
      <c r="Q130" s="32"/>
      <c r="R130" s="32"/>
      <c r="S130" s="3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69"/>
      <c r="M131" s="32"/>
      <c r="N131" s="2"/>
      <c r="O131" s="2"/>
      <c r="P131" s="32"/>
      <c r="Q131" s="32"/>
      <c r="R131" s="32"/>
      <c r="S131" s="3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32"/>
      <c r="N132" s="2"/>
      <c r="O132" s="2"/>
      <c r="P132" s="32"/>
      <c r="Q132" s="32"/>
      <c r="R132" s="32"/>
      <c r="S132" s="3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69"/>
      <c r="M133" s="32"/>
      <c r="N133" s="2"/>
      <c r="O133" s="2"/>
      <c r="P133" s="32"/>
      <c r="Q133" s="32"/>
      <c r="R133" s="32"/>
      <c r="S133" s="3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32"/>
      <c r="N134" s="2"/>
      <c r="O134" s="2"/>
      <c r="P134" s="32"/>
      <c r="Q134" s="32"/>
      <c r="R134" s="32"/>
      <c r="S134" s="3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32"/>
      <c r="N135" s="2"/>
      <c r="O135" s="2"/>
      <c r="P135" s="32"/>
      <c r="Q135" s="32"/>
      <c r="R135" s="32"/>
      <c r="S135" s="3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32"/>
      <c r="N136" s="2"/>
      <c r="O136" s="2"/>
      <c r="P136" s="32"/>
      <c r="Q136" s="32"/>
      <c r="R136" s="32"/>
      <c r="S136" s="3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32"/>
      <c r="N137" s="2"/>
      <c r="O137" s="2"/>
      <c r="P137" s="32"/>
      <c r="Q137" s="32"/>
      <c r="R137" s="32"/>
      <c r="S137" s="3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32"/>
      <c r="N138" s="2"/>
      <c r="O138" s="2"/>
      <c r="P138" s="32"/>
      <c r="Q138" s="32"/>
      <c r="R138" s="32"/>
      <c r="S138" s="3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32"/>
      <c r="N139" s="2"/>
      <c r="O139" s="2"/>
      <c r="P139" s="32"/>
      <c r="Q139" s="32"/>
      <c r="R139" s="32"/>
      <c r="S139" s="3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32"/>
      <c r="N140" s="2"/>
      <c r="O140" s="2"/>
      <c r="P140" s="32"/>
      <c r="Q140" s="32"/>
      <c r="R140" s="32"/>
      <c r="S140" s="3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32"/>
      <c r="N141" s="2"/>
      <c r="O141" s="2"/>
      <c r="P141" s="32"/>
      <c r="Q141" s="32"/>
      <c r="R141" s="32"/>
      <c r="S141" s="3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32"/>
      <c r="N142" s="2"/>
      <c r="O142" s="2"/>
      <c r="P142" s="32"/>
      <c r="Q142" s="32"/>
      <c r="R142" s="32"/>
      <c r="S142" s="3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32"/>
      <c r="N143" s="2"/>
      <c r="O143" s="2"/>
      <c r="P143" s="32"/>
      <c r="Q143" s="32"/>
      <c r="R143" s="32"/>
      <c r="S143" s="3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69"/>
      <c r="M144" s="32"/>
      <c r="N144" s="2"/>
      <c r="O144" s="2"/>
      <c r="P144" s="32"/>
      <c r="Q144" s="32"/>
      <c r="R144" s="32"/>
      <c r="S144" s="3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32"/>
      <c r="N145" s="2"/>
      <c r="O145" s="2"/>
      <c r="P145" s="32"/>
      <c r="Q145" s="32"/>
      <c r="R145" s="32"/>
      <c r="S145" s="3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69"/>
      <c r="M146" s="32"/>
      <c r="N146" s="2"/>
      <c r="O146" s="2"/>
      <c r="P146" s="32"/>
      <c r="Q146" s="32"/>
      <c r="R146" s="32"/>
      <c r="S146" s="3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32"/>
      <c r="N147" s="2"/>
      <c r="O147" s="2"/>
      <c r="P147" s="32"/>
      <c r="Q147" s="32"/>
      <c r="R147" s="32"/>
      <c r="S147" s="3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32"/>
      <c r="N148" s="2"/>
      <c r="O148" s="2"/>
      <c r="P148" s="32"/>
      <c r="Q148" s="32"/>
      <c r="R148" s="32"/>
      <c r="S148" s="3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32"/>
      <c r="N149" s="2"/>
      <c r="O149" s="2"/>
      <c r="P149" s="32"/>
      <c r="Q149" s="32"/>
      <c r="R149" s="32"/>
      <c r="S149" s="3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32"/>
      <c r="N150" s="2"/>
      <c r="O150" s="2"/>
      <c r="P150" s="32"/>
      <c r="Q150" s="32"/>
      <c r="R150" s="32"/>
      <c r="S150" s="3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32"/>
      <c r="N151" s="2"/>
      <c r="O151" s="2"/>
      <c r="P151" s="32"/>
      <c r="Q151" s="32"/>
      <c r="R151" s="32"/>
      <c r="S151" s="3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32"/>
      <c r="N152" s="2"/>
      <c r="O152" s="2"/>
      <c r="P152" s="32"/>
      <c r="Q152" s="32"/>
      <c r="R152" s="32"/>
      <c r="S152" s="3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32"/>
      <c r="N153" s="2"/>
      <c r="O153" s="2"/>
      <c r="P153" s="32"/>
      <c r="Q153" s="32"/>
      <c r="R153" s="32"/>
      <c r="S153" s="3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69"/>
      <c r="M154" s="32"/>
      <c r="N154" s="2"/>
      <c r="O154" s="2"/>
      <c r="P154" s="32"/>
      <c r="Q154" s="32"/>
      <c r="R154" s="32"/>
      <c r="S154" s="3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32"/>
      <c r="N155" s="2"/>
      <c r="O155" s="2"/>
      <c r="P155" s="32"/>
      <c r="Q155" s="32"/>
      <c r="R155" s="32"/>
      <c r="S155" s="3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32"/>
      <c r="N156" s="2"/>
      <c r="O156" s="2"/>
      <c r="P156" s="32"/>
      <c r="Q156" s="32"/>
      <c r="R156" s="32"/>
      <c r="S156" s="3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32"/>
      <c r="N157" s="2"/>
      <c r="O157" s="2"/>
      <c r="P157" s="32"/>
      <c r="Q157" s="32"/>
      <c r="R157" s="32"/>
      <c r="S157" s="3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32"/>
      <c r="N158" s="2"/>
      <c r="O158" s="2"/>
      <c r="P158" s="32"/>
      <c r="Q158" s="32"/>
      <c r="R158" s="32"/>
      <c r="S158" s="3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32"/>
      <c r="N159" s="2"/>
      <c r="O159" s="2"/>
      <c r="P159" s="32"/>
      <c r="Q159" s="32"/>
      <c r="R159" s="32"/>
      <c r="S159" s="3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32"/>
      <c r="N160" s="2"/>
      <c r="O160" s="2"/>
      <c r="P160" s="32"/>
      <c r="Q160" s="32"/>
      <c r="R160" s="32"/>
      <c r="S160" s="3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32"/>
      <c r="N161" s="2"/>
      <c r="O161" s="2"/>
      <c r="P161" s="32"/>
      <c r="Q161" s="32"/>
      <c r="R161" s="32"/>
      <c r="S161" s="3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69"/>
      <c r="M162" s="32"/>
      <c r="N162" s="2"/>
      <c r="O162" s="2"/>
      <c r="P162" s="32"/>
      <c r="Q162" s="32"/>
      <c r="R162" s="32"/>
      <c r="S162" s="3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32"/>
      <c r="N163" s="2"/>
      <c r="O163" s="2"/>
      <c r="P163" s="32"/>
      <c r="Q163" s="32"/>
      <c r="R163" s="32"/>
      <c r="S163" s="3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32"/>
      <c r="N164" s="2"/>
      <c r="O164" s="2"/>
      <c r="P164" s="32"/>
      <c r="Q164" s="32"/>
      <c r="R164" s="32"/>
      <c r="S164" s="3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32"/>
      <c r="N165" s="2"/>
      <c r="O165" s="2"/>
      <c r="P165" s="32"/>
      <c r="Q165" s="32"/>
      <c r="R165" s="32"/>
      <c r="S165" s="3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32"/>
      <c r="N166" s="2"/>
      <c r="O166" s="2"/>
      <c r="P166" s="32"/>
      <c r="Q166" s="32"/>
      <c r="R166" s="32"/>
      <c r="S166" s="3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32"/>
      <c r="N167" s="2"/>
      <c r="O167" s="2"/>
      <c r="P167" s="32"/>
      <c r="Q167" s="32"/>
      <c r="R167" s="32"/>
      <c r="S167" s="3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32"/>
      <c r="N168" s="2"/>
      <c r="O168" s="2"/>
      <c r="P168" s="32"/>
      <c r="Q168" s="32"/>
      <c r="R168" s="32"/>
      <c r="S168" s="3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32"/>
      <c r="N169" s="2"/>
      <c r="O169" s="2"/>
      <c r="P169" s="32"/>
      <c r="Q169" s="32"/>
      <c r="R169" s="32"/>
      <c r="S169" s="3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32"/>
      <c r="N170" s="2"/>
      <c r="O170" s="2"/>
      <c r="P170" s="32"/>
      <c r="Q170" s="32"/>
      <c r="R170" s="32"/>
      <c r="S170" s="3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32"/>
      <c r="N171" s="2"/>
      <c r="O171" s="2"/>
      <c r="P171" s="32"/>
      <c r="Q171" s="32"/>
      <c r="R171" s="32"/>
      <c r="S171" s="3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32"/>
      <c r="N172" s="2"/>
      <c r="O172" s="2"/>
      <c r="P172" s="32"/>
      <c r="Q172" s="32"/>
      <c r="R172" s="32"/>
      <c r="S172" s="3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32"/>
      <c r="N173" s="2"/>
      <c r="O173" s="2"/>
      <c r="P173" s="32"/>
      <c r="Q173" s="32"/>
      <c r="R173" s="32"/>
      <c r="S173" s="3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32"/>
      <c r="N174" s="2"/>
      <c r="O174" s="2"/>
      <c r="P174" s="32"/>
      <c r="Q174" s="32"/>
      <c r="R174" s="32"/>
      <c r="S174" s="3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32"/>
      <c r="N175" s="2"/>
      <c r="O175" s="2"/>
      <c r="P175" s="32"/>
      <c r="Q175" s="32"/>
      <c r="R175" s="32"/>
      <c r="S175" s="3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32"/>
      <c r="N176" s="2"/>
      <c r="O176" s="2"/>
      <c r="P176" s="32"/>
      <c r="Q176" s="32"/>
      <c r="R176" s="32"/>
      <c r="S176" s="3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32"/>
      <c r="N177" s="2"/>
      <c r="O177" s="2"/>
      <c r="P177" s="32"/>
      <c r="Q177" s="32"/>
      <c r="R177" s="32"/>
      <c r="S177" s="3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32"/>
      <c r="N178" s="2"/>
      <c r="O178" s="2"/>
      <c r="P178" s="32"/>
      <c r="Q178" s="32"/>
      <c r="R178" s="32"/>
      <c r="S178" s="3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32"/>
      <c r="N179" s="2"/>
      <c r="O179" s="2"/>
      <c r="P179" s="32"/>
      <c r="Q179" s="32"/>
      <c r="R179" s="32"/>
      <c r="S179" s="3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32"/>
      <c r="N180" s="2"/>
      <c r="O180" s="2"/>
      <c r="P180" s="32"/>
      <c r="Q180" s="32"/>
      <c r="R180" s="32"/>
      <c r="S180" s="3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32"/>
      <c r="N181" s="2"/>
      <c r="O181" s="2"/>
      <c r="P181" s="32"/>
      <c r="Q181" s="32"/>
      <c r="R181" s="32"/>
      <c r="S181" s="3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69"/>
      <c r="M182" s="32"/>
      <c r="N182" s="2"/>
      <c r="O182" s="2"/>
      <c r="P182" s="32"/>
      <c r="Q182" s="32"/>
      <c r="R182" s="32"/>
      <c r="S182" s="3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69"/>
      <c r="M183" s="32"/>
      <c r="N183" s="2"/>
      <c r="O183" s="2"/>
      <c r="P183" s="32"/>
      <c r="Q183" s="32"/>
      <c r="R183" s="32"/>
      <c r="S183" s="3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69"/>
      <c r="M184" s="32"/>
      <c r="N184" s="2"/>
      <c r="O184" s="2"/>
      <c r="P184" s="32"/>
      <c r="Q184" s="32"/>
      <c r="R184" s="32"/>
      <c r="S184" s="3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69"/>
      <c r="M185" s="32"/>
      <c r="N185" s="2"/>
      <c r="O185" s="2"/>
      <c r="P185" s="32"/>
      <c r="Q185" s="32"/>
      <c r="R185" s="32"/>
      <c r="S185" s="3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32"/>
      <c r="N186" s="2"/>
      <c r="O186" s="2"/>
      <c r="P186" s="32"/>
      <c r="Q186" s="32"/>
      <c r="R186" s="32"/>
      <c r="S186" s="3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32"/>
      <c r="N187" s="2"/>
      <c r="O187" s="2"/>
      <c r="P187" s="32"/>
      <c r="Q187" s="32"/>
      <c r="R187" s="32"/>
      <c r="S187" s="3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32"/>
      <c r="N188" s="2"/>
      <c r="O188" s="2"/>
      <c r="P188" s="32"/>
      <c r="Q188" s="32"/>
      <c r="R188" s="32"/>
      <c r="S188" s="3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32"/>
      <c r="N189" s="2"/>
      <c r="O189" s="2"/>
      <c r="P189" s="32"/>
      <c r="Q189" s="32"/>
      <c r="R189" s="32"/>
      <c r="S189" s="3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32"/>
      <c r="N190" s="2"/>
      <c r="O190" s="2"/>
      <c r="P190" s="32"/>
      <c r="Q190" s="32"/>
      <c r="R190" s="32"/>
      <c r="S190" s="3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32"/>
      <c r="N191" s="2"/>
      <c r="O191" s="2"/>
      <c r="P191" s="32"/>
      <c r="Q191" s="32"/>
      <c r="R191" s="32"/>
      <c r="S191" s="3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69"/>
      <c r="M192" s="32"/>
      <c r="N192" s="2"/>
      <c r="O192" s="2"/>
      <c r="P192" s="32"/>
      <c r="Q192" s="32"/>
      <c r="R192" s="32"/>
      <c r="S192" s="3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69"/>
      <c r="M193" s="32"/>
      <c r="N193" s="2"/>
      <c r="O193" s="2"/>
      <c r="P193" s="32"/>
      <c r="Q193" s="32"/>
      <c r="R193" s="32"/>
      <c r="S193" s="3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32"/>
      <c r="N194" s="2"/>
      <c r="O194" s="2"/>
      <c r="P194" s="32"/>
      <c r="Q194" s="32"/>
      <c r="R194" s="32"/>
      <c r="S194" s="3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32"/>
      <c r="N195" s="2"/>
      <c r="O195" s="2"/>
      <c r="P195" s="32"/>
      <c r="Q195" s="32"/>
      <c r="R195" s="32"/>
      <c r="S195" s="3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32"/>
      <c r="N196" s="2"/>
      <c r="O196" s="2"/>
      <c r="P196" s="32"/>
      <c r="Q196" s="32"/>
      <c r="R196" s="32"/>
      <c r="S196" s="3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32"/>
      <c r="N197" s="2"/>
      <c r="O197" s="2"/>
      <c r="P197" s="32"/>
      <c r="Q197" s="32"/>
      <c r="R197" s="32"/>
      <c r="S197" s="3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32"/>
      <c r="N198" s="2"/>
      <c r="O198" s="2"/>
      <c r="P198" s="32"/>
      <c r="Q198" s="32"/>
      <c r="R198" s="32"/>
      <c r="S198" s="3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32"/>
      <c r="N199" s="2"/>
      <c r="O199" s="2"/>
      <c r="P199" s="32"/>
      <c r="Q199" s="32"/>
      <c r="R199" s="32"/>
      <c r="S199" s="3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69"/>
      <c r="M200" s="32"/>
      <c r="N200" s="2"/>
      <c r="O200" s="2"/>
      <c r="P200" s="32"/>
      <c r="Q200" s="32"/>
      <c r="R200" s="32"/>
      <c r="S200" s="3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32"/>
      <c r="N201" s="2"/>
      <c r="O201" s="2"/>
      <c r="P201" s="32"/>
      <c r="Q201" s="32"/>
      <c r="R201" s="32"/>
      <c r="S201" s="3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32"/>
      <c r="N202" s="2"/>
      <c r="O202" s="2"/>
      <c r="P202" s="32"/>
      <c r="Q202" s="32"/>
      <c r="R202" s="32"/>
      <c r="S202" s="3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32"/>
      <c r="N203" s="2"/>
      <c r="O203" s="2"/>
      <c r="P203" s="32"/>
      <c r="Q203" s="32"/>
      <c r="R203" s="32"/>
      <c r="S203" s="3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32"/>
      <c r="N204" s="2"/>
      <c r="O204" s="2"/>
      <c r="P204" s="32"/>
      <c r="Q204" s="32"/>
      <c r="R204" s="32"/>
      <c r="S204" s="3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76"/>
      <c r="L205" s="32"/>
      <c r="M205" s="32"/>
      <c r="N205" s="2"/>
      <c r="O205" s="2"/>
      <c r="P205" s="32"/>
      <c r="Q205" s="32"/>
      <c r="R205" s="32"/>
      <c r="S205" s="3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76"/>
      <c r="L206" s="32"/>
      <c r="M206" s="32"/>
      <c r="N206" s="2"/>
      <c r="O206" s="2"/>
      <c r="P206" s="32"/>
      <c r="Q206" s="32"/>
      <c r="R206" s="32"/>
      <c r="S206" s="3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76"/>
      <c r="L207" s="32"/>
      <c r="M207" s="32"/>
      <c r="N207" s="2"/>
      <c r="O207" s="2"/>
      <c r="P207" s="32"/>
      <c r="Q207" s="32"/>
      <c r="R207" s="32"/>
      <c r="S207" s="3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32"/>
      <c r="N208" s="2"/>
      <c r="O208" s="2"/>
      <c r="P208" s="32"/>
      <c r="Q208" s="32"/>
      <c r="R208" s="32"/>
      <c r="S208" s="3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32"/>
      <c r="N209" s="2"/>
      <c r="O209" s="2"/>
      <c r="P209" s="32"/>
      <c r="Q209" s="32"/>
      <c r="R209" s="32"/>
      <c r="S209" s="3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32"/>
      <c r="N210" s="2"/>
      <c r="O210" s="2"/>
      <c r="P210" s="32"/>
      <c r="Q210" s="32"/>
      <c r="R210" s="32"/>
      <c r="S210" s="3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32"/>
      <c r="N211" s="2"/>
      <c r="O211" s="2"/>
      <c r="P211" s="32"/>
      <c r="Q211" s="32"/>
      <c r="R211" s="32"/>
      <c r="S211" s="3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32"/>
      <c r="N212" s="2"/>
      <c r="O212" s="2"/>
      <c r="P212" s="32"/>
      <c r="Q212" s="32"/>
      <c r="R212" s="32"/>
      <c r="S212" s="3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76"/>
      <c r="L213" s="32"/>
      <c r="M213" s="32"/>
      <c r="N213" s="2"/>
      <c r="O213" s="2"/>
      <c r="P213" s="32"/>
      <c r="Q213" s="32"/>
      <c r="R213" s="32"/>
      <c r="S213" s="3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32"/>
      <c r="N214" s="2"/>
      <c r="O214" s="2"/>
      <c r="P214" s="32"/>
      <c r="Q214" s="32"/>
      <c r="R214" s="32"/>
      <c r="S214" s="3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32"/>
      <c r="N215" s="2"/>
      <c r="O215" s="2"/>
      <c r="P215" s="32"/>
      <c r="Q215" s="32"/>
      <c r="R215" s="32"/>
      <c r="S215" s="3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32"/>
      <c r="N216" s="2"/>
      <c r="O216" s="2"/>
      <c r="P216" s="32"/>
      <c r="Q216" s="32"/>
      <c r="R216" s="32"/>
      <c r="S216" s="3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76"/>
      <c r="L217" s="32"/>
      <c r="M217" s="32"/>
      <c r="N217" s="2"/>
      <c r="O217" s="2"/>
      <c r="P217" s="32"/>
      <c r="Q217" s="32"/>
      <c r="R217" s="32"/>
      <c r="S217" s="3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76"/>
      <c r="L218" s="32"/>
      <c r="M218" s="32"/>
      <c r="N218" s="2"/>
      <c r="O218" s="2"/>
      <c r="P218" s="32"/>
      <c r="Q218" s="32"/>
      <c r="R218" s="32"/>
      <c r="S218" s="3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76"/>
      <c r="L219" s="32"/>
      <c r="M219" s="32"/>
      <c r="N219" s="2"/>
      <c r="O219" s="2"/>
      <c r="P219" s="32"/>
      <c r="Q219" s="32"/>
      <c r="R219" s="32"/>
      <c r="S219" s="3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69"/>
      <c r="L220" s="32"/>
      <c r="M220" s="32"/>
      <c r="N220" s="2"/>
      <c r="O220" s="2"/>
      <c r="P220" s="32"/>
      <c r="Q220" s="32"/>
      <c r="R220" s="32"/>
      <c r="S220" s="3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69"/>
      <c r="L221" s="32"/>
      <c r="M221" s="32"/>
      <c r="N221" s="2"/>
      <c r="O221" s="2"/>
      <c r="P221" s="32"/>
      <c r="Q221" s="32"/>
      <c r="R221" s="32"/>
      <c r="S221" s="3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32"/>
      <c r="N222" s="2"/>
      <c r="O222" s="2"/>
      <c r="P222" s="32"/>
      <c r="Q222" s="32"/>
      <c r="R222" s="32"/>
      <c r="S222" s="3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32"/>
      <c r="N223" s="2"/>
      <c r="O223" s="2"/>
      <c r="P223" s="32"/>
      <c r="Q223" s="32"/>
      <c r="R223" s="32"/>
      <c r="S223" s="3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32"/>
      <c r="N224" s="2"/>
      <c r="O224" s="2"/>
      <c r="P224" s="32"/>
      <c r="Q224" s="32"/>
      <c r="R224" s="32"/>
      <c r="S224" s="3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32"/>
      <c r="N225" s="2"/>
      <c r="O225" s="2"/>
      <c r="P225" s="32"/>
      <c r="Q225" s="32"/>
      <c r="R225" s="32"/>
      <c r="S225" s="3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32"/>
      <c r="N226" s="2"/>
      <c r="O226" s="2"/>
      <c r="P226" s="32"/>
      <c r="Q226" s="32"/>
      <c r="R226" s="32"/>
      <c r="S226" s="3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76"/>
      <c r="L227" s="32"/>
      <c r="M227" s="32"/>
      <c r="N227" s="2"/>
      <c r="O227" s="2"/>
      <c r="P227" s="32"/>
      <c r="Q227" s="32"/>
      <c r="R227" s="32"/>
      <c r="S227" s="3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32"/>
      <c r="N228" s="2"/>
      <c r="O228" s="2"/>
      <c r="P228" s="32"/>
      <c r="Q228" s="32"/>
      <c r="R228" s="32"/>
      <c r="S228" s="3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32"/>
      <c r="N229" s="2"/>
      <c r="O229" s="2"/>
      <c r="P229" s="32"/>
      <c r="Q229" s="32"/>
      <c r="R229" s="32"/>
      <c r="S229" s="3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69"/>
      <c r="L230" s="32"/>
      <c r="M230" s="32"/>
      <c r="N230" s="2"/>
      <c r="O230" s="2"/>
      <c r="P230" s="32"/>
      <c r="Q230" s="32"/>
      <c r="R230" s="32"/>
      <c r="S230" s="3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69"/>
      <c r="L231" s="32"/>
      <c r="M231" s="32"/>
      <c r="N231" s="2"/>
      <c r="O231" s="2"/>
      <c r="P231" s="32"/>
      <c r="Q231" s="32"/>
      <c r="R231" s="32"/>
      <c r="S231" s="3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69"/>
      <c r="L232" s="32"/>
      <c r="M232" s="32"/>
      <c r="N232" s="2"/>
      <c r="O232" s="2"/>
      <c r="P232" s="32"/>
      <c r="Q232" s="32"/>
      <c r="R232" s="32"/>
      <c r="S232" s="3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76"/>
      <c r="L233" s="32"/>
      <c r="M233" s="32"/>
      <c r="N233" s="2"/>
      <c r="O233" s="2"/>
      <c r="P233" s="32"/>
      <c r="Q233" s="32"/>
      <c r="R233" s="32"/>
      <c r="S233" s="3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69"/>
      <c r="M234" s="32"/>
      <c r="N234" s="2"/>
      <c r="O234" s="2"/>
      <c r="P234" s="32"/>
      <c r="Q234" s="32"/>
      <c r="R234" s="32"/>
      <c r="S234" s="3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32"/>
      <c r="N235" s="2"/>
      <c r="O235" s="2"/>
      <c r="P235" s="32"/>
      <c r="Q235" s="32"/>
      <c r="R235" s="32"/>
      <c r="S235" s="3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69"/>
      <c r="L236" s="32"/>
      <c r="M236" s="32"/>
      <c r="N236" s="2"/>
      <c r="O236" s="2"/>
      <c r="P236" s="32"/>
      <c r="Q236" s="32"/>
      <c r="R236" s="32"/>
      <c r="S236" s="3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69"/>
      <c r="L237" s="32"/>
      <c r="M237" s="32"/>
      <c r="N237" s="2"/>
      <c r="O237" s="2"/>
      <c r="P237" s="32"/>
      <c r="Q237" s="32"/>
      <c r="R237" s="32"/>
      <c r="S237" s="3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76"/>
      <c r="L238" s="32"/>
      <c r="M238" s="32"/>
      <c r="N238" s="2"/>
      <c r="O238" s="2"/>
      <c r="P238" s="32"/>
      <c r="Q238" s="32"/>
      <c r="R238" s="32"/>
      <c r="S238" s="3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69"/>
      <c r="M239" s="32"/>
      <c r="N239" s="2"/>
      <c r="O239" s="2"/>
      <c r="P239" s="32"/>
      <c r="Q239" s="32"/>
      <c r="R239" s="32"/>
      <c r="S239" s="3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32"/>
      <c r="N240" s="2"/>
      <c r="O240" s="2"/>
      <c r="P240" s="32"/>
      <c r="Q240" s="32"/>
      <c r="R240" s="32"/>
      <c r="S240" s="3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32"/>
      <c r="N241" s="2"/>
      <c r="O241" s="2"/>
      <c r="P241" s="32"/>
      <c r="Q241" s="32"/>
      <c r="R241" s="32"/>
      <c r="S241" s="3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32"/>
      <c r="N242" s="2"/>
      <c r="O242" s="2"/>
      <c r="P242" s="32"/>
      <c r="Q242" s="32"/>
      <c r="R242" s="32"/>
      <c r="S242" s="3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69"/>
      <c r="L243" s="32"/>
      <c r="M243" s="32"/>
      <c r="N243" s="2"/>
      <c r="O243" s="2"/>
      <c r="P243" s="32"/>
      <c r="Q243" s="32"/>
      <c r="R243" s="32"/>
      <c r="S243" s="3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69"/>
      <c r="L244" s="32"/>
      <c r="M244" s="32"/>
      <c r="N244" s="2"/>
      <c r="O244" s="2"/>
      <c r="P244" s="32"/>
      <c r="Q244" s="32"/>
      <c r="R244" s="32"/>
      <c r="S244" s="3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69"/>
      <c r="L245" s="32"/>
      <c r="M245" s="32"/>
      <c r="N245" s="2"/>
      <c r="O245" s="2"/>
      <c r="P245" s="32"/>
      <c r="Q245" s="32"/>
      <c r="R245" s="32"/>
      <c r="S245" s="3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76"/>
      <c r="L246" s="32"/>
      <c r="M246" s="32"/>
      <c r="N246" s="2"/>
      <c r="O246" s="2"/>
      <c r="P246" s="32"/>
      <c r="Q246" s="32"/>
      <c r="R246" s="32"/>
      <c r="S246" s="3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69"/>
      <c r="M247" s="32"/>
      <c r="N247" s="2"/>
      <c r="O247" s="2"/>
      <c r="P247" s="32"/>
      <c r="Q247" s="32"/>
      <c r="R247" s="32"/>
      <c r="S247" s="3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32"/>
      <c r="N248" s="2"/>
      <c r="O248" s="2"/>
      <c r="P248" s="32"/>
      <c r="Q248" s="32"/>
      <c r="R248" s="32"/>
      <c r="S248" s="3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32"/>
      <c r="N249" s="2"/>
      <c r="O249" s="2"/>
      <c r="P249" s="32"/>
      <c r="Q249" s="32"/>
      <c r="R249" s="32"/>
      <c r="S249" s="3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32"/>
      <c r="N250" s="2"/>
      <c r="O250" s="2"/>
      <c r="P250" s="32"/>
      <c r="Q250" s="32"/>
      <c r="R250" s="32"/>
      <c r="S250" s="3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32"/>
      <c r="N251" s="2"/>
      <c r="O251" s="2"/>
      <c r="P251" s="32"/>
      <c r="Q251" s="32"/>
      <c r="R251" s="32"/>
      <c r="S251" s="3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69"/>
      <c r="M252" s="32"/>
      <c r="N252" s="2"/>
      <c r="O252" s="2"/>
      <c r="P252" s="32"/>
      <c r="Q252" s="32"/>
      <c r="R252" s="32"/>
      <c r="S252" s="3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69"/>
      <c r="L253" s="32"/>
      <c r="M253" s="32"/>
      <c r="N253" s="2"/>
      <c r="O253" s="2"/>
      <c r="P253" s="32"/>
      <c r="Q253" s="32"/>
      <c r="R253" s="32"/>
      <c r="S253" s="3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69"/>
      <c r="L254" s="32"/>
      <c r="M254" s="32"/>
      <c r="N254" s="2"/>
      <c r="O254" s="2"/>
      <c r="P254" s="32"/>
      <c r="Q254" s="32"/>
      <c r="R254" s="32"/>
      <c r="S254" s="3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69"/>
      <c r="L255" s="32"/>
      <c r="M255" s="32"/>
      <c r="N255" s="2"/>
      <c r="O255" s="2"/>
      <c r="P255" s="32"/>
      <c r="Q255" s="32"/>
      <c r="R255" s="32"/>
      <c r="S255" s="3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69"/>
      <c r="L256" s="32"/>
      <c r="M256" s="32"/>
      <c r="N256" s="2"/>
      <c r="O256" s="2"/>
      <c r="P256" s="32"/>
      <c r="Q256" s="32"/>
      <c r="R256" s="32"/>
      <c r="S256" s="3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69"/>
      <c r="L257" s="32"/>
      <c r="M257" s="32"/>
      <c r="N257" s="2"/>
      <c r="O257" s="2"/>
      <c r="P257" s="32"/>
      <c r="Q257" s="32"/>
      <c r="R257" s="32"/>
      <c r="S257" s="3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69"/>
      <c r="L258" s="32"/>
      <c r="M258" s="32"/>
      <c r="N258" s="2"/>
      <c r="O258" s="2"/>
      <c r="P258" s="32"/>
      <c r="Q258" s="32"/>
      <c r="R258" s="32"/>
      <c r="S258" s="3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32"/>
      <c r="N259" s="2"/>
      <c r="O259" s="2"/>
      <c r="P259" s="32"/>
      <c r="Q259" s="32"/>
      <c r="R259" s="32"/>
      <c r="S259" s="3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32"/>
      <c r="N260" s="2"/>
      <c r="O260" s="2"/>
      <c r="P260" s="32"/>
      <c r="Q260" s="32"/>
      <c r="R260" s="32"/>
      <c r="S260" s="3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32"/>
      <c r="N261" s="2"/>
      <c r="O261" s="2"/>
      <c r="P261" s="32"/>
      <c r="Q261" s="32"/>
      <c r="R261" s="32"/>
      <c r="S261" s="3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32"/>
      <c r="N262" s="2"/>
      <c r="O262" s="2"/>
      <c r="P262" s="32"/>
      <c r="Q262" s="32"/>
      <c r="R262" s="32"/>
      <c r="S262" s="3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32"/>
      <c r="N263" s="2"/>
      <c r="O263" s="2"/>
      <c r="P263" s="32"/>
      <c r="Q263" s="32"/>
      <c r="R263" s="32"/>
      <c r="S263" s="3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32"/>
      <c r="N264" s="2"/>
      <c r="O264" s="2"/>
      <c r="P264" s="32"/>
      <c r="Q264" s="32"/>
      <c r="R264" s="32"/>
      <c r="S264" s="3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32"/>
      <c r="N265" s="2"/>
      <c r="O265" s="2"/>
      <c r="P265" s="32"/>
      <c r="Q265" s="32"/>
      <c r="R265" s="32"/>
      <c r="S265" s="3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32"/>
      <c r="N266" s="2"/>
      <c r="O266" s="2"/>
      <c r="P266" s="32"/>
      <c r="Q266" s="32"/>
      <c r="R266" s="32"/>
      <c r="S266" s="3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32"/>
      <c r="N267" s="2"/>
      <c r="O267" s="2"/>
      <c r="P267" s="32"/>
      <c r="Q267" s="32"/>
      <c r="R267" s="32"/>
      <c r="S267" s="3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32"/>
      <c r="N268" s="2"/>
      <c r="O268" s="2"/>
      <c r="P268" s="32"/>
      <c r="Q268" s="32"/>
      <c r="R268" s="32"/>
      <c r="S268" s="3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32"/>
      <c r="N269" s="2"/>
      <c r="O269" s="2"/>
      <c r="P269" s="32"/>
      <c r="Q269" s="32"/>
      <c r="R269" s="32"/>
      <c r="S269" s="3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32"/>
      <c r="N270" s="2"/>
      <c r="O270" s="2"/>
      <c r="P270" s="32"/>
      <c r="Q270" s="32"/>
      <c r="R270" s="32"/>
      <c r="S270" s="3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32"/>
      <c r="N271" s="2"/>
      <c r="O271" s="2"/>
      <c r="P271" s="32"/>
      <c r="Q271" s="32"/>
      <c r="R271" s="32"/>
      <c r="S271" s="3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32"/>
      <c r="N272" s="2"/>
      <c r="O272" s="2"/>
      <c r="P272" s="32"/>
      <c r="Q272" s="32"/>
      <c r="R272" s="32"/>
      <c r="S272" s="3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32"/>
      <c r="N273" s="2"/>
      <c r="O273" s="2"/>
      <c r="P273" s="32"/>
      <c r="Q273" s="32"/>
      <c r="R273" s="32"/>
      <c r="S273" s="3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32"/>
      <c r="N274" s="2"/>
      <c r="O274" s="2"/>
      <c r="P274" s="32"/>
      <c r="Q274" s="32"/>
      <c r="R274" s="32"/>
      <c r="S274" s="3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32"/>
      <c r="N275" s="2"/>
      <c r="O275" s="2"/>
      <c r="P275" s="32"/>
      <c r="Q275" s="32"/>
      <c r="R275" s="32"/>
      <c r="S275" s="3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32"/>
      <c r="N276" s="2"/>
      <c r="O276" s="2"/>
      <c r="P276" s="32"/>
      <c r="Q276" s="32"/>
      <c r="R276" s="32"/>
      <c r="S276" s="3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32"/>
      <c r="N277" s="2"/>
      <c r="O277" s="2"/>
      <c r="P277" s="32"/>
      <c r="Q277" s="32"/>
      <c r="R277" s="32"/>
      <c r="S277" s="3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32"/>
      <c r="N278" s="2"/>
      <c r="O278" s="2"/>
      <c r="P278" s="32"/>
      <c r="Q278" s="32"/>
      <c r="R278" s="32"/>
      <c r="S278" s="3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32"/>
      <c r="N279" s="2"/>
      <c r="O279" s="2"/>
      <c r="P279" s="32"/>
      <c r="Q279" s="32"/>
      <c r="R279" s="32"/>
      <c r="S279" s="3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32"/>
      <c r="N280" s="2"/>
      <c r="O280" s="2"/>
      <c r="P280" s="32"/>
      <c r="Q280" s="32"/>
      <c r="R280" s="32"/>
      <c r="S280" s="3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32"/>
      <c r="N281" s="2"/>
      <c r="O281" s="2"/>
      <c r="P281" s="32"/>
      <c r="Q281" s="32"/>
      <c r="R281" s="32"/>
      <c r="S281" s="3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32"/>
      <c r="N282" s="2"/>
      <c r="O282" s="2"/>
      <c r="P282" s="32"/>
      <c r="Q282" s="32"/>
      <c r="R282" s="32"/>
      <c r="S282" s="3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32"/>
      <c r="N283" s="2"/>
      <c r="O283" s="2"/>
      <c r="P283" s="32"/>
      <c r="Q283" s="32"/>
      <c r="R283" s="32"/>
      <c r="S283" s="3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32"/>
      <c r="N284" s="2"/>
      <c r="O284" s="2"/>
      <c r="P284" s="32"/>
      <c r="Q284" s="32"/>
      <c r="R284" s="32"/>
      <c r="S284" s="3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32"/>
      <c r="N285" s="2"/>
      <c r="O285" s="2"/>
      <c r="P285" s="32"/>
      <c r="Q285" s="32"/>
      <c r="R285" s="32"/>
      <c r="S285" s="3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32"/>
      <c r="N286" s="2"/>
      <c r="O286" s="2"/>
      <c r="P286" s="32"/>
      <c r="Q286" s="32"/>
      <c r="R286" s="32"/>
      <c r="S286" s="3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32"/>
      <c r="N287" s="2"/>
      <c r="O287" s="2"/>
      <c r="P287" s="32"/>
      <c r="Q287" s="32"/>
      <c r="R287" s="32"/>
      <c r="S287" s="3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32"/>
      <c r="N288" s="2"/>
      <c r="O288" s="2"/>
      <c r="P288" s="32"/>
      <c r="Q288" s="32"/>
      <c r="R288" s="32"/>
      <c r="S288" s="3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32"/>
      <c r="N289" s="2"/>
      <c r="O289" s="2"/>
      <c r="P289" s="32"/>
      <c r="Q289" s="32"/>
      <c r="R289" s="32"/>
      <c r="S289" s="3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32"/>
      <c r="N290" s="2"/>
      <c r="O290" s="2"/>
      <c r="P290" s="32"/>
      <c r="Q290" s="32"/>
      <c r="R290" s="32"/>
      <c r="S290" s="3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32"/>
      <c r="N291" s="2"/>
      <c r="O291" s="2"/>
      <c r="P291" s="32"/>
      <c r="Q291" s="32"/>
      <c r="R291" s="32"/>
      <c r="S291" s="3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32"/>
      <c r="N292" s="2"/>
      <c r="O292" s="2"/>
      <c r="P292" s="32"/>
      <c r="Q292" s="32"/>
      <c r="R292" s="32"/>
      <c r="S292" s="3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32"/>
      <c r="N293" s="2"/>
      <c r="O293" s="2"/>
      <c r="P293" s="32"/>
      <c r="Q293" s="32"/>
      <c r="R293" s="32"/>
      <c r="S293" s="3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32"/>
      <c r="N294" s="2"/>
      <c r="O294" s="2"/>
      <c r="P294" s="32"/>
      <c r="Q294" s="32"/>
      <c r="R294" s="32"/>
      <c r="S294" s="3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32"/>
      <c r="N295" s="2"/>
      <c r="O295" s="2"/>
      <c r="P295" s="32"/>
      <c r="Q295" s="32"/>
      <c r="R295" s="32"/>
      <c r="S295" s="3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32"/>
      <c r="N296" s="2"/>
      <c r="O296" s="2"/>
      <c r="P296" s="32"/>
      <c r="Q296" s="32"/>
      <c r="R296" s="32"/>
      <c r="S296" s="3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32"/>
      <c r="N297" s="2"/>
      <c r="O297" s="2"/>
      <c r="P297" s="32"/>
      <c r="Q297" s="32"/>
      <c r="R297" s="32"/>
      <c r="S297" s="3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32"/>
      <c r="N298" s="2"/>
      <c r="O298" s="2"/>
      <c r="P298" s="32"/>
      <c r="Q298" s="32"/>
      <c r="R298" s="32"/>
      <c r="S298" s="3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32"/>
      <c r="N299" s="2"/>
      <c r="O299" s="2"/>
      <c r="P299" s="32"/>
      <c r="Q299" s="32"/>
      <c r="R299" s="32"/>
      <c r="S299" s="3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32"/>
      <c r="N300" s="2"/>
      <c r="O300" s="2"/>
      <c r="P300" s="32"/>
      <c r="Q300" s="32"/>
      <c r="R300" s="32"/>
      <c r="S300" s="3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32"/>
      <c r="N301" s="2"/>
      <c r="O301" s="2"/>
      <c r="P301" s="32"/>
      <c r="Q301" s="32"/>
      <c r="R301" s="32"/>
      <c r="S301" s="3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32"/>
      <c r="N302" s="2"/>
      <c r="O302" s="2"/>
      <c r="P302" s="32"/>
      <c r="Q302" s="32"/>
      <c r="R302" s="32"/>
      <c r="S302" s="3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32"/>
      <c r="N303" s="2"/>
      <c r="O303" s="2"/>
      <c r="P303" s="32"/>
      <c r="Q303" s="32"/>
      <c r="R303" s="32"/>
      <c r="S303" s="3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32"/>
      <c r="N304" s="2"/>
      <c r="O304" s="2"/>
      <c r="P304" s="32"/>
      <c r="Q304" s="32"/>
      <c r="R304" s="32"/>
      <c r="S304" s="3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32"/>
      <c r="N305" s="2"/>
      <c r="O305" s="2"/>
      <c r="P305" s="32"/>
      <c r="Q305" s="32"/>
      <c r="R305" s="32"/>
      <c r="S305" s="3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32"/>
      <c r="N306" s="2"/>
      <c r="O306" s="2"/>
      <c r="P306" s="32"/>
      <c r="Q306" s="32"/>
      <c r="R306" s="32"/>
      <c r="S306" s="3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32"/>
      <c r="N307" s="2"/>
      <c r="O307" s="2"/>
      <c r="P307" s="32"/>
      <c r="Q307" s="32"/>
      <c r="R307" s="32"/>
      <c r="S307" s="3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32"/>
      <c r="N308" s="2"/>
      <c r="O308" s="2"/>
      <c r="P308" s="32"/>
      <c r="Q308" s="32"/>
      <c r="R308" s="32"/>
      <c r="S308" s="3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32"/>
      <c r="N309" s="2"/>
      <c r="O309" s="2"/>
      <c r="P309" s="32"/>
      <c r="Q309" s="32"/>
      <c r="R309" s="32"/>
      <c r="S309" s="3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32"/>
      <c r="N310" s="2"/>
      <c r="O310" s="2"/>
      <c r="P310" s="32"/>
      <c r="Q310" s="32"/>
      <c r="R310" s="32"/>
      <c r="S310" s="3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32"/>
      <c r="N311" s="2"/>
      <c r="O311" s="2"/>
      <c r="P311" s="32"/>
      <c r="Q311" s="32"/>
      <c r="R311" s="32"/>
      <c r="S311" s="3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32"/>
      <c r="N312" s="2"/>
      <c r="O312" s="2"/>
      <c r="P312" s="32"/>
      <c r="Q312" s="32"/>
      <c r="R312" s="32"/>
      <c r="S312" s="3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32"/>
      <c r="N313" s="2"/>
      <c r="O313" s="2"/>
      <c r="P313" s="32"/>
      <c r="Q313" s="32"/>
      <c r="R313" s="32"/>
      <c r="S313" s="3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32"/>
      <c r="N314" s="2"/>
      <c r="O314" s="2"/>
      <c r="P314" s="32"/>
      <c r="Q314" s="32"/>
      <c r="R314" s="32"/>
      <c r="S314" s="3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32"/>
      <c r="N315" s="2"/>
      <c r="O315" s="2"/>
      <c r="P315" s="32"/>
      <c r="Q315" s="32"/>
      <c r="R315" s="32"/>
      <c r="S315" s="3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32"/>
      <c r="N316" s="2"/>
      <c r="O316" s="2"/>
      <c r="P316" s="32"/>
      <c r="Q316" s="32"/>
      <c r="R316" s="32"/>
      <c r="S316" s="3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32"/>
      <c r="N317" s="2"/>
      <c r="O317" s="2"/>
      <c r="P317" s="32"/>
      <c r="Q317" s="32"/>
      <c r="R317" s="32"/>
      <c r="S317" s="3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32"/>
      <c r="N318" s="2"/>
      <c r="O318" s="2"/>
      <c r="P318" s="32"/>
      <c r="Q318" s="32"/>
      <c r="R318" s="32"/>
      <c r="S318" s="3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32"/>
      <c r="N319" s="2"/>
      <c r="O319" s="2"/>
      <c r="P319" s="32"/>
      <c r="Q319" s="32"/>
      <c r="R319" s="32"/>
      <c r="S319" s="3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32"/>
      <c r="N320" s="2"/>
      <c r="O320" s="2"/>
      <c r="P320" s="32"/>
      <c r="Q320" s="32"/>
      <c r="R320" s="32"/>
      <c r="S320" s="3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32"/>
      <c r="N321" s="2"/>
      <c r="O321" s="2"/>
      <c r="P321" s="32"/>
      <c r="Q321" s="32"/>
      <c r="R321" s="32"/>
      <c r="S321" s="3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32"/>
      <c r="N322" s="2"/>
      <c r="O322" s="2"/>
      <c r="P322" s="32"/>
      <c r="Q322" s="32"/>
      <c r="R322" s="32"/>
      <c r="S322" s="3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32"/>
      <c r="N323" s="2"/>
      <c r="O323" s="2"/>
      <c r="P323" s="32"/>
      <c r="Q323" s="32"/>
      <c r="R323" s="32"/>
      <c r="S323" s="3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32"/>
      <c r="N324" s="2"/>
      <c r="O324" s="2"/>
      <c r="P324" s="32"/>
      <c r="Q324" s="32"/>
      <c r="R324" s="32"/>
      <c r="S324" s="3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32"/>
      <c r="N325" s="2"/>
      <c r="O325" s="2"/>
      <c r="P325" s="32"/>
      <c r="Q325" s="32"/>
      <c r="R325" s="32"/>
      <c r="S325" s="3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32"/>
      <c r="N326" s="2"/>
      <c r="O326" s="2"/>
      <c r="P326" s="32"/>
      <c r="Q326" s="32"/>
      <c r="R326" s="32"/>
      <c r="S326" s="3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32"/>
      <c r="N327" s="2"/>
      <c r="O327" s="2"/>
      <c r="P327" s="32"/>
      <c r="Q327" s="32"/>
      <c r="R327" s="32"/>
      <c r="S327" s="3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32"/>
      <c r="N328" s="2"/>
      <c r="O328" s="2"/>
      <c r="P328" s="32"/>
      <c r="Q328" s="32"/>
      <c r="R328" s="32"/>
      <c r="S328" s="3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32"/>
      <c r="N329" s="2"/>
      <c r="O329" s="2"/>
      <c r="P329" s="32"/>
      <c r="Q329" s="32"/>
      <c r="R329" s="32"/>
      <c r="S329" s="3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32"/>
      <c r="N330" s="2"/>
      <c r="O330" s="2"/>
      <c r="P330" s="32"/>
      <c r="Q330" s="32"/>
      <c r="R330" s="32"/>
      <c r="S330" s="3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32"/>
      <c r="N331" s="2"/>
      <c r="O331" s="2"/>
      <c r="P331" s="32"/>
      <c r="Q331" s="32"/>
      <c r="R331" s="32"/>
      <c r="S331" s="3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32"/>
      <c r="N332" s="2"/>
      <c r="O332" s="2"/>
      <c r="P332" s="32"/>
      <c r="Q332" s="32"/>
      <c r="R332" s="32"/>
      <c r="S332" s="3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32"/>
      <c r="N333" s="2"/>
      <c r="O333" s="2"/>
      <c r="P333" s="32"/>
      <c r="Q333" s="32"/>
      <c r="R333" s="32"/>
      <c r="S333" s="3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32"/>
      <c r="N334" s="2"/>
      <c r="O334" s="2"/>
      <c r="P334" s="32"/>
      <c r="Q334" s="32"/>
      <c r="R334" s="32"/>
      <c r="S334" s="3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32"/>
      <c r="N335" s="2"/>
      <c r="O335" s="2"/>
      <c r="P335" s="32"/>
      <c r="Q335" s="32"/>
      <c r="R335" s="32"/>
      <c r="S335" s="3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32"/>
      <c r="N336" s="2"/>
      <c r="O336" s="2"/>
      <c r="P336" s="32"/>
      <c r="Q336" s="32"/>
      <c r="R336" s="32"/>
      <c r="S336" s="3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32"/>
      <c r="N337" s="2"/>
      <c r="O337" s="2"/>
      <c r="P337" s="32"/>
      <c r="Q337" s="32"/>
      <c r="R337" s="32"/>
      <c r="S337" s="3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32"/>
      <c r="N338" s="2"/>
      <c r="O338" s="2"/>
      <c r="P338" s="32"/>
      <c r="Q338" s="32"/>
      <c r="R338" s="32"/>
      <c r="S338" s="3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32"/>
      <c r="N339" s="2"/>
      <c r="O339" s="2"/>
      <c r="P339" s="32"/>
      <c r="Q339" s="32"/>
      <c r="R339" s="32"/>
      <c r="S339" s="3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32"/>
      <c r="N340" s="2"/>
      <c r="O340" s="2"/>
      <c r="P340" s="32"/>
      <c r="Q340" s="32"/>
      <c r="R340" s="32"/>
      <c r="S340" s="3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32"/>
      <c r="N341" s="2"/>
      <c r="O341" s="2"/>
      <c r="P341" s="32"/>
      <c r="Q341" s="32"/>
      <c r="R341" s="32"/>
      <c r="S341" s="3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32"/>
      <c r="N342" s="2"/>
      <c r="O342" s="2"/>
      <c r="P342" s="32"/>
      <c r="Q342" s="32"/>
      <c r="R342" s="32"/>
      <c r="S342" s="3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32"/>
      <c r="N343" s="2"/>
      <c r="O343" s="2"/>
      <c r="P343" s="32"/>
      <c r="Q343" s="32"/>
      <c r="R343" s="32"/>
      <c r="S343" s="3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32"/>
      <c r="N344" s="2"/>
      <c r="O344" s="2"/>
      <c r="P344" s="32"/>
      <c r="Q344" s="32"/>
      <c r="R344" s="32"/>
      <c r="S344" s="3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32"/>
      <c r="N345" s="2"/>
      <c r="O345" s="2"/>
      <c r="P345" s="32"/>
      <c r="Q345" s="32"/>
      <c r="R345" s="32"/>
      <c r="S345" s="3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32"/>
      <c r="N346" s="2"/>
      <c r="O346" s="2"/>
      <c r="P346" s="32"/>
      <c r="Q346" s="32"/>
      <c r="R346" s="32"/>
      <c r="S346" s="3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32"/>
      <c r="N347" s="2"/>
      <c r="O347" s="2"/>
      <c r="P347" s="32"/>
      <c r="Q347" s="32"/>
      <c r="R347" s="32"/>
      <c r="S347" s="3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32"/>
      <c r="N348" s="2"/>
      <c r="O348" s="2"/>
      <c r="P348" s="32"/>
      <c r="Q348" s="32"/>
      <c r="R348" s="32"/>
      <c r="S348" s="3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32"/>
      <c r="N349" s="2"/>
      <c r="O349" s="2"/>
      <c r="P349" s="32"/>
      <c r="Q349" s="32"/>
      <c r="R349" s="32"/>
      <c r="S349" s="3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32"/>
      <c r="N350" s="2"/>
      <c r="O350" s="2"/>
      <c r="P350" s="32"/>
      <c r="Q350" s="32"/>
      <c r="R350" s="32"/>
      <c r="S350" s="3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32"/>
      <c r="N351" s="2"/>
      <c r="O351" s="2"/>
      <c r="P351" s="32"/>
      <c r="Q351" s="32"/>
      <c r="R351" s="32"/>
      <c r="S351" s="3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32"/>
      <c r="N352" s="2"/>
      <c r="O352" s="2"/>
      <c r="P352" s="32"/>
      <c r="Q352" s="32"/>
      <c r="R352" s="32"/>
      <c r="S352" s="3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32"/>
      <c r="N353" s="2"/>
      <c r="O353" s="2"/>
      <c r="P353" s="32"/>
      <c r="Q353" s="32"/>
      <c r="R353" s="32"/>
      <c r="S353" s="3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32"/>
      <c r="N354" s="2"/>
      <c r="O354" s="2"/>
      <c r="P354" s="32"/>
      <c r="Q354" s="32"/>
      <c r="R354" s="32"/>
      <c r="S354" s="3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32"/>
      <c r="N355" s="2"/>
      <c r="O355" s="2"/>
      <c r="P355" s="32"/>
      <c r="Q355" s="32"/>
      <c r="R355" s="32"/>
      <c r="S355" s="3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32"/>
      <c r="N356" s="2"/>
      <c r="O356" s="2"/>
      <c r="P356" s="32"/>
      <c r="Q356" s="32"/>
      <c r="R356" s="32"/>
      <c r="S356" s="3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32"/>
      <c r="N357" s="2"/>
      <c r="O357" s="2"/>
      <c r="P357" s="32"/>
      <c r="Q357" s="32"/>
      <c r="R357" s="32"/>
      <c r="S357" s="3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32"/>
      <c r="N358" s="2"/>
      <c r="O358" s="2"/>
      <c r="P358" s="32"/>
      <c r="Q358" s="32"/>
      <c r="R358" s="32"/>
      <c r="S358" s="3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32"/>
      <c r="N359" s="2"/>
      <c r="O359" s="2"/>
      <c r="P359" s="32"/>
      <c r="Q359" s="32"/>
      <c r="R359" s="32"/>
      <c r="S359" s="3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32"/>
      <c r="N360" s="2"/>
      <c r="O360" s="2"/>
      <c r="P360" s="32"/>
      <c r="Q360" s="32"/>
      <c r="R360" s="32"/>
      <c r="S360" s="3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32"/>
      <c r="N361" s="2"/>
      <c r="O361" s="2"/>
      <c r="P361" s="32"/>
      <c r="Q361" s="32"/>
      <c r="R361" s="32"/>
      <c r="S361" s="3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32"/>
      <c r="N362" s="2"/>
      <c r="O362" s="2"/>
      <c r="P362" s="32"/>
      <c r="Q362" s="32"/>
      <c r="R362" s="32"/>
      <c r="S362" s="3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32"/>
      <c r="N363" s="2"/>
      <c r="O363" s="2"/>
      <c r="P363" s="32"/>
      <c r="Q363" s="32"/>
      <c r="R363" s="32"/>
      <c r="S363" s="3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32"/>
      <c r="N364" s="2"/>
      <c r="O364" s="2"/>
      <c r="P364" s="32"/>
      <c r="Q364" s="32"/>
      <c r="R364" s="32"/>
      <c r="S364" s="3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32"/>
      <c r="N365" s="2"/>
      <c r="O365" s="2"/>
      <c r="P365" s="32"/>
      <c r="Q365" s="32"/>
      <c r="R365" s="32"/>
      <c r="S365" s="3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32"/>
      <c r="N366" s="2"/>
      <c r="O366" s="2"/>
      <c r="P366" s="32"/>
      <c r="Q366" s="32"/>
      <c r="R366" s="32"/>
      <c r="S366" s="3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32"/>
      <c r="N367" s="2"/>
      <c r="O367" s="2"/>
      <c r="P367" s="32"/>
      <c r="Q367" s="32"/>
      <c r="R367" s="32"/>
      <c r="S367" s="3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32"/>
      <c r="N368" s="2"/>
      <c r="O368" s="2"/>
      <c r="P368" s="32"/>
      <c r="Q368" s="32"/>
      <c r="R368" s="32"/>
      <c r="S368" s="3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32"/>
      <c r="N369" s="2"/>
      <c r="O369" s="2"/>
      <c r="P369" s="32"/>
      <c r="Q369" s="32"/>
      <c r="R369" s="32"/>
      <c r="S369" s="3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32"/>
      <c r="N370" s="2"/>
      <c r="O370" s="2"/>
      <c r="P370" s="32"/>
      <c r="Q370" s="32"/>
      <c r="R370" s="32"/>
      <c r="S370" s="3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32"/>
      <c r="N371" s="2"/>
      <c r="O371" s="2"/>
      <c r="P371" s="32"/>
      <c r="Q371" s="32"/>
      <c r="R371" s="32"/>
      <c r="S371" s="3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32"/>
      <c r="N372" s="2"/>
      <c r="O372" s="2"/>
      <c r="P372" s="32"/>
      <c r="Q372" s="32"/>
      <c r="R372" s="32"/>
      <c r="S372" s="3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32"/>
      <c r="N373" s="2"/>
      <c r="O373" s="2"/>
      <c r="P373" s="32"/>
      <c r="Q373" s="32"/>
      <c r="R373" s="32"/>
      <c r="S373" s="3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32"/>
      <c r="N374" s="2"/>
      <c r="O374" s="2"/>
      <c r="P374" s="32"/>
      <c r="Q374" s="32"/>
      <c r="R374" s="32"/>
      <c r="S374" s="3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32"/>
      <c r="N375" s="2"/>
      <c r="O375" s="2"/>
      <c r="P375" s="32"/>
      <c r="Q375" s="32"/>
      <c r="R375" s="32"/>
      <c r="S375" s="3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32"/>
      <c r="N376" s="2"/>
      <c r="O376" s="2"/>
      <c r="P376" s="32"/>
      <c r="Q376" s="32"/>
      <c r="R376" s="32"/>
      <c r="S376" s="3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32"/>
      <c r="N377" s="2"/>
      <c r="O377" s="2"/>
      <c r="P377" s="32"/>
      <c r="Q377" s="32"/>
      <c r="R377" s="32"/>
      <c r="S377" s="3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32"/>
      <c r="N378" s="2"/>
      <c r="O378" s="2"/>
      <c r="P378" s="32"/>
      <c r="Q378" s="32"/>
      <c r="R378" s="32"/>
      <c r="S378" s="3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32"/>
      <c r="N379" s="2"/>
      <c r="O379" s="2"/>
      <c r="P379" s="32"/>
      <c r="Q379" s="32"/>
      <c r="R379" s="32"/>
      <c r="S379" s="3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32"/>
      <c r="N380" s="2"/>
      <c r="O380" s="2"/>
      <c r="P380" s="32"/>
      <c r="Q380" s="32"/>
      <c r="R380" s="32"/>
      <c r="S380" s="3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32"/>
      <c r="N381" s="2"/>
      <c r="O381" s="2"/>
      <c r="P381" s="32"/>
      <c r="Q381" s="32"/>
      <c r="R381" s="32"/>
      <c r="S381" s="3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32"/>
      <c r="N382" s="2"/>
      <c r="O382" s="2"/>
      <c r="P382" s="32"/>
      <c r="Q382" s="32"/>
      <c r="R382" s="32"/>
      <c r="S382" s="3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32"/>
      <c r="N383" s="2"/>
      <c r="O383" s="2"/>
      <c r="P383" s="32"/>
      <c r="Q383" s="32"/>
      <c r="R383" s="32"/>
      <c r="S383" s="3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32"/>
      <c r="N384" s="2"/>
      <c r="O384" s="2"/>
      <c r="P384" s="32"/>
      <c r="Q384" s="32"/>
      <c r="R384" s="32"/>
      <c r="S384" s="3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32"/>
      <c r="N385" s="2"/>
      <c r="O385" s="2"/>
      <c r="P385" s="32"/>
      <c r="Q385" s="32"/>
      <c r="R385" s="32"/>
      <c r="S385" s="3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32"/>
      <c r="N386" s="2"/>
      <c r="O386" s="2"/>
      <c r="P386" s="32"/>
      <c r="Q386" s="32"/>
      <c r="R386" s="32"/>
      <c r="S386" s="3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32"/>
      <c r="N387" s="2"/>
      <c r="O387" s="2"/>
      <c r="P387" s="32"/>
      <c r="Q387" s="32"/>
      <c r="R387" s="32"/>
      <c r="S387" s="3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32"/>
      <c r="N388" s="2"/>
      <c r="O388" s="2"/>
      <c r="P388" s="32"/>
      <c r="Q388" s="32"/>
      <c r="R388" s="32"/>
      <c r="S388" s="3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32"/>
      <c r="N389" s="2"/>
      <c r="O389" s="2"/>
      <c r="P389" s="32"/>
      <c r="Q389" s="32"/>
      <c r="R389" s="32"/>
      <c r="S389" s="3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32"/>
      <c r="N390" s="2"/>
      <c r="O390" s="2"/>
      <c r="P390" s="32"/>
      <c r="Q390" s="32"/>
      <c r="R390" s="32"/>
      <c r="S390" s="3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32"/>
      <c r="N391" s="2"/>
      <c r="O391" s="2"/>
      <c r="P391" s="32"/>
      <c r="Q391" s="32"/>
      <c r="R391" s="32"/>
      <c r="S391" s="3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32"/>
      <c r="N392" s="2"/>
      <c r="O392" s="2"/>
      <c r="P392" s="32"/>
      <c r="Q392" s="32"/>
      <c r="R392" s="32"/>
      <c r="S392" s="3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32"/>
      <c r="N393" s="2"/>
      <c r="O393" s="2"/>
      <c r="P393" s="32"/>
      <c r="Q393" s="32"/>
      <c r="R393" s="32"/>
      <c r="S393" s="3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32"/>
      <c r="N394" s="2"/>
      <c r="O394" s="2"/>
      <c r="P394" s="32"/>
      <c r="Q394" s="32"/>
      <c r="R394" s="32"/>
      <c r="S394" s="3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32"/>
      <c r="N395" s="2"/>
      <c r="O395" s="2"/>
      <c r="P395" s="32"/>
      <c r="Q395" s="32"/>
      <c r="R395" s="32"/>
      <c r="S395" s="3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32"/>
      <c r="N396" s="2"/>
      <c r="O396" s="2"/>
      <c r="P396" s="32"/>
      <c r="Q396" s="32"/>
      <c r="R396" s="32"/>
      <c r="S396" s="3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32"/>
      <c r="N397" s="2"/>
      <c r="O397" s="2"/>
      <c r="P397" s="32"/>
      <c r="Q397" s="32"/>
      <c r="R397" s="32"/>
      <c r="S397" s="3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32"/>
      <c r="N398" s="2"/>
      <c r="O398" s="2"/>
      <c r="P398" s="32"/>
      <c r="Q398" s="32"/>
      <c r="R398" s="32"/>
      <c r="S398" s="3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32"/>
      <c r="N399" s="2"/>
      <c r="O399" s="2"/>
      <c r="P399" s="32"/>
      <c r="Q399" s="32"/>
      <c r="R399" s="32"/>
      <c r="S399" s="3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32"/>
      <c r="N400" s="2"/>
      <c r="O400" s="2"/>
      <c r="P400" s="32"/>
      <c r="Q400" s="32"/>
      <c r="R400" s="32"/>
      <c r="S400" s="3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32"/>
      <c r="N401" s="2"/>
      <c r="O401" s="2"/>
      <c r="P401" s="32"/>
      <c r="Q401" s="32"/>
      <c r="R401" s="32"/>
      <c r="S401" s="3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32"/>
      <c r="N402" s="2"/>
      <c r="O402" s="2"/>
      <c r="P402" s="32"/>
      <c r="Q402" s="32"/>
      <c r="R402" s="32"/>
      <c r="S402" s="3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32"/>
      <c r="N403" s="2"/>
      <c r="O403" s="2"/>
      <c r="P403" s="32"/>
      <c r="Q403" s="32"/>
      <c r="R403" s="32"/>
      <c r="S403" s="3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32"/>
      <c r="N404" s="2"/>
      <c r="O404" s="2"/>
      <c r="P404" s="32"/>
      <c r="Q404" s="32"/>
      <c r="R404" s="32"/>
      <c r="S404" s="3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32"/>
      <c r="N405" s="2"/>
      <c r="O405" s="2"/>
      <c r="P405" s="32"/>
      <c r="Q405" s="32"/>
      <c r="R405" s="32"/>
      <c r="S405" s="3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32"/>
      <c r="N406" s="2"/>
      <c r="O406" s="2"/>
      <c r="P406" s="32"/>
      <c r="Q406" s="32"/>
      <c r="R406" s="32"/>
      <c r="S406" s="3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32"/>
      <c r="N407" s="2"/>
      <c r="O407" s="2"/>
      <c r="P407" s="32"/>
      <c r="Q407" s="32"/>
      <c r="R407" s="32"/>
      <c r="S407" s="3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32"/>
      <c r="N408" s="2"/>
      <c r="O408" s="2"/>
      <c r="P408" s="32"/>
      <c r="Q408" s="32"/>
      <c r="R408" s="32"/>
      <c r="S408" s="3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32"/>
      <c r="N409" s="2"/>
      <c r="O409" s="2"/>
      <c r="P409" s="32"/>
      <c r="Q409" s="32"/>
      <c r="R409" s="32"/>
      <c r="S409" s="3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32"/>
      <c r="N410" s="2"/>
      <c r="O410" s="2"/>
      <c r="P410" s="32"/>
      <c r="Q410" s="32"/>
      <c r="R410" s="32"/>
      <c r="S410" s="3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32"/>
      <c r="N411" s="2"/>
      <c r="O411" s="2"/>
      <c r="P411" s="32"/>
      <c r="Q411" s="32"/>
      <c r="R411" s="32"/>
      <c r="S411" s="3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32"/>
      <c r="N412" s="2"/>
      <c r="O412" s="2"/>
      <c r="P412" s="32"/>
      <c r="Q412" s="32"/>
      <c r="R412" s="32"/>
      <c r="S412" s="3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32"/>
      <c r="N413" s="2"/>
      <c r="O413" s="2"/>
      <c r="P413" s="32"/>
      <c r="Q413" s="32"/>
      <c r="R413" s="32"/>
      <c r="S413" s="3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32"/>
      <c r="N414" s="2"/>
      <c r="O414" s="2"/>
      <c r="P414" s="32"/>
      <c r="Q414" s="32"/>
      <c r="R414" s="32"/>
      <c r="S414" s="3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32"/>
      <c r="N415" s="2"/>
      <c r="O415" s="2"/>
      <c r="P415" s="32"/>
      <c r="Q415" s="32"/>
      <c r="R415" s="32"/>
      <c r="S415" s="3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32"/>
      <c r="N416" s="2"/>
      <c r="O416" s="2"/>
      <c r="P416" s="32"/>
      <c r="Q416" s="32"/>
      <c r="R416" s="32"/>
      <c r="S416" s="3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32"/>
      <c r="N417" s="2"/>
      <c r="O417" s="2"/>
      <c r="P417" s="32"/>
      <c r="Q417" s="32"/>
      <c r="R417" s="32"/>
      <c r="S417" s="3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32"/>
      <c r="N418" s="2"/>
      <c r="O418" s="2"/>
      <c r="P418" s="32"/>
      <c r="Q418" s="32"/>
      <c r="R418" s="32"/>
      <c r="S418" s="3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32"/>
      <c r="N419" s="2"/>
      <c r="O419" s="2"/>
      <c r="P419" s="32"/>
      <c r="Q419" s="32"/>
      <c r="R419" s="32"/>
      <c r="S419" s="3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32"/>
      <c r="N420" s="2"/>
      <c r="O420" s="2"/>
      <c r="P420" s="32"/>
      <c r="Q420" s="32"/>
      <c r="R420" s="32"/>
      <c r="S420" s="3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32"/>
      <c r="N421" s="2"/>
      <c r="O421" s="2"/>
      <c r="P421" s="32"/>
      <c r="Q421" s="32"/>
      <c r="R421" s="32"/>
      <c r="S421" s="3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32"/>
      <c r="N422" s="2"/>
      <c r="O422" s="2"/>
      <c r="P422" s="32"/>
      <c r="Q422" s="32"/>
      <c r="R422" s="32"/>
      <c r="S422" s="3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32"/>
      <c r="N423" s="2"/>
      <c r="O423" s="2"/>
      <c r="P423" s="32"/>
      <c r="Q423" s="32"/>
      <c r="R423" s="32"/>
      <c r="S423" s="3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32"/>
      <c r="N424" s="2"/>
      <c r="O424" s="2"/>
      <c r="P424" s="32"/>
      <c r="Q424" s="32"/>
      <c r="R424" s="32"/>
      <c r="S424" s="3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32"/>
      <c r="N425" s="2"/>
      <c r="O425" s="2"/>
      <c r="P425" s="32"/>
      <c r="Q425" s="32"/>
      <c r="R425" s="32"/>
      <c r="S425" s="3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32"/>
      <c r="N426" s="2"/>
      <c r="O426" s="2"/>
      <c r="P426" s="32"/>
      <c r="Q426" s="32"/>
      <c r="R426" s="32"/>
      <c r="S426" s="3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32"/>
      <c r="N427" s="2"/>
      <c r="O427" s="2"/>
      <c r="P427" s="32"/>
      <c r="Q427" s="32"/>
      <c r="R427" s="32"/>
      <c r="S427" s="3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32"/>
      <c r="N428" s="2"/>
      <c r="O428" s="2"/>
      <c r="P428" s="32"/>
      <c r="Q428" s="32"/>
      <c r="R428" s="32"/>
      <c r="S428" s="3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32"/>
      <c r="N429" s="2"/>
      <c r="O429" s="2"/>
      <c r="P429" s="32"/>
      <c r="Q429" s="32"/>
      <c r="R429" s="32"/>
      <c r="S429" s="3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32"/>
      <c r="N430" s="2"/>
      <c r="O430" s="2"/>
      <c r="P430" s="32"/>
      <c r="Q430" s="32"/>
      <c r="R430" s="32"/>
      <c r="S430" s="3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32"/>
      <c r="N431" s="2"/>
      <c r="O431" s="2"/>
      <c r="P431" s="32"/>
      <c r="Q431" s="32"/>
      <c r="R431" s="32"/>
      <c r="S431" s="3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32"/>
      <c r="N432" s="2"/>
      <c r="O432" s="2"/>
      <c r="P432" s="32"/>
      <c r="Q432" s="32"/>
      <c r="R432" s="32"/>
      <c r="S432" s="3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32"/>
      <c r="N433" s="2"/>
      <c r="O433" s="2"/>
      <c r="P433" s="32"/>
      <c r="Q433" s="32"/>
      <c r="R433" s="32"/>
      <c r="S433" s="3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32"/>
      <c r="N434" s="2"/>
      <c r="O434" s="2"/>
      <c r="P434" s="32"/>
      <c r="Q434" s="32"/>
      <c r="R434" s="32"/>
      <c r="S434" s="3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32"/>
      <c r="N435" s="2"/>
      <c r="O435" s="2"/>
      <c r="P435" s="32"/>
      <c r="Q435" s="32"/>
      <c r="R435" s="32"/>
      <c r="S435" s="3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32"/>
      <c r="N436" s="2"/>
      <c r="O436" s="2"/>
      <c r="P436" s="32"/>
      <c r="Q436" s="32"/>
      <c r="R436" s="32"/>
      <c r="S436" s="3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32"/>
      <c r="N437" s="2"/>
      <c r="O437" s="2"/>
      <c r="P437" s="32"/>
      <c r="Q437" s="32"/>
      <c r="R437" s="32"/>
      <c r="S437" s="3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32"/>
      <c r="N438" s="2"/>
      <c r="O438" s="2"/>
      <c r="P438" s="32"/>
      <c r="Q438" s="32"/>
      <c r="R438" s="32"/>
      <c r="S438" s="3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32"/>
      <c r="N439" s="2"/>
      <c r="O439" s="2"/>
      <c r="P439" s="32"/>
      <c r="Q439" s="32"/>
      <c r="R439" s="32"/>
      <c r="S439" s="3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32"/>
      <c r="N440" s="2"/>
      <c r="O440" s="2"/>
      <c r="P440" s="32"/>
      <c r="Q440" s="32"/>
      <c r="R440" s="32"/>
      <c r="S440" s="3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32"/>
      <c r="N441" s="2"/>
      <c r="O441" s="2"/>
      <c r="P441" s="32"/>
      <c r="Q441" s="32"/>
      <c r="R441" s="32"/>
      <c r="S441" s="3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32"/>
      <c r="N442" s="2"/>
      <c r="O442" s="2"/>
      <c r="P442" s="32"/>
      <c r="Q442" s="32"/>
      <c r="R442" s="32"/>
      <c r="S442" s="3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32"/>
      <c r="N443" s="2"/>
      <c r="O443" s="2"/>
      <c r="P443" s="32"/>
      <c r="Q443" s="32"/>
      <c r="R443" s="32"/>
      <c r="S443" s="3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32"/>
      <c r="N444" s="2"/>
      <c r="O444" s="2"/>
      <c r="P444" s="32"/>
      <c r="Q444" s="32"/>
      <c r="R444" s="32"/>
      <c r="S444" s="3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32"/>
      <c r="N445" s="2"/>
      <c r="O445" s="2"/>
      <c r="P445" s="32"/>
      <c r="Q445" s="32"/>
      <c r="R445" s="32"/>
      <c r="S445" s="3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32"/>
      <c r="N446" s="2"/>
      <c r="O446" s="2"/>
      <c r="P446" s="32"/>
      <c r="Q446" s="32"/>
      <c r="R446" s="32"/>
      <c r="S446" s="3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32"/>
      <c r="N447" s="2"/>
      <c r="O447" s="2"/>
      <c r="P447" s="32"/>
      <c r="Q447" s="32"/>
      <c r="R447" s="32"/>
      <c r="S447" s="3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32"/>
      <c r="N448" s="2"/>
      <c r="O448" s="2"/>
      <c r="P448" s="32"/>
      <c r="Q448" s="32"/>
      <c r="R448" s="32"/>
      <c r="S448" s="3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32"/>
      <c r="N449" s="2"/>
      <c r="O449" s="2"/>
      <c r="P449" s="32"/>
      <c r="Q449" s="32"/>
      <c r="R449" s="32"/>
      <c r="S449" s="3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32"/>
      <c r="N450" s="2"/>
      <c r="O450" s="2"/>
      <c r="P450" s="32"/>
      <c r="Q450" s="32"/>
      <c r="R450" s="32"/>
      <c r="S450" s="3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32"/>
      <c r="N451" s="2"/>
      <c r="O451" s="2"/>
      <c r="P451" s="32"/>
      <c r="Q451" s="32"/>
      <c r="R451" s="32"/>
      <c r="S451" s="3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32"/>
      <c r="N452" s="2"/>
      <c r="O452" s="2"/>
      <c r="P452" s="32"/>
      <c r="Q452" s="32"/>
      <c r="R452" s="32"/>
      <c r="S452" s="3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32"/>
      <c r="N453" s="2"/>
      <c r="O453" s="2"/>
      <c r="P453" s="32"/>
      <c r="Q453" s="32"/>
      <c r="R453" s="32"/>
      <c r="S453" s="3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32"/>
      <c r="N454" s="2"/>
      <c r="O454" s="2"/>
      <c r="P454" s="32"/>
      <c r="Q454" s="32"/>
      <c r="R454" s="32"/>
      <c r="S454" s="3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32"/>
      <c r="N455" s="2"/>
      <c r="O455" s="2"/>
      <c r="P455" s="32"/>
      <c r="Q455" s="32"/>
      <c r="R455" s="32"/>
      <c r="S455" s="3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32"/>
      <c r="N456" s="2"/>
      <c r="O456" s="2"/>
      <c r="P456" s="32"/>
      <c r="Q456" s="32"/>
      <c r="R456" s="32"/>
      <c r="S456" s="3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32"/>
      <c r="N457" s="2"/>
      <c r="O457" s="2"/>
      <c r="P457" s="32"/>
      <c r="Q457" s="32"/>
      <c r="R457" s="32"/>
      <c r="S457" s="3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32"/>
      <c r="N458" s="2"/>
      <c r="O458" s="2"/>
      <c r="P458" s="32"/>
      <c r="Q458" s="32"/>
      <c r="R458" s="32"/>
      <c r="S458" s="3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32"/>
      <c r="N459" s="2"/>
      <c r="O459" s="2"/>
      <c r="P459" s="32"/>
      <c r="Q459" s="32"/>
      <c r="R459" s="32"/>
      <c r="S459" s="3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32"/>
      <c r="N460" s="2"/>
      <c r="O460" s="2"/>
      <c r="P460" s="32"/>
      <c r="Q460" s="32"/>
      <c r="R460" s="32"/>
      <c r="S460" s="3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32"/>
      <c r="N461" s="2"/>
      <c r="O461" s="2"/>
      <c r="P461" s="32"/>
      <c r="Q461" s="32"/>
      <c r="R461" s="32"/>
      <c r="S461" s="3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32"/>
      <c r="N462" s="2"/>
      <c r="O462" s="2"/>
      <c r="P462" s="32"/>
      <c r="Q462" s="32"/>
      <c r="R462" s="32"/>
      <c r="S462" s="3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32"/>
      <c r="N463" s="2"/>
      <c r="O463" s="2"/>
      <c r="P463" s="32"/>
      <c r="Q463" s="32"/>
      <c r="R463" s="32"/>
      <c r="S463" s="3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32"/>
      <c r="N464" s="2"/>
      <c r="O464" s="2"/>
      <c r="P464" s="32"/>
      <c r="Q464" s="32"/>
      <c r="R464" s="32"/>
      <c r="S464" s="3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32"/>
      <c r="N465" s="2"/>
      <c r="O465" s="2"/>
      <c r="P465" s="32"/>
      <c r="Q465" s="32"/>
      <c r="R465" s="32"/>
      <c r="S465" s="3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32"/>
      <c r="N466" s="2"/>
      <c r="O466" s="2"/>
      <c r="P466" s="32"/>
      <c r="Q466" s="32"/>
      <c r="R466" s="32"/>
      <c r="S466" s="3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32"/>
      <c r="N467" s="2"/>
      <c r="O467" s="2"/>
      <c r="P467" s="32"/>
      <c r="Q467" s="32"/>
      <c r="R467" s="32"/>
      <c r="S467" s="3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32"/>
      <c r="N468" s="2"/>
      <c r="O468" s="2"/>
      <c r="P468" s="32"/>
      <c r="Q468" s="32"/>
      <c r="R468" s="32"/>
      <c r="S468" s="3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32"/>
      <c r="N469" s="2"/>
      <c r="O469" s="2"/>
      <c r="P469" s="32"/>
      <c r="Q469" s="32"/>
      <c r="R469" s="32"/>
      <c r="S469" s="3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32"/>
      <c r="N470" s="2"/>
      <c r="O470" s="2"/>
      <c r="P470" s="32"/>
      <c r="Q470" s="32"/>
      <c r="R470" s="32"/>
      <c r="S470" s="3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32"/>
      <c r="N471" s="2"/>
      <c r="O471" s="2"/>
      <c r="P471" s="32"/>
      <c r="Q471" s="32"/>
      <c r="R471" s="32"/>
      <c r="S471" s="3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32"/>
      <c r="N472" s="2"/>
      <c r="O472" s="2"/>
      <c r="P472" s="32"/>
      <c r="Q472" s="32"/>
      <c r="R472" s="32"/>
      <c r="S472" s="3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32"/>
      <c r="N473" s="2"/>
      <c r="O473" s="2"/>
      <c r="P473" s="32"/>
      <c r="Q473" s="32"/>
      <c r="R473" s="32"/>
      <c r="S473" s="3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32"/>
      <c r="N474" s="2"/>
      <c r="O474" s="2"/>
      <c r="P474" s="32"/>
      <c r="Q474" s="32"/>
      <c r="R474" s="32"/>
      <c r="S474" s="3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32"/>
      <c r="N475" s="2"/>
      <c r="O475" s="2"/>
      <c r="P475" s="32"/>
      <c r="Q475" s="32"/>
      <c r="R475" s="32"/>
      <c r="S475" s="3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32"/>
      <c r="N476" s="2"/>
      <c r="O476" s="2"/>
      <c r="P476" s="32"/>
      <c r="Q476" s="32"/>
      <c r="R476" s="32"/>
      <c r="S476" s="3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32"/>
      <c r="N477" s="2"/>
      <c r="O477" s="2"/>
      <c r="P477" s="32"/>
      <c r="Q477" s="32"/>
      <c r="R477" s="32"/>
      <c r="S477" s="3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32"/>
      <c r="N478" s="2"/>
      <c r="O478" s="2"/>
      <c r="P478" s="32"/>
      <c r="Q478" s="32"/>
      <c r="R478" s="32"/>
      <c r="S478" s="3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32"/>
      <c r="N479" s="2"/>
      <c r="O479" s="2"/>
      <c r="P479" s="32"/>
      <c r="Q479" s="32"/>
      <c r="R479" s="32"/>
      <c r="S479" s="3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32"/>
      <c r="N480" s="2"/>
      <c r="O480" s="2"/>
      <c r="P480" s="32"/>
      <c r="Q480" s="32"/>
      <c r="R480" s="32"/>
      <c r="S480" s="3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32"/>
      <c r="N481" s="2"/>
      <c r="O481" s="2"/>
      <c r="P481" s="32"/>
      <c r="Q481" s="32"/>
      <c r="R481" s="32"/>
      <c r="S481" s="3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32"/>
      <c r="N482" s="2"/>
      <c r="O482" s="2"/>
      <c r="P482" s="32"/>
      <c r="Q482" s="32"/>
      <c r="R482" s="32"/>
      <c r="S482" s="3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32"/>
      <c r="N483" s="2"/>
      <c r="O483" s="2"/>
      <c r="P483" s="32"/>
      <c r="Q483" s="32"/>
      <c r="R483" s="32"/>
      <c r="S483" s="3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32"/>
      <c r="N484" s="2"/>
      <c r="O484" s="2"/>
      <c r="P484" s="32"/>
      <c r="Q484" s="32"/>
      <c r="R484" s="32"/>
      <c r="S484" s="3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32"/>
      <c r="N485" s="2"/>
      <c r="O485" s="2"/>
      <c r="P485" s="32"/>
      <c r="Q485" s="32"/>
      <c r="R485" s="32"/>
      <c r="S485" s="3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32"/>
      <c r="N486" s="2"/>
      <c r="O486" s="2"/>
      <c r="P486" s="32"/>
      <c r="Q486" s="32"/>
      <c r="R486" s="32"/>
      <c r="S486" s="3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32"/>
      <c r="N487" s="2"/>
      <c r="O487" s="2"/>
      <c r="P487" s="32"/>
      <c r="Q487" s="32"/>
      <c r="R487" s="32"/>
      <c r="S487" s="3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32"/>
      <c r="N488" s="2"/>
      <c r="O488" s="2"/>
      <c r="P488" s="32"/>
      <c r="Q488" s="32"/>
      <c r="R488" s="32"/>
      <c r="S488" s="3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32"/>
      <c r="N489" s="2"/>
      <c r="O489" s="2"/>
      <c r="P489" s="32"/>
      <c r="Q489" s="32"/>
      <c r="R489" s="32"/>
      <c r="S489" s="3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32"/>
      <c r="N490" s="2"/>
      <c r="O490" s="2"/>
      <c r="P490" s="32"/>
      <c r="Q490" s="32"/>
      <c r="R490" s="32"/>
      <c r="S490" s="3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32"/>
      <c r="N491" s="2"/>
      <c r="O491" s="2"/>
      <c r="P491" s="32"/>
      <c r="Q491" s="32"/>
      <c r="R491" s="32"/>
      <c r="S491" s="3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32"/>
      <c r="N492" s="2"/>
      <c r="O492" s="2"/>
      <c r="P492" s="32"/>
      <c r="Q492" s="32"/>
      <c r="R492" s="32"/>
      <c r="S492" s="3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32"/>
      <c r="N493" s="2"/>
      <c r="O493" s="2"/>
      <c r="P493" s="32"/>
      <c r="Q493" s="32"/>
      <c r="R493" s="32"/>
      <c r="S493" s="3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32"/>
      <c r="N494" s="2"/>
      <c r="O494" s="2"/>
      <c r="P494" s="32"/>
      <c r="Q494" s="32"/>
      <c r="R494" s="32"/>
      <c r="S494" s="3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32"/>
      <c r="N495" s="2"/>
      <c r="O495" s="2"/>
      <c r="P495" s="32"/>
      <c r="Q495" s="32"/>
      <c r="R495" s="32"/>
      <c r="S495" s="3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32"/>
      <c r="N496" s="2"/>
      <c r="O496" s="2"/>
      <c r="P496" s="32"/>
      <c r="Q496" s="32"/>
      <c r="R496" s="32"/>
      <c r="S496" s="3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32"/>
      <c r="N497" s="2"/>
      <c r="O497" s="2"/>
      <c r="P497" s="32"/>
      <c r="Q497" s="32"/>
      <c r="R497" s="32"/>
      <c r="S497" s="3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32"/>
      <c r="N498" s="2"/>
      <c r="O498" s="2"/>
      <c r="P498" s="32"/>
      <c r="Q498" s="32"/>
      <c r="R498" s="32"/>
      <c r="S498" s="3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32"/>
      <c r="N499" s="2"/>
      <c r="O499" s="2"/>
      <c r="P499" s="32"/>
      <c r="Q499" s="32"/>
      <c r="R499" s="32"/>
      <c r="S499" s="3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32"/>
      <c r="N500" s="2"/>
      <c r="O500" s="2"/>
      <c r="P500" s="32"/>
      <c r="Q500" s="32"/>
      <c r="R500" s="32"/>
      <c r="S500" s="3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32"/>
      <c r="N501" s="2"/>
      <c r="O501" s="2"/>
      <c r="P501" s="32"/>
      <c r="Q501" s="32"/>
      <c r="R501" s="32"/>
      <c r="S501" s="3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32"/>
      <c r="N502" s="2"/>
      <c r="O502" s="2"/>
      <c r="P502" s="32"/>
      <c r="Q502" s="32"/>
      <c r="R502" s="32"/>
      <c r="S502" s="3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32"/>
      <c r="N503" s="2"/>
      <c r="O503" s="2"/>
      <c r="P503" s="32"/>
      <c r="Q503" s="32"/>
      <c r="R503" s="32"/>
      <c r="S503" s="3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32"/>
      <c r="N504" s="2"/>
      <c r="O504" s="2"/>
      <c r="P504" s="32"/>
      <c r="Q504" s="32"/>
      <c r="R504" s="32"/>
      <c r="S504" s="3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32"/>
      <c r="N505" s="2"/>
      <c r="O505" s="2"/>
      <c r="P505" s="32"/>
      <c r="Q505" s="32"/>
      <c r="R505" s="32"/>
      <c r="S505" s="3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32"/>
      <c r="N506" s="2"/>
      <c r="O506" s="2"/>
      <c r="P506" s="32"/>
      <c r="Q506" s="32"/>
      <c r="R506" s="32"/>
      <c r="S506" s="3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32"/>
      <c r="N507" s="2"/>
      <c r="O507" s="2"/>
      <c r="P507" s="32"/>
      <c r="Q507" s="32"/>
      <c r="R507" s="32"/>
      <c r="S507" s="3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32"/>
      <c r="N508" s="2"/>
      <c r="O508" s="2"/>
      <c r="P508" s="32"/>
      <c r="Q508" s="32"/>
      <c r="R508" s="32"/>
      <c r="S508" s="3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32"/>
      <c r="N509" s="2"/>
      <c r="O509" s="2"/>
      <c r="P509" s="32"/>
      <c r="Q509" s="32"/>
      <c r="R509" s="32"/>
      <c r="S509" s="3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32"/>
      <c r="N510" s="2"/>
      <c r="O510" s="2"/>
      <c r="P510" s="32"/>
      <c r="Q510" s="32"/>
      <c r="R510" s="32"/>
      <c r="S510" s="3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32"/>
      <c r="N511" s="2"/>
      <c r="O511" s="2"/>
      <c r="P511" s="32"/>
      <c r="Q511" s="32"/>
      <c r="R511" s="32"/>
      <c r="S511" s="3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32"/>
      <c r="N512" s="2"/>
      <c r="O512" s="2"/>
      <c r="P512" s="32"/>
      <c r="Q512" s="32"/>
      <c r="R512" s="32"/>
      <c r="S512" s="3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32"/>
      <c r="N513" s="2"/>
      <c r="O513" s="2"/>
      <c r="P513" s="32"/>
      <c r="Q513" s="32"/>
      <c r="R513" s="32"/>
      <c r="S513" s="3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32"/>
      <c r="N514" s="2"/>
      <c r="O514" s="2"/>
      <c r="P514" s="32"/>
      <c r="Q514" s="32"/>
      <c r="R514" s="32"/>
      <c r="S514" s="3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32"/>
      <c r="N515" s="2"/>
      <c r="O515" s="2"/>
      <c r="P515" s="32"/>
      <c r="Q515" s="32"/>
      <c r="R515" s="32"/>
      <c r="S515" s="3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32"/>
      <c r="N516" s="2"/>
      <c r="O516" s="2"/>
      <c r="P516" s="32"/>
      <c r="Q516" s="32"/>
      <c r="R516" s="32"/>
      <c r="S516" s="3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32"/>
      <c r="N517" s="2"/>
      <c r="O517" s="2"/>
      <c r="P517" s="32"/>
      <c r="Q517" s="32"/>
      <c r="R517" s="32"/>
      <c r="S517" s="3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32"/>
      <c r="N518" s="2"/>
      <c r="O518" s="2"/>
      <c r="P518" s="32"/>
      <c r="Q518" s="32"/>
      <c r="R518" s="32"/>
      <c r="S518" s="3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32"/>
      <c r="N519" s="2"/>
      <c r="O519" s="2"/>
      <c r="P519" s="32"/>
      <c r="Q519" s="32"/>
      <c r="R519" s="32"/>
      <c r="S519" s="3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32"/>
      <c r="N520" s="2"/>
      <c r="O520" s="2"/>
      <c r="P520" s="32"/>
      <c r="Q520" s="32"/>
      <c r="R520" s="32"/>
      <c r="S520" s="3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32"/>
      <c r="N521" s="2"/>
      <c r="O521" s="2"/>
      <c r="P521" s="32"/>
      <c r="Q521" s="32"/>
      <c r="R521" s="32"/>
      <c r="S521" s="3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32"/>
      <c r="N522" s="2"/>
      <c r="O522" s="2"/>
      <c r="P522" s="32"/>
      <c r="Q522" s="32"/>
      <c r="R522" s="32"/>
      <c r="S522" s="3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32"/>
      <c r="N523" s="2"/>
      <c r="O523" s="2"/>
      <c r="P523" s="32"/>
      <c r="Q523" s="32"/>
      <c r="R523" s="32"/>
      <c r="S523" s="3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32"/>
      <c r="N524" s="2"/>
      <c r="O524" s="2"/>
      <c r="P524" s="32"/>
      <c r="Q524" s="32"/>
      <c r="R524" s="32"/>
      <c r="S524" s="3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32"/>
      <c r="N525" s="2"/>
      <c r="O525" s="2"/>
      <c r="P525" s="32"/>
      <c r="Q525" s="32"/>
      <c r="R525" s="32"/>
      <c r="S525" s="3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32"/>
      <c r="N526" s="2"/>
      <c r="O526" s="2"/>
      <c r="P526" s="32"/>
      <c r="Q526" s="32"/>
      <c r="R526" s="32"/>
      <c r="S526" s="3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32"/>
      <c r="N527" s="2"/>
      <c r="O527" s="2"/>
      <c r="P527" s="32"/>
      <c r="Q527" s="32"/>
      <c r="R527" s="32"/>
      <c r="S527" s="3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32"/>
      <c r="N528" s="2"/>
      <c r="O528" s="2"/>
      <c r="P528" s="32"/>
      <c r="Q528" s="32"/>
      <c r="R528" s="32"/>
      <c r="S528" s="3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32"/>
      <c r="N529" s="2"/>
      <c r="O529" s="2"/>
      <c r="P529" s="32"/>
      <c r="Q529" s="32"/>
      <c r="R529" s="32"/>
      <c r="S529" s="3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32"/>
      <c r="N530" s="2"/>
      <c r="O530" s="2"/>
      <c r="P530" s="32"/>
      <c r="Q530" s="32"/>
      <c r="R530" s="32"/>
      <c r="S530" s="3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32"/>
      <c r="N531" s="2"/>
      <c r="O531" s="2"/>
      <c r="P531" s="32"/>
      <c r="Q531" s="32"/>
      <c r="R531" s="32"/>
      <c r="S531" s="3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32"/>
      <c r="N532" s="2"/>
      <c r="O532" s="2"/>
      <c r="P532" s="32"/>
      <c r="Q532" s="32"/>
      <c r="R532" s="32"/>
      <c r="S532" s="3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32"/>
      <c r="N533" s="2"/>
      <c r="O533" s="2"/>
      <c r="P533" s="32"/>
      <c r="Q533" s="32"/>
      <c r="R533" s="32"/>
      <c r="S533" s="3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32"/>
      <c r="N534" s="2"/>
      <c r="O534" s="2"/>
      <c r="P534" s="32"/>
      <c r="Q534" s="32"/>
      <c r="R534" s="32"/>
      <c r="S534" s="3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32"/>
      <c r="N535" s="2"/>
      <c r="O535" s="2"/>
      <c r="P535" s="32"/>
      <c r="Q535" s="32"/>
      <c r="R535" s="32"/>
      <c r="S535" s="3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32"/>
      <c r="N536" s="2"/>
      <c r="O536" s="2"/>
      <c r="P536" s="32"/>
      <c r="Q536" s="32"/>
      <c r="R536" s="32"/>
      <c r="S536" s="3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32"/>
      <c r="N537" s="2"/>
      <c r="O537" s="2"/>
      <c r="P537" s="32"/>
      <c r="Q537" s="32"/>
      <c r="R537" s="32"/>
      <c r="S537" s="3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32"/>
      <c r="N538" s="2"/>
      <c r="O538" s="2"/>
      <c r="P538" s="32"/>
      <c r="Q538" s="32"/>
      <c r="R538" s="32"/>
      <c r="S538" s="3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32"/>
      <c r="N539" s="2"/>
      <c r="O539" s="2"/>
      <c r="P539" s="32"/>
      <c r="Q539" s="32"/>
      <c r="R539" s="32"/>
      <c r="S539" s="3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32"/>
      <c r="N540" s="2"/>
      <c r="O540" s="2"/>
      <c r="P540" s="32"/>
      <c r="Q540" s="32"/>
      <c r="R540" s="32"/>
      <c r="S540" s="3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32"/>
      <c r="N541" s="2"/>
      <c r="O541" s="2"/>
      <c r="P541" s="32"/>
      <c r="Q541" s="32"/>
      <c r="R541" s="32"/>
      <c r="S541" s="3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32"/>
      <c r="N542" s="2"/>
      <c r="O542" s="2"/>
      <c r="P542" s="32"/>
      <c r="Q542" s="32"/>
      <c r="R542" s="32"/>
      <c r="S542" s="3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32"/>
      <c r="N543" s="2"/>
      <c r="O543" s="2"/>
      <c r="P543" s="32"/>
      <c r="Q543" s="32"/>
      <c r="R543" s="32"/>
      <c r="S543" s="3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32"/>
      <c r="N544" s="2"/>
      <c r="O544" s="2"/>
      <c r="P544" s="32"/>
      <c r="Q544" s="32"/>
      <c r="R544" s="32"/>
      <c r="S544" s="3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32"/>
      <c r="N545" s="2"/>
      <c r="O545" s="2"/>
      <c r="P545" s="32"/>
      <c r="Q545" s="32"/>
      <c r="R545" s="32"/>
      <c r="S545" s="3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32"/>
      <c r="N546" s="2"/>
      <c r="O546" s="2"/>
      <c r="P546" s="32"/>
      <c r="Q546" s="32"/>
      <c r="R546" s="32"/>
      <c r="S546" s="3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32"/>
      <c r="N547" s="2"/>
      <c r="O547" s="2"/>
      <c r="P547" s="32"/>
      <c r="Q547" s="32"/>
      <c r="R547" s="32"/>
      <c r="S547" s="3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32"/>
      <c r="N548" s="2"/>
      <c r="O548" s="2"/>
      <c r="P548" s="32"/>
      <c r="Q548" s="32"/>
      <c r="R548" s="32"/>
      <c r="S548" s="3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32"/>
      <c r="N549" s="2"/>
      <c r="O549" s="2"/>
      <c r="P549" s="32"/>
      <c r="Q549" s="32"/>
      <c r="R549" s="32"/>
      <c r="S549" s="3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32"/>
      <c r="N550" s="2"/>
      <c r="O550" s="2"/>
      <c r="P550" s="32"/>
      <c r="Q550" s="32"/>
      <c r="R550" s="32"/>
      <c r="S550" s="3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32"/>
      <c r="N551" s="2"/>
      <c r="O551" s="2"/>
      <c r="P551" s="32"/>
      <c r="Q551" s="32"/>
      <c r="R551" s="32"/>
      <c r="S551" s="3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32"/>
      <c r="N552" s="2"/>
      <c r="O552" s="2"/>
      <c r="P552" s="32"/>
      <c r="Q552" s="32"/>
      <c r="R552" s="32"/>
      <c r="S552" s="3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32"/>
      <c r="N553" s="2"/>
      <c r="O553" s="2"/>
      <c r="P553" s="32"/>
      <c r="Q553" s="32"/>
      <c r="R553" s="32"/>
      <c r="S553" s="3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32"/>
      <c r="N554" s="2"/>
      <c r="O554" s="2"/>
      <c r="P554" s="32"/>
      <c r="Q554" s="32"/>
      <c r="R554" s="32"/>
      <c r="S554" s="3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32"/>
      <c r="N555" s="2"/>
      <c r="O555" s="2"/>
      <c r="P555" s="32"/>
      <c r="Q555" s="32"/>
      <c r="R555" s="32"/>
      <c r="S555" s="3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32"/>
      <c r="N556" s="2"/>
      <c r="O556" s="2"/>
      <c r="P556" s="32"/>
      <c r="Q556" s="32"/>
      <c r="R556" s="32"/>
      <c r="S556" s="3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32"/>
      <c r="N557" s="2"/>
      <c r="O557" s="2"/>
      <c r="P557" s="32"/>
      <c r="Q557" s="32"/>
      <c r="R557" s="32"/>
      <c r="S557" s="3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32"/>
      <c r="N558" s="2"/>
      <c r="O558" s="2"/>
      <c r="P558" s="32"/>
      <c r="Q558" s="32"/>
      <c r="R558" s="32"/>
      <c r="S558" s="3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32"/>
      <c r="N559" s="2"/>
      <c r="O559" s="2"/>
      <c r="P559" s="32"/>
      <c r="Q559" s="32"/>
      <c r="R559" s="32"/>
      <c r="S559" s="3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32"/>
      <c r="N560" s="2"/>
      <c r="O560" s="2"/>
      <c r="P560" s="32"/>
      <c r="Q560" s="32"/>
      <c r="R560" s="32"/>
      <c r="S560" s="3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32"/>
      <c r="N561" s="2"/>
      <c r="O561" s="2"/>
      <c r="P561" s="32"/>
      <c r="Q561" s="32"/>
      <c r="R561" s="32"/>
      <c r="S561" s="3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32"/>
      <c r="N562" s="2"/>
      <c r="O562" s="2"/>
      <c r="P562" s="32"/>
      <c r="Q562" s="32"/>
      <c r="R562" s="32"/>
      <c r="S562" s="3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32"/>
      <c r="N563" s="2"/>
      <c r="O563" s="2"/>
      <c r="P563" s="32"/>
      <c r="Q563" s="32"/>
      <c r="R563" s="32"/>
      <c r="S563" s="3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32"/>
      <c r="N564" s="2"/>
      <c r="O564" s="2"/>
      <c r="P564" s="32"/>
      <c r="Q564" s="32"/>
      <c r="R564" s="32"/>
      <c r="S564" s="3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32"/>
      <c r="N565" s="2"/>
      <c r="O565" s="2"/>
      <c r="P565" s="32"/>
      <c r="Q565" s="32"/>
      <c r="R565" s="32"/>
      <c r="S565" s="3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32"/>
      <c r="N566" s="2"/>
      <c r="O566" s="2"/>
      <c r="P566" s="32"/>
      <c r="Q566" s="32"/>
      <c r="R566" s="32"/>
      <c r="S566" s="3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32"/>
      <c r="N567" s="2"/>
      <c r="O567" s="2"/>
      <c r="P567" s="32"/>
      <c r="Q567" s="32"/>
      <c r="R567" s="32"/>
      <c r="S567" s="3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32"/>
      <c r="N568" s="2"/>
      <c r="O568" s="2"/>
      <c r="P568" s="32"/>
      <c r="Q568" s="32"/>
      <c r="R568" s="32"/>
      <c r="S568" s="3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32"/>
      <c r="N569" s="2"/>
      <c r="O569" s="2"/>
      <c r="P569" s="32"/>
      <c r="Q569" s="32"/>
      <c r="R569" s="32"/>
      <c r="S569" s="3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32"/>
      <c r="N570" s="2"/>
      <c r="O570" s="2"/>
      <c r="P570" s="32"/>
      <c r="Q570" s="32"/>
      <c r="R570" s="32"/>
      <c r="S570" s="3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32"/>
      <c r="N571" s="2"/>
      <c r="O571" s="2"/>
      <c r="P571" s="32"/>
      <c r="Q571" s="32"/>
      <c r="R571" s="32"/>
      <c r="S571" s="3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32"/>
      <c r="N572" s="2"/>
      <c r="O572" s="2"/>
      <c r="P572" s="32"/>
      <c r="Q572" s="32"/>
      <c r="R572" s="32"/>
      <c r="S572" s="3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32"/>
      <c r="N573" s="2"/>
      <c r="O573" s="2"/>
      <c r="P573" s="32"/>
      <c r="Q573" s="32"/>
      <c r="R573" s="32"/>
      <c r="S573" s="3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32"/>
      <c r="N574" s="2"/>
      <c r="O574" s="2"/>
      <c r="P574" s="32"/>
      <c r="Q574" s="32"/>
      <c r="R574" s="32"/>
      <c r="S574" s="3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32"/>
      <c r="N575" s="2"/>
      <c r="O575" s="2"/>
      <c r="P575" s="32"/>
      <c r="Q575" s="32"/>
      <c r="R575" s="32"/>
      <c r="S575" s="3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32"/>
      <c r="N576" s="2"/>
      <c r="O576" s="2"/>
      <c r="P576" s="32"/>
      <c r="Q576" s="32"/>
      <c r="R576" s="32"/>
      <c r="S576" s="3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32"/>
      <c r="N577" s="2"/>
      <c r="O577" s="2"/>
      <c r="P577" s="32"/>
      <c r="Q577" s="32"/>
      <c r="R577" s="32"/>
      <c r="S577" s="3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32"/>
      <c r="N578" s="2"/>
      <c r="O578" s="2"/>
      <c r="P578" s="32"/>
      <c r="Q578" s="32"/>
      <c r="R578" s="32"/>
      <c r="S578" s="3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32"/>
      <c r="N579" s="2"/>
      <c r="O579" s="2"/>
      <c r="P579" s="32"/>
      <c r="Q579" s="32"/>
      <c r="R579" s="32"/>
      <c r="S579" s="3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32"/>
      <c r="N580" s="2"/>
      <c r="O580" s="2"/>
      <c r="P580" s="32"/>
      <c r="Q580" s="32"/>
      <c r="R580" s="32"/>
      <c r="S580" s="3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32"/>
      <c r="N581" s="2"/>
      <c r="O581" s="2"/>
      <c r="P581" s="32"/>
      <c r="Q581" s="32"/>
      <c r="R581" s="32"/>
      <c r="S581" s="3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32"/>
      <c r="N582" s="2"/>
      <c r="O582" s="2"/>
      <c r="P582" s="32"/>
      <c r="Q582" s="32"/>
      <c r="R582" s="32"/>
      <c r="S582" s="3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32"/>
      <c r="N583" s="2"/>
      <c r="O583" s="2"/>
      <c r="P583" s="32"/>
      <c r="Q583" s="32"/>
      <c r="R583" s="32"/>
      <c r="S583" s="3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32"/>
      <c r="N584" s="2"/>
      <c r="O584" s="2"/>
      <c r="P584" s="32"/>
      <c r="Q584" s="32"/>
      <c r="R584" s="32"/>
      <c r="S584" s="3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32"/>
      <c r="N585" s="2"/>
      <c r="O585" s="2"/>
      <c r="P585" s="32"/>
      <c r="Q585" s="32"/>
      <c r="R585" s="32"/>
      <c r="S585" s="3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32"/>
      <c r="N586" s="2"/>
      <c r="O586" s="2"/>
      <c r="P586" s="32"/>
      <c r="Q586" s="32"/>
      <c r="R586" s="32"/>
      <c r="S586" s="3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32"/>
      <c r="N587" s="2"/>
      <c r="O587" s="2"/>
      <c r="P587" s="32"/>
      <c r="Q587" s="32"/>
      <c r="R587" s="32"/>
      <c r="S587" s="3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32"/>
      <c r="N588" s="2"/>
      <c r="O588" s="2"/>
      <c r="P588" s="32"/>
      <c r="Q588" s="32"/>
      <c r="R588" s="32"/>
      <c r="S588" s="3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32"/>
      <c r="N589" s="2"/>
      <c r="O589" s="2"/>
      <c r="P589" s="32"/>
      <c r="Q589" s="32"/>
      <c r="R589" s="32"/>
      <c r="S589" s="3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32"/>
      <c r="N590" s="2"/>
      <c r="O590" s="2"/>
      <c r="P590" s="32"/>
      <c r="Q590" s="32"/>
      <c r="R590" s="32"/>
      <c r="S590" s="3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32"/>
      <c r="N591" s="2"/>
      <c r="O591" s="2"/>
      <c r="P591" s="32"/>
      <c r="Q591" s="32"/>
      <c r="R591" s="32"/>
      <c r="S591" s="3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32"/>
      <c r="N592" s="2"/>
      <c r="O592" s="2"/>
      <c r="P592" s="32"/>
      <c r="Q592" s="32"/>
      <c r="R592" s="32"/>
      <c r="S592" s="3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32"/>
      <c r="N593" s="2"/>
      <c r="O593" s="2"/>
      <c r="P593" s="32"/>
      <c r="Q593" s="32"/>
      <c r="R593" s="32"/>
      <c r="S593" s="3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32"/>
      <c r="N594" s="2"/>
      <c r="O594" s="2"/>
      <c r="P594" s="32"/>
      <c r="Q594" s="32"/>
      <c r="R594" s="32"/>
      <c r="S594" s="3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32"/>
      <c r="N595" s="2"/>
      <c r="O595" s="2"/>
      <c r="P595" s="32"/>
      <c r="Q595" s="32"/>
      <c r="R595" s="32"/>
      <c r="S595" s="3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32"/>
      <c r="N596" s="2"/>
      <c r="O596" s="2"/>
      <c r="P596" s="32"/>
      <c r="Q596" s="32"/>
      <c r="R596" s="32"/>
      <c r="S596" s="3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32"/>
      <c r="N597" s="2"/>
      <c r="O597" s="2"/>
      <c r="P597" s="32"/>
      <c r="Q597" s="32"/>
      <c r="R597" s="32"/>
      <c r="S597" s="3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32"/>
      <c r="N598" s="2"/>
      <c r="O598" s="2"/>
      <c r="P598" s="32"/>
      <c r="Q598" s="32"/>
      <c r="R598" s="32"/>
      <c r="S598" s="3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32"/>
      <c r="N599" s="2"/>
      <c r="O599" s="2"/>
      <c r="P599" s="32"/>
      <c r="Q599" s="32"/>
      <c r="R599" s="32"/>
      <c r="S599" s="3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32"/>
      <c r="N600" s="2"/>
      <c r="O600" s="2"/>
      <c r="P600" s="32"/>
      <c r="Q600" s="32"/>
      <c r="R600" s="32"/>
      <c r="S600" s="3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32"/>
      <c r="N601" s="2"/>
      <c r="O601" s="2"/>
      <c r="P601" s="32"/>
      <c r="Q601" s="32"/>
      <c r="R601" s="32"/>
      <c r="S601" s="3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32"/>
      <c r="N602" s="2"/>
      <c r="O602" s="2"/>
      <c r="P602" s="32"/>
      <c r="Q602" s="32"/>
      <c r="R602" s="32"/>
      <c r="S602" s="3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32"/>
      <c r="N603" s="2"/>
      <c r="O603" s="2"/>
      <c r="P603" s="32"/>
      <c r="Q603" s="32"/>
      <c r="R603" s="32"/>
      <c r="S603" s="3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32"/>
      <c r="N604" s="2"/>
      <c r="O604" s="2"/>
      <c r="P604" s="32"/>
      <c r="Q604" s="32"/>
      <c r="R604" s="32"/>
      <c r="S604" s="3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32"/>
      <c r="N605" s="2"/>
      <c r="O605" s="2"/>
      <c r="P605" s="32"/>
      <c r="Q605" s="32"/>
      <c r="R605" s="32"/>
      <c r="S605" s="3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32"/>
      <c r="N606" s="2"/>
      <c r="O606" s="2"/>
      <c r="P606" s="32"/>
      <c r="Q606" s="32"/>
      <c r="R606" s="32"/>
      <c r="S606" s="3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32"/>
      <c r="N607" s="2"/>
      <c r="O607" s="2"/>
      <c r="P607" s="32"/>
      <c r="Q607" s="32"/>
      <c r="R607" s="32"/>
      <c r="S607" s="3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32"/>
      <c r="N608" s="2"/>
      <c r="O608" s="2"/>
      <c r="P608" s="32"/>
      <c r="Q608" s="32"/>
      <c r="R608" s="32"/>
      <c r="S608" s="3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32"/>
      <c r="N609" s="2"/>
      <c r="O609" s="2"/>
      <c r="P609" s="32"/>
      <c r="Q609" s="32"/>
      <c r="R609" s="32"/>
      <c r="S609" s="3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32"/>
      <c r="N610" s="2"/>
      <c r="O610" s="2"/>
      <c r="P610" s="32"/>
      <c r="Q610" s="32"/>
      <c r="R610" s="32"/>
      <c r="S610" s="3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32"/>
      <c r="N611" s="2"/>
      <c r="O611" s="2"/>
      <c r="P611" s="32"/>
      <c r="Q611" s="32"/>
      <c r="R611" s="32"/>
      <c r="S611" s="3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32"/>
      <c r="N612" s="2"/>
      <c r="O612" s="2"/>
      <c r="P612" s="32"/>
      <c r="Q612" s="32"/>
      <c r="R612" s="32"/>
      <c r="S612" s="3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32"/>
      <c r="N613" s="2"/>
      <c r="O613" s="2"/>
      <c r="P613" s="32"/>
      <c r="Q613" s="32"/>
      <c r="R613" s="32"/>
      <c r="S613" s="3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32"/>
      <c r="N614" s="2"/>
      <c r="O614" s="2"/>
      <c r="P614" s="32"/>
      <c r="Q614" s="32"/>
      <c r="R614" s="32"/>
      <c r="S614" s="3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32"/>
      <c r="N615" s="2"/>
      <c r="O615" s="2"/>
      <c r="P615" s="32"/>
      <c r="Q615" s="32"/>
      <c r="R615" s="32"/>
      <c r="S615" s="3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32"/>
      <c r="N616" s="2"/>
      <c r="O616" s="2"/>
      <c r="P616" s="32"/>
      <c r="Q616" s="32"/>
      <c r="R616" s="32"/>
      <c r="S616" s="3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32"/>
      <c r="N617" s="2"/>
      <c r="O617" s="2"/>
      <c r="P617" s="32"/>
      <c r="Q617" s="32"/>
      <c r="R617" s="32"/>
      <c r="S617" s="3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32"/>
      <c r="N618" s="2"/>
      <c r="O618" s="2"/>
      <c r="P618" s="32"/>
      <c r="Q618" s="32"/>
      <c r="R618" s="32"/>
      <c r="S618" s="3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32"/>
      <c r="N619" s="2"/>
      <c r="O619" s="2"/>
      <c r="P619" s="32"/>
      <c r="Q619" s="32"/>
      <c r="R619" s="32"/>
      <c r="S619" s="3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32"/>
      <c r="N620" s="2"/>
      <c r="O620" s="2"/>
      <c r="P620" s="32"/>
      <c r="Q620" s="32"/>
      <c r="R620" s="32"/>
      <c r="S620" s="3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32"/>
      <c r="N621" s="2"/>
      <c r="O621" s="2"/>
      <c r="P621" s="32"/>
      <c r="Q621" s="32"/>
      <c r="R621" s="32"/>
      <c r="S621" s="3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32"/>
      <c r="N622" s="2"/>
      <c r="O622" s="2"/>
      <c r="P622" s="32"/>
      <c r="Q622" s="32"/>
      <c r="R622" s="32"/>
      <c r="S622" s="3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32"/>
      <c r="N623" s="2"/>
      <c r="O623" s="2"/>
      <c r="P623" s="32"/>
      <c r="Q623" s="32"/>
      <c r="R623" s="32"/>
      <c r="S623" s="3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32"/>
      <c r="N624" s="2"/>
      <c r="O624" s="2"/>
      <c r="P624" s="32"/>
      <c r="Q624" s="32"/>
      <c r="R624" s="32"/>
      <c r="S624" s="3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32"/>
      <c r="N625" s="2"/>
      <c r="O625" s="2"/>
      <c r="P625" s="32"/>
      <c r="Q625" s="32"/>
      <c r="R625" s="32"/>
      <c r="S625" s="3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32"/>
      <c r="N626" s="2"/>
      <c r="O626" s="2"/>
      <c r="P626" s="32"/>
      <c r="Q626" s="32"/>
      <c r="R626" s="32"/>
      <c r="S626" s="3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32"/>
      <c r="N627" s="2"/>
      <c r="O627" s="2"/>
      <c r="P627" s="32"/>
      <c r="Q627" s="32"/>
      <c r="R627" s="32"/>
      <c r="S627" s="3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32"/>
      <c r="N628" s="2"/>
      <c r="O628" s="2"/>
      <c r="P628" s="32"/>
      <c r="Q628" s="32"/>
      <c r="R628" s="32"/>
      <c r="S628" s="3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32"/>
      <c r="N629" s="2"/>
      <c r="O629" s="2"/>
      <c r="P629" s="32"/>
      <c r="Q629" s="32"/>
      <c r="R629" s="32"/>
      <c r="S629" s="3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32"/>
      <c r="N630" s="2"/>
      <c r="O630" s="2"/>
      <c r="P630" s="32"/>
      <c r="Q630" s="32"/>
      <c r="R630" s="32"/>
      <c r="S630" s="3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32"/>
      <c r="N631" s="2"/>
      <c r="O631" s="2"/>
      <c r="P631" s="32"/>
      <c r="Q631" s="32"/>
      <c r="R631" s="32"/>
      <c r="S631" s="3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32"/>
      <c r="N632" s="2"/>
      <c r="O632" s="2"/>
      <c r="P632" s="32"/>
      <c r="Q632" s="32"/>
      <c r="R632" s="32"/>
      <c r="S632" s="3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32"/>
      <c r="N633" s="2"/>
      <c r="O633" s="2"/>
      <c r="P633" s="32"/>
      <c r="Q633" s="32"/>
      <c r="R633" s="32"/>
      <c r="S633" s="3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32"/>
      <c r="N634" s="2"/>
      <c r="O634" s="2"/>
      <c r="P634" s="32"/>
      <c r="Q634" s="32"/>
      <c r="R634" s="32"/>
      <c r="S634" s="3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32"/>
      <c r="N635" s="2"/>
      <c r="O635" s="2"/>
      <c r="P635" s="32"/>
      <c r="Q635" s="32"/>
      <c r="R635" s="32"/>
      <c r="S635" s="3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32"/>
      <c r="N636" s="2"/>
      <c r="O636" s="2"/>
      <c r="P636" s="32"/>
      <c r="Q636" s="32"/>
      <c r="R636" s="32"/>
      <c r="S636" s="3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32"/>
      <c r="N637" s="2"/>
      <c r="O637" s="2"/>
      <c r="P637" s="32"/>
      <c r="Q637" s="32"/>
      <c r="R637" s="32"/>
      <c r="S637" s="3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32"/>
      <c r="N638" s="2"/>
      <c r="O638" s="2"/>
      <c r="P638" s="32"/>
      <c r="Q638" s="32"/>
      <c r="R638" s="32"/>
      <c r="S638" s="3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32"/>
      <c r="N639" s="2"/>
      <c r="O639" s="2"/>
      <c r="P639" s="32"/>
      <c r="Q639" s="32"/>
      <c r="R639" s="32"/>
      <c r="S639" s="3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32"/>
      <c r="N640" s="2"/>
      <c r="O640" s="2"/>
      <c r="P640" s="32"/>
      <c r="Q640" s="32"/>
      <c r="R640" s="32"/>
      <c r="S640" s="3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32"/>
      <c r="N641" s="2"/>
      <c r="O641" s="2"/>
      <c r="P641" s="32"/>
      <c r="Q641" s="32"/>
      <c r="R641" s="32"/>
      <c r="S641" s="3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32"/>
      <c r="N642" s="2"/>
      <c r="O642" s="2"/>
      <c r="P642" s="32"/>
      <c r="Q642" s="32"/>
      <c r="R642" s="32"/>
      <c r="S642" s="3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32"/>
      <c r="N643" s="2"/>
      <c r="O643" s="2"/>
      <c r="P643" s="32"/>
      <c r="Q643" s="32"/>
      <c r="R643" s="32"/>
      <c r="S643" s="3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32"/>
      <c r="N644" s="2"/>
      <c r="O644" s="2"/>
      <c r="P644" s="32"/>
      <c r="Q644" s="32"/>
      <c r="R644" s="32"/>
      <c r="S644" s="3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32"/>
      <c r="N645" s="2"/>
      <c r="O645" s="2"/>
      <c r="P645" s="32"/>
      <c r="Q645" s="32"/>
      <c r="R645" s="32"/>
      <c r="S645" s="3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32"/>
      <c r="N646" s="2"/>
      <c r="O646" s="2"/>
      <c r="P646" s="32"/>
      <c r="Q646" s="32"/>
      <c r="R646" s="32"/>
      <c r="S646" s="3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32"/>
      <c r="N647" s="2"/>
      <c r="O647" s="2"/>
      <c r="P647" s="32"/>
      <c r="Q647" s="32"/>
      <c r="R647" s="32"/>
      <c r="S647" s="3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32"/>
      <c r="N648" s="2"/>
      <c r="O648" s="2"/>
      <c r="P648" s="32"/>
      <c r="Q648" s="32"/>
      <c r="R648" s="32"/>
      <c r="S648" s="3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32"/>
      <c r="N649" s="2"/>
      <c r="O649" s="2"/>
      <c r="P649" s="32"/>
      <c r="Q649" s="32"/>
      <c r="R649" s="32"/>
      <c r="S649" s="3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32"/>
      <c r="N650" s="2"/>
      <c r="O650" s="2"/>
      <c r="P650" s="32"/>
      <c r="Q650" s="32"/>
      <c r="R650" s="32"/>
      <c r="S650" s="3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32"/>
      <c r="N651" s="2"/>
      <c r="O651" s="2"/>
      <c r="P651" s="32"/>
      <c r="Q651" s="32"/>
      <c r="R651" s="32"/>
      <c r="S651" s="3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32"/>
      <c r="N652" s="2"/>
      <c r="O652" s="2"/>
      <c r="P652" s="32"/>
      <c r="Q652" s="32"/>
      <c r="R652" s="32"/>
      <c r="S652" s="3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32"/>
      <c r="N653" s="2"/>
      <c r="O653" s="2"/>
      <c r="P653" s="32"/>
      <c r="Q653" s="32"/>
      <c r="R653" s="32"/>
      <c r="S653" s="3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32"/>
      <c r="N654" s="2"/>
      <c r="O654" s="2"/>
      <c r="P654" s="32"/>
      <c r="Q654" s="32"/>
      <c r="R654" s="32"/>
      <c r="S654" s="3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32"/>
      <c r="N655" s="2"/>
      <c r="O655" s="2"/>
      <c r="P655" s="32"/>
      <c r="Q655" s="32"/>
      <c r="R655" s="32"/>
      <c r="S655" s="3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32"/>
      <c r="N656" s="2"/>
      <c r="O656" s="2"/>
      <c r="P656" s="32"/>
      <c r="Q656" s="32"/>
      <c r="R656" s="32"/>
      <c r="S656" s="3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32"/>
      <c r="N657" s="2"/>
      <c r="O657" s="2"/>
      <c r="P657" s="32"/>
      <c r="Q657" s="32"/>
      <c r="R657" s="32"/>
      <c r="S657" s="3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32"/>
      <c r="N658" s="2"/>
      <c r="O658" s="2"/>
      <c r="P658" s="32"/>
      <c r="Q658" s="32"/>
      <c r="R658" s="32"/>
      <c r="S658" s="3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32"/>
      <c r="N659" s="2"/>
      <c r="O659" s="2"/>
      <c r="P659" s="32"/>
      <c r="Q659" s="32"/>
      <c r="R659" s="32"/>
      <c r="S659" s="3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32"/>
      <c r="N660" s="2"/>
      <c r="O660" s="2"/>
      <c r="P660" s="32"/>
      <c r="Q660" s="32"/>
      <c r="R660" s="32"/>
      <c r="S660" s="3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32"/>
      <c r="N661" s="2"/>
      <c r="O661" s="2"/>
      <c r="P661" s="32"/>
      <c r="Q661" s="32"/>
      <c r="R661" s="32"/>
      <c r="S661" s="3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32"/>
      <c r="N662" s="2"/>
      <c r="O662" s="2"/>
      <c r="P662" s="32"/>
      <c r="Q662" s="32"/>
      <c r="R662" s="32"/>
      <c r="S662" s="3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32"/>
      <c r="N663" s="2"/>
      <c r="O663" s="2"/>
      <c r="P663" s="32"/>
      <c r="Q663" s="32"/>
      <c r="R663" s="32"/>
      <c r="S663" s="3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32"/>
      <c r="N664" s="2"/>
      <c r="O664" s="2"/>
      <c r="P664" s="32"/>
      <c r="Q664" s="32"/>
      <c r="R664" s="32"/>
      <c r="S664" s="3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32"/>
      <c r="N665" s="2"/>
      <c r="O665" s="2"/>
      <c r="P665" s="32"/>
      <c r="Q665" s="32"/>
      <c r="R665" s="32"/>
      <c r="S665" s="3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32"/>
      <c r="N666" s="2"/>
      <c r="O666" s="2"/>
      <c r="P666" s="32"/>
      <c r="Q666" s="32"/>
      <c r="R666" s="32"/>
      <c r="S666" s="3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32"/>
      <c r="N667" s="2"/>
      <c r="O667" s="2"/>
      <c r="P667" s="32"/>
      <c r="Q667" s="32"/>
      <c r="R667" s="32"/>
      <c r="S667" s="3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32"/>
      <c r="N668" s="2"/>
      <c r="O668" s="2"/>
      <c r="P668" s="32"/>
      <c r="Q668" s="32"/>
      <c r="R668" s="32"/>
      <c r="S668" s="3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32"/>
      <c r="N669" s="2"/>
      <c r="O669" s="2"/>
      <c r="P669" s="32"/>
      <c r="Q669" s="32"/>
      <c r="R669" s="32"/>
      <c r="S669" s="3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32"/>
      <c r="N670" s="2"/>
      <c r="O670" s="2"/>
      <c r="P670" s="32"/>
      <c r="Q670" s="32"/>
      <c r="R670" s="32"/>
      <c r="S670" s="3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32"/>
      <c r="N671" s="2"/>
      <c r="O671" s="2"/>
      <c r="P671" s="32"/>
      <c r="Q671" s="32"/>
      <c r="R671" s="32"/>
      <c r="S671" s="3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32"/>
      <c r="N672" s="2"/>
      <c r="O672" s="2"/>
      <c r="P672" s="32"/>
      <c r="Q672" s="32"/>
      <c r="R672" s="32"/>
      <c r="S672" s="3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32"/>
      <c r="N673" s="2"/>
      <c r="O673" s="2"/>
      <c r="P673" s="32"/>
      <c r="Q673" s="32"/>
      <c r="R673" s="32"/>
      <c r="S673" s="3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32"/>
      <c r="N674" s="2"/>
      <c r="O674" s="2"/>
      <c r="P674" s="32"/>
      <c r="Q674" s="32"/>
      <c r="R674" s="32"/>
      <c r="S674" s="3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32"/>
      <c r="N675" s="2"/>
      <c r="O675" s="2"/>
      <c r="P675" s="32"/>
      <c r="Q675" s="32"/>
      <c r="R675" s="32"/>
      <c r="S675" s="3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32"/>
      <c r="N676" s="2"/>
      <c r="O676" s="2"/>
      <c r="P676" s="32"/>
      <c r="Q676" s="32"/>
      <c r="R676" s="32"/>
      <c r="S676" s="3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32"/>
      <c r="N677" s="2"/>
      <c r="O677" s="2"/>
      <c r="P677" s="32"/>
      <c r="Q677" s="32"/>
      <c r="R677" s="32"/>
      <c r="S677" s="3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32"/>
      <c r="N678" s="2"/>
      <c r="O678" s="2"/>
      <c r="P678" s="32"/>
      <c r="Q678" s="32"/>
      <c r="R678" s="32"/>
      <c r="S678" s="3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32"/>
      <c r="N679" s="2"/>
      <c r="O679" s="2"/>
      <c r="P679" s="32"/>
      <c r="Q679" s="32"/>
      <c r="R679" s="32"/>
      <c r="S679" s="3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32"/>
      <c r="N680" s="2"/>
      <c r="O680" s="2"/>
      <c r="P680" s="32"/>
      <c r="Q680" s="32"/>
      <c r="R680" s="32"/>
      <c r="S680" s="3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32"/>
      <c r="N681" s="2"/>
      <c r="O681" s="2"/>
      <c r="P681" s="32"/>
      <c r="Q681" s="32"/>
      <c r="R681" s="32"/>
      <c r="S681" s="3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32"/>
      <c r="N682" s="2"/>
      <c r="O682" s="2"/>
      <c r="P682" s="32"/>
      <c r="Q682" s="32"/>
      <c r="R682" s="32"/>
      <c r="S682" s="3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32"/>
      <c r="N683" s="2"/>
      <c r="O683" s="2"/>
      <c r="P683" s="32"/>
      <c r="Q683" s="32"/>
      <c r="R683" s="32"/>
      <c r="S683" s="3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32"/>
      <c r="N684" s="2"/>
      <c r="O684" s="2"/>
      <c r="P684" s="32"/>
      <c r="Q684" s="32"/>
      <c r="R684" s="32"/>
      <c r="S684" s="3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32"/>
      <c r="N685" s="2"/>
      <c r="O685" s="2"/>
      <c r="P685" s="32"/>
      <c r="Q685" s="32"/>
      <c r="R685" s="32"/>
      <c r="S685" s="3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32"/>
      <c r="N686" s="2"/>
      <c r="O686" s="2"/>
      <c r="P686" s="32"/>
      <c r="Q686" s="32"/>
      <c r="R686" s="32"/>
      <c r="S686" s="3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32"/>
      <c r="N687" s="2"/>
      <c r="O687" s="2"/>
      <c r="P687" s="32"/>
      <c r="Q687" s="32"/>
      <c r="R687" s="32"/>
      <c r="S687" s="3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32"/>
      <c r="N688" s="2"/>
      <c r="O688" s="2"/>
      <c r="P688" s="32"/>
      <c r="Q688" s="32"/>
      <c r="R688" s="32"/>
      <c r="S688" s="3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32"/>
      <c r="N689" s="2"/>
      <c r="O689" s="2"/>
      <c r="P689" s="32"/>
      <c r="Q689" s="32"/>
      <c r="R689" s="32"/>
      <c r="S689" s="3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32"/>
      <c r="N690" s="2"/>
      <c r="O690" s="2"/>
      <c r="P690" s="32"/>
      <c r="Q690" s="32"/>
      <c r="R690" s="32"/>
      <c r="S690" s="3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32"/>
      <c r="N691" s="2"/>
      <c r="O691" s="2"/>
      <c r="P691" s="32"/>
      <c r="Q691" s="32"/>
      <c r="R691" s="32"/>
      <c r="S691" s="3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32"/>
      <c r="N692" s="2"/>
      <c r="O692" s="2"/>
      <c r="P692" s="32"/>
      <c r="Q692" s="32"/>
      <c r="R692" s="32"/>
      <c r="S692" s="3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32"/>
      <c r="N693" s="2"/>
      <c r="O693" s="2"/>
      <c r="P693" s="32"/>
      <c r="Q693" s="32"/>
      <c r="R693" s="32"/>
      <c r="S693" s="3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32"/>
      <c r="N694" s="2"/>
      <c r="O694" s="2"/>
      <c r="P694" s="32"/>
      <c r="Q694" s="32"/>
      <c r="R694" s="32"/>
      <c r="S694" s="3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32"/>
      <c r="N695" s="2"/>
      <c r="O695" s="2"/>
      <c r="P695" s="32"/>
      <c r="Q695" s="32"/>
      <c r="R695" s="32"/>
      <c r="S695" s="3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32"/>
      <c r="N696" s="2"/>
      <c r="O696" s="2"/>
      <c r="P696" s="32"/>
      <c r="Q696" s="32"/>
      <c r="R696" s="32"/>
      <c r="S696" s="3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32"/>
      <c r="N697" s="2"/>
      <c r="O697" s="2"/>
      <c r="P697" s="32"/>
      <c r="Q697" s="32"/>
      <c r="R697" s="32"/>
      <c r="S697" s="3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32"/>
      <c r="N698" s="2"/>
      <c r="O698" s="2"/>
      <c r="P698" s="32"/>
      <c r="Q698" s="32"/>
      <c r="R698" s="32"/>
      <c r="S698" s="3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32"/>
      <c r="N699" s="2"/>
      <c r="O699" s="2"/>
      <c r="P699" s="32"/>
      <c r="Q699" s="32"/>
      <c r="R699" s="32"/>
      <c r="S699" s="3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32"/>
      <c r="N700" s="2"/>
      <c r="O700" s="2"/>
      <c r="P700" s="32"/>
      <c r="Q700" s="32"/>
      <c r="R700" s="32"/>
      <c r="S700" s="3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32"/>
      <c r="N701" s="2"/>
      <c r="O701" s="2"/>
      <c r="P701" s="32"/>
      <c r="Q701" s="32"/>
      <c r="R701" s="32"/>
      <c r="S701" s="3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32"/>
      <c r="N702" s="2"/>
      <c r="O702" s="2"/>
      <c r="P702" s="32"/>
      <c r="Q702" s="32"/>
      <c r="R702" s="32"/>
      <c r="S702" s="3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32"/>
      <c r="N703" s="2"/>
      <c r="O703" s="2"/>
      <c r="P703" s="32"/>
      <c r="Q703" s="32"/>
      <c r="R703" s="32"/>
      <c r="S703" s="3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32"/>
      <c r="N704" s="2"/>
      <c r="O704" s="2"/>
      <c r="P704" s="32"/>
      <c r="Q704" s="32"/>
      <c r="R704" s="32"/>
      <c r="S704" s="3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32"/>
      <c r="N705" s="2"/>
      <c r="O705" s="2"/>
      <c r="P705" s="32"/>
      <c r="Q705" s="32"/>
      <c r="R705" s="32"/>
      <c r="S705" s="3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32"/>
      <c r="N706" s="2"/>
      <c r="O706" s="2"/>
      <c r="P706" s="32"/>
      <c r="Q706" s="32"/>
      <c r="R706" s="32"/>
      <c r="S706" s="3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32"/>
      <c r="N707" s="2"/>
      <c r="O707" s="2"/>
      <c r="P707" s="32"/>
      <c r="Q707" s="32"/>
      <c r="R707" s="32"/>
      <c r="S707" s="3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32"/>
      <c r="N708" s="2"/>
      <c r="O708" s="2"/>
      <c r="P708" s="32"/>
      <c r="Q708" s="32"/>
      <c r="R708" s="32"/>
      <c r="S708" s="3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32"/>
      <c r="N709" s="2"/>
      <c r="O709" s="2"/>
      <c r="P709" s="32"/>
      <c r="Q709" s="32"/>
      <c r="R709" s="32"/>
      <c r="S709" s="3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32"/>
      <c r="N710" s="2"/>
      <c r="O710" s="2"/>
      <c r="P710" s="32"/>
      <c r="Q710" s="32"/>
      <c r="R710" s="32"/>
      <c r="S710" s="3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32"/>
      <c r="N711" s="2"/>
      <c r="O711" s="2"/>
      <c r="P711" s="32"/>
      <c r="Q711" s="32"/>
      <c r="R711" s="32"/>
      <c r="S711" s="3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32"/>
      <c r="N712" s="2"/>
      <c r="O712" s="2"/>
      <c r="P712" s="32"/>
      <c r="Q712" s="32"/>
      <c r="R712" s="32"/>
      <c r="S712" s="3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32"/>
      <c r="N713" s="2"/>
      <c r="O713" s="2"/>
      <c r="P713" s="32"/>
      <c r="Q713" s="32"/>
      <c r="R713" s="32"/>
      <c r="S713" s="3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32"/>
      <c r="N714" s="2"/>
      <c r="O714" s="2"/>
      <c r="P714" s="32"/>
      <c r="Q714" s="32"/>
      <c r="R714" s="32"/>
      <c r="S714" s="3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32"/>
      <c r="N715" s="2"/>
      <c r="O715" s="2"/>
      <c r="P715" s="32"/>
      <c r="Q715" s="32"/>
      <c r="R715" s="32"/>
      <c r="S715" s="3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32"/>
      <c r="N716" s="2"/>
      <c r="O716" s="2"/>
      <c r="P716" s="32"/>
      <c r="Q716" s="32"/>
      <c r="R716" s="32"/>
      <c r="S716" s="3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32"/>
      <c r="N717" s="2"/>
      <c r="O717" s="2"/>
      <c r="P717" s="32"/>
      <c r="Q717" s="32"/>
      <c r="R717" s="32"/>
      <c r="S717" s="3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32"/>
      <c r="N718" s="2"/>
      <c r="O718" s="2"/>
      <c r="P718" s="32"/>
      <c r="Q718" s="32"/>
      <c r="R718" s="32"/>
      <c r="S718" s="3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32"/>
      <c r="N719" s="2"/>
      <c r="O719" s="2"/>
      <c r="P719" s="32"/>
      <c r="Q719" s="32"/>
      <c r="R719" s="32"/>
      <c r="S719" s="3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32"/>
      <c r="N720" s="2"/>
      <c r="O720" s="2"/>
      <c r="P720" s="32"/>
      <c r="Q720" s="32"/>
      <c r="R720" s="32"/>
      <c r="S720" s="3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32"/>
      <c r="N721" s="2"/>
      <c r="O721" s="2"/>
      <c r="P721" s="32"/>
      <c r="Q721" s="32"/>
      <c r="R721" s="32"/>
      <c r="S721" s="3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32"/>
      <c r="N722" s="2"/>
      <c r="O722" s="2"/>
      <c r="P722" s="32"/>
      <c r="Q722" s="32"/>
      <c r="R722" s="32"/>
      <c r="S722" s="3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32"/>
      <c r="N723" s="2"/>
      <c r="O723" s="2"/>
      <c r="P723" s="32"/>
      <c r="Q723" s="32"/>
      <c r="R723" s="32"/>
      <c r="S723" s="3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32"/>
      <c r="N724" s="2"/>
      <c r="O724" s="2"/>
      <c r="P724" s="32"/>
      <c r="Q724" s="32"/>
      <c r="R724" s="32"/>
      <c r="S724" s="3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32"/>
      <c r="N725" s="2"/>
      <c r="O725" s="2"/>
      <c r="P725" s="32"/>
      <c r="Q725" s="32"/>
      <c r="R725" s="32"/>
      <c r="S725" s="3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32"/>
      <c r="N726" s="2"/>
      <c r="O726" s="2"/>
      <c r="P726" s="32"/>
      <c r="Q726" s="32"/>
      <c r="R726" s="32"/>
      <c r="S726" s="3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32"/>
      <c r="N727" s="2"/>
      <c r="O727" s="2"/>
      <c r="P727" s="32"/>
      <c r="Q727" s="32"/>
      <c r="R727" s="32"/>
      <c r="S727" s="3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32"/>
      <c r="N728" s="2"/>
      <c r="O728" s="2"/>
      <c r="P728" s="32"/>
      <c r="Q728" s="32"/>
      <c r="R728" s="32"/>
      <c r="S728" s="3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32"/>
      <c r="N729" s="2"/>
      <c r="O729" s="2"/>
      <c r="P729" s="32"/>
      <c r="Q729" s="32"/>
      <c r="R729" s="32"/>
      <c r="S729" s="3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32"/>
      <c r="N730" s="2"/>
      <c r="O730" s="2"/>
      <c r="P730" s="32"/>
      <c r="Q730" s="32"/>
      <c r="R730" s="32"/>
      <c r="S730" s="3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32"/>
      <c r="N731" s="2"/>
      <c r="O731" s="2"/>
      <c r="P731" s="32"/>
      <c r="Q731" s="32"/>
      <c r="R731" s="32"/>
      <c r="S731" s="3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32"/>
      <c r="N732" s="2"/>
      <c r="O732" s="2"/>
      <c r="P732" s="32"/>
      <c r="Q732" s="32"/>
      <c r="R732" s="32"/>
      <c r="S732" s="3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32"/>
      <c r="N733" s="2"/>
      <c r="O733" s="2"/>
      <c r="P733" s="32"/>
      <c r="Q733" s="32"/>
      <c r="R733" s="32"/>
      <c r="S733" s="3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32"/>
      <c r="N734" s="2"/>
      <c r="O734" s="2"/>
      <c r="P734" s="32"/>
      <c r="Q734" s="32"/>
      <c r="R734" s="32"/>
      <c r="S734" s="3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32"/>
      <c r="N735" s="2"/>
      <c r="O735" s="2"/>
      <c r="P735" s="32"/>
      <c r="Q735" s="32"/>
      <c r="R735" s="32"/>
      <c r="S735" s="3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32"/>
      <c r="N736" s="2"/>
      <c r="O736" s="2"/>
      <c r="P736" s="32"/>
      <c r="Q736" s="32"/>
      <c r="R736" s="32"/>
      <c r="S736" s="3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32"/>
      <c r="N737" s="2"/>
      <c r="O737" s="2"/>
      <c r="P737" s="32"/>
      <c r="Q737" s="32"/>
      <c r="R737" s="32"/>
      <c r="S737" s="3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32"/>
      <c r="N738" s="2"/>
      <c r="O738" s="2"/>
      <c r="P738" s="32"/>
      <c r="Q738" s="32"/>
      <c r="R738" s="32"/>
      <c r="S738" s="3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32"/>
      <c r="N739" s="2"/>
      <c r="O739" s="2"/>
      <c r="P739" s="32"/>
      <c r="Q739" s="32"/>
      <c r="R739" s="32"/>
      <c r="S739" s="3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32"/>
      <c r="N740" s="2"/>
      <c r="O740" s="2"/>
      <c r="P740" s="32"/>
      <c r="Q740" s="32"/>
      <c r="R740" s="32"/>
      <c r="S740" s="3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32"/>
      <c r="N741" s="2"/>
      <c r="O741" s="2"/>
      <c r="P741" s="32"/>
      <c r="Q741" s="32"/>
      <c r="R741" s="32"/>
      <c r="S741" s="3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32"/>
      <c r="N742" s="2"/>
      <c r="O742" s="2"/>
      <c r="P742" s="32"/>
      <c r="Q742" s="32"/>
      <c r="R742" s="32"/>
      <c r="S742" s="3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32"/>
      <c r="N743" s="2"/>
      <c r="O743" s="2"/>
      <c r="P743" s="32"/>
      <c r="Q743" s="32"/>
      <c r="R743" s="32"/>
      <c r="S743" s="3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32"/>
      <c r="N744" s="2"/>
      <c r="O744" s="2"/>
      <c r="P744" s="32"/>
      <c r="Q744" s="32"/>
      <c r="R744" s="32"/>
      <c r="S744" s="3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32"/>
      <c r="N745" s="2"/>
      <c r="O745" s="2"/>
      <c r="P745" s="32"/>
      <c r="Q745" s="32"/>
      <c r="R745" s="32"/>
      <c r="S745" s="3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32"/>
      <c r="N746" s="2"/>
      <c r="O746" s="2"/>
      <c r="P746" s="32"/>
      <c r="Q746" s="32"/>
      <c r="R746" s="32"/>
      <c r="S746" s="3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32"/>
      <c r="N747" s="2"/>
      <c r="O747" s="2"/>
      <c r="P747" s="32"/>
      <c r="Q747" s="32"/>
      <c r="R747" s="32"/>
      <c r="S747" s="3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32"/>
      <c r="N748" s="2"/>
      <c r="O748" s="2"/>
      <c r="P748" s="32"/>
      <c r="Q748" s="32"/>
      <c r="R748" s="32"/>
      <c r="S748" s="3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32"/>
      <c r="N749" s="2"/>
      <c r="O749" s="2"/>
      <c r="P749" s="32"/>
      <c r="Q749" s="32"/>
      <c r="R749" s="32"/>
      <c r="S749" s="3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32"/>
      <c r="N750" s="2"/>
      <c r="O750" s="2"/>
      <c r="P750" s="32"/>
      <c r="Q750" s="32"/>
      <c r="R750" s="32"/>
      <c r="S750" s="3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32"/>
      <c r="N751" s="2"/>
      <c r="O751" s="2"/>
      <c r="P751" s="32"/>
      <c r="Q751" s="32"/>
      <c r="R751" s="32"/>
      <c r="S751" s="3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32"/>
      <c r="N752" s="2"/>
      <c r="O752" s="2"/>
      <c r="P752" s="32"/>
      <c r="Q752" s="32"/>
      <c r="R752" s="32"/>
      <c r="S752" s="3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32"/>
      <c r="N753" s="2"/>
      <c r="O753" s="2"/>
      <c r="P753" s="32"/>
      <c r="Q753" s="32"/>
      <c r="R753" s="32"/>
      <c r="S753" s="3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32"/>
      <c r="N754" s="2"/>
      <c r="O754" s="2"/>
      <c r="P754" s="32"/>
      <c r="Q754" s="32"/>
      <c r="R754" s="32"/>
      <c r="S754" s="3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32"/>
      <c r="N755" s="2"/>
      <c r="O755" s="2"/>
      <c r="P755" s="32"/>
      <c r="Q755" s="32"/>
      <c r="R755" s="32"/>
      <c r="S755" s="3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32"/>
      <c r="N756" s="2"/>
      <c r="O756" s="2"/>
      <c r="P756" s="32"/>
      <c r="Q756" s="32"/>
      <c r="R756" s="32"/>
      <c r="S756" s="3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32"/>
      <c r="N757" s="2"/>
      <c r="O757" s="2"/>
      <c r="P757" s="32"/>
      <c r="Q757" s="32"/>
      <c r="R757" s="32"/>
      <c r="S757" s="3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32"/>
      <c r="N758" s="2"/>
      <c r="O758" s="2"/>
      <c r="P758" s="32"/>
      <c r="Q758" s="32"/>
      <c r="R758" s="32"/>
      <c r="S758" s="3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32"/>
      <c r="N759" s="2"/>
      <c r="O759" s="2"/>
      <c r="P759" s="32"/>
      <c r="Q759" s="32"/>
      <c r="R759" s="32"/>
      <c r="S759" s="3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32"/>
      <c r="N760" s="2"/>
      <c r="O760" s="2"/>
      <c r="P760" s="32"/>
      <c r="Q760" s="32"/>
      <c r="R760" s="32"/>
      <c r="S760" s="3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32"/>
      <c r="N761" s="2"/>
      <c r="O761" s="2"/>
      <c r="P761" s="32"/>
      <c r="Q761" s="32"/>
      <c r="R761" s="32"/>
      <c r="S761" s="3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32"/>
      <c r="N762" s="2"/>
      <c r="O762" s="2"/>
      <c r="P762" s="32"/>
      <c r="Q762" s="32"/>
      <c r="R762" s="32"/>
      <c r="S762" s="3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32"/>
      <c r="N763" s="2"/>
      <c r="O763" s="2"/>
      <c r="P763" s="32"/>
      <c r="Q763" s="32"/>
      <c r="R763" s="32"/>
      <c r="S763" s="3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32"/>
      <c r="N764" s="2"/>
      <c r="O764" s="2"/>
      <c r="P764" s="32"/>
      <c r="Q764" s="32"/>
      <c r="R764" s="32"/>
      <c r="S764" s="3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32"/>
      <c r="N765" s="2"/>
      <c r="O765" s="2"/>
      <c r="P765" s="32"/>
      <c r="Q765" s="32"/>
      <c r="R765" s="32"/>
      <c r="S765" s="3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32"/>
      <c r="N766" s="2"/>
      <c r="O766" s="2"/>
      <c r="P766" s="32"/>
      <c r="Q766" s="32"/>
      <c r="R766" s="32"/>
      <c r="S766" s="3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32"/>
      <c r="N767" s="2"/>
      <c r="O767" s="2"/>
      <c r="P767" s="32"/>
      <c r="Q767" s="32"/>
      <c r="R767" s="32"/>
      <c r="S767" s="3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32"/>
      <c r="N768" s="2"/>
      <c r="O768" s="2"/>
      <c r="P768" s="32"/>
      <c r="Q768" s="32"/>
      <c r="R768" s="32"/>
      <c r="S768" s="3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32"/>
      <c r="N769" s="2"/>
      <c r="O769" s="2"/>
      <c r="P769" s="32"/>
      <c r="Q769" s="32"/>
      <c r="R769" s="32"/>
      <c r="S769" s="3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32"/>
      <c r="N770" s="2"/>
      <c r="O770" s="2"/>
      <c r="P770" s="32"/>
      <c r="Q770" s="32"/>
      <c r="R770" s="32"/>
      <c r="S770" s="3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32"/>
      <c r="N771" s="2"/>
      <c r="O771" s="2"/>
      <c r="P771" s="32"/>
      <c r="Q771" s="32"/>
      <c r="R771" s="32"/>
      <c r="S771" s="3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32"/>
      <c r="N772" s="2"/>
      <c r="O772" s="2"/>
      <c r="P772" s="32"/>
      <c r="Q772" s="32"/>
      <c r="R772" s="32"/>
      <c r="S772" s="3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32"/>
      <c r="N773" s="2"/>
      <c r="O773" s="2"/>
      <c r="P773" s="32"/>
      <c r="Q773" s="32"/>
      <c r="R773" s="32"/>
      <c r="S773" s="3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32"/>
      <c r="N774" s="2"/>
      <c r="O774" s="2"/>
      <c r="P774" s="32"/>
      <c r="Q774" s="32"/>
      <c r="R774" s="32"/>
      <c r="S774" s="3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32"/>
      <c r="N775" s="2"/>
      <c r="O775" s="2"/>
      <c r="P775" s="32"/>
      <c r="Q775" s="32"/>
      <c r="R775" s="32"/>
      <c r="S775" s="3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32"/>
      <c r="N776" s="2"/>
      <c r="O776" s="2"/>
      <c r="P776" s="32"/>
      <c r="Q776" s="32"/>
      <c r="R776" s="32"/>
      <c r="S776" s="3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32"/>
      <c r="N777" s="2"/>
      <c r="O777" s="2"/>
      <c r="P777" s="32"/>
      <c r="Q777" s="32"/>
      <c r="R777" s="32"/>
      <c r="S777" s="3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32"/>
      <c r="N778" s="2"/>
      <c r="O778" s="2"/>
      <c r="P778" s="32"/>
      <c r="Q778" s="32"/>
      <c r="R778" s="32"/>
      <c r="S778" s="3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32"/>
      <c r="N779" s="2"/>
      <c r="O779" s="2"/>
      <c r="P779" s="32"/>
      <c r="Q779" s="32"/>
      <c r="R779" s="32"/>
      <c r="S779" s="3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32"/>
      <c r="N780" s="2"/>
      <c r="O780" s="2"/>
      <c r="P780" s="32"/>
      <c r="Q780" s="32"/>
      <c r="R780" s="32"/>
      <c r="S780" s="3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32"/>
      <c r="N781" s="2"/>
      <c r="O781" s="2"/>
      <c r="P781" s="32"/>
      <c r="Q781" s="32"/>
      <c r="R781" s="32"/>
      <c r="S781" s="3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32"/>
      <c r="N782" s="2"/>
      <c r="O782" s="2"/>
      <c r="P782" s="32"/>
      <c r="Q782" s="32"/>
      <c r="R782" s="32"/>
      <c r="S782" s="3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32"/>
      <c r="N783" s="2"/>
      <c r="O783" s="2"/>
      <c r="P783" s="32"/>
      <c r="Q783" s="32"/>
      <c r="R783" s="32"/>
      <c r="S783" s="3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32"/>
      <c r="N784" s="2"/>
      <c r="O784" s="2"/>
      <c r="P784" s="32"/>
      <c r="Q784" s="32"/>
      <c r="R784" s="32"/>
      <c r="S784" s="3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32"/>
      <c r="N785" s="2"/>
      <c r="O785" s="2"/>
      <c r="P785" s="32"/>
      <c r="Q785" s="32"/>
      <c r="R785" s="32"/>
      <c r="S785" s="3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32"/>
      <c r="N786" s="2"/>
      <c r="O786" s="2"/>
      <c r="P786" s="32"/>
      <c r="Q786" s="32"/>
      <c r="R786" s="32"/>
      <c r="S786" s="3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32"/>
      <c r="N787" s="2"/>
      <c r="O787" s="2"/>
      <c r="P787" s="32"/>
      <c r="Q787" s="32"/>
      <c r="R787" s="32"/>
      <c r="S787" s="3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32"/>
      <c r="N788" s="2"/>
      <c r="O788" s="2"/>
      <c r="P788" s="32"/>
      <c r="Q788" s="32"/>
      <c r="R788" s="32"/>
      <c r="S788" s="3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32"/>
      <c r="N789" s="2"/>
      <c r="O789" s="2"/>
      <c r="P789" s="32"/>
      <c r="Q789" s="32"/>
      <c r="R789" s="32"/>
      <c r="S789" s="3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32"/>
      <c r="N790" s="2"/>
      <c r="O790" s="2"/>
      <c r="P790" s="32"/>
      <c r="Q790" s="32"/>
      <c r="R790" s="32"/>
      <c r="S790" s="3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32"/>
      <c r="N791" s="2"/>
      <c r="O791" s="2"/>
      <c r="P791" s="32"/>
      <c r="Q791" s="32"/>
      <c r="R791" s="32"/>
      <c r="S791" s="3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32"/>
      <c r="N792" s="2"/>
      <c r="O792" s="2"/>
      <c r="P792" s="32"/>
      <c r="Q792" s="32"/>
      <c r="R792" s="32"/>
      <c r="S792" s="3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32"/>
      <c r="N793" s="2"/>
      <c r="O793" s="2"/>
      <c r="P793" s="32"/>
      <c r="Q793" s="32"/>
      <c r="R793" s="32"/>
      <c r="S793" s="3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32"/>
      <c r="N794" s="2"/>
      <c r="O794" s="2"/>
      <c r="P794" s="32"/>
      <c r="Q794" s="32"/>
      <c r="R794" s="32"/>
      <c r="S794" s="3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32"/>
      <c r="N795" s="2"/>
      <c r="O795" s="2"/>
      <c r="P795" s="32"/>
      <c r="Q795" s="32"/>
      <c r="R795" s="32"/>
      <c r="S795" s="3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32"/>
      <c r="N796" s="2"/>
      <c r="O796" s="2"/>
      <c r="P796" s="32"/>
      <c r="Q796" s="32"/>
      <c r="R796" s="32"/>
      <c r="S796" s="3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32"/>
      <c r="N797" s="2"/>
      <c r="O797" s="2"/>
      <c r="P797" s="32"/>
      <c r="Q797" s="32"/>
      <c r="R797" s="32"/>
      <c r="S797" s="3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32"/>
      <c r="N798" s="2"/>
      <c r="O798" s="2"/>
      <c r="P798" s="32"/>
      <c r="Q798" s="32"/>
      <c r="R798" s="32"/>
      <c r="S798" s="3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32"/>
      <c r="N799" s="2"/>
      <c r="O799" s="2"/>
      <c r="P799" s="32"/>
      <c r="Q799" s="32"/>
      <c r="R799" s="32"/>
      <c r="S799" s="3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32"/>
      <c r="N800" s="2"/>
      <c r="O800" s="2"/>
      <c r="P800" s="32"/>
      <c r="Q800" s="32"/>
      <c r="R800" s="32"/>
      <c r="S800" s="3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32"/>
      <c r="N801" s="2"/>
      <c r="O801" s="2"/>
      <c r="P801" s="32"/>
      <c r="Q801" s="32"/>
      <c r="R801" s="32"/>
      <c r="S801" s="3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32"/>
      <c r="N802" s="2"/>
      <c r="O802" s="2"/>
      <c r="P802" s="32"/>
      <c r="Q802" s="32"/>
      <c r="R802" s="32"/>
      <c r="S802" s="3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32"/>
      <c r="N803" s="2"/>
      <c r="O803" s="2"/>
      <c r="P803" s="32"/>
      <c r="Q803" s="32"/>
      <c r="R803" s="32"/>
      <c r="S803" s="3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32"/>
      <c r="N804" s="2"/>
      <c r="O804" s="2"/>
      <c r="P804" s="32"/>
      <c r="Q804" s="32"/>
      <c r="R804" s="32"/>
      <c r="S804" s="3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32"/>
      <c r="N805" s="2"/>
      <c r="O805" s="2"/>
      <c r="P805" s="32"/>
      <c r="Q805" s="32"/>
      <c r="R805" s="32"/>
      <c r="S805" s="3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32"/>
      <c r="N806" s="2"/>
      <c r="O806" s="2"/>
      <c r="P806" s="32"/>
      <c r="Q806" s="32"/>
      <c r="R806" s="32"/>
      <c r="S806" s="3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32"/>
      <c r="N807" s="2"/>
      <c r="O807" s="2"/>
      <c r="P807" s="32"/>
      <c r="Q807" s="32"/>
      <c r="R807" s="32"/>
      <c r="S807" s="3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32"/>
      <c r="N808" s="2"/>
      <c r="O808" s="2"/>
      <c r="P808" s="32"/>
      <c r="Q808" s="32"/>
      <c r="R808" s="32"/>
      <c r="S808" s="3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32"/>
      <c r="N809" s="2"/>
      <c r="O809" s="2"/>
      <c r="P809" s="32"/>
      <c r="Q809" s="32"/>
      <c r="R809" s="32"/>
      <c r="S809" s="3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32"/>
      <c r="N810" s="2"/>
      <c r="O810" s="2"/>
      <c r="P810" s="32"/>
      <c r="Q810" s="32"/>
      <c r="R810" s="32"/>
      <c r="S810" s="3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32"/>
      <c r="N811" s="2"/>
      <c r="O811" s="2"/>
      <c r="P811" s="32"/>
      <c r="Q811" s="32"/>
      <c r="R811" s="32"/>
      <c r="S811" s="3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32"/>
      <c r="N812" s="2"/>
      <c r="O812" s="2"/>
      <c r="P812" s="32"/>
      <c r="Q812" s="32"/>
      <c r="R812" s="32"/>
      <c r="S812" s="3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32"/>
      <c r="N813" s="2"/>
      <c r="O813" s="2"/>
      <c r="P813" s="32"/>
      <c r="Q813" s="32"/>
      <c r="R813" s="32"/>
      <c r="S813" s="3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32"/>
      <c r="N814" s="2"/>
      <c r="O814" s="2"/>
      <c r="P814" s="32"/>
      <c r="Q814" s="32"/>
      <c r="R814" s="32"/>
      <c r="S814" s="3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32"/>
      <c r="N815" s="2"/>
      <c r="O815" s="2"/>
      <c r="P815" s="32"/>
      <c r="Q815" s="32"/>
      <c r="R815" s="32"/>
      <c r="S815" s="3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32"/>
      <c r="N816" s="2"/>
      <c r="O816" s="2"/>
      <c r="P816" s="32"/>
      <c r="Q816" s="32"/>
      <c r="R816" s="32"/>
      <c r="S816" s="3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32"/>
      <c r="N817" s="2"/>
      <c r="O817" s="2"/>
      <c r="P817" s="32"/>
      <c r="Q817" s="32"/>
      <c r="R817" s="32"/>
      <c r="S817" s="3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32"/>
      <c r="N818" s="2"/>
      <c r="O818" s="2"/>
      <c r="P818" s="32"/>
      <c r="Q818" s="32"/>
      <c r="R818" s="32"/>
      <c r="S818" s="3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32"/>
      <c r="N819" s="2"/>
      <c r="O819" s="2"/>
      <c r="P819" s="32"/>
      <c r="Q819" s="32"/>
      <c r="R819" s="32"/>
      <c r="S819" s="3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32"/>
      <c r="N820" s="2"/>
      <c r="O820" s="2"/>
      <c r="P820" s="32"/>
      <c r="Q820" s="32"/>
      <c r="R820" s="32"/>
      <c r="S820" s="3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32"/>
      <c r="N821" s="2"/>
      <c r="O821" s="2"/>
      <c r="P821" s="32"/>
      <c r="Q821" s="32"/>
      <c r="R821" s="32"/>
      <c r="S821" s="3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32"/>
      <c r="N822" s="2"/>
      <c r="O822" s="2"/>
      <c r="P822" s="32"/>
      <c r="Q822" s="32"/>
      <c r="R822" s="32"/>
      <c r="S822" s="3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32"/>
      <c r="N823" s="2"/>
      <c r="O823" s="2"/>
      <c r="P823" s="32"/>
      <c r="Q823" s="32"/>
      <c r="R823" s="32"/>
      <c r="S823" s="3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32"/>
      <c r="N824" s="2"/>
      <c r="O824" s="2"/>
      <c r="P824" s="32"/>
      <c r="Q824" s="32"/>
      <c r="R824" s="32"/>
      <c r="S824" s="3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32"/>
      <c r="N825" s="2"/>
      <c r="O825" s="2"/>
      <c r="P825" s="32"/>
      <c r="Q825" s="32"/>
      <c r="R825" s="32"/>
      <c r="S825" s="3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32"/>
      <c r="N826" s="2"/>
      <c r="O826" s="2"/>
      <c r="P826" s="32"/>
      <c r="Q826" s="32"/>
      <c r="R826" s="32"/>
      <c r="S826" s="3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32"/>
      <c r="N827" s="2"/>
      <c r="O827" s="2"/>
      <c r="P827" s="32"/>
      <c r="Q827" s="32"/>
      <c r="R827" s="32"/>
      <c r="S827" s="3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32"/>
      <c r="N828" s="2"/>
      <c r="O828" s="2"/>
      <c r="P828" s="32"/>
      <c r="Q828" s="32"/>
      <c r="R828" s="32"/>
      <c r="S828" s="3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32"/>
      <c r="N829" s="2"/>
      <c r="O829" s="2"/>
      <c r="P829" s="32"/>
      <c r="Q829" s="32"/>
      <c r="R829" s="32"/>
      <c r="S829" s="3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32"/>
      <c r="N830" s="2"/>
      <c r="O830" s="2"/>
      <c r="P830" s="32"/>
      <c r="Q830" s="32"/>
      <c r="R830" s="32"/>
      <c r="S830" s="3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32"/>
      <c r="N831" s="2"/>
      <c r="O831" s="2"/>
      <c r="P831" s="32"/>
      <c r="Q831" s="32"/>
      <c r="R831" s="32"/>
      <c r="S831" s="3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32"/>
      <c r="N832" s="2"/>
      <c r="O832" s="2"/>
      <c r="P832" s="32"/>
      <c r="Q832" s="32"/>
      <c r="R832" s="32"/>
      <c r="S832" s="3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32"/>
      <c r="N833" s="2"/>
      <c r="O833" s="2"/>
      <c r="P833" s="32"/>
      <c r="Q833" s="32"/>
      <c r="R833" s="32"/>
      <c r="S833" s="3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32"/>
      <c r="N834" s="2"/>
      <c r="O834" s="2"/>
      <c r="P834" s="32"/>
      <c r="Q834" s="32"/>
      <c r="R834" s="32"/>
      <c r="S834" s="3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32"/>
      <c r="N835" s="2"/>
      <c r="O835" s="2"/>
      <c r="P835" s="32"/>
      <c r="Q835" s="32"/>
      <c r="R835" s="32"/>
      <c r="S835" s="3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32"/>
      <c r="N836" s="2"/>
      <c r="O836" s="2"/>
      <c r="P836" s="32"/>
      <c r="Q836" s="32"/>
      <c r="R836" s="32"/>
      <c r="S836" s="3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32"/>
      <c r="N837" s="2"/>
      <c r="O837" s="2"/>
      <c r="P837" s="32"/>
      <c r="Q837" s="32"/>
      <c r="R837" s="32"/>
      <c r="S837" s="3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32"/>
      <c r="N838" s="2"/>
      <c r="O838" s="2"/>
      <c r="P838" s="32"/>
      <c r="Q838" s="32"/>
      <c r="R838" s="32"/>
      <c r="S838" s="3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32"/>
      <c r="N839" s="2"/>
      <c r="O839" s="2"/>
      <c r="P839" s="32"/>
      <c r="Q839" s="32"/>
      <c r="R839" s="32"/>
      <c r="S839" s="3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32"/>
      <c r="N840" s="2"/>
      <c r="O840" s="2"/>
      <c r="P840" s="32"/>
      <c r="Q840" s="32"/>
      <c r="R840" s="32"/>
      <c r="S840" s="3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32"/>
      <c r="N841" s="2"/>
      <c r="O841" s="2"/>
      <c r="P841" s="32"/>
      <c r="Q841" s="32"/>
      <c r="R841" s="32"/>
      <c r="S841" s="3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32"/>
      <c r="N842" s="2"/>
      <c r="O842" s="2"/>
      <c r="P842" s="32"/>
      <c r="Q842" s="32"/>
      <c r="R842" s="32"/>
      <c r="S842" s="3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32"/>
      <c r="N843" s="2"/>
      <c r="O843" s="2"/>
      <c r="P843" s="32"/>
      <c r="Q843" s="32"/>
      <c r="R843" s="32"/>
      <c r="S843" s="3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32"/>
      <c r="N844" s="2"/>
      <c r="O844" s="2"/>
      <c r="P844" s="32"/>
      <c r="Q844" s="32"/>
      <c r="R844" s="32"/>
      <c r="S844" s="3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32"/>
      <c r="N845" s="2"/>
      <c r="O845" s="2"/>
      <c r="P845" s="32"/>
      <c r="Q845" s="32"/>
      <c r="R845" s="32"/>
      <c r="S845" s="3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32"/>
      <c r="N846" s="2"/>
      <c r="O846" s="2"/>
      <c r="P846" s="32"/>
      <c r="Q846" s="32"/>
      <c r="R846" s="32"/>
      <c r="S846" s="3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32"/>
      <c r="N847" s="2"/>
      <c r="O847" s="2"/>
      <c r="P847" s="32"/>
      <c r="Q847" s="32"/>
      <c r="R847" s="32"/>
      <c r="S847" s="3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32"/>
      <c r="N848" s="2"/>
      <c r="O848" s="2"/>
      <c r="P848" s="32"/>
      <c r="Q848" s="32"/>
      <c r="R848" s="32"/>
      <c r="S848" s="3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32"/>
      <c r="N849" s="2"/>
      <c r="O849" s="2"/>
      <c r="P849" s="32"/>
      <c r="Q849" s="32"/>
      <c r="R849" s="32"/>
      <c r="S849" s="3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32"/>
      <c r="N850" s="2"/>
      <c r="O850" s="2"/>
      <c r="P850" s="32"/>
      <c r="Q850" s="32"/>
      <c r="R850" s="32"/>
      <c r="S850" s="3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32"/>
      <c r="N851" s="2"/>
      <c r="O851" s="2"/>
      <c r="P851" s="32"/>
      <c r="Q851" s="32"/>
      <c r="R851" s="32"/>
      <c r="S851" s="3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32"/>
      <c r="N852" s="2"/>
      <c r="O852" s="2"/>
      <c r="P852" s="32"/>
      <c r="Q852" s="32"/>
      <c r="R852" s="32"/>
      <c r="S852" s="3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32"/>
      <c r="N853" s="2"/>
      <c r="O853" s="2"/>
      <c r="P853" s="32"/>
      <c r="Q853" s="32"/>
      <c r="R853" s="32"/>
      <c r="S853" s="3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32"/>
      <c r="N854" s="2"/>
      <c r="O854" s="2"/>
      <c r="P854" s="32"/>
      <c r="Q854" s="32"/>
      <c r="R854" s="32"/>
      <c r="S854" s="3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32"/>
      <c r="N855" s="2"/>
      <c r="O855" s="2"/>
      <c r="P855" s="32"/>
      <c r="Q855" s="32"/>
      <c r="R855" s="32"/>
      <c r="S855" s="3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32"/>
      <c r="N856" s="2"/>
      <c r="O856" s="2"/>
      <c r="P856" s="32"/>
      <c r="Q856" s="32"/>
      <c r="R856" s="32"/>
      <c r="S856" s="3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32"/>
      <c r="N857" s="2"/>
      <c r="O857" s="2"/>
      <c r="P857" s="32"/>
      <c r="Q857" s="32"/>
      <c r="R857" s="32"/>
      <c r="S857" s="3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32"/>
      <c r="N858" s="2"/>
      <c r="O858" s="2"/>
      <c r="P858" s="32"/>
      <c r="Q858" s="32"/>
      <c r="R858" s="32"/>
      <c r="S858" s="3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32"/>
      <c r="N859" s="2"/>
      <c r="O859" s="2"/>
      <c r="P859" s="32"/>
      <c r="Q859" s="32"/>
      <c r="R859" s="32"/>
      <c r="S859" s="3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32"/>
      <c r="N860" s="2"/>
      <c r="O860" s="2"/>
      <c r="P860" s="32"/>
      <c r="Q860" s="32"/>
      <c r="R860" s="32"/>
      <c r="S860" s="3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32"/>
      <c r="N861" s="2"/>
      <c r="O861" s="2"/>
      <c r="P861" s="32"/>
      <c r="Q861" s="32"/>
      <c r="R861" s="32"/>
      <c r="S861" s="3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32"/>
      <c r="N862" s="2"/>
      <c r="O862" s="2"/>
      <c r="P862" s="32"/>
      <c r="Q862" s="32"/>
      <c r="R862" s="32"/>
      <c r="S862" s="3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32"/>
      <c r="N863" s="2"/>
      <c r="O863" s="2"/>
      <c r="P863" s="32"/>
      <c r="Q863" s="32"/>
      <c r="R863" s="32"/>
      <c r="S863" s="3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32"/>
      <c r="N864" s="2"/>
      <c r="O864" s="2"/>
      <c r="P864" s="32"/>
      <c r="Q864" s="32"/>
      <c r="R864" s="32"/>
      <c r="S864" s="3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32"/>
      <c r="N865" s="2"/>
      <c r="O865" s="2"/>
      <c r="P865" s="32"/>
      <c r="Q865" s="32"/>
      <c r="R865" s="32"/>
      <c r="S865" s="3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32"/>
      <c r="N866" s="2"/>
      <c r="O866" s="2"/>
      <c r="P866" s="32"/>
      <c r="Q866" s="32"/>
      <c r="R866" s="32"/>
      <c r="S866" s="3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32"/>
      <c r="N867" s="2"/>
      <c r="O867" s="2"/>
      <c r="P867" s="32"/>
      <c r="Q867" s="32"/>
      <c r="R867" s="32"/>
      <c r="S867" s="3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32"/>
      <c r="N868" s="2"/>
      <c r="O868" s="2"/>
      <c r="P868" s="32"/>
      <c r="Q868" s="32"/>
      <c r="R868" s="32"/>
      <c r="S868" s="3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32"/>
      <c r="N869" s="2"/>
      <c r="O869" s="2"/>
      <c r="P869" s="32"/>
      <c r="Q869" s="32"/>
      <c r="R869" s="32"/>
      <c r="S869" s="3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32"/>
      <c r="N870" s="2"/>
      <c r="O870" s="2"/>
      <c r="P870" s="32"/>
      <c r="Q870" s="32"/>
      <c r="R870" s="32"/>
      <c r="S870" s="3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32"/>
      <c r="N871" s="2"/>
      <c r="O871" s="2"/>
      <c r="P871" s="32"/>
      <c r="Q871" s="32"/>
      <c r="R871" s="32"/>
      <c r="S871" s="3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32"/>
      <c r="N872" s="2"/>
      <c r="O872" s="2"/>
      <c r="P872" s="32"/>
      <c r="Q872" s="32"/>
      <c r="R872" s="32"/>
      <c r="S872" s="3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32"/>
      <c r="N873" s="2"/>
      <c r="O873" s="2"/>
      <c r="P873" s="32"/>
      <c r="Q873" s="32"/>
      <c r="R873" s="32"/>
      <c r="S873" s="3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32"/>
      <c r="N874" s="2"/>
      <c r="O874" s="2"/>
      <c r="P874" s="32"/>
      <c r="Q874" s="32"/>
      <c r="R874" s="32"/>
      <c r="S874" s="3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32"/>
      <c r="N875" s="2"/>
      <c r="O875" s="2"/>
      <c r="P875" s="32"/>
      <c r="Q875" s="32"/>
      <c r="R875" s="32"/>
      <c r="S875" s="3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32"/>
      <c r="N876" s="2"/>
      <c r="O876" s="2"/>
      <c r="P876" s="32"/>
      <c r="Q876" s="32"/>
      <c r="R876" s="32"/>
      <c r="S876" s="3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32"/>
      <c r="N877" s="2"/>
      <c r="O877" s="2"/>
      <c r="P877" s="32"/>
      <c r="Q877" s="32"/>
      <c r="R877" s="32"/>
      <c r="S877" s="3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32"/>
      <c r="N878" s="2"/>
      <c r="O878" s="2"/>
      <c r="P878" s="32"/>
      <c r="Q878" s="32"/>
      <c r="R878" s="32"/>
      <c r="S878" s="3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32"/>
      <c r="N879" s="2"/>
      <c r="O879" s="2"/>
      <c r="P879" s="32"/>
      <c r="Q879" s="32"/>
      <c r="R879" s="32"/>
      <c r="S879" s="3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32"/>
      <c r="N880" s="2"/>
      <c r="O880" s="2"/>
      <c r="P880" s="32"/>
      <c r="Q880" s="32"/>
      <c r="R880" s="32"/>
      <c r="S880" s="3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32"/>
      <c r="N881" s="2"/>
      <c r="O881" s="2"/>
      <c r="P881" s="32"/>
      <c r="Q881" s="32"/>
      <c r="R881" s="32"/>
      <c r="S881" s="3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32"/>
      <c r="N882" s="2"/>
      <c r="O882" s="2"/>
      <c r="P882" s="32"/>
      <c r="Q882" s="32"/>
      <c r="R882" s="32"/>
      <c r="S882" s="3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32"/>
      <c r="N883" s="2"/>
      <c r="O883" s="2"/>
      <c r="P883" s="32"/>
      <c r="Q883" s="32"/>
      <c r="R883" s="32"/>
      <c r="S883" s="3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32"/>
      <c r="N884" s="2"/>
      <c r="O884" s="2"/>
      <c r="P884" s="32"/>
      <c r="Q884" s="32"/>
      <c r="R884" s="32"/>
      <c r="S884" s="3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32"/>
      <c r="N885" s="2"/>
      <c r="O885" s="2"/>
      <c r="P885" s="32"/>
      <c r="Q885" s="32"/>
      <c r="R885" s="32"/>
      <c r="S885" s="3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32"/>
      <c r="N886" s="2"/>
      <c r="O886" s="2"/>
      <c r="P886" s="32"/>
      <c r="Q886" s="32"/>
      <c r="R886" s="32"/>
      <c r="S886" s="3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32"/>
      <c r="N887" s="2"/>
      <c r="O887" s="2"/>
      <c r="P887" s="32"/>
      <c r="Q887" s="32"/>
      <c r="R887" s="32"/>
      <c r="S887" s="3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32"/>
      <c r="N888" s="2"/>
      <c r="O888" s="2"/>
      <c r="P888" s="32"/>
      <c r="Q888" s="32"/>
      <c r="R888" s="32"/>
      <c r="S888" s="3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32"/>
      <c r="N889" s="2"/>
      <c r="O889" s="2"/>
      <c r="P889" s="32"/>
      <c r="Q889" s="32"/>
      <c r="R889" s="32"/>
      <c r="S889" s="3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32"/>
      <c r="N890" s="2"/>
      <c r="O890" s="2"/>
      <c r="P890" s="32"/>
      <c r="Q890" s="32"/>
      <c r="R890" s="32"/>
      <c r="S890" s="3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32"/>
      <c r="N891" s="2"/>
      <c r="O891" s="2"/>
      <c r="P891" s="32"/>
      <c r="Q891" s="32"/>
      <c r="R891" s="32"/>
      <c r="S891" s="3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32"/>
      <c r="N892" s="2"/>
      <c r="O892" s="2"/>
      <c r="P892" s="32"/>
      <c r="Q892" s="32"/>
      <c r="R892" s="32"/>
      <c r="S892" s="3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32"/>
      <c r="N893" s="2"/>
      <c r="O893" s="2"/>
      <c r="P893" s="32"/>
      <c r="Q893" s="32"/>
      <c r="R893" s="32"/>
      <c r="S893" s="3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32"/>
      <c r="N894" s="2"/>
      <c r="O894" s="2"/>
      <c r="P894" s="32"/>
      <c r="Q894" s="32"/>
      <c r="R894" s="32"/>
      <c r="S894" s="3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32"/>
      <c r="N895" s="2"/>
      <c r="O895" s="2"/>
      <c r="P895" s="32"/>
      <c r="Q895" s="32"/>
      <c r="R895" s="32"/>
      <c r="S895" s="3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32"/>
      <c r="N896" s="2"/>
      <c r="O896" s="2"/>
      <c r="P896" s="32"/>
      <c r="Q896" s="32"/>
      <c r="R896" s="32"/>
      <c r="S896" s="3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32"/>
      <c r="N897" s="2"/>
      <c r="O897" s="2"/>
      <c r="P897" s="32"/>
      <c r="Q897" s="32"/>
      <c r="R897" s="32"/>
      <c r="S897" s="3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32"/>
      <c r="N898" s="2"/>
      <c r="O898" s="2"/>
      <c r="P898" s="32"/>
      <c r="Q898" s="32"/>
      <c r="R898" s="32"/>
      <c r="S898" s="3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32"/>
      <c r="N899" s="2"/>
      <c r="O899" s="2"/>
      <c r="P899" s="32"/>
      <c r="Q899" s="32"/>
      <c r="R899" s="32"/>
      <c r="S899" s="3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32"/>
      <c r="N900" s="2"/>
      <c r="O900" s="2"/>
      <c r="P900" s="32"/>
      <c r="Q900" s="32"/>
      <c r="R900" s="32"/>
      <c r="S900" s="3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32"/>
      <c r="N901" s="2"/>
      <c r="O901" s="2"/>
      <c r="P901" s="32"/>
      <c r="Q901" s="32"/>
      <c r="R901" s="32"/>
      <c r="S901" s="3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32"/>
      <c r="N902" s="2"/>
      <c r="O902" s="2"/>
      <c r="P902" s="32"/>
      <c r="Q902" s="32"/>
      <c r="R902" s="32"/>
      <c r="S902" s="3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32"/>
      <c r="N903" s="2"/>
      <c r="O903" s="2"/>
      <c r="P903" s="32"/>
      <c r="Q903" s="32"/>
      <c r="R903" s="32"/>
      <c r="S903" s="3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32"/>
      <c r="N904" s="2"/>
      <c r="O904" s="2"/>
      <c r="P904" s="32"/>
      <c r="Q904" s="32"/>
      <c r="R904" s="32"/>
      <c r="S904" s="3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32"/>
      <c r="N905" s="2"/>
      <c r="O905" s="2"/>
      <c r="P905" s="32"/>
      <c r="Q905" s="32"/>
      <c r="R905" s="32"/>
      <c r="S905" s="3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32"/>
      <c r="N906" s="2"/>
      <c r="O906" s="2"/>
      <c r="P906" s="32"/>
      <c r="Q906" s="32"/>
      <c r="R906" s="32"/>
      <c r="S906" s="3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32"/>
      <c r="N907" s="2"/>
      <c r="O907" s="2"/>
      <c r="P907" s="32"/>
      <c r="Q907" s="32"/>
      <c r="R907" s="32"/>
      <c r="S907" s="3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32"/>
      <c r="N908" s="2"/>
      <c r="O908" s="2"/>
      <c r="P908" s="32"/>
      <c r="Q908" s="32"/>
      <c r="R908" s="32"/>
      <c r="S908" s="3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32"/>
      <c r="N909" s="2"/>
      <c r="O909" s="2"/>
      <c r="P909" s="32"/>
      <c r="Q909" s="32"/>
      <c r="R909" s="32"/>
      <c r="S909" s="3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32"/>
      <c r="N910" s="2"/>
      <c r="O910" s="2"/>
      <c r="P910" s="32"/>
      <c r="Q910" s="32"/>
      <c r="R910" s="32"/>
      <c r="S910" s="3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32"/>
      <c r="N911" s="2"/>
      <c r="O911" s="2"/>
      <c r="P911" s="32"/>
      <c r="Q911" s="32"/>
      <c r="R911" s="32"/>
      <c r="S911" s="3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32"/>
      <c r="N912" s="2"/>
      <c r="O912" s="2"/>
      <c r="P912" s="32"/>
      <c r="Q912" s="32"/>
      <c r="R912" s="32"/>
      <c r="S912" s="3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32"/>
      <c r="N913" s="2"/>
      <c r="O913" s="2"/>
      <c r="P913" s="32"/>
      <c r="Q913" s="32"/>
      <c r="R913" s="32"/>
      <c r="S913" s="3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32"/>
      <c r="N914" s="2"/>
      <c r="O914" s="2"/>
      <c r="P914" s="32"/>
      <c r="Q914" s="32"/>
      <c r="R914" s="32"/>
      <c r="S914" s="3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32"/>
      <c r="N915" s="2"/>
      <c r="O915" s="2"/>
      <c r="P915" s="32"/>
      <c r="Q915" s="32"/>
      <c r="R915" s="32"/>
      <c r="S915" s="3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32"/>
      <c r="N916" s="2"/>
      <c r="O916" s="2"/>
      <c r="P916" s="32"/>
      <c r="Q916" s="32"/>
      <c r="R916" s="32"/>
      <c r="S916" s="3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32"/>
      <c r="N917" s="2"/>
      <c r="O917" s="2"/>
      <c r="P917" s="32"/>
      <c r="Q917" s="32"/>
      <c r="R917" s="32"/>
      <c r="S917" s="3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32"/>
      <c r="N918" s="2"/>
      <c r="O918" s="2"/>
      <c r="P918" s="32"/>
      <c r="Q918" s="32"/>
      <c r="R918" s="32"/>
      <c r="S918" s="3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32"/>
      <c r="N919" s="2"/>
      <c r="O919" s="2"/>
      <c r="P919" s="32"/>
      <c r="Q919" s="32"/>
      <c r="R919" s="32"/>
      <c r="S919" s="3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32"/>
      <c r="N920" s="2"/>
      <c r="O920" s="2"/>
      <c r="P920" s="32"/>
      <c r="Q920" s="32"/>
      <c r="R920" s="32"/>
      <c r="S920" s="3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32"/>
      <c r="N921" s="2"/>
      <c r="O921" s="2"/>
      <c r="P921" s="32"/>
      <c r="Q921" s="32"/>
      <c r="R921" s="32"/>
      <c r="S921" s="3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32"/>
      <c r="N922" s="2"/>
      <c r="O922" s="2"/>
      <c r="P922" s="32"/>
      <c r="Q922" s="32"/>
      <c r="R922" s="32"/>
      <c r="S922" s="3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32"/>
      <c r="N923" s="2"/>
      <c r="O923" s="2"/>
      <c r="P923" s="32"/>
      <c r="Q923" s="32"/>
      <c r="R923" s="32"/>
      <c r="S923" s="3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32"/>
      <c r="N924" s="2"/>
      <c r="O924" s="2"/>
      <c r="P924" s="32"/>
      <c r="Q924" s="32"/>
      <c r="R924" s="32"/>
      <c r="S924" s="3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32"/>
      <c r="N925" s="2"/>
      <c r="O925" s="2"/>
      <c r="P925" s="32"/>
      <c r="Q925" s="32"/>
      <c r="R925" s="32"/>
      <c r="S925" s="3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32"/>
      <c r="N926" s="2"/>
      <c r="O926" s="2"/>
      <c r="P926" s="32"/>
      <c r="Q926" s="32"/>
      <c r="R926" s="32"/>
      <c r="S926" s="3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32"/>
      <c r="N927" s="2"/>
      <c r="O927" s="2"/>
      <c r="P927" s="32"/>
      <c r="Q927" s="32"/>
      <c r="R927" s="32"/>
      <c r="S927" s="3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32"/>
      <c r="N928" s="2"/>
      <c r="O928" s="2"/>
      <c r="P928" s="32"/>
      <c r="Q928" s="32"/>
      <c r="R928" s="32"/>
      <c r="S928" s="3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32"/>
      <c r="N929" s="2"/>
      <c r="O929" s="2"/>
      <c r="P929" s="32"/>
      <c r="Q929" s="32"/>
      <c r="R929" s="32"/>
      <c r="S929" s="3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32"/>
      <c r="N930" s="2"/>
      <c r="O930" s="2"/>
      <c r="P930" s="32"/>
      <c r="Q930" s="32"/>
      <c r="R930" s="32"/>
      <c r="S930" s="3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32"/>
      <c r="N931" s="2"/>
      <c r="O931" s="2"/>
      <c r="P931" s="32"/>
      <c r="Q931" s="32"/>
      <c r="R931" s="32"/>
      <c r="S931" s="3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32"/>
      <c r="N932" s="2"/>
      <c r="O932" s="2"/>
      <c r="P932" s="32"/>
      <c r="Q932" s="32"/>
      <c r="R932" s="32"/>
      <c r="S932" s="3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32"/>
      <c r="N933" s="2"/>
      <c r="O933" s="2"/>
      <c r="P933" s="32"/>
      <c r="Q933" s="32"/>
      <c r="R933" s="32"/>
      <c r="S933" s="3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32"/>
      <c r="N934" s="2"/>
      <c r="O934" s="2"/>
      <c r="P934" s="32"/>
      <c r="Q934" s="32"/>
      <c r="R934" s="32"/>
      <c r="S934" s="3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32"/>
      <c r="N935" s="2"/>
      <c r="O935" s="2"/>
      <c r="P935" s="32"/>
      <c r="Q935" s="32"/>
      <c r="R935" s="32"/>
      <c r="S935" s="3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32"/>
      <c r="N936" s="2"/>
      <c r="O936" s="2"/>
      <c r="P936" s="32"/>
      <c r="Q936" s="32"/>
      <c r="R936" s="32"/>
      <c r="S936" s="3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32"/>
      <c r="N937" s="2"/>
      <c r="O937" s="2"/>
      <c r="P937" s="32"/>
      <c r="Q937" s="32"/>
      <c r="R937" s="32"/>
      <c r="S937" s="3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32"/>
      <c r="N938" s="2"/>
      <c r="O938" s="2"/>
      <c r="P938" s="32"/>
      <c r="Q938" s="32"/>
      <c r="R938" s="32"/>
      <c r="S938" s="3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32"/>
      <c r="N939" s="2"/>
      <c r="O939" s="2"/>
      <c r="P939" s="32"/>
      <c r="Q939" s="32"/>
      <c r="R939" s="32"/>
      <c r="S939" s="3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32"/>
      <c r="N940" s="2"/>
      <c r="O940" s="2"/>
      <c r="P940" s="32"/>
      <c r="Q940" s="32"/>
      <c r="R940" s="32"/>
      <c r="S940" s="3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32"/>
      <c r="N941" s="2"/>
      <c r="O941" s="2"/>
      <c r="P941" s="32"/>
      <c r="Q941" s="32"/>
      <c r="R941" s="32"/>
      <c r="S941" s="3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32"/>
      <c r="N942" s="2"/>
      <c r="O942" s="2"/>
      <c r="P942" s="32"/>
      <c r="Q942" s="32"/>
      <c r="R942" s="32"/>
      <c r="S942" s="3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32"/>
      <c r="N943" s="2"/>
      <c r="O943" s="2"/>
      <c r="P943" s="32"/>
      <c r="Q943" s="32"/>
      <c r="R943" s="32"/>
      <c r="S943" s="3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32"/>
      <c r="N944" s="2"/>
      <c r="O944" s="2"/>
      <c r="P944" s="32"/>
      <c r="Q944" s="32"/>
      <c r="R944" s="32"/>
      <c r="S944" s="3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32"/>
      <c r="N945" s="2"/>
      <c r="O945" s="2"/>
      <c r="P945" s="32"/>
      <c r="Q945" s="32"/>
      <c r="R945" s="32"/>
      <c r="S945" s="3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32"/>
      <c r="N946" s="2"/>
      <c r="O946" s="2"/>
      <c r="P946" s="32"/>
      <c r="Q946" s="32"/>
      <c r="R946" s="32"/>
      <c r="S946" s="3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32"/>
      <c r="N947" s="2"/>
      <c r="O947" s="2"/>
      <c r="P947" s="32"/>
      <c r="Q947" s="32"/>
      <c r="R947" s="32"/>
      <c r="S947" s="3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32"/>
      <c r="N948" s="2"/>
      <c r="O948" s="2"/>
      <c r="P948" s="32"/>
      <c r="Q948" s="32"/>
      <c r="R948" s="32"/>
      <c r="S948" s="3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32"/>
      <c r="N949" s="2"/>
      <c r="O949" s="2"/>
      <c r="P949" s="32"/>
      <c r="Q949" s="32"/>
      <c r="R949" s="32"/>
      <c r="S949" s="3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32"/>
      <c r="N950" s="2"/>
      <c r="O950" s="2"/>
      <c r="P950" s="32"/>
      <c r="Q950" s="32"/>
      <c r="R950" s="32"/>
      <c r="S950" s="3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32"/>
      <c r="N951" s="2"/>
      <c r="O951" s="2"/>
      <c r="P951" s="32"/>
      <c r="Q951" s="32"/>
      <c r="R951" s="32"/>
      <c r="S951" s="3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32"/>
      <c r="N952" s="2"/>
      <c r="O952" s="2"/>
      <c r="P952" s="32"/>
      <c r="Q952" s="32"/>
      <c r="R952" s="32"/>
      <c r="S952" s="3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32"/>
      <c r="N953" s="2"/>
      <c r="O953" s="2"/>
      <c r="P953" s="32"/>
      <c r="Q953" s="32"/>
      <c r="R953" s="32"/>
      <c r="S953" s="3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32"/>
      <c r="N954" s="2"/>
      <c r="O954" s="2"/>
      <c r="P954" s="32"/>
      <c r="Q954" s="32"/>
      <c r="R954" s="32"/>
      <c r="S954" s="3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32"/>
      <c r="N955" s="2"/>
      <c r="O955" s="2"/>
      <c r="P955" s="32"/>
      <c r="Q955" s="32"/>
      <c r="R955" s="32"/>
      <c r="S955" s="3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32"/>
      <c r="N956" s="2"/>
      <c r="O956" s="2"/>
      <c r="P956" s="32"/>
      <c r="Q956" s="32"/>
      <c r="R956" s="32"/>
      <c r="S956" s="3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32"/>
      <c r="N957" s="2"/>
      <c r="O957" s="2"/>
      <c r="P957" s="32"/>
      <c r="Q957" s="32"/>
      <c r="R957" s="32"/>
      <c r="S957" s="3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32"/>
      <c r="N958" s="2"/>
      <c r="O958" s="2"/>
      <c r="P958" s="32"/>
      <c r="Q958" s="32"/>
      <c r="R958" s="32"/>
      <c r="S958" s="3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32"/>
      <c r="N959" s="2"/>
      <c r="O959" s="2"/>
      <c r="P959" s="32"/>
      <c r="Q959" s="32"/>
      <c r="R959" s="32"/>
      <c r="S959" s="3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32"/>
      <c r="N960" s="2"/>
      <c r="O960" s="2"/>
      <c r="P960" s="32"/>
      <c r="Q960" s="32"/>
      <c r="R960" s="32"/>
      <c r="S960" s="3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32"/>
      <c r="N961" s="2"/>
      <c r="O961" s="2"/>
      <c r="P961" s="32"/>
      <c r="Q961" s="32"/>
      <c r="R961" s="32"/>
      <c r="S961" s="3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32"/>
      <c r="N962" s="2"/>
      <c r="O962" s="2"/>
      <c r="P962" s="32"/>
      <c r="Q962" s="32"/>
      <c r="R962" s="32"/>
      <c r="S962" s="3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32"/>
      <c r="N963" s="2"/>
      <c r="O963" s="2"/>
      <c r="P963" s="32"/>
      <c r="Q963" s="32"/>
      <c r="R963" s="32"/>
      <c r="S963" s="3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32"/>
      <c r="N964" s="2"/>
      <c r="O964" s="2"/>
      <c r="P964" s="32"/>
      <c r="Q964" s="32"/>
      <c r="R964" s="32"/>
      <c r="S964" s="3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32"/>
      <c r="N965" s="2"/>
      <c r="O965" s="2"/>
      <c r="P965" s="32"/>
      <c r="Q965" s="32"/>
      <c r="R965" s="32"/>
      <c r="S965" s="3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32"/>
      <c r="N966" s="2"/>
      <c r="O966" s="2"/>
      <c r="P966" s="32"/>
      <c r="Q966" s="32"/>
      <c r="R966" s="32"/>
      <c r="S966" s="3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32"/>
      <c r="N967" s="2"/>
      <c r="O967" s="2"/>
      <c r="P967" s="32"/>
      <c r="Q967" s="32"/>
      <c r="R967" s="32"/>
      <c r="S967" s="3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32"/>
      <c r="N968" s="2"/>
      <c r="O968" s="2"/>
      <c r="P968" s="32"/>
      <c r="Q968" s="32"/>
      <c r="R968" s="32"/>
      <c r="S968" s="3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32"/>
      <c r="N969" s="2"/>
      <c r="O969" s="2"/>
      <c r="P969" s="32"/>
      <c r="Q969" s="32"/>
      <c r="R969" s="32"/>
      <c r="S969" s="3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32"/>
      <c r="N970" s="2"/>
      <c r="O970" s="2"/>
      <c r="P970" s="32"/>
      <c r="Q970" s="32"/>
      <c r="R970" s="32"/>
      <c r="S970" s="3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32"/>
      <c r="N971" s="2"/>
      <c r="O971" s="2"/>
      <c r="P971" s="32"/>
      <c r="Q971" s="32"/>
      <c r="R971" s="32"/>
      <c r="S971" s="3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32"/>
      <c r="N972" s="2"/>
      <c r="O972" s="2"/>
      <c r="P972" s="32"/>
      <c r="Q972" s="32"/>
      <c r="R972" s="32"/>
      <c r="S972" s="3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32"/>
      <c r="N973" s="2"/>
      <c r="O973" s="2"/>
      <c r="P973" s="32"/>
      <c r="Q973" s="32"/>
      <c r="R973" s="32"/>
      <c r="S973" s="3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32"/>
      <c r="N974" s="2"/>
      <c r="O974" s="2"/>
      <c r="P974" s="32"/>
      <c r="Q974" s="32"/>
      <c r="R974" s="32"/>
      <c r="S974" s="3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32"/>
      <c r="N975" s="2"/>
      <c r="O975" s="2"/>
      <c r="P975" s="32"/>
      <c r="Q975" s="32"/>
      <c r="R975" s="32"/>
      <c r="S975" s="3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32"/>
      <c r="N976" s="2"/>
      <c r="O976" s="2"/>
      <c r="P976" s="32"/>
      <c r="Q976" s="32"/>
      <c r="R976" s="32"/>
      <c r="S976" s="3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32"/>
      <c r="N977" s="2"/>
      <c r="O977" s="2"/>
      <c r="P977" s="32"/>
      <c r="Q977" s="32"/>
      <c r="R977" s="32"/>
      <c r="S977" s="3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32"/>
      <c r="N978" s="2"/>
      <c r="O978" s="2"/>
      <c r="P978" s="32"/>
      <c r="Q978" s="32"/>
      <c r="R978" s="32"/>
      <c r="S978" s="3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32"/>
      <c r="N979" s="2"/>
      <c r="O979" s="2"/>
      <c r="P979" s="32"/>
      <c r="Q979" s="32"/>
      <c r="R979" s="32"/>
      <c r="S979" s="3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32"/>
      <c r="N980" s="2"/>
      <c r="O980" s="2"/>
      <c r="P980" s="32"/>
      <c r="Q980" s="32"/>
      <c r="R980" s="32"/>
      <c r="S980" s="3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32"/>
      <c r="N981" s="2"/>
      <c r="O981" s="2"/>
      <c r="P981" s="32"/>
      <c r="Q981" s="32"/>
      <c r="R981" s="32"/>
      <c r="S981" s="3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32"/>
      <c r="N982" s="2"/>
      <c r="O982" s="2"/>
      <c r="P982" s="32"/>
      <c r="Q982" s="32"/>
      <c r="R982" s="32"/>
      <c r="S982" s="3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32"/>
      <c r="N983" s="2"/>
      <c r="O983" s="2"/>
      <c r="P983" s="32"/>
      <c r="Q983" s="32"/>
      <c r="R983" s="32"/>
      <c r="S983" s="3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32"/>
      <c r="N984" s="2"/>
      <c r="O984" s="2"/>
      <c r="P984" s="32"/>
      <c r="Q984" s="32"/>
      <c r="R984" s="32"/>
      <c r="S984" s="3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32"/>
      <c r="N985" s="2"/>
      <c r="O985" s="2"/>
      <c r="P985" s="32"/>
      <c r="Q985" s="32"/>
      <c r="R985" s="32"/>
      <c r="S985" s="3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32"/>
      <c r="N986" s="2"/>
      <c r="O986" s="2"/>
      <c r="P986" s="32"/>
      <c r="Q986" s="32"/>
      <c r="R986" s="32"/>
      <c r="S986" s="3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32"/>
      <c r="N987" s="2"/>
      <c r="O987" s="2"/>
      <c r="P987" s="32"/>
      <c r="Q987" s="32"/>
      <c r="R987" s="32"/>
      <c r="S987" s="3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32"/>
      <c r="N988" s="2"/>
      <c r="O988" s="2"/>
      <c r="P988" s="32"/>
      <c r="Q988" s="32"/>
      <c r="R988" s="32"/>
      <c r="S988" s="3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32"/>
      <c r="N989" s="2"/>
      <c r="O989" s="2"/>
      <c r="P989" s="32"/>
      <c r="Q989" s="32"/>
      <c r="R989" s="32"/>
      <c r="S989" s="3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32"/>
      <c r="N990" s="2"/>
      <c r="O990" s="2"/>
      <c r="P990" s="32"/>
      <c r="Q990" s="32"/>
      <c r="R990" s="32"/>
      <c r="S990" s="3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32"/>
      <c r="N991" s="2"/>
      <c r="O991" s="2"/>
      <c r="P991" s="32"/>
      <c r="Q991" s="32"/>
      <c r="R991" s="32"/>
      <c r="S991" s="3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32"/>
      <c r="N992" s="2"/>
      <c r="O992" s="2"/>
      <c r="P992" s="32"/>
      <c r="Q992" s="32"/>
      <c r="R992" s="32"/>
      <c r="S992" s="3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32"/>
      <c r="N993" s="2"/>
      <c r="O993" s="2"/>
      <c r="P993" s="32"/>
      <c r="Q993" s="32"/>
      <c r="R993" s="32"/>
      <c r="S993" s="3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32"/>
      <c r="N994" s="2"/>
      <c r="O994" s="2"/>
      <c r="P994" s="32"/>
      <c r="Q994" s="32"/>
      <c r="R994" s="32"/>
      <c r="S994" s="3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32"/>
      <c r="N995" s="2"/>
      <c r="O995" s="2"/>
      <c r="P995" s="32"/>
      <c r="Q995" s="32"/>
      <c r="R995" s="32"/>
      <c r="S995" s="3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32"/>
      <c r="N996" s="2"/>
      <c r="O996" s="2"/>
      <c r="P996" s="32"/>
      <c r="Q996" s="32"/>
      <c r="R996" s="32"/>
      <c r="S996" s="3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32"/>
      <c r="N997" s="2"/>
      <c r="O997" s="2"/>
      <c r="P997" s="32"/>
      <c r="Q997" s="32"/>
      <c r="R997" s="32"/>
      <c r="S997" s="3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32"/>
      <c r="N998" s="2"/>
      <c r="O998" s="2"/>
      <c r="P998" s="32"/>
      <c r="Q998" s="32"/>
      <c r="R998" s="32"/>
      <c r="S998" s="3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32"/>
      <c r="N999" s="2"/>
      <c r="O999" s="2"/>
      <c r="P999" s="32"/>
      <c r="Q999" s="32"/>
      <c r="R999" s="32"/>
      <c r="S999" s="3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32"/>
      <c r="N1000" s="2"/>
      <c r="O1000" s="2"/>
      <c r="P1000" s="32"/>
      <c r="Q1000" s="32"/>
      <c r="R1000" s="32"/>
      <c r="S1000" s="3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99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2" t="s">
        <v>317</v>
      </c>
      <c r="B2" s="32" t="s">
        <v>48</v>
      </c>
      <c r="C2" s="2" t="s">
        <v>1415</v>
      </c>
      <c r="D2" s="32" t="s">
        <v>1416</v>
      </c>
      <c r="E2" s="69">
        <v>-20072.43</v>
      </c>
      <c r="F2" s="69">
        <v>1098.42</v>
      </c>
      <c r="G2" s="69">
        <f>F2*0.685</f>
        <v>752.41770000000008</v>
      </c>
      <c r="H2" s="70">
        <v>1</v>
      </c>
      <c r="I2" s="69">
        <f>(E2+G2)*H2</f>
        <v>-19320.012299999999</v>
      </c>
      <c r="J2" s="61">
        <v>0</v>
      </c>
      <c r="K2" s="61">
        <f>F2*0.315*H2</f>
        <v>346.00230000000005</v>
      </c>
      <c r="L2" s="58">
        <f>SUM(J:K)</f>
        <v>1542.6621000000002</v>
      </c>
      <c r="M2" s="2" t="s">
        <v>412</v>
      </c>
      <c r="N2" s="2" t="s">
        <v>413</v>
      </c>
      <c r="O2" s="32">
        <v>0</v>
      </c>
      <c r="P2" s="32">
        <f>SUM(I:I)</f>
        <v>-35960.482099999994</v>
      </c>
      <c r="Q2" s="32">
        <f>SUM(O:O)</f>
        <v>35960.479999999996</v>
      </c>
      <c r="R2" s="32">
        <f>P2+Q2</f>
        <v>-2.0999999978812411E-3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 t="s">
        <v>325</v>
      </c>
      <c r="B3" s="46" t="s">
        <v>468</v>
      </c>
      <c r="C3" s="10" t="s">
        <v>468</v>
      </c>
      <c r="D3" s="46" t="s">
        <v>468</v>
      </c>
      <c r="E3" s="46" t="s">
        <v>468</v>
      </c>
      <c r="F3" s="46" t="s">
        <v>468</v>
      </c>
      <c r="G3" s="46" t="s">
        <v>468</v>
      </c>
      <c r="H3" s="81" t="s">
        <v>468</v>
      </c>
      <c r="I3" s="46" t="s">
        <v>468</v>
      </c>
      <c r="J3" s="82" t="s">
        <v>468</v>
      </c>
      <c r="K3" s="82" t="s">
        <v>468</v>
      </c>
      <c r="L3" s="58"/>
      <c r="M3" s="2" t="s">
        <v>943</v>
      </c>
      <c r="N3" s="2" t="s">
        <v>473</v>
      </c>
      <c r="O3" s="32">
        <v>18000</v>
      </c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32" t="s">
        <v>332</v>
      </c>
      <c r="B4" s="32" t="s">
        <v>48</v>
      </c>
      <c r="C4" s="10" t="s">
        <v>1415</v>
      </c>
      <c r="D4" s="10" t="s">
        <v>1416</v>
      </c>
      <c r="E4" s="32">
        <v>-19242.73</v>
      </c>
      <c r="F4" s="32">
        <v>3798.92</v>
      </c>
      <c r="G4" s="69">
        <f>F4*0.685</f>
        <v>2602.2602000000002</v>
      </c>
      <c r="H4" s="70">
        <v>1</v>
      </c>
      <c r="I4" s="69">
        <f>(E4+G4)*H4</f>
        <v>-16640.469799999999</v>
      </c>
      <c r="J4" s="61">
        <v>0</v>
      </c>
      <c r="K4" s="61">
        <f>F4*0.315*H4</f>
        <v>1196.6598000000001</v>
      </c>
      <c r="L4" s="58"/>
      <c r="M4" s="2" t="s">
        <v>943</v>
      </c>
      <c r="N4" s="2" t="s">
        <v>473</v>
      </c>
      <c r="O4" s="32">
        <v>1320.01</v>
      </c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 t="s">
        <v>340</v>
      </c>
      <c r="B5" s="46" t="s">
        <v>468</v>
      </c>
      <c r="C5" s="10" t="s">
        <v>468</v>
      </c>
      <c r="D5" s="46" t="s">
        <v>468</v>
      </c>
      <c r="E5" s="46" t="s">
        <v>468</v>
      </c>
      <c r="F5" s="46" t="s">
        <v>468</v>
      </c>
      <c r="G5" s="46" t="s">
        <v>468</v>
      </c>
      <c r="H5" s="81" t="s">
        <v>468</v>
      </c>
      <c r="I5" s="46" t="s">
        <v>468</v>
      </c>
      <c r="J5" s="82" t="s">
        <v>468</v>
      </c>
      <c r="K5" s="82" t="s">
        <v>468</v>
      </c>
      <c r="L5" s="58"/>
      <c r="M5" s="2" t="s">
        <v>334</v>
      </c>
      <c r="N5" s="2" t="s">
        <v>473</v>
      </c>
      <c r="O5" s="32">
        <v>16640.47</v>
      </c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32" t="s">
        <v>359</v>
      </c>
      <c r="B6" s="46" t="s">
        <v>468</v>
      </c>
      <c r="C6" s="10" t="s">
        <v>468</v>
      </c>
      <c r="D6" s="46" t="s">
        <v>468</v>
      </c>
      <c r="E6" s="46" t="s">
        <v>468</v>
      </c>
      <c r="F6" s="46" t="s">
        <v>468</v>
      </c>
      <c r="G6" s="46" t="s">
        <v>468</v>
      </c>
      <c r="H6" s="81" t="s">
        <v>468</v>
      </c>
      <c r="I6" s="46" t="s">
        <v>468</v>
      </c>
      <c r="J6" s="82" t="s">
        <v>468</v>
      </c>
      <c r="K6" s="82" t="s">
        <v>468</v>
      </c>
      <c r="L6" s="58"/>
      <c r="M6" s="2"/>
      <c r="N6" s="2"/>
      <c r="O6" s="32"/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366</v>
      </c>
      <c r="B7" s="46" t="s">
        <v>468</v>
      </c>
      <c r="C7" s="10" t="s">
        <v>468</v>
      </c>
      <c r="D7" s="46" t="s">
        <v>468</v>
      </c>
      <c r="E7" s="46" t="s">
        <v>468</v>
      </c>
      <c r="F7" s="46" t="s">
        <v>468</v>
      </c>
      <c r="G7" s="46" t="s">
        <v>468</v>
      </c>
      <c r="H7" s="81" t="s">
        <v>468</v>
      </c>
      <c r="I7" s="46" t="s">
        <v>468</v>
      </c>
      <c r="J7" s="82" t="s">
        <v>468</v>
      </c>
      <c r="K7" s="82" t="s">
        <v>468</v>
      </c>
      <c r="L7" s="58"/>
      <c r="M7" s="2"/>
      <c r="N7" s="2"/>
      <c r="O7" s="32"/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2" t="s">
        <v>370</v>
      </c>
      <c r="B8" s="46" t="s">
        <v>468</v>
      </c>
      <c r="C8" s="10" t="s">
        <v>468</v>
      </c>
      <c r="D8" s="46" t="s">
        <v>468</v>
      </c>
      <c r="E8" s="46" t="s">
        <v>468</v>
      </c>
      <c r="F8" s="46" t="s">
        <v>468</v>
      </c>
      <c r="G8" s="46" t="s">
        <v>468</v>
      </c>
      <c r="H8" s="81" t="s">
        <v>468</v>
      </c>
      <c r="I8" s="46" t="s">
        <v>468</v>
      </c>
      <c r="J8" s="82" t="s">
        <v>468</v>
      </c>
      <c r="K8" s="82" t="s">
        <v>468</v>
      </c>
      <c r="L8" s="58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 t="s">
        <v>372</v>
      </c>
      <c r="B9" s="46" t="s">
        <v>468</v>
      </c>
      <c r="C9" s="10" t="s">
        <v>468</v>
      </c>
      <c r="D9" s="46" t="s">
        <v>468</v>
      </c>
      <c r="E9" s="46" t="s">
        <v>468</v>
      </c>
      <c r="F9" s="46" t="s">
        <v>468</v>
      </c>
      <c r="G9" s="46" t="s">
        <v>468</v>
      </c>
      <c r="H9" s="81" t="s">
        <v>468</v>
      </c>
      <c r="I9" s="46" t="s">
        <v>468</v>
      </c>
      <c r="J9" s="82" t="s">
        <v>468</v>
      </c>
      <c r="K9" s="82" t="s">
        <v>468</v>
      </c>
      <c r="L9" s="58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 t="s">
        <v>377</v>
      </c>
      <c r="B10" s="46" t="s">
        <v>468</v>
      </c>
      <c r="C10" s="10" t="s">
        <v>468</v>
      </c>
      <c r="D10" s="46" t="s">
        <v>468</v>
      </c>
      <c r="E10" s="46" t="s">
        <v>468</v>
      </c>
      <c r="F10" s="46" t="s">
        <v>468</v>
      </c>
      <c r="G10" s="46" t="s">
        <v>468</v>
      </c>
      <c r="H10" s="81" t="s">
        <v>468</v>
      </c>
      <c r="I10" s="46" t="s">
        <v>468</v>
      </c>
      <c r="J10" s="82" t="s">
        <v>468</v>
      </c>
      <c r="K10" s="82" t="s">
        <v>468</v>
      </c>
      <c r="L10" s="58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 t="s">
        <v>379</v>
      </c>
      <c r="B11" s="46" t="s">
        <v>468</v>
      </c>
      <c r="C11" s="10" t="s">
        <v>468</v>
      </c>
      <c r="D11" s="46" t="s">
        <v>468</v>
      </c>
      <c r="E11" s="46" t="s">
        <v>468</v>
      </c>
      <c r="F11" s="46" t="s">
        <v>468</v>
      </c>
      <c r="G11" s="46" t="s">
        <v>468</v>
      </c>
      <c r="H11" s="81" t="s">
        <v>468</v>
      </c>
      <c r="I11" s="46" t="s">
        <v>468</v>
      </c>
      <c r="J11" s="82" t="s">
        <v>468</v>
      </c>
      <c r="K11" s="82" t="s">
        <v>468</v>
      </c>
      <c r="L11" s="58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 t="s">
        <v>603</v>
      </c>
      <c r="B12" s="46" t="s">
        <v>603</v>
      </c>
      <c r="C12" s="46" t="s">
        <v>603</v>
      </c>
      <c r="D12" s="46" t="s">
        <v>603</v>
      </c>
      <c r="E12" s="46" t="s">
        <v>603</v>
      </c>
      <c r="F12" s="46" t="s">
        <v>603</v>
      </c>
      <c r="G12" s="46" t="s">
        <v>603</v>
      </c>
      <c r="H12" s="46" t="s">
        <v>603</v>
      </c>
      <c r="I12" s="46" t="s">
        <v>603</v>
      </c>
      <c r="J12" s="82" t="s">
        <v>603</v>
      </c>
      <c r="K12" s="82" t="s">
        <v>603</v>
      </c>
      <c r="L12" s="58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32"/>
      <c r="E13" s="69"/>
      <c r="F13" s="69"/>
      <c r="G13" s="32"/>
      <c r="H13" s="75"/>
      <c r="I13" s="32"/>
      <c r="J13" s="32"/>
      <c r="K13" s="32"/>
      <c r="L13" s="32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69"/>
      <c r="H14" s="75"/>
      <c r="I14" s="69"/>
      <c r="J14" s="32"/>
      <c r="K14" s="32"/>
      <c r="L14" s="32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2"/>
      <c r="E15" s="32"/>
      <c r="F15" s="32"/>
      <c r="G15" s="32"/>
      <c r="H15" s="73"/>
      <c r="I15" s="32"/>
      <c r="J15" s="32"/>
      <c r="K15" s="32"/>
      <c r="L15" s="32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32"/>
      <c r="E16" s="32"/>
      <c r="F16" s="32"/>
      <c r="G16" s="32"/>
      <c r="H16" s="73"/>
      <c r="I16" s="32"/>
      <c r="J16" s="32"/>
      <c r="K16" s="32"/>
      <c r="L16" s="32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32"/>
      <c r="F17" s="32"/>
      <c r="G17" s="32"/>
      <c r="H17" s="73"/>
      <c r="I17" s="32"/>
      <c r="J17" s="32"/>
      <c r="K17" s="32"/>
      <c r="L17" s="32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99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1" width="12.6640625" customWidth="1"/>
    <col min="12" max="18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399</v>
      </c>
      <c r="D1" s="62" t="s">
        <v>400</v>
      </c>
      <c r="E1" s="62" t="s">
        <v>401</v>
      </c>
      <c r="F1" s="62" t="s">
        <v>402</v>
      </c>
      <c r="G1" s="62" t="s">
        <v>403</v>
      </c>
      <c r="H1" s="64" t="s">
        <v>404</v>
      </c>
      <c r="I1" s="62" t="s">
        <v>405</v>
      </c>
      <c r="J1" s="65" t="s">
        <v>406</v>
      </c>
      <c r="K1" s="65" t="s">
        <v>407</v>
      </c>
      <c r="L1" s="65" t="s">
        <v>408</v>
      </c>
      <c r="M1" s="66" t="s">
        <v>409</v>
      </c>
      <c r="N1" s="66" t="s">
        <v>294</v>
      </c>
      <c r="O1" s="66" t="s">
        <v>410</v>
      </c>
      <c r="P1" s="67" t="s">
        <v>283</v>
      </c>
      <c r="Q1" s="67" t="s">
        <v>284</v>
      </c>
      <c r="R1" s="68" t="s">
        <v>285</v>
      </c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10" t="s">
        <v>603</v>
      </c>
      <c r="B2" s="10" t="s">
        <v>603</v>
      </c>
      <c r="C2" s="10" t="s">
        <v>603</v>
      </c>
      <c r="D2" s="10" t="s">
        <v>603</v>
      </c>
      <c r="E2" s="10" t="s">
        <v>603</v>
      </c>
      <c r="F2" s="10" t="s">
        <v>603</v>
      </c>
      <c r="G2" s="10" t="s">
        <v>603</v>
      </c>
      <c r="H2" s="10" t="s">
        <v>603</v>
      </c>
      <c r="I2" s="10" t="s">
        <v>603</v>
      </c>
      <c r="J2" s="7" t="s">
        <v>603</v>
      </c>
      <c r="K2" s="7" t="s">
        <v>603</v>
      </c>
      <c r="L2" s="58">
        <f>SUM(J:K)</f>
        <v>0</v>
      </c>
      <c r="M2" s="2" t="s">
        <v>412</v>
      </c>
      <c r="N2" s="2" t="s">
        <v>413</v>
      </c>
      <c r="O2" s="32">
        <v>0</v>
      </c>
      <c r="P2" s="32">
        <f>SUM(I:I)</f>
        <v>0</v>
      </c>
      <c r="Q2" s="32">
        <f>SUM(O:O)</f>
        <v>0</v>
      </c>
      <c r="R2" s="32">
        <f>P2+Q2</f>
        <v>0</v>
      </c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/>
      <c r="B3" s="10"/>
      <c r="C3" s="10"/>
      <c r="D3" s="10"/>
      <c r="E3" s="32"/>
      <c r="F3" s="32"/>
      <c r="G3" s="32"/>
      <c r="H3" s="73"/>
      <c r="I3" s="32"/>
      <c r="J3" s="32"/>
      <c r="K3" s="32"/>
      <c r="L3" s="32"/>
      <c r="M3" s="2"/>
      <c r="N3" s="2"/>
      <c r="O3" s="32"/>
      <c r="P3" s="32"/>
      <c r="Q3" s="32"/>
      <c r="R3" s="3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2"/>
      <c r="B4" s="10"/>
      <c r="C4" s="10"/>
      <c r="D4" s="10"/>
      <c r="E4" s="32"/>
      <c r="F4" s="32"/>
      <c r="G4" s="32"/>
      <c r="H4" s="73"/>
      <c r="I4" s="32"/>
      <c r="J4" s="32"/>
      <c r="K4" s="32"/>
      <c r="L4" s="32"/>
      <c r="M4" s="2"/>
      <c r="N4" s="2"/>
      <c r="O4" s="32"/>
      <c r="P4" s="32"/>
      <c r="Q4" s="32"/>
      <c r="R4" s="3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2"/>
      <c r="B5" s="10"/>
      <c r="C5" s="10"/>
      <c r="D5" s="10"/>
      <c r="E5" s="32"/>
      <c r="F5" s="32"/>
      <c r="G5" s="32"/>
      <c r="H5" s="73"/>
      <c r="I5" s="32"/>
      <c r="J5" s="32"/>
      <c r="K5" s="32"/>
      <c r="L5" s="32"/>
      <c r="M5" s="2"/>
      <c r="N5" s="2"/>
      <c r="O5" s="32"/>
      <c r="P5" s="32"/>
      <c r="Q5" s="32"/>
      <c r="R5" s="3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2"/>
      <c r="B6" s="46"/>
      <c r="C6" s="10"/>
      <c r="D6" s="10"/>
      <c r="E6" s="32"/>
      <c r="F6" s="32"/>
      <c r="G6" s="32"/>
      <c r="H6" s="73"/>
      <c r="I6" s="32"/>
      <c r="J6" s="32"/>
      <c r="K6" s="32"/>
      <c r="L6" s="32"/>
      <c r="M6" s="2"/>
      <c r="N6" s="2"/>
      <c r="O6" s="32"/>
      <c r="P6" s="32"/>
      <c r="Q6" s="32"/>
      <c r="R6" s="3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32"/>
      <c r="B7" s="32"/>
      <c r="C7" s="10"/>
      <c r="D7" s="32"/>
      <c r="E7" s="69"/>
      <c r="F7" s="69"/>
      <c r="G7" s="32"/>
      <c r="H7" s="75"/>
      <c r="I7" s="32"/>
      <c r="J7" s="32"/>
      <c r="K7" s="32"/>
      <c r="L7" s="32"/>
      <c r="M7" s="2"/>
      <c r="N7" s="2"/>
      <c r="O7" s="32"/>
      <c r="P7" s="32"/>
      <c r="Q7" s="32"/>
      <c r="R7" s="3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32"/>
      <c r="B8" s="32"/>
      <c r="C8" s="10"/>
      <c r="D8" s="32"/>
      <c r="E8" s="69"/>
      <c r="F8" s="69"/>
      <c r="G8" s="32"/>
      <c r="H8" s="75"/>
      <c r="I8" s="32"/>
      <c r="J8" s="32"/>
      <c r="K8" s="32"/>
      <c r="L8" s="32"/>
      <c r="M8" s="2"/>
      <c r="N8" s="2"/>
      <c r="O8" s="32"/>
      <c r="P8" s="32"/>
      <c r="Q8" s="32"/>
      <c r="R8" s="3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32"/>
      <c r="B9" s="10"/>
      <c r="C9" s="10"/>
      <c r="D9" s="10"/>
      <c r="E9" s="32"/>
      <c r="F9" s="32"/>
      <c r="G9" s="32"/>
      <c r="H9" s="73"/>
      <c r="I9" s="32"/>
      <c r="J9" s="32"/>
      <c r="K9" s="32"/>
      <c r="L9" s="32"/>
      <c r="M9" s="2"/>
      <c r="N9" s="2"/>
      <c r="O9" s="32"/>
      <c r="P9" s="32"/>
      <c r="Q9" s="32"/>
      <c r="R9" s="3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32"/>
      <c r="B10" s="10"/>
      <c r="C10" s="10"/>
      <c r="D10" s="10"/>
      <c r="E10" s="32"/>
      <c r="F10" s="32"/>
      <c r="G10" s="32"/>
      <c r="H10" s="73"/>
      <c r="I10" s="32"/>
      <c r="J10" s="32"/>
      <c r="K10" s="32"/>
      <c r="L10" s="32"/>
      <c r="M10" s="2"/>
      <c r="N10" s="2"/>
      <c r="O10" s="32"/>
      <c r="P10" s="32"/>
      <c r="Q10" s="32"/>
      <c r="R10" s="3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32"/>
      <c r="B11" s="10"/>
      <c r="C11" s="10"/>
      <c r="D11" s="10"/>
      <c r="E11" s="32"/>
      <c r="F11" s="32"/>
      <c r="G11" s="32"/>
      <c r="H11" s="73"/>
      <c r="I11" s="32"/>
      <c r="J11" s="32"/>
      <c r="K11" s="32"/>
      <c r="L11" s="32"/>
      <c r="M11" s="2"/>
      <c r="N11" s="2"/>
      <c r="O11" s="32"/>
      <c r="P11" s="32"/>
      <c r="Q11" s="32"/>
      <c r="R11" s="3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2"/>
      <c r="B12" s="46"/>
      <c r="C12" s="10"/>
      <c r="D12" s="10"/>
      <c r="E12" s="32"/>
      <c r="F12" s="32"/>
      <c r="G12" s="32"/>
      <c r="H12" s="73"/>
      <c r="I12" s="32"/>
      <c r="J12" s="32"/>
      <c r="K12" s="32"/>
      <c r="L12" s="32"/>
      <c r="M12" s="2"/>
      <c r="N12" s="2"/>
      <c r="O12" s="32"/>
      <c r="P12" s="32"/>
      <c r="Q12" s="32"/>
      <c r="R12" s="3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32"/>
      <c r="B13" s="32"/>
      <c r="C13" s="10"/>
      <c r="D13" s="32"/>
      <c r="E13" s="69"/>
      <c r="F13" s="69"/>
      <c r="G13" s="32"/>
      <c r="H13" s="75"/>
      <c r="I13" s="32"/>
      <c r="J13" s="32"/>
      <c r="K13" s="32"/>
      <c r="L13" s="32"/>
      <c r="M13" s="2"/>
      <c r="N13" s="2"/>
      <c r="O13" s="32"/>
      <c r="P13" s="32"/>
      <c r="Q13" s="32"/>
      <c r="R13" s="3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32"/>
      <c r="B14" s="32"/>
      <c r="C14" s="10"/>
      <c r="D14" s="32"/>
      <c r="E14" s="69"/>
      <c r="F14" s="69"/>
      <c r="G14" s="69"/>
      <c r="H14" s="75"/>
      <c r="I14" s="69"/>
      <c r="J14" s="32"/>
      <c r="K14" s="32"/>
      <c r="L14" s="32"/>
      <c r="M14" s="2"/>
      <c r="N14" s="2"/>
      <c r="O14" s="32"/>
      <c r="P14" s="32"/>
      <c r="Q14" s="32"/>
      <c r="R14" s="3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32"/>
      <c r="B15" s="46"/>
      <c r="C15" s="10"/>
      <c r="D15" s="2"/>
      <c r="E15" s="32"/>
      <c r="F15" s="32"/>
      <c r="G15" s="32"/>
      <c r="H15" s="73"/>
      <c r="I15" s="32"/>
      <c r="J15" s="32"/>
      <c r="K15" s="32"/>
      <c r="L15" s="32"/>
      <c r="M15" s="2"/>
      <c r="N15" s="2"/>
      <c r="O15" s="32"/>
      <c r="P15" s="32"/>
      <c r="Q15" s="32"/>
      <c r="R15" s="3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32"/>
      <c r="B16" s="10"/>
      <c r="C16" s="10"/>
      <c r="D16" s="32"/>
      <c r="E16" s="32"/>
      <c r="F16" s="32"/>
      <c r="G16" s="32"/>
      <c r="H16" s="73"/>
      <c r="I16" s="32"/>
      <c r="J16" s="32"/>
      <c r="K16" s="32"/>
      <c r="L16" s="32"/>
      <c r="M16" s="2"/>
      <c r="N16" s="2"/>
      <c r="O16" s="32"/>
      <c r="P16" s="32"/>
      <c r="Q16" s="32"/>
      <c r="R16" s="3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32"/>
      <c r="B17" s="2"/>
      <c r="C17" s="10"/>
      <c r="D17" s="10"/>
      <c r="E17" s="32"/>
      <c r="F17" s="32"/>
      <c r="G17" s="32"/>
      <c r="H17" s="73"/>
      <c r="I17" s="32"/>
      <c r="J17" s="32"/>
      <c r="K17" s="32"/>
      <c r="L17" s="32"/>
      <c r="M17" s="2"/>
      <c r="N17" s="2"/>
      <c r="O17" s="32"/>
      <c r="P17" s="32"/>
      <c r="Q17" s="32"/>
      <c r="R17" s="3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32"/>
      <c r="B18" s="10"/>
      <c r="C18" s="10"/>
      <c r="D18" s="10"/>
      <c r="E18" s="32"/>
      <c r="F18" s="32"/>
      <c r="G18" s="32"/>
      <c r="H18" s="73"/>
      <c r="I18" s="32"/>
      <c r="J18" s="32"/>
      <c r="K18" s="32"/>
      <c r="L18" s="32"/>
      <c r="M18" s="2"/>
      <c r="N18" s="2"/>
      <c r="O18" s="32"/>
      <c r="P18" s="32"/>
      <c r="Q18" s="32"/>
      <c r="R18" s="3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32"/>
      <c r="F19" s="32"/>
      <c r="G19" s="32"/>
      <c r="H19" s="73"/>
      <c r="I19" s="32"/>
      <c r="J19" s="32"/>
      <c r="K19" s="32"/>
      <c r="L19" s="32"/>
      <c r="M19" s="2"/>
      <c r="N19" s="2"/>
      <c r="O19" s="32"/>
      <c r="P19" s="32"/>
      <c r="Q19" s="32"/>
      <c r="R19" s="3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32"/>
      <c r="E20" s="69"/>
      <c r="F20" s="69"/>
      <c r="G20" s="32"/>
      <c r="H20" s="75"/>
      <c r="I20" s="32"/>
      <c r="J20" s="32"/>
      <c r="K20" s="32"/>
      <c r="L20" s="32"/>
      <c r="M20" s="2"/>
      <c r="N20" s="2"/>
      <c r="O20" s="32"/>
      <c r="P20" s="32"/>
      <c r="Q20" s="32"/>
      <c r="R20" s="3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32"/>
      <c r="E21" s="69"/>
      <c r="F21" s="69"/>
      <c r="G21" s="69"/>
      <c r="H21" s="75"/>
      <c r="I21" s="69"/>
      <c r="J21" s="32"/>
      <c r="K21" s="32"/>
      <c r="L21" s="32"/>
      <c r="M21" s="2"/>
      <c r="N21" s="2"/>
      <c r="O21" s="32"/>
      <c r="P21" s="32"/>
      <c r="Q21" s="32"/>
      <c r="R21" s="3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2"/>
      <c r="E22" s="32"/>
      <c r="F22" s="32"/>
      <c r="G22" s="32"/>
      <c r="H22" s="73"/>
      <c r="I22" s="32"/>
      <c r="J22" s="32"/>
      <c r="K22" s="32"/>
      <c r="L22" s="32"/>
      <c r="M22" s="2"/>
      <c r="N22" s="2"/>
      <c r="O22" s="32"/>
      <c r="P22" s="32"/>
      <c r="Q22" s="32"/>
      <c r="R22" s="3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32"/>
      <c r="E23" s="32"/>
      <c r="F23" s="32"/>
      <c r="G23" s="32"/>
      <c r="H23" s="73"/>
      <c r="I23" s="32"/>
      <c r="J23" s="32"/>
      <c r="K23" s="32"/>
      <c r="L23" s="32"/>
      <c r="M23" s="2"/>
      <c r="N23" s="2"/>
      <c r="O23" s="32"/>
      <c r="P23" s="32"/>
      <c r="Q23" s="32"/>
      <c r="R23" s="3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32"/>
      <c r="E24" s="32"/>
      <c r="F24" s="32"/>
      <c r="G24" s="32"/>
      <c r="H24" s="73"/>
      <c r="I24" s="32"/>
      <c r="J24" s="32"/>
      <c r="K24" s="32"/>
      <c r="L24" s="32"/>
      <c r="M24" s="2"/>
      <c r="N24" s="2"/>
      <c r="O24" s="32"/>
      <c r="P24" s="32"/>
      <c r="Q24" s="32"/>
      <c r="R24" s="3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32"/>
      <c r="F25" s="32"/>
      <c r="G25" s="32"/>
      <c r="H25" s="73"/>
      <c r="I25" s="32"/>
      <c r="J25" s="32"/>
      <c r="K25" s="32"/>
      <c r="L25" s="32"/>
      <c r="M25" s="2"/>
      <c r="N25" s="2"/>
      <c r="O25" s="32"/>
      <c r="P25" s="32"/>
      <c r="Q25" s="32"/>
      <c r="R25" s="3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32"/>
      <c r="F26" s="32"/>
      <c r="G26" s="32"/>
      <c r="H26" s="73"/>
      <c r="I26" s="32"/>
      <c r="J26" s="32"/>
      <c r="K26" s="32"/>
      <c r="L26" s="32"/>
      <c r="M26" s="2"/>
      <c r="N26" s="2"/>
      <c r="O26" s="32"/>
      <c r="P26" s="32"/>
      <c r="Q26" s="32"/>
      <c r="R26" s="3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32"/>
      <c r="E27" s="69"/>
      <c r="F27" s="69"/>
      <c r="G27" s="69"/>
      <c r="H27" s="75"/>
      <c r="I27" s="69"/>
      <c r="J27" s="32"/>
      <c r="K27" s="32"/>
      <c r="L27" s="32"/>
      <c r="M27" s="2"/>
      <c r="N27" s="2"/>
      <c r="O27" s="32"/>
      <c r="P27" s="32"/>
      <c r="Q27" s="32"/>
      <c r="R27" s="3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32"/>
      <c r="F28" s="32"/>
      <c r="G28" s="32"/>
      <c r="H28" s="73"/>
      <c r="I28" s="32"/>
      <c r="J28" s="32"/>
      <c r="K28" s="32"/>
      <c r="L28" s="32"/>
      <c r="M28" s="2"/>
      <c r="N28" s="2"/>
      <c r="O28" s="32"/>
      <c r="P28" s="32"/>
      <c r="Q28" s="32"/>
      <c r="R28" s="3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32"/>
      <c r="F29" s="32"/>
      <c r="G29" s="32"/>
      <c r="H29" s="73"/>
      <c r="I29" s="32"/>
      <c r="J29" s="32"/>
      <c r="K29" s="32"/>
      <c r="L29" s="32"/>
      <c r="M29" s="2"/>
      <c r="N29" s="2"/>
      <c r="O29" s="32"/>
      <c r="P29" s="32"/>
      <c r="Q29" s="32"/>
      <c r="R29" s="32"/>
      <c r="S29" s="2"/>
      <c r="T29" s="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32"/>
      <c r="F30" s="32"/>
      <c r="G30" s="32"/>
      <c r="H30" s="73"/>
      <c r="I30" s="32"/>
      <c r="J30" s="32"/>
      <c r="K30" s="32"/>
      <c r="L30" s="32"/>
      <c r="M30" s="2"/>
      <c r="N30" s="2"/>
      <c r="O30" s="32"/>
      <c r="P30" s="32"/>
      <c r="Q30" s="32"/>
      <c r="R30" s="32"/>
      <c r="S30" s="2"/>
      <c r="T30" s="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32"/>
      <c r="E31" s="32"/>
      <c r="F31" s="32"/>
      <c r="G31" s="32"/>
      <c r="H31" s="73"/>
      <c r="I31" s="32"/>
      <c r="J31" s="32"/>
      <c r="K31" s="32"/>
      <c r="L31" s="32"/>
      <c r="M31" s="2"/>
      <c r="N31" s="2"/>
      <c r="O31" s="32"/>
      <c r="P31" s="32"/>
      <c r="Q31" s="32"/>
      <c r="R31" s="32"/>
      <c r="S31" s="2"/>
      <c r="T31" s="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32"/>
      <c r="E32" s="32"/>
      <c r="F32" s="32"/>
      <c r="G32" s="32"/>
      <c r="H32" s="73"/>
      <c r="I32" s="32"/>
      <c r="J32" s="32"/>
      <c r="K32" s="32"/>
      <c r="L32" s="32"/>
      <c r="M32" s="2"/>
      <c r="N32" s="2"/>
      <c r="O32" s="32"/>
      <c r="P32" s="32"/>
      <c r="Q32" s="32"/>
      <c r="R32" s="32"/>
      <c r="S32" s="2"/>
      <c r="T32" s="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32"/>
      <c r="E33" s="69"/>
      <c r="F33" s="69"/>
      <c r="G33" s="69"/>
      <c r="H33" s="75"/>
      <c r="I33" s="69"/>
      <c r="J33" s="32"/>
      <c r="K33" s="32"/>
      <c r="L33" s="32"/>
      <c r="M33" s="2"/>
      <c r="N33" s="2"/>
      <c r="O33" s="32"/>
      <c r="P33" s="32"/>
      <c r="Q33" s="32"/>
      <c r="R33" s="32"/>
      <c r="S33" s="2"/>
      <c r="T33" s="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32"/>
      <c r="E34" s="69"/>
      <c r="F34" s="69"/>
      <c r="G34" s="69"/>
      <c r="H34" s="75"/>
      <c r="I34" s="69"/>
      <c r="J34" s="32"/>
      <c r="K34" s="32"/>
      <c r="L34" s="32"/>
      <c r="M34" s="2"/>
      <c r="N34" s="2"/>
      <c r="O34" s="32"/>
      <c r="P34" s="32"/>
      <c r="Q34" s="32"/>
      <c r="R34" s="32"/>
      <c r="S34" s="2"/>
      <c r="T34" s="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32"/>
      <c r="E35" s="32"/>
      <c r="F35" s="32"/>
      <c r="G35" s="32"/>
      <c r="H35" s="73"/>
      <c r="I35" s="32"/>
      <c r="J35" s="32"/>
      <c r="K35" s="32"/>
      <c r="L35" s="32"/>
      <c r="M35" s="2"/>
      <c r="N35" s="2"/>
      <c r="O35" s="32"/>
      <c r="P35" s="32"/>
      <c r="Q35" s="32"/>
      <c r="R35" s="32"/>
      <c r="S35" s="2"/>
      <c r="T35" s="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32"/>
      <c r="E36" s="32"/>
      <c r="F36" s="32"/>
      <c r="G36" s="32"/>
      <c r="H36" s="73"/>
      <c r="I36" s="32"/>
      <c r="J36" s="32"/>
      <c r="K36" s="32"/>
      <c r="L36" s="32"/>
      <c r="M36" s="2"/>
      <c r="N36" s="2"/>
      <c r="O36" s="32"/>
      <c r="P36" s="32"/>
      <c r="Q36" s="32"/>
      <c r="R36" s="32"/>
      <c r="S36" s="2"/>
      <c r="T36" s="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32"/>
      <c r="E37" s="69"/>
      <c r="F37" s="69"/>
      <c r="G37" s="69"/>
      <c r="H37" s="70"/>
      <c r="I37" s="69"/>
      <c r="J37" s="32"/>
      <c r="K37" s="32"/>
      <c r="L37" s="32"/>
      <c r="M37" s="2"/>
      <c r="N37" s="2"/>
      <c r="O37" s="32"/>
      <c r="P37" s="32"/>
      <c r="Q37" s="32"/>
      <c r="R37" s="32"/>
      <c r="S37" s="2"/>
      <c r="T37" s="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32"/>
      <c r="F38" s="32"/>
      <c r="G38" s="32"/>
      <c r="H38" s="73"/>
      <c r="I38" s="32"/>
      <c r="J38" s="32"/>
      <c r="K38" s="32"/>
      <c r="L38" s="32"/>
      <c r="M38" s="2"/>
      <c r="N38" s="2"/>
      <c r="O38" s="32"/>
      <c r="P38" s="32"/>
      <c r="Q38" s="32"/>
      <c r="R38" s="32"/>
      <c r="S38" s="2"/>
      <c r="T38" s="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32"/>
      <c r="E39" s="69"/>
      <c r="F39" s="69"/>
      <c r="G39" s="69"/>
      <c r="H39" s="75"/>
      <c r="I39" s="69"/>
      <c r="J39" s="69"/>
      <c r="K39" s="69"/>
      <c r="L39" s="32"/>
      <c r="M39" s="2"/>
      <c r="N39" s="2"/>
      <c r="O39" s="32"/>
      <c r="P39" s="32"/>
      <c r="Q39" s="32"/>
      <c r="R39" s="32"/>
      <c r="S39" s="2"/>
      <c r="T39" s="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32"/>
      <c r="E40" s="69"/>
      <c r="F40" s="69"/>
      <c r="G40" s="69"/>
      <c r="H40" s="75"/>
      <c r="I40" s="69"/>
      <c r="J40" s="69"/>
      <c r="K40" s="69"/>
      <c r="L40" s="32"/>
      <c r="M40" s="2"/>
      <c r="N40" s="2"/>
      <c r="O40" s="32"/>
      <c r="P40" s="32"/>
      <c r="Q40" s="32"/>
      <c r="R40" s="32"/>
      <c r="S40" s="2"/>
      <c r="T40" s="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32"/>
      <c r="F41" s="32"/>
      <c r="G41" s="32"/>
      <c r="H41" s="73"/>
      <c r="I41" s="32"/>
      <c r="J41" s="32"/>
      <c r="K41" s="32"/>
      <c r="L41" s="32"/>
      <c r="M41" s="2"/>
      <c r="N41" s="2"/>
      <c r="O41" s="32"/>
      <c r="P41" s="32"/>
      <c r="Q41" s="32"/>
      <c r="R41" s="32"/>
      <c r="S41" s="2"/>
      <c r="T41" s="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32"/>
      <c r="F42" s="32"/>
      <c r="G42" s="32"/>
      <c r="H42" s="73"/>
      <c r="I42" s="32"/>
      <c r="J42" s="32"/>
      <c r="K42" s="32"/>
      <c r="L42" s="32"/>
      <c r="M42" s="2"/>
      <c r="N42" s="2"/>
      <c r="O42" s="32"/>
      <c r="P42" s="32"/>
      <c r="Q42" s="32"/>
      <c r="R42" s="32"/>
      <c r="S42" s="2"/>
      <c r="T42" s="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32"/>
      <c r="F43" s="32"/>
      <c r="G43" s="32"/>
      <c r="H43" s="73"/>
      <c r="I43" s="32"/>
      <c r="J43" s="32"/>
      <c r="K43" s="32"/>
      <c r="L43" s="32"/>
      <c r="M43" s="2"/>
      <c r="N43" s="2"/>
      <c r="O43" s="32"/>
      <c r="P43" s="32"/>
      <c r="Q43" s="32"/>
      <c r="R43" s="32"/>
      <c r="S43" s="2"/>
      <c r="T43" s="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32"/>
      <c r="E44" s="69"/>
      <c r="F44" s="69"/>
      <c r="G44" s="69"/>
      <c r="H44" s="70"/>
      <c r="I44" s="69"/>
      <c r="J44" s="32"/>
      <c r="K44" s="32"/>
      <c r="L44" s="32"/>
      <c r="M44" s="2"/>
      <c r="N44" s="2"/>
      <c r="O44" s="32"/>
      <c r="P44" s="32"/>
      <c r="Q44" s="32"/>
      <c r="R44" s="32"/>
      <c r="S44" s="2"/>
      <c r="T44" s="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32"/>
      <c r="E45" s="69"/>
      <c r="F45" s="69"/>
      <c r="G45" s="69"/>
      <c r="H45" s="75"/>
      <c r="I45" s="69"/>
      <c r="J45" s="69"/>
      <c r="K45" s="69"/>
      <c r="L45" s="32"/>
      <c r="M45" s="2"/>
      <c r="N45" s="2"/>
      <c r="O45" s="32"/>
      <c r="P45" s="32"/>
      <c r="Q45" s="32"/>
      <c r="R45" s="32"/>
      <c r="S45" s="2"/>
      <c r="T45" s="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32"/>
      <c r="F46" s="32"/>
      <c r="G46" s="32"/>
      <c r="H46" s="73"/>
      <c r="I46" s="32"/>
      <c r="J46" s="32"/>
      <c r="K46" s="32"/>
      <c r="L46" s="32"/>
      <c r="M46" s="2"/>
      <c r="N46" s="2"/>
      <c r="O46" s="32"/>
      <c r="P46" s="32"/>
      <c r="Q46" s="32"/>
      <c r="R46" s="32"/>
      <c r="S46" s="2"/>
      <c r="T46" s="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32"/>
      <c r="E47" s="32"/>
      <c r="F47" s="32"/>
      <c r="G47" s="32"/>
      <c r="H47" s="73"/>
      <c r="I47" s="32"/>
      <c r="J47" s="32"/>
      <c r="K47" s="32"/>
      <c r="L47" s="32"/>
      <c r="M47" s="2"/>
      <c r="N47" s="2"/>
      <c r="O47" s="32"/>
      <c r="P47" s="32"/>
      <c r="Q47" s="32"/>
      <c r="R47" s="32"/>
      <c r="S47" s="2"/>
      <c r="T47" s="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32"/>
      <c r="F48" s="32"/>
      <c r="G48" s="32"/>
      <c r="H48" s="73"/>
      <c r="I48" s="32"/>
      <c r="J48" s="32"/>
      <c r="K48" s="32"/>
      <c r="L48" s="32"/>
      <c r="M48" s="2"/>
      <c r="N48" s="2"/>
      <c r="O48" s="32"/>
      <c r="P48" s="32"/>
      <c r="Q48" s="32"/>
      <c r="R48" s="32"/>
      <c r="S48" s="2"/>
      <c r="T48" s="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32"/>
      <c r="F49" s="32"/>
      <c r="G49" s="32"/>
      <c r="H49" s="73"/>
      <c r="I49" s="32"/>
      <c r="J49" s="32"/>
      <c r="K49" s="32"/>
      <c r="L49" s="32"/>
      <c r="M49" s="2"/>
      <c r="N49" s="2"/>
      <c r="O49" s="32"/>
      <c r="P49" s="32"/>
      <c r="Q49" s="32"/>
      <c r="R49" s="32"/>
      <c r="S49" s="2"/>
      <c r="T49" s="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32"/>
      <c r="F50" s="32"/>
      <c r="G50" s="32"/>
      <c r="H50" s="73"/>
      <c r="I50" s="32"/>
      <c r="J50" s="32"/>
      <c r="K50" s="32"/>
      <c r="L50" s="32"/>
      <c r="M50" s="2"/>
      <c r="N50" s="2"/>
      <c r="O50" s="32"/>
      <c r="P50" s="32"/>
      <c r="Q50" s="32"/>
      <c r="R50" s="32"/>
      <c r="S50" s="2"/>
      <c r="T50" s="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32"/>
      <c r="F51" s="32"/>
      <c r="G51" s="32"/>
      <c r="H51" s="73"/>
      <c r="I51" s="32"/>
      <c r="J51" s="32"/>
      <c r="K51" s="32"/>
      <c r="L51" s="32"/>
      <c r="M51" s="2"/>
      <c r="N51" s="2"/>
      <c r="O51" s="32"/>
      <c r="P51" s="32"/>
      <c r="Q51" s="32"/>
      <c r="R51" s="32"/>
      <c r="S51" s="2"/>
      <c r="T51" s="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32"/>
      <c r="E52" s="32"/>
      <c r="F52" s="32"/>
      <c r="G52" s="32"/>
      <c r="H52" s="73"/>
      <c r="I52" s="32"/>
      <c r="J52" s="32"/>
      <c r="K52" s="32"/>
      <c r="L52" s="32"/>
      <c r="M52" s="2"/>
      <c r="N52" s="2"/>
      <c r="O52" s="32"/>
      <c r="P52" s="32"/>
      <c r="Q52" s="32"/>
      <c r="R52" s="32"/>
      <c r="S52" s="2"/>
      <c r="T52" s="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32"/>
      <c r="E53" s="32"/>
      <c r="F53" s="32"/>
      <c r="G53" s="32"/>
      <c r="H53" s="73"/>
      <c r="I53" s="32"/>
      <c r="J53" s="32"/>
      <c r="K53" s="32"/>
      <c r="L53" s="32"/>
      <c r="M53" s="2"/>
      <c r="N53" s="2"/>
      <c r="O53" s="32"/>
      <c r="P53" s="32"/>
      <c r="Q53" s="32"/>
      <c r="R53" s="32"/>
      <c r="S53" s="2"/>
      <c r="T53" s="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32"/>
      <c r="F54" s="32"/>
      <c r="G54" s="32"/>
      <c r="H54" s="73"/>
      <c r="I54" s="32"/>
      <c r="J54" s="32"/>
      <c r="K54" s="32"/>
      <c r="L54" s="32"/>
      <c r="M54" s="2"/>
      <c r="N54" s="2"/>
      <c r="O54" s="32"/>
      <c r="P54" s="32"/>
      <c r="Q54" s="32"/>
      <c r="R54" s="32"/>
      <c r="S54" s="2"/>
      <c r="T54" s="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32"/>
      <c r="F55" s="32"/>
      <c r="G55" s="32"/>
      <c r="H55" s="73"/>
      <c r="I55" s="32"/>
      <c r="J55" s="32"/>
      <c r="K55" s="32"/>
      <c r="L55" s="32"/>
      <c r="M55" s="2"/>
      <c r="N55" s="2"/>
      <c r="O55" s="32"/>
      <c r="P55" s="32"/>
      <c r="Q55" s="32"/>
      <c r="R55" s="32"/>
      <c r="S55" s="2"/>
      <c r="T55" s="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32"/>
      <c r="E56" s="69"/>
      <c r="F56" s="69"/>
      <c r="G56" s="69"/>
      <c r="H56" s="75"/>
      <c r="I56" s="69"/>
      <c r="J56" s="69"/>
      <c r="K56" s="69"/>
      <c r="L56" s="32"/>
      <c r="M56" s="2"/>
      <c r="N56" s="2"/>
      <c r="O56" s="32"/>
      <c r="P56" s="32"/>
      <c r="Q56" s="32"/>
      <c r="R56" s="32"/>
      <c r="S56" s="2"/>
      <c r="T56" s="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32"/>
      <c r="F57" s="32"/>
      <c r="G57" s="69"/>
      <c r="H57" s="70"/>
      <c r="I57" s="69"/>
      <c r="J57" s="69"/>
      <c r="K57" s="69"/>
      <c r="L57" s="32"/>
      <c r="M57" s="2"/>
      <c r="N57" s="2"/>
      <c r="O57" s="32"/>
      <c r="P57" s="32"/>
      <c r="Q57" s="32"/>
      <c r="R57" s="32"/>
      <c r="S57" s="2"/>
      <c r="T57" s="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32"/>
      <c r="F58" s="32"/>
      <c r="G58" s="32"/>
      <c r="H58" s="73"/>
      <c r="I58" s="32"/>
      <c r="J58" s="32"/>
      <c r="K58" s="32"/>
      <c r="L58" s="32"/>
      <c r="M58" s="2"/>
      <c r="N58" s="2"/>
      <c r="O58" s="32"/>
      <c r="P58" s="32"/>
      <c r="Q58" s="32"/>
      <c r="R58" s="32"/>
      <c r="S58" s="2"/>
      <c r="T58" s="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32"/>
      <c r="F59" s="32"/>
      <c r="G59" s="32"/>
      <c r="H59" s="73"/>
      <c r="I59" s="32"/>
      <c r="J59" s="32"/>
      <c r="K59" s="32"/>
      <c r="L59" s="32"/>
      <c r="M59" s="2"/>
      <c r="N59" s="2"/>
      <c r="O59" s="32"/>
      <c r="P59" s="32"/>
      <c r="Q59" s="32"/>
      <c r="R59" s="32"/>
      <c r="S59" s="2"/>
      <c r="T59" s="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32"/>
      <c r="E60" s="69"/>
      <c r="F60" s="69"/>
      <c r="G60" s="69"/>
      <c r="H60" s="75"/>
      <c r="I60" s="69"/>
      <c r="J60" s="69"/>
      <c r="K60" s="69"/>
      <c r="L60" s="32"/>
      <c r="M60" s="2"/>
      <c r="N60" s="2"/>
      <c r="O60" s="32"/>
      <c r="P60" s="32"/>
      <c r="Q60" s="32"/>
      <c r="R60" s="32"/>
      <c r="S60" s="2"/>
      <c r="T60" s="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32"/>
      <c r="F61" s="32"/>
      <c r="G61" s="69"/>
      <c r="H61" s="73"/>
      <c r="I61" s="69"/>
      <c r="J61" s="32"/>
      <c r="K61" s="32"/>
      <c r="L61" s="32"/>
      <c r="M61" s="2"/>
      <c r="N61" s="2"/>
      <c r="O61" s="32"/>
      <c r="P61" s="32"/>
      <c r="Q61" s="32"/>
      <c r="R61" s="32"/>
      <c r="S61" s="2"/>
      <c r="T61" s="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32"/>
      <c r="F62" s="32"/>
      <c r="G62" s="69"/>
      <c r="H62" s="70"/>
      <c r="I62" s="69"/>
      <c r="J62" s="69"/>
      <c r="K62" s="69"/>
      <c r="L62" s="32"/>
      <c r="M62" s="2"/>
      <c r="N62" s="2"/>
      <c r="O62" s="32"/>
      <c r="P62" s="32"/>
      <c r="Q62" s="32"/>
      <c r="R62" s="32"/>
      <c r="S62" s="2"/>
      <c r="T62" s="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32"/>
      <c r="F63" s="32"/>
      <c r="G63" s="69"/>
      <c r="H63" s="70"/>
      <c r="I63" s="69"/>
      <c r="J63" s="69"/>
      <c r="K63" s="69"/>
      <c r="L63" s="32"/>
      <c r="M63" s="2"/>
      <c r="N63" s="2"/>
      <c r="O63" s="32"/>
      <c r="P63" s="32"/>
      <c r="Q63" s="32"/>
      <c r="R63" s="32"/>
      <c r="S63" s="2"/>
      <c r="T63" s="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32"/>
      <c r="F64" s="32"/>
      <c r="G64" s="32"/>
      <c r="H64" s="73"/>
      <c r="I64" s="69"/>
      <c r="J64" s="69"/>
      <c r="K64" s="69"/>
      <c r="L64" s="32"/>
      <c r="M64" s="2"/>
      <c r="N64" s="2"/>
      <c r="O64" s="32"/>
      <c r="P64" s="32"/>
      <c r="Q64" s="32"/>
      <c r="R64" s="32"/>
      <c r="S64" s="2"/>
      <c r="T64" s="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32"/>
      <c r="F65" s="32"/>
      <c r="G65" s="32"/>
      <c r="H65" s="73"/>
      <c r="I65" s="32"/>
      <c r="J65" s="32"/>
      <c r="K65" s="32"/>
      <c r="L65" s="32"/>
      <c r="M65" s="2"/>
      <c r="N65" s="2"/>
      <c r="O65" s="32"/>
      <c r="P65" s="32"/>
      <c r="Q65" s="32"/>
      <c r="R65" s="32"/>
      <c r="S65" s="2"/>
      <c r="T65" s="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32"/>
      <c r="F66" s="32"/>
      <c r="G66" s="32"/>
      <c r="H66" s="73"/>
      <c r="I66" s="32"/>
      <c r="J66" s="32"/>
      <c r="K66" s="32"/>
      <c r="L66" s="32"/>
      <c r="M66" s="2"/>
      <c r="N66" s="2"/>
      <c r="O66" s="32"/>
      <c r="P66" s="32"/>
      <c r="Q66" s="32"/>
      <c r="R66" s="32"/>
      <c r="S66" s="2"/>
      <c r="T66" s="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32"/>
      <c r="E67" s="69"/>
      <c r="F67" s="69"/>
      <c r="G67" s="69"/>
      <c r="H67" s="75"/>
      <c r="I67" s="69"/>
      <c r="J67" s="69"/>
      <c r="K67" s="69"/>
      <c r="L67" s="32"/>
      <c r="M67" s="2"/>
      <c r="N67" s="2"/>
      <c r="O67" s="32"/>
      <c r="P67" s="32"/>
      <c r="Q67" s="32"/>
      <c r="R67" s="32"/>
      <c r="S67" s="2"/>
      <c r="T67" s="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32"/>
      <c r="F68" s="32"/>
      <c r="G68" s="69"/>
      <c r="H68" s="70"/>
      <c r="I68" s="69"/>
      <c r="J68" s="69"/>
      <c r="K68" s="69"/>
      <c r="L68" s="32"/>
      <c r="M68" s="2"/>
      <c r="N68" s="2"/>
      <c r="O68" s="32"/>
      <c r="P68" s="32"/>
      <c r="Q68" s="32"/>
      <c r="R68" s="32"/>
      <c r="S68" s="2"/>
      <c r="T68" s="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32"/>
      <c r="F69" s="32"/>
      <c r="G69" s="69"/>
      <c r="H69" s="70"/>
      <c r="I69" s="69"/>
      <c r="J69" s="69"/>
      <c r="K69" s="69"/>
      <c r="L69" s="32"/>
      <c r="M69" s="2"/>
      <c r="N69" s="2"/>
      <c r="O69" s="32"/>
      <c r="P69" s="32"/>
      <c r="Q69" s="32"/>
      <c r="R69" s="32"/>
      <c r="S69" s="2"/>
      <c r="T69" s="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32"/>
      <c r="F70" s="32"/>
      <c r="G70" s="32"/>
      <c r="H70" s="73"/>
      <c r="I70" s="69"/>
      <c r="J70" s="69"/>
      <c r="K70" s="69"/>
      <c r="L70" s="32"/>
      <c r="M70" s="2"/>
      <c r="N70" s="2"/>
      <c r="O70" s="32"/>
      <c r="P70" s="32"/>
      <c r="Q70" s="32"/>
      <c r="R70" s="32"/>
      <c r="S70" s="2"/>
      <c r="T70" s="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32"/>
      <c r="F71" s="32"/>
      <c r="G71" s="32"/>
      <c r="H71" s="73"/>
      <c r="I71" s="32"/>
      <c r="J71" s="32"/>
      <c r="K71" s="32"/>
      <c r="L71" s="32"/>
      <c r="M71" s="2"/>
      <c r="N71" s="2"/>
      <c r="O71" s="32"/>
      <c r="P71" s="32"/>
      <c r="Q71" s="32"/>
      <c r="R71" s="32"/>
      <c r="S71" s="2"/>
      <c r="T71" s="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32"/>
      <c r="F72" s="32"/>
      <c r="G72" s="32"/>
      <c r="H72" s="73"/>
      <c r="I72" s="32"/>
      <c r="J72" s="32"/>
      <c r="K72" s="32"/>
      <c r="L72" s="32"/>
      <c r="M72" s="2"/>
      <c r="N72" s="2"/>
      <c r="O72" s="32"/>
      <c r="P72" s="32"/>
      <c r="Q72" s="32"/>
      <c r="R72" s="32"/>
      <c r="S72" s="2"/>
      <c r="T72" s="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32"/>
      <c r="E73" s="69"/>
      <c r="F73" s="69"/>
      <c r="G73" s="69"/>
      <c r="H73" s="75"/>
      <c r="I73" s="69"/>
      <c r="J73" s="69"/>
      <c r="K73" s="69"/>
      <c r="L73" s="32"/>
      <c r="M73" s="2"/>
      <c r="N73" s="2"/>
      <c r="O73" s="32"/>
      <c r="P73" s="32"/>
      <c r="Q73" s="32"/>
      <c r="R73" s="32"/>
      <c r="S73" s="2"/>
      <c r="T73" s="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32"/>
      <c r="E74" s="32"/>
      <c r="F74" s="32"/>
      <c r="G74" s="32"/>
      <c r="H74" s="73"/>
      <c r="I74" s="32"/>
      <c r="J74" s="32"/>
      <c r="K74" s="32"/>
      <c r="L74" s="32"/>
      <c r="M74" s="2"/>
      <c r="N74" s="2"/>
      <c r="O74" s="32"/>
      <c r="P74" s="32"/>
      <c r="Q74" s="32"/>
      <c r="R74" s="32"/>
      <c r="S74" s="2"/>
      <c r="T74" s="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32"/>
      <c r="E75" s="32"/>
      <c r="F75" s="32"/>
      <c r="G75" s="32"/>
      <c r="H75" s="73"/>
      <c r="I75" s="32"/>
      <c r="J75" s="32"/>
      <c r="K75" s="32"/>
      <c r="L75" s="32"/>
      <c r="M75" s="2"/>
      <c r="N75" s="2"/>
      <c r="O75" s="32"/>
      <c r="P75" s="32"/>
      <c r="Q75" s="32"/>
      <c r="R75" s="32"/>
      <c r="S75" s="2"/>
      <c r="T75" s="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32"/>
      <c r="E76" s="32"/>
      <c r="F76" s="32"/>
      <c r="G76" s="32"/>
      <c r="H76" s="73"/>
      <c r="I76" s="32"/>
      <c r="J76" s="32"/>
      <c r="K76" s="32"/>
      <c r="L76" s="32"/>
      <c r="M76" s="2"/>
      <c r="N76" s="2"/>
      <c r="O76" s="32"/>
      <c r="P76" s="32"/>
      <c r="Q76" s="32"/>
      <c r="R76" s="32"/>
      <c r="S76" s="2"/>
      <c r="T76" s="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32"/>
      <c r="F77" s="32"/>
      <c r="G77" s="69"/>
      <c r="H77" s="70"/>
      <c r="I77" s="69"/>
      <c r="J77" s="69"/>
      <c r="K77" s="69"/>
      <c r="L77" s="32"/>
      <c r="M77" s="2"/>
      <c r="N77" s="2"/>
      <c r="O77" s="32"/>
      <c r="P77" s="32"/>
      <c r="Q77" s="32"/>
      <c r="R77" s="32"/>
      <c r="S77" s="2"/>
      <c r="T77" s="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32"/>
      <c r="F78" s="32"/>
      <c r="G78" s="69"/>
      <c r="H78" s="70"/>
      <c r="I78" s="69"/>
      <c r="J78" s="69"/>
      <c r="K78" s="69"/>
      <c r="L78" s="32"/>
      <c r="M78" s="2"/>
      <c r="N78" s="2"/>
      <c r="O78" s="32"/>
      <c r="P78" s="32"/>
      <c r="Q78" s="32"/>
      <c r="R78" s="32"/>
      <c r="S78" s="2"/>
      <c r="T78" s="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32"/>
      <c r="F79" s="32"/>
      <c r="G79" s="32"/>
      <c r="H79" s="73"/>
      <c r="I79" s="32"/>
      <c r="J79" s="32"/>
      <c r="K79" s="32"/>
      <c r="L79" s="32"/>
      <c r="M79" s="2"/>
      <c r="N79" s="2"/>
      <c r="O79" s="32"/>
      <c r="P79" s="32"/>
      <c r="Q79" s="32"/>
      <c r="R79" s="32"/>
      <c r="S79" s="2"/>
      <c r="T79" s="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32"/>
      <c r="F80" s="32"/>
      <c r="G80" s="32"/>
      <c r="H80" s="73"/>
      <c r="I80" s="32"/>
      <c r="J80" s="32"/>
      <c r="K80" s="32"/>
      <c r="L80" s="32"/>
      <c r="M80" s="2"/>
      <c r="N80" s="2"/>
      <c r="O80" s="32"/>
      <c r="P80" s="32"/>
      <c r="Q80" s="32"/>
      <c r="R80" s="32"/>
      <c r="S80" s="2"/>
      <c r="T80" s="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32"/>
      <c r="E81" s="69"/>
      <c r="F81" s="69"/>
      <c r="G81" s="69"/>
      <c r="H81" s="75"/>
      <c r="I81" s="69"/>
      <c r="J81" s="69"/>
      <c r="K81" s="69"/>
      <c r="L81" s="32"/>
      <c r="M81" s="2"/>
      <c r="N81" s="2"/>
      <c r="O81" s="32"/>
      <c r="P81" s="32"/>
      <c r="Q81" s="32"/>
      <c r="R81" s="32"/>
      <c r="S81" s="2"/>
      <c r="T81" s="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32"/>
      <c r="F82" s="32"/>
      <c r="G82" s="69"/>
      <c r="H82" s="70"/>
      <c r="I82" s="69"/>
      <c r="J82" s="69"/>
      <c r="K82" s="69"/>
      <c r="L82" s="32"/>
      <c r="M82" s="2"/>
      <c r="N82" s="2"/>
      <c r="O82" s="32"/>
      <c r="P82" s="32"/>
      <c r="Q82" s="32"/>
      <c r="R82" s="32"/>
      <c r="S82" s="2"/>
      <c r="T82" s="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32"/>
      <c r="F83" s="32"/>
      <c r="G83" s="32"/>
      <c r="H83" s="73"/>
      <c r="I83" s="32"/>
      <c r="J83" s="32"/>
      <c r="K83" s="32"/>
      <c r="L83" s="32"/>
      <c r="M83" s="2"/>
      <c r="N83" s="2"/>
      <c r="O83" s="32"/>
      <c r="P83" s="32"/>
      <c r="Q83" s="32"/>
      <c r="R83" s="32"/>
      <c r="S83" s="2"/>
      <c r="T83" s="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32"/>
      <c r="F84" s="32"/>
      <c r="G84" s="32"/>
      <c r="H84" s="73"/>
      <c r="I84" s="32"/>
      <c r="J84" s="32"/>
      <c r="K84" s="32"/>
      <c r="L84" s="32"/>
      <c r="M84" s="2"/>
      <c r="N84" s="2"/>
      <c r="O84" s="32"/>
      <c r="P84" s="32"/>
      <c r="Q84" s="32"/>
      <c r="R84" s="32"/>
      <c r="S84" s="2"/>
      <c r="T84" s="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32"/>
      <c r="E85" s="69"/>
      <c r="F85" s="69"/>
      <c r="G85" s="69"/>
      <c r="H85" s="75"/>
      <c r="I85" s="69"/>
      <c r="J85" s="69"/>
      <c r="K85" s="69"/>
      <c r="L85" s="32"/>
      <c r="M85" s="2"/>
      <c r="N85" s="2"/>
      <c r="O85" s="32"/>
      <c r="P85" s="32"/>
      <c r="Q85" s="32"/>
      <c r="R85" s="32"/>
      <c r="S85" s="2"/>
      <c r="T85" s="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32"/>
      <c r="F86" s="32"/>
      <c r="G86" s="69"/>
      <c r="H86" s="70"/>
      <c r="I86" s="69"/>
      <c r="J86" s="69"/>
      <c r="K86" s="69"/>
      <c r="L86" s="32"/>
      <c r="M86" s="2"/>
      <c r="N86" s="2"/>
      <c r="O86" s="32"/>
      <c r="P86" s="32"/>
      <c r="Q86" s="32"/>
      <c r="R86" s="32"/>
      <c r="S86" s="2"/>
      <c r="T86" s="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32"/>
      <c r="F87" s="32"/>
      <c r="G87" s="32"/>
      <c r="H87" s="73"/>
      <c r="I87" s="32"/>
      <c r="J87" s="32"/>
      <c r="K87" s="32"/>
      <c r="L87" s="32"/>
      <c r="M87" s="2"/>
      <c r="N87" s="2"/>
      <c r="O87" s="32"/>
      <c r="P87" s="32"/>
      <c r="Q87" s="32"/>
      <c r="R87" s="32"/>
      <c r="S87" s="2"/>
      <c r="T87" s="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32"/>
      <c r="F88" s="32"/>
      <c r="G88" s="32"/>
      <c r="H88" s="73"/>
      <c r="I88" s="32"/>
      <c r="J88" s="32"/>
      <c r="K88" s="32"/>
      <c r="L88" s="32"/>
      <c r="M88" s="2"/>
      <c r="N88" s="2"/>
      <c r="O88" s="32"/>
      <c r="P88" s="32"/>
      <c r="Q88" s="32"/>
      <c r="R88" s="32"/>
      <c r="S88" s="2"/>
      <c r="T88" s="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32"/>
      <c r="F89" s="32"/>
      <c r="G89" s="69"/>
      <c r="H89" s="70"/>
      <c r="I89" s="69"/>
      <c r="J89" s="69"/>
      <c r="K89" s="69"/>
      <c r="L89" s="32"/>
      <c r="M89" s="2"/>
      <c r="N89" s="2"/>
      <c r="O89" s="32"/>
      <c r="P89" s="32"/>
      <c r="Q89" s="32"/>
      <c r="R89" s="32"/>
      <c r="S89" s="2"/>
      <c r="T89" s="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32"/>
      <c r="F90" s="32"/>
      <c r="G90" s="32"/>
      <c r="H90" s="73"/>
      <c r="I90" s="32"/>
      <c r="J90" s="32"/>
      <c r="K90" s="32"/>
      <c r="L90" s="32"/>
      <c r="M90" s="2"/>
      <c r="N90" s="2"/>
      <c r="O90" s="32"/>
      <c r="P90" s="32"/>
      <c r="Q90" s="32"/>
      <c r="R90" s="32"/>
      <c r="S90" s="2"/>
      <c r="T90" s="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32"/>
      <c r="F91" s="32"/>
      <c r="G91" s="32"/>
      <c r="H91" s="73"/>
      <c r="I91" s="32"/>
      <c r="J91" s="32"/>
      <c r="K91" s="32"/>
      <c r="L91" s="32"/>
      <c r="M91" s="2"/>
      <c r="N91" s="2"/>
      <c r="O91" s="32"/>
      <c r="P91" s="32"/>
      <c r="Q91" s="32"/>
      <c r="R91" s="32"/>
      <c r="S91" s="2"/>
      <c r="T91" s="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32"/>
      <c r="E92" s="69"/>
      <c r="F92" s="69"/>
      <c r="G92" s="69"/>
      <c r="H92" s="75"/>
      <c r="I92" s="69"/>
      <c r="J92" s="69"/>
      <c r="K92" s="69"/>
      <c r="L92" s="32"/>
      <c r="M92" s="2"/>
      <c r="N92" s="2"/>
      <c r="O92" s="32"/>
      <c r="P92" s="32"/>
      <c r="Q92" s="32"/>
      <c r="R92" s="32"/>
      <c r="S92" s="2"/>
      <c r="T92" s="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32"/>
      <c r="F93" s="32"/>
      <c r="G93" s="69"/>
      <c r="H93" s="70"/>
      <c r="I93" s="69"/>
      <c r="J93" s="69"/>
      <c r="K93" s="69"/>
      <c r="L93" s="32"/>
      <c r="M93" s="2"/>
      <c r="N93" s="2"/>
      <c r="O93" s="32"/>
      <c r="P93" s="32"/>
      <c r="Q93" s="32"/>
      <c r="R93" s="32"/>
      <c r="S93" s="2"/>
      <c r="T93" s="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32"/>
      <c r="F94" s="32"/>
      <c r="G94" s="32"/>
      <c r="H94" s="73"/>
      <c r="I94" s="32"/>
      <c r="J94" s="32"/>
      <c r="K94" s="32"/>
      <c r="L94" s="32"/>
      <c r="M94" s="2"/>
      <c r="N94" s="2"/>
      <c r="O94" s="32"/>
      <c r="P94" s="32"/>
      <c r="Q94" s="32"/>
      <c r="R94" s="32"/>
      <c r="S94" s="2"/>
      <c r="T94" s="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32"/>
      <c r="F95" s="32"/>
      <c r="G95" s="32"/>
      <c r="H95" s="73"/>
      <c r="I95" s="32"/>
      <c r="J95" s="32"/>
      <c r="K95" s="32"/>
      <c r="L95" s="32"/>
      <c r="M95" s="2"/>
      <c r="N95" s="2"/>
      <c r="O95" s="32"/>
      <c r="P95" s="32"/>
      <c r="Q95" s="32"/>
      <c r="R95" s="32"/>
      <c r="S95" s="2"/>
      <c r="T95" s="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32"/>
      <c r="F96" s="32"/>
      <c r="G96" s="32"/>
      <c r="H96" s="73"/>
      <c r="I96" s="32"/>
      <c r="J96" s="32"/>
      <c r="K96" s="32"/>
      <c r="L96" s="32"/>
      <c r="M96" s="2"/>
      <c r="N96" s="2"/>
      <c r="O96" s="32"/>
      <c r="P96" s="32"/>
      <c r="Q96" s="32"/>
      <c r="R96" s="32"/>
      <c r="S96" s="2"/>
      <c r="T96" s="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32"/>
      <c r="F97" s="32"/>
      <c r="G97" s="69"/>
      <c r="H97" s="70"/>
      <c r="I97" s="69"/>
      <c r="J97" s="69"/>
      <c r="K97" s="69"/>
      <c r="L97" s="32"/>
      <c r="M97" s="2"/>
      <c r="N97" s="2"/>
      <c r="O97" s="32"/>
      <c r="P97" s="32"/>
      <c r="Q97" s="32"/>
      <c r="R97" s="32"/>
      <c r="S97" s="2"/>
      <c r="T97" s="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32"/>
      <c r="F98" s="32"/>
      <c r="G98" s="32"/>
      <c r="H98" s="73"/>
      <c r="I98" s="32"/>
      <c r="J98" s="32"/>
      <c r="K98" s="32"/>
      <c r="L98" s="32"/>
      <c r="M98" s="2"/>
      <c r="N98" s="2"/>
      <c r="O98" s="32"/>
      <c r="P98" s="32"/>
      <c r="Q98" s="32"/>
      <c r="R98" s="32"/>
      <c r="S98" s="2"/>
      <c r="T98" s="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32"/>
      <c r="F99" s="32"/>
      <c r="G99" s="32"/>
      <c r="H99" s="73"/>
      <c r="I99" s="32"/>
      <c r="J99" s="32"/>
      <c r="K99" s="32"/>
      <c r="L99" s="32"/>
      <c r="M99" s="2"/>
      <c r="N99" s="2"/>
      <c r="O99" s="32"/>
      <c r="P99" s="32"/>
      <c r="Q99" s="32"/>
      <c r="R99" s="32"/>
      <c r="S99" s="2"/>
      <c r="T99" s="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32"/>
      <c r="E100" s="69"/>
      <c r="F100" s="69"/>
      <c r="G100" s="69"/>
      <c r="H100" s="75"/>
      <c r="I100" s="69"/>
      <c r="J100" s="69"/>
      <c r="K100" s="69"/>
      <c r="L100" s="32"/>
      <c r="M100" s="2"/>
      <c r="N100" s="2"/>
      <c r="O100" s="32"/>
      <c r="P100" s="32"/>
      <c r="Q100" s="32"/>
      <c r="R100" s="32"/>
      <c r="S100" s="2"/>
      <c r="T100" s="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32"/>
      <c r="F101" s="32"/>
      <c r="G101" s="32"/>
      <c r="H101" s="73"/>
      <c r="I101" s="69"/>
      <c r="J101" s="69"/>
      <c r="K101" s="69"/>
      <c r="L101" s="32"/>
      <c r="M101" s="2"/>
      <c r="N101" s="2"/>
      <c r="O101" s="32"/>
      <c r="P101" s="32"/>
      <c r="Q101" s="32"/>
      <c r="R101" s="32"/>
      <c r="S101" s="2"/>
      <c r="T101" s="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32"/>
      <c r="F102" s="32"/>
      <c r="G102" s="32"/>
      <c r="H102" s="73"/>
      <c r="I102" s="32"/>
      <c r="J102" s="32"/>
      <c r="K102" s="32"/>
      <c r="L102" s="32"/>
      <c r="M102" s="2"/>
      <c r="N102" s="2"/>
      <c r="O102" s="32"/>
      <c r="P102" s="32"/>
      <c r="Q102" s="32"/>
      <c r="R102" s="32"/>
      <c r="S102" s="2"/>
      <c r="T102" s="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32"/>
      <c r="F103" s="32"/>
      <c r="G103" s="32"/>
      <c r="H103" s="73"/>
      <c r="I103" s="32"/>
      <c r="J103" s="32"/>
      <c r="K103" s="32"/>
      <c r="L103" s="32"/>
      <c r="M103" s="2"/>
      <c r="N103" s="2"/>
      <c r="O103" s="32"/>
      <c r="P103" s="32"/>
      <c r="Q103" s="32"/>
      <c r="R103" s="32"/>
      <c r="S103" s="2"/>
      <c r="T103" s="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32"/>
      <c r="F104" s="32"/>
      <c r="G104" s="32"/>
      <c r="H104" s="73"/>
      <c r="I104" s="32"/>
      <c r="J104" s="32"/>
      <c r="K104" s="32"/>
      <c r="L104" s="32"/>
      <c r="M104" s="2"/>
      <c r="N104" s="2"/>
      <c r="O104" s="32"/>
      <c r="P104" s="32"/>
      <c r="Q104" s="32"/>
      <c r="R104" s="32"/>
      <c r="S104" s="2"/>
      <c r="T104" s="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32"/>
      <c r="F105" s="32"/>
      <c r="G105" s="32"/>
      <c r="H105" s="73"/>
      <c r="I105" s="32"/>
      <c r="J105" s="32"/>
      <c r="K105" s="32"/>
      <c r="L105" s="32"/>
      <c r="M105" s="2"/>
      <c r="N105" s="2"/>
      <c r="O105" s="32"/>
      <c r="P105" s="32"/>
      <c r="Q105" s="32"/>
      <c r="R105" s="32"/>
      <c r="S105" s="2"/>
      <c r="T105" s="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32"/>
      <c r="F106" s="32"/>
      <c r="G106" s="32"/>
      <c r="H106" s="73"/>
      <c r="I106" s="32"/>
      <c r="J106" s="32"/>
      <c r="K106" s="32"/>
      <c r="L106" s="32"/>
      <c r="M106" s="2"/>
      <c r="N106" s="2"/>
      <c r="O106" s="32"/>
      <c r="P106" s="32"/>
      <c r="Q106" s="32"/>
      <c r="R106" s="32"/>
      <c r="S106" s="2"/>
      <c r="T106" s="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32"/>
      <c r="F107" s="32"/>
      <c r="G107" s="32"/>
      <c r="H107" s="73"/>
      <c r="I107" s="32"/>
      <c r="J107" s="32"/>
      <c r="K107" s="32"/>
      <c r="L107" s="32"/>
      <c r="M107" s="2"/>
      <c r="N107" s="2"/>
      <c r="O107" s="32"/>
      <c r="P107" s="32"/>
      <c r="Q107" s="32"/>
      <c r="R107" s="32"/>
      <c r="S107" s="2"/>
      <c r="T107" s="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32"/>
      <c r="F108" s="32"/>
      <c r="G108" s="32"/>
      <c r="H108" s="70"/>
      <c r="I108" s="69"/>
      <c r="J108" s="69"/>
      <c r="K108" s="69"/>
      <c r="L108" s="32"/>
      <c r="M108" s="2"/>
      <c r="N108" s="2"/>
      <c r="O108" s="32"/>
      <c r="P108" s="32"/>
      <c r="Q108" s="32"/>
      <c r="R108" s="32"/>
      <c r="S108" s="2"/>
      <c r="T108" s="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32"/>
      <c r="F109" s="32"/>
      <c r="G109" s="32"/>
      <c r="H109" s="73"/>
      <c r="I109" s="69"/>
      <c r="J109" s="69"/>
      <c r="K109" s="69"/>
      <c r="L109" s="32"/>
      <c r="M109" s="2"/>
      <c r="N109" s="2"/>
      <c r="O109" s="32"/>
      <c r="P109" s="32"/>
      <c r="Q109" s="32"/>
      <c r="R109" s="32"/>
      <c r="S109" s="2"/>
      <c r="T109" s="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32"/>
      <c r="F110" s="32"/>
      <c r="G110" s="32"/>
      <c r="H110" s="73"/>
      <c r="I110" s="32"/>
      <c r="J110" s="32"/>
      <c r="K110" s="32"/>
      <c r="L110" s="32"/>
      <c r="M110" s="2"/>
      <c r="N110" s="2"/>
      <c r="O110" s="32"/>
      <c r="P110" s="32"/>
      <c r="Q110" s="32"/>
      <c r="R110" s="32"/>
      <c r="S110" s="2"/>
      <c r="T110" s="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32"/>
      <c r="F111" s="32"/>
      <c r="G111" s="32"/>
      <c r="H111" s="70"/>
      <c r="I111" s="69"/>
      <c r="J111" s="69"/>
      <c r="K111" s="69"/>
      <c r="L111" s="32"/>
      <c r="M111" s="2"/>
      <c r="N111" s="2"/>
      <c r="O111" s="32"/>
      <c r="P111" s="32"/>
      <c r="Q111" s="32"/>
      <c r="R111" s="32"/>
      <c r="S111" s="2"/>
      <c r="T111" s="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32"/>
      <c r="F112" s="32"/>
      <c r="G112" s="32"/>
      <c r="H112" s="73"/>
      <c r="I112" s="32"/>
      <c r="J112" s="32"/>
      <c r="K112" s="32"/>
      <c r="L112" s="32"/>
      <c r="M112" s="2"/>
      <c r="N112" s="2"/>
      <c r="O112" s="32"/>
      <c r="P112" s="32"/>
      <c r="Q112" s="32"/>
      <c r="R112" s="32"/>
      <c r="S112" s="2"/>
      <c r="T112" s="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32"/>
      <c r="F113" s="32"/>
      <c r="G113" s="32"/>
      <c r="H113" s="73"/>
      <c r="I113" s="69"/>
      <c r="J113" s="69"/>
      <c r="K113" s="69"/>
      <c r="L113" s="32"/>
      <c r="M113" s="2"/>
      <c r="N113" s="2"/>
      <c r="O113" s="32"/>
      <c r="P113" s="32"/>
      <c r="Q113" s="32"/>
      <c r="R113" s="32"/>
      <c r="S113" s="2"/>
      <c r="T113" s="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32"/>
      <c r="E114" s="69"/>
      <c r="F114" s="69"/>
      <c r="G114" s="32"/>
      <c r="H114" s="75"/>
      <c r="I114" s="32"/>
      <c r="J114" s="32"/>
      <c r="K114" s="32"/>
      <c r="L114" s="32"/>
      <c r="M114" s="2"/>
      <c r="N114" s="2"/>
      <c r="O114" s="32"/>
      <c r="P114" s="32"/>
      <c r="Q114" s="32"/>
      <c r="R114" s="32"/>
      <c r="S114" s="2"/>
      <c r="T114" s="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32"/>
      <c r="F115" s="32"/>
      <c r="G115" s="32"/>
      <c r="H115" s="73"/>
      <c r="I115" s="32"/>
      <c r="J115" s="32"/>
      <c r="K115" s="32"/>
      <c r="L115" s="32"/>
      <c r="M115" s="2"/>
      <c r="N115" s="2"/>
      <c r="O115" s="32"/>
      <c r="P115" s="32"/>
      <c r="Q115" s="32"/>
      <c r="R115" s="32"/>
      <c r="S115" s="2"/>
      <c r="T115" s="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32"/>
      <c r="E116" s="32"/>
      <c r="F116" s="32"/>
      <c r="G116" s="32"/>
      <c r="H116" s="70"/>
      <c r="I116" s="69"/>
      <c r="J116" s="69"/>
      <c r="K116" s="69"/>
      <c r="L116" s="32"/>
      <c r="M116" s="2"/>
      <c r="N116" s="2"/>
      <c r="O116" s="32"/>
      <c r="P116" s="32"/>
      <c r="Q116" s="32"/>
      <c r="R116" s="32"/>
      <c r="S116" s="2"/>
      <c r="T116" s="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32"/>
      <c r="F117" s="32"/>
      <c r="G117" s="32"/>
      <c r="H117" s="70"/>
      <c r="I117" s="69"/>
      <c r="J117" s="69"/>
      <c r="K117" s="69"/>
      <c r="L117" s="32"/>
      <c r="M117" s="2"/>
      <c r="N117" s="2"/>
      <c r="O117" s="32"/>
      <c r="P117" s="32"/>
      <c r="Q117" s="32"/>
      <c r="R117" s="32"/>
      <c r="S117" s="2"/>
      <c r="T117" s="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32"/>
      <c r="F118" s="32"/>
      <c r="G118" s="32"/>
      <c r="H118" s="70"/>
      <c r="I118" s="69"/>
      <c r="J118" s="69"/>
      <c r="K118" s="69"/>
      <c r="L118" s="32"/>
      <c r="M118" s="2"/>
      <c r="N118" s="2"/>
      <c r="O118" s="32"/>
      <c r="P118" s="32"/>
      <c r="Q118" s="32"/>
      <c r="R118" s="32"/>
      <c r="S118" s="2"/>
      <c r="T118" s="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32"/>
      <c r="E119" s="32"/>
      <c r="F119" s="32"/>
      <c r="G119" s="32"/>
      <c r="H119" s="70"/>
      <c r="I119" s="69"/>
      <c r="J119" s="32"/>
      <c r="K119" s="32"/>
      <c r="L119" s="32"/>
      <c r="M119" s="2"/>
      <c r="N119" s="2"/>
      <c r="O119" s="32"/>
      <c r="P119" s="32"/>
      <c r="Q119" s="32"/>
      <c r="R119" s="32"/>
      <c r="S119" s="2"/>
      <c r="T119" s="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32"/>
      <c r="F120" s="32"/>
      <c r="G120" s="32"/>
      <c r="H120" s="70"/>
      <c r="I120" s="69"/>
      <c r="J120" s="32"/>
      <c r="K120" s="32"/>
      <c r="L120" s="32"/>
      <c r="M120" s="2"/>
      <c r="N120" s="2"/>
      <c r="O120" s="32"/>
      <c r="P120" s="32"/>
      <c r="Q120" s="32"/>
      <c r="R120" s="32"/>
      <c r="S120" s="2"/>
      <c r="T120" s="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32"/>
      <c r="F121" s="32"/>
      <c r="G121" s="32"/>
      <c r="H121" s="73"/>
      <c r="I121" s="32"/>
      <c r="J121" s="32"/>
      <c r="K121" s="32"/>
      <c r="L121" s="32"/>
      <c r="M121" s="2"/>
      <c r="N121" s="2"/>
      <c r="O121" s="32"/>
      <c r="P121" s="32"/>
      <c r="Q121" s="32"/>
      <c r="R121" s="32"/>
      <c r="S121" s="2"/>
      <c r="T121" s="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32"/>
      <c r="F122" s="32"/>
      <c r="G122" s="32"/>
      <c r="H122" s="70"/>
      <c r="I122" s="69"/>
      <c r="J122" s="69"/>
      <c r="K122" s="69"/>
      <c r="L122" s="32"/>
      <c r="M122" s="2"/>
      <c r="N122" s="2"/>
      <c r="O122" s="32"/>
      <c r="P122" s="32"/>
      <c r="Q122" s="32"/>
      <c r="R122" s="32"/>
      <c r="S122" s="2"/>
      <c r="T122" s="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32"/>
      <c r="E123" s="32"/>
      <c r="F123" s="32"/>
      <c r="G123" s="32"/>
      <c r="H123" s="70"/>
      <c r="I123" s="69"/>
      <c r="J123" s="69"/>
      <c r="K123" s="69"/>
      <c r="L123" s="32"/>
      <c r="M123" s="2"/>
      <c r="N123" s="2"/>
      <c r="O123" s="32"/>
      <c r="P123" s="32"/>
      <c r="Q123" s="32"/>
      <c r="R123" s="32"/>
      <c r="S123" s="2"/>
      <c r="T123" s="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32"/>
      <c r="F124" s="32"/>
      <c r="G124" s="32"/>
      <c r="H124" s="70"/>
      <c r="I124" s="69"/>
      <c r="J124" s="69"/>
      <c r="K124" s="69"/>
      <c r="L124" s="32"/>
      <c r="M124" s="2"/>
      <c r="N124" s="2"/>
      <c r="O124" s="32"/>
      <c r="P124" s="32"/>
      <c r="Q124" s="32"/>
      <c r="R124" s="32"/>
      <c r="S124" s="2"/>
      <c r="T124" s="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32"/>
      <c r="F125" s="32"/>
      <c r="G125" s="32"/>
      <c r="H125" s="70"/>
      <c r="I125" s="69"/>
      <c r="J125" s="32"/>
      <c r="K125" s="32"/>
      <c r="L125" s="32"/>
      <c r="M125" s="2"/>
      <c r="N125" s="2"/>
      <c r="O125" s="32"/>
      <c r="P125" s="32"/>
      <c r="Q125" s="32"/>
      <c r="R125" s="32"/>
      <c r="S125" s="2"/>
      <c r="T125" s="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32"/>
      <c r="F126" s="32"/>
      <c r="G126" s="32"/>
      <c r="H126" s="73"/>
      <c r="I126" s="32"/>
      <c r="J126" s="32"/>
      <c r="K126" s="32"/>
      <c r="L126" s="32"/>
      <c r="M126" s="2"/>
      <c r="N126" s="2"/>
      <c r="O126" s="32"/>
      <c r="P126" s="32"/>
      <c r="Q126" s="32"/>
      <c r="R126" s="32"/>
      <c r="S126" s="2"/>
      <c r="T126" s="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32"/>
      <c r="F127" s="32"/>
      <c r="G127" s="32"/>
      <c r="H127" s="73"/>
      <c r="I127" s="32"/>
      <c r="J127" s="32"/>
      <c r="K127" s="32"/>
      <c r="L127" s="32"/>
      <c r="M127" s="2"/>
      <c r="N127" s="2"/>
      <c r="O127" s="32"/>
      <c r="P127" s="32"/>
      <c r="Q127" s="32"/>
      <c r="R127" s="32"/>
      <c r="S127" s="2"/>
      <c r="T127" s="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32"/>
      <c r="F128" s="32"/>
      <c r="G128" s="32"/>
      <c r="H128" s="73"/>
      <c r="I128" s="69"/>
      <c r="J128" s="69"/>
      <c r="K128" s="69"/>
      <c r="L128" s="32"/>
      <c r="M128" s="2"/>
      <c r="N128" s="2"/>
      <c r="O128" s="32"/>
      <c r="P128" s="32"/>
      <c r="Q128" s="32"/>
      <c r="R128" s="32"/>
      <c r="S128" s="2"/>
      <c r="T128" s="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32"/>
      <c r="E129" s="69"/>
      <c r="F129" s="69"/>
      <c r="G129" s="32"/>
      <c r="H129" s="75"/>
      <c r="I129" s="32"/>
      <c r="J129" s="32"/>
      <c r="K129" s="32"/>
      <c r="L129" s="32"/>
      <c r="M129" s="2"/>
      <c r="N129" s="2"/>
      <c r="O129" s="32"/>
      <c r="P129" s="32"/>
      <c r="Q129" s="32"/>
      <c r="R129" s="32"/>
      <c r="S129" s="2"/>
      <c r="T129" s="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32"/>
      <c r="E130" s="32"/>
      <c r="F130" s="32"/>
      <c r="G130" s="32"/>
      <c r="H130" s="70"/>
      <c r="I130" s="69"/>
      <c r="J130" s="69"/>
      <c r="K130" s="69"/>
      <c r="L130" s="32"/>
      <c r="M130" s="2"/>
      <c r="N130" s="2"/>
      <c r="O130" s="32"/>
      <c r="P130" s="32"/>
      <c r="Q130" s="32"/>
      <c r="R130" s="32"/>
      <c r="S130" s="2"/>
      <c r="T130" s="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32"/>
      <c r="F131" s="32"/>
      <c r="G131" s="32"/>
      <c r="H131" s="70"/>
      <c r="I131" s="69"/>
      <c r="J131" s="69"/>
      <c r="K131" s="69"/>
      <c r="L131" s="32"/>
      <c r="M131" s="2"/>
      <c r="N131" s="2"/>
      <c r="O131" s="32"/>
      <c r="P131" s="32"/>
      <c r="Q131" s="32"/>
      <c r="R131" s="32"/>
      <c r="S131" s="2"/>
      <c r="T131" s="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32"/>
      <c r="F132" s="32"/>
      <c r="G132" s="32"/>
      <c r="H132" s="73"/>
      <c r="I132" s="32"/>
      <c r="J132" s="32"/>
      <c r="K132" s="32"/>
      <c r="L132" s="32"/>
      <c r="M132" s="2"/>
      <c r="N132" s="2"/>
      <c r="O132" s="32"/>
      <c r="P132" s="32"/>
      <c r="Q132" s="32"/>
      <c r="R132" s="32"/>
      <c r="S132" s="2"/>
      <c r="T132" s="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32"/>
      <c r="F133" s="32"/>
      <c r="G133" s="32"/>
      <c r="H133" s="73"/>
      <c r="I133" s="69"/>
      <c r="J133" s="69"/>
      <c r="K133" s="69"/>
      <c r="L133" s="32"/>
      <c r="M133" s="2"/>
      <c r="N133" s="2"/>
      <c r="O133" s="32"/>
      <c r="P133" s="32"/>
      <c r="Q133" s="32"/>
      <c r="R133" s="32"/>
      <c r="S133" s="2"/>
      <c r="T133" s="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32"/>
      <c r="E134" s="69"/>
      <c r="F134" s="69"/>
      <c r="G134" s="32"/>
      <c r="H134" s="75"/>
      <c r="I134" s="32"/>
      <c r="J134" s="32"/>
      <c r="K134" s="32"/>
      <c r="L134" s="32"/>
      <c r="M134" s="2"/>
      <c r="N134" s="2"/>
      <c r="O134" s="32"/>
      <c r="P134" s="32"/>
      <c r="Q134" s="32"/>
      <c r="R134" s="32"/>
      <c r="S134" s="2"/>
      <c r="T134" s="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32"/>
      <c r="E135" s="69"/>
      <c r="F135" s="69"/>
      <c r="G135" s="32"/>
      <c r="H135" s="75"/>
      <c r="I135" s="32"/>
      <c r="J135" s="32"/>
      <c r="K135" s="32"/>
      <c r="L135" s="32"/>
      <c r="M135" s="2"/>
      <c r="N135" s="2"/>
      <c r="O135" s="32"/>
      <c r="P135" s="32"/>
      <c r="Q135" s="32"/>
      <c r="R135" s="32"/>
      <c r="S135" s="2"/>
      <c r="T135" s="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32"/>
      <c r="E136" s="69"/>
      <c r="F136" s="69"/>
      <c r="G136" s="32"/>
      <c r="H136" s="75"/>
      <c r="I136" s="32"/>
      <c r="J136" s="32"/>
      <c r="K136" s="32"/>
      <c r="L136" s="32"/>
      <c r="M136" s="2"/>
      <c r="N136" s="2"/>
      <c r="O136" s="32"/>
      <c r="P136" s="32"/>
      <c r="Q136" s="32"/>
      <c r="R136" s="32"/>
      <c r="S136" s="2"/>
      <c r="T136" s="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69"/>
      <c r="F137" s="69"/>
      <c r="G137" s="32"/>
      <c r="H137" s="75"/>
      <c r="I137" s="32"/>
      <c r="J137" s="32"/>
      <c r="K137" s="32"/>
      <c r="L137" s="32"/>
      <c r="M137" s="2"/>
      <c r="N137" s="2"/>
      <c r="O137" s="32"/>
      <c r="P137" s="32"/>
      <c r="Q137" s="32"/>
      <c r="R137" s="32"/>
      <c r="S137" s="2"/>
      <c r="T137" s="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32"/>
      <c r="F138" s="32"/>
      <c r="G138" s="32"/>
      <c r="H138" s="73"/>
      <c r="I138" s="32"/>
      <c r="J138" s="32"/>
      <c r="K138" s="32"/>
      <c r="L138" s="32"/>
      <c r="M138" s="2"/>
      <c r="N138" s="2"/>
      <c r="O138" s="32"/>
      <c r="P138" s="32"/>
      <c r="Q138" s="32"/>
      <c r="R138" s="32"/>
      <c r="S138" s="2"/>
      <c r="T138" s="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69"/>
      <c r="F139" s="69"/>
      <c r="G139" s="32"/>
      <c r="H139" s="75"/>
      <c r="I139" s="32"/>
      <c r="J139" s="32"/>
      <c r="K139" s="32"/>
      <c r="L139" s="32"/>
      <c r="M139" s="2"/>
      <c r="N139" s="2"/>
      <c r="O139" s="32"/>
      <c r="P139" s="32"/>
      <c r="Q139" s="32"/>
      <c r="R139" s="32"/>
      <c r="S139" s="2"/>
      <c r="T139" s="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32"/>
      <c r="F140" s="32"/>
      <c r="G140" s="32"/>
      <c r="H140" s="73"/>
      <c r="I140" s="32"/>
      <c r="J140" s="32"/>
      <c r="K140" s="32"/>
      <c r="L140" s="32"/>
      <c r="M140" s="2"/>
      <c r="N140" s="2"/>
      <c r="O140" s="32"/>
      <c r="P140" s="32"/>
      <c r="Q140" s="32"/>
      <c r="R140" s="32"/>
      <c r="S140" s="2"/>
      <c r="T140" s="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69"/>
      <c r="F141" s="69"/>
      <c r="G141" s="32"/>
      <c r="H141" s="75"/>
      <c r="I141" s="32"/>
      <c r="J141" s="32"/>
      <c r="K141" s="32"/>
      <c r="L141" s="32"/>
      <c r="M141" s="2"/>
      <c r="N141" s="2"/>
      <c r="O141" s="32"/>
      <c r="P141" s="32"/>
      <c r="Q141" s="32"/>
      <c r="R141" s="32"/>
      <c r="S141" s="2"/>
      <c r="T141" s="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69"/>
      <c r="F142" s="69"/>
      <c r="G142" s="32"/>
      <c r="H142" s="75"/>
      <c r="I142" s="32"/>
      <c r="J142" s="32"/>
      <c r="K142" s="32"/>
      <c r="L142" s="32"/>
      <c r="M142" s="2"/>
      <c r="N142" s="2"/>
      <c r="O142" s="32"/>
      <c r="P142" s="32"/>
      <c r="Q142" s="32"/>
      <c r="R142" s="32"/>
      <c r="S142" s="2"/>
      <c r="T142" s="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32"/>
      <c r="F143" s="32"/>
      <c r="G143" s="32"/>
      <c r="H143" s="73"/>
      <c r="I143" s="32"/>
      <c r="J143" s="32"/>
      <c r="K143" s="32"/>
      <c r="L143" s="32"/>
      <c r="M143" s="2"/>
      <c r="N143" s="2"/>
      <c r="O143" s="32"/>
      <c r="P143" s="32"/>
      <c r="Q143" s="32"/>
      <c r="R143" s="32"/>
      <c r="S143" s="2"/>
      <c r="T143" s="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32"/>
      <c r="F144" s="32"/>
      <c r="G144" s="32"/>
      <c r="H144" s="73"/>
      <c r="I144" s="69"/>
      <c r="J144" s="69"/>
      <c r="K144" s="69"/>
      <c r="L144" s="32"/>
      <c r="M144" s="2"/>
      <c r="N144" s="2"/>
      <c r="O144" s="32"/>
      <c r="P144" s="32"/>
      <c r="Q144" s="32"/>
      <c r="R144" s="32"/>
      <c r="S144" s="2"/>
      <c r="T144" s="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69"/>
      <c r="F145" s="69"/>
      <c r="G145" s="32"/>
      <c r="H145" s="75"/>
      <c r="I145" s="32"/>
      <c r="J145" s="32"/>
      <c r="K145" s="32"/>
      <c r="L145" s="32"/>
      <c r="M145" s="2"/>
      <c r="N145" s="2"/>
      <c r="O145" s="32"/>
      <c r="P145" s="32"/>
      <c r="Q145" s="32"/>
      <c r="R145" s="32"/>
      <c r="S145" s="2"/>
      <c r="T145" s="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32"/>
      <c r="F146" s="32"/>
      <c r="G146" s="32"/>
      <c r="H146" s="73"/>
      <c r="I146" s="69"/>
      <c r="J146" s="69"/>
      <c r="K146" s="69"/>
      <c r="L146" s="32"/>
      <c r="M146" s="2"/>
      <c r="N146" s="2"/>
      <c r="O146" s="32"/>
      <c r="P146" s="32"/>
      <c r="Q146" s="32"/>
      <c r="R146" s="32"/>
      <c r="S146" s="2"/>
      <c r="T146" s="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69"/>
      <c r="F147" s="69"/>
      <c r="G147" s="32"/>
      <c r="H147" s="75"/>
      <c r="I147" s="32"/>
      <c r="J147" s="32"/>
      <c r="K147" s="32"/>
      <c r="L147" s="32"/>
      <c r="M147" s="2"/>
      <c r="N147" s="2"/>
      <c r="O147" s="32"/>
      <c r="P147" s="32"/>
      <c r="Q147" s="32"/>
      <c r="R147" s="32"/>
      <c r="S147" s="2"/>
      <c r="T147" s="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32"/>
      <c r="F148" s="32"/>
      <c r="G148" s="32"/>
      <c r="H148" s="70"/>
      <c r="I148" s="69"/>
      <c r="J148" s="32"/>
      <c r="K148" s="32"/>
      <c r="L148" s="32"/>
      <c r="M148" s="2"/>
      <c r="N148" s="2"/>
      <c r="O148" s="32"/>
      <c r="P148" s="32"/>
      <c r="Q148" s="32"/>
      <c r="R148" s="32"/>
      <c r="S148" s="2"/>
      <c r="T148" s="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32"/>
      <c r="F149" s="32"/>
      <c r="G149" s="32"/>
      <c r="H149" s="73"/>
      <c r="I149" s="32"/>
      <c r="J149" s="32"/>
      <c r="K149" s="32"/>
      <c r="L149" s="32"/>
      <c r="M149" s="2"/>
      <c r="N149" s="2"/>
      <c r="O149" s="32"/>
      <c r="P149" s="32"/>
      <c r="Q149" s="32"/>
      <c r="R149" s="32"/>
      <c r="S149" s="2"/>
      <c r="T149" s="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32"/>
      <c r="F150" s="32"/>
      <c r="G150" s="32"/>
      <c r="H150" s="73"/>
      <c r="I150" s="32"/>
      <c r="J150" s="32"/>
      <c r="K150" s="32"/>
      <c r="L150" s="32"/>
      <c r="M150" s="2"/>
      <c r="N150" s="2"/>
      <c r="O150" s="32"/>
      <c r="P150" s="32"/>
      <c r="Q150" s="32"/>
      <c r="R150" s="32"/>
      <c r="S150" s="2"/>
      <c r="T150" s="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32"/>
      <c r="F151" s="32"/>
      <c r="G151" s="32"/>
      <c r="H151" s="70"/>
      <c r="I151" s="69"/>
      <c r="J151" s="32"/>
      <c r="K151" s="32"/>
      <c r="L151" s="32"/>
      <c r="M151" s="2"/>
      <c r="N151" s="2"/>
      <c r="O151" s="32"/>
      <c r="P151" s="32"/>
      <c r="Q151" s="32"/>
      <c r="R151" s="32"/>
      <c r="S151" s="2"/>
      <c r="T151" s="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32"/>
      <c r="E152" s="69"/>
      <c r="F152" s="69"/>
      <c r="G152" s="32"/>
      <c r="H152" s="75"/>
      <c r="I152" s="32"/>
      <c r="J152" s="32"/>
      <c r="K152" s="32"/>
      <c r="L152" s="32"/>
      <c r="M152" s="2"/>
      <c r="N152" s="2"/>
      <c r="O152" s="32"/>
      <c r="P152" s="32"/>
      <c r="Q152" s="32"/>
      <c r="R152" s="32"/>
      <c r="S152" s="2"/>
      <c r="T152" s="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69"/>
      <c r="F153" s="69"/>
      <c r="G153" s="32"/>
      <c r="H153" s="75"/>
      <c r="I153" s="32"/>
      <c r="J153" s="32"/>
      <c r="K153" s="32"/>
      <c r="L153" s="32"/>
      <c r="M153" s="2"/>
      <c r="N153" s="2"/>
      <c r="O153" s="32"/>
      <c r="P153" s="32"/>
      <c r="Q153" s="32"/>
      <c r="R153" s="32"/>
      <c r="S153" s="2"/>
      <c r="T153" s="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32"/>
      <c r="F154" s="32"/>
      <c r="G154" s="32"/>
      <c r="H154" s="70"/>
      <c r="I154" s="69"/>
      <c r="J154" s="69"/>
      <c r="K154" s="69"/>
      <c r="L154" s="32"/>
      <c r="M154" s="2"/>
      <c r="N154" s="2"/>
      <c r="O154" s="32"/>
      <c r="P154" s="32"/>
      <c r="Q154" s="32"/>
      <c r="R154" s="32"/>
      <c r="S154" s="2"/>
      <c r="T154" s="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32"/>
      <c r="F155" s="32"/>
      <c r="G155" s="32"/>
      <c r="H155" s="73"/>
      <c r="I155" s="32"/>
      <c r="J155" s="32"/>
      <c r="K155" s="32"/>
      <c r="L155" s="32"/>
      <c r="M155" s="2"/>
      <c r="N155" s="2"/>
      <c r="O155" s="32"/>
      <c r="P155" s="32"/>
      <c r="Q155" s="32"/>
      <c r="R155" s="32"/>
      <c r="S155" s="2"/>
      <c r="T155" s="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32"/>
      <c r="F156" s="32"/>
      <c r="G156" s="32"/>
      <c r="H156" s="73"/>
      <c r="I156" s="32"/>
      <c r="J156" s="32"/>
      <c r="K156" s="32"/>
      <c r="L156" s="32"/>
      <c r="M156" s="2"/>
      <c r="N156" s="2"/>
      <c r="O156" s="32"/>
      <c r="P156" s="32"/>
      <c r="Q156" s="32"/>
      <c r="R156" s="32"/>
      <c r="S156" s="2"/>
      <c r="T156" s="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32"/>
      <c r="F157" s="32"/>
      <c r="G157" s="32"/>
      <c r="H157" s="73"/>
      <c r="I157" s="32"/>
      <c r="J157" s="32"/>
      <c r="K157" s="32"/>
      <c r="L157" s="32"/>
      <c r="M157" s="2"/>
      <c r="N157" s="2"/>
      <c r="O157" s="32"/>
      <c r="P157" s="32"/>
      <c r="Q157" s="32"/>
      <c r="R157" s="32"/>
      <c r="S157" s="2"/>
      <c r="T157" s="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32"/>
      <c r="F158" s="32"/>
      <c r="G158" s="32"/>
      <c r="H158" s="73"/>
      <c r="I158" s="32"/>
      <c r="J158" s="32"/>
      <c r="K158" s="32"/>
      <c r="L158" s="32"/>
      <c r="M158" s="2"/>
      <c r="N158" s="2"/>
      <c r="O158" s="32"/>
      <c r="P158" s="32"/>
      <c r="Q158" s="32"/>
      <c r="R158" s="32"/>
      <c r="S158" s="2"/>
      <c r="T158" s="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32"/>
      <c r="E159" s="69"/>
      <c r="F159" s="69"/>
      <c r="G159" s="32"/>
      <c r="H159" s="75"/>
      <c r="I159" s="32"/>
      <c r="J159" s="32"/>
      <c r="K159" s="32"/>
      <c r="L159" s="32"/>
      <c r="M159" s="2"/>
      <c r="N159" s="2"/>
      <c r="O159" s="32"/>
      <c r="P159" s="32"/>
      <c r="Q159" s="32"/>
      <c r="R159" s="32"/>
      <c r="S159" s="2"/>
      <c r="T159" s="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32"/>
      <c r="E160" s="69"/>
      <c r="F160" s="69"/>
      <c r="G160" s="32"/>
      <c r="H160" s="75"/>
      <c r="I160" s="32"/>
      <c r="J160" s="32"/>
      <c r="K160" s="32"/>
      <c r="L160" s="32"/>
      <c r="M160" s="2"/>
      <c r="N160" s="2"/>
      <c r="O160" s="32"/>
      <c r="P160" s="32"/>
      <c r="Q160" s="32"/>
      <c r="R160" s="32"/>
      <c r="S160" s="2"/>
      <c r="T160" s="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32"/>
      <c r="E161" s="69"/>
      <c r="F161" s="69"/>
      <c r="G161" s="32"/>
      <c r="H161" s="75"/>
      <c r="I161" s="32"/>
      <c r="J161" s="32"/>
      <c r="K161" s="32"/>
      <c r="L161" s="32"/>
      <c r="M161" s="2"/>
      <c r="N161" s="2"/>
      <c r="O161" s="32"/>
      <c r="P161" s="32"/>
      <c r="Q161" s="32"/>
      <c r="R161" s="32"/>
      <c r="S161" s="2"/>
      <c r="T161" s="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32"/>
      <c r="F162" s="32"/>
      <c r="G162" s="32"/>
      <c r="H162" s="73"/>
      <c r="I162" s="69"/>
      <c r="J162" s="69"/>
      <c r="K162" s="69"/>
      <c r="L162" s="32"/>
      <c r="M162" s="2"/>
      <c r="N162" s="2"/>
      <c r="O162" s="32"/>
      <c r="P162" s="32"/>
      <c r="Q162" s="32"/>
      <c r="R162" s="32"/>
      <c r="S162" s="2"/>
      <c r="T162" s="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32"/>
      <c r="F163" s="32"/>
      <c r="G163" s="32"/>
      <c r="H163" s="70"/>
      <c r="I163" s="69"/>
      <c r="J163" s="32"/>
      <c r="K163" s="32"/>
      <c r="L163" s="32"/>
      <c r="M163" s="2"/>
      <c r="N163" s="2"/>
      <c r="O163" s="32"/>
      <c r="P163" s="32"/>
      <c r="Q163" s="32"/>
      <c r="R163" s="32"/>
      <c r="S163" s="2"/>
      <c r="T163" s="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32"/>
      <c r="E164" s="69"/>
      <c r="F164" s="69"/>
      <c r="G164" s="32"/>
      <c r="H164" s="75"/>
      <c r="I164" s="32"/>
      <c r="J164" s="32"/>
      <c r="K164" s="32"/>
      <c r="L164" s="32"/>
      <c r="M164" s="2"/>
      <c r="N164" s="2"/>
      <c r="O164" s="32"/>
      <c r="P164" s="32"/>
      <c r="Q164" s="32"/>
      <c r="R164" s="32"/>
      <c r="S164" s="2"/>
      <c r="T164" s="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32"/>
      <c r="E165" s="69"/>
      <c r="F165" s="69"/>
      <c r="G165" s="32"/>
      <c r="H165" s="75"/>
      <c r="I165" s="32"/>
      <c r="J165" s="32"/>
      <c r="K165" s="32"/>
      <c r="L165" s="32"/>
      <c r="M165" s="2"/>
      <c r="N165" s="2"/>
      <c r="O165" s="32"/>
      <c r="P165" s="32"/>
      <c r="Q165" s="32"/>
      <c r="R165" s="32"/>
      <c r="S165" s="2"/>
      <c r="T165" s="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32"/>
      <c r="F166" s="32"/>
      <c r="G166" s="32"/>
      <c r="H166" s="73"/>
      <c r="I166" s="32"/>
      <c r="J166" s="32"/>
      <c r="K166" s="32"/>
      <c r="L166" s="32"/>
      <c r="M166" s="2"/>
      <c r="N166" s="2"/>
      <c r="O166" s="32"/>
      <c r="P166" s="32"/>
      <c r="Q166" s="32"/>
      <c r="R166" s="32"/>
      <c r="S166" s="2"/>
      <c r="T166" s="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32"/>
      <c r="F167" s="32"/>
      <c r="G167" s="32"/>
      <c r="H167" s="73"/>
      <c r="I167" s="32"/>
      <c r="J167" s="32"/>
      <c r="K167" s="32"/>
      <c r="L167" s="32"/>
      <c r="M167" s="2"/>
      <c r="N167" s="2"/>
      <c r="O167" s="32"/>
      <c r="P167" s="32"/>
      <c r="Q167" s="32"/>
      <c r="R167" s="32"/>
      <c r="S167" s="2"/>
      <c r="T167" s="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32"/>
      <c r="F168" s="32"/>
      <c r="G168" s="32"/>
      <c r="H168" s="73"/>
      <c r="I168" s="32"/>
      <c r="J168" s="32"/>
      <c r="K168" s="32"/>
      <c r="L168" s="32"/>
      <c r="M168" s="2"/>
      <c r="N168" s="2"/>
      <c r="O168" s="32"/>
      <c r="P168" s="32"/>
      <c r="Q168" s="32"/>
      <c r="R168" s="32"/>
      <c r="S168" s="2"/>
      <c r="T168" s="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32"/>
      <c r="E169" s="69"/>
      <c r="F169" s="69"/>
      <c r="G169" s="32"/>
      <c r="H169" s="75"/>
      <c r="I169" s="32"/>
      <c r="J169" s="32"/>
      <c r="K169" s="32"/>
      <c r="L169" s="32"/>
      <c r="M169" s="2"/>
      <c r="N169" s="2"/>
      <c r="O169" s="32"/>
      <c r="P169" s="32"/>
      <c r="Q169" s="32"/>
      <c r="R169" s="32"/>
      <c r="S169" s="2"/>
      <c r="T169" s="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32"/>
      <c r="F170" s="32"/>
      <c r="G170" s="32"/>
      <c r="H170" s="73"/>
      <c r="I170" s="32"/>
      <c r="J170" s="32"/>
      <c r="K170" s="32"/>
      <c r="L170" s="32"/>
      <c r="M170" s="2"/>
      <c r="N170" s="2"/>
      <c r="O170" s="32"/>
      <c r="P170" s="32"/>
      <c r="Q170" s="32"/>
      <c r="R170" s="32"/>
      <c r="S170" s="2"/>
      <c r="T170" s="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32"/>
      <c r="F171" s="32"/>
      <c r="G171" s="32"/>
      <c r="H171" s="73"/>
      <c r="I171" s="32"/>
      <c r="J171" s="32"/>
      <c r="K171" s="32"/>
      <c r="L171" s="32"/>
      <c r="M171" s="2"/>
      <c r="N171" s="2"/>
      <c r="O171" s="32"/>
      <c r="P171" s="32"/>
      <c r="Q171" s="32"/>
      <c r="R171" s="32"/>
      <c r="S171" s="2"/>
      <c r="T171" s="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32"/>
      <c r="F172" s="32"/>
      <c r="G172" s="32"/>
      <c r="H172" s="73"/>
      <c r="I172" s="32"/>
      <c r="J172" s="32"/>
      <c r="K172" s="32"/>
      <c r="L172" s="32"/>
      <c r="M172" s="2"/>
      <c r="N172" s="2"/>
      <c r="O172" s="32"/>
      <c r="P172" s="32"/>
      <c r="Q172" s="32"/>
      <c r="R172" s="32"/>
      <c r="S172" s="2"/>
      <c r="T172" s="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32"/>
      <c r="E173" s="32"/>
      <c r="F173" s="32"/>
      <c r="G173" s="32"/>
      <c r="H173" s="70"/>
      <c r="I173" s="69"/>
      <c r="J173" s="32"/>
      <c r="K173" s="32"/>
      <c r="L173" s="32"/>
      <c r="M173" s="2"/>
      <c r="N173" s="2"/>
      <c r="O173" s="32"/>
      <c r="P173" s="32"/>
      <c r="Q173" s="32"/>
      <c r="R173" s="32"/>
      <c r="S173" s="2"/>
      <c r="T173" s="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32"/>
      <c r="F174" s="32"/>
      <c r="G174" s="32"/>
      <c r="H174" s="70"/>
      <c r="I174" s="69"/>
      <c r="J174" s="32"/>
      <c r="K174" s="32"/>
      <c r="L174" s="32"/>
      <c r="M174" s="2"/>
      <c r="N174" s="2"/>
      <c r="O174" s="32"/>
      <c r="P174" s="32"/>
      <c r="Q174" s="32"/>
      <c r="R174" s="32"/>
      <c r="S174" s="2"/>
      <c r="T174" s="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32"/>
      <c r="E175" s="69"/>
      <c r="F175" s="69"/>
      <c r="G175" s="32"/>
      <c r="H175" s="70"/>
      <c r="I175" s="69"/>
      <c r="J175" s="32"/>
      <c r="K175" s="32"/>
      <c r="L175" s="32"/>
      <c r="M175" s="2"/>
      <c r="N175" s="2"/>
      <c r="O175" s="32"/>
      <c r="P175" s="32"/>
      <c r="Q175" s="32"/>
      <c r="R175" s="32"/>
      <c r="S175" s="2"/>
      <c r="T175" s="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32"/>
      <c r="E176" s="69"/>
      <c r="F176" s="69"/>
      <c r="G176" s="32"/>
      <c r="H176" s="75"/>
      <c r="I176" s="32"/>
      <c r="J176" s="32"/>
      <c r="K176" s="32"/>
      <c r="L176" s="32"/>
      <c r="M176" s="2"/>
      <c r="N176" s="2"/>
      <c r="O176" s="32"/>
      <c r="P176" s="32"/>
      <c r="Q176" s="32"/>
      <c r="R176" s="32"/>
      <c r="S176" s="2"/>
      <c r="T176" s="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32"/>
      <c r="E177" s="69"/>
      <c r="F177" s="69"/>
      <c r="G177" s="32"/>
      <c r="H177" s="75"/>
      <c r="I177" s="32"/>
      <c r="J177" s="32"/>
      <c r="K177" s="32"/>
      <c r="L177" s="32"/>
      <c r="M177" s="2"/>
      <c r="N177" s="2"/>
      <c r="O177" s="32"/>
      <c r="P177" s="32"/>
      <c r="Q177" s="32"/>
      <c r="R177" s="32"/>
      <c r="S177" s="2"/>
      <c r="T177" s="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69"/>
      <c r="F178" s="69"/>
      <c r="G178" s="32"/>
      <c r="H178" s="75"/>
      <c r="I178" s="32"/>
      <c r="J178" s="32"/>
      <c r="K178" s="32"/>
      <c r="L178" s="32"/>
      <c r="M178" s="2"/>
      <c r="N178" s="2"/>
      <c r="O178" s="32"/>
      <c r="P178" s="32"/>
      <c r="Q178" s="32"/>
      <c r="R178" s="32"/>
      <c r="S178" s="2"/>
      <c r="T178" s="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32"/>
      <c r="F179" s="32"/>
      <c r="G179" s="32"/>
      <c r="H179" s="73"/>
      <c r="I179" s="32"/>
      <c r="J179" s="32"/>
      <c r="K179" s="32"/>
      <c r="L179" s="32"/>
      <c r="M179" s="2"/>
      <c r="N179" s="2"/>
      <c r="O179" s="32"/>
      <c r="P179" s="32"/>
      <c r="Q179" s="32"/>
      <c r="R179" s="32"/>
      <c r="S179" s="2"/>
      <c r="T179" s="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32"/>
      <c r="F180" s="32"/>
      <c r="G180" s="32"/>
      <c r="H180" s="73"/>
      <c r="I180" s="32"/>
      <c r="J180" s="32"/>
      <c r="K180" s="32"/>
      <c r="L180" s="32"/>
      <c r="M180" s="2"/>
      <c r="N180" s="2"/>
      <c r="O180" s="32"/>
      <c r="P180" s="32"/>
      <c r="Q180" s="32"/>
      <c r="R180" s="32"/>
      <c r="S180" s="2"/>
      <c r="T180" s="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32"/>
      <c r="F181" s="32"/>
      <c r="G181" s="32"/>
      <c r="H181" s="73"/>
      <c r="I181" s="32"/>
      <c r="J181" s="32"/>
      <c r="K181" s="32"/>
      <c r="L181" s="32"/>
      <c r="M181" s="2"/>
      <c r="N181" s="2"/>
      <c r="O181" s="32"/>
      <c r="P181" s="32"/>
      <c r="Q181" s="32"/>
      <c r="R181" s="32"/>
      <c r="S181" s="2"/>
      <c r="T181" s="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32"/>
      <c r="F182" s="32"/>
      <c r="G182" s="32"/>
      <c r="H182" s="73"/>
      <c r="I182" s="69"/>
      <c r="J182" s="69"/>
      <c r="K182" s="69"/>
      <c r="L182" s="32"/>
      <c r="M182" s="2"/>
      <c r="N182" s="2"/>
      <c r="O182" s="32"/>
      <c r="P182" s="32"/>
      <c r="Q182" s="32"/>
      <c r="R182" s="32"/>
      <c r="S182" s="2"/>
      <c r="T182" s="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32"/>
      <c r="F183" s="32"/>
      <c r="G183" s="32"/>
      <c r="H183" s="73"/>
      <c r="I183" s="69"/>
      <c r="J183" s="69"/>
      <c r="K183" s="69"/>
      <c r="L183" s="32"/>
      <c r="M183" s="2"/>
      <c r="N183" s="2"/>
      <c r="O183" s="32"/>
      <c r="P183" s="32"/>
      <c r="Q183" s="32"/>
      <c r="R183" s="32"/>
      <c r="S183" s="2"/>
      <c r="T183" s="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32"/>
      <c r="F184" s="32"/>
      <c r="G184" s="32"/>
      <c r="H184" s="73"/>
      <c r="I184" s="69"/>
      <c r="J184" s="69"/>
      <c r="K184" s="69"/>
      <c r="L184" s="32"/>
      <c r="M184" s="2"/>
      <c r="N184" s="2"/>
      <c r="O184" s="32"/>
      <c r="P184" s="32"/>
      <c r="Q184" s="32"/>
      <c r="R184" s="32"/>
      <c r="S184" s="2"/>
      <c r="T184" s="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32"/>
      <c r="F185" s="32"/>
      <c r="G185" s="32"/>
      <c r="H185" s="73"/>
      <c r="I185" s="69"/>
      <c r="J185" s="69"/>
      <c r="K185" s="69"/>
      <c r="L185" s="32"/>
      <c r="M185" s="2"/>
      <c r="N185" s="2"/>
      <c r="O185" s="32"/>
      <c r="P185" s="32"/>
      <c r="Q185" s="32"/>
      <c r="R185" s="32"/>
      <c r="S185" s="2"/>
      <c r="T185" s="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32"/>
      <c r="F186" s="32"/>
      <c r="G186" s="32"/>
      <c r="H186" s="73"/>
      <c r="I186" s="32"/>
      <c r="J186" s="32"/>
      <c r="K186" s="32"/>
      <c r="L186" s="32"/>
      <c r="M186" s="2"/>
      <c r="N186" s="2"/>
      <c r="O186" s="32"/>
      <c r="P186" s="32"/>
      <c r="Q186" s="32"/>
      <c r="R186" s="32"/>
      <c r="S186" s="2"/>
      <c r="T186" s="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32"/>
      <c r="F187" s="32"/>
      <c r="G187" s="32"/>
      <c r="H187" s="73"/>
      <c r="I187" s="32"/>
      <c r="J187" s="32"/>
      <c r="K187" s="32"/>
      <c r="L187" s="32"/>
      <c r="M187" s="2"/>
      <c r="N187" s="2"/>
      <c r="O187" s="32"/>
      <c r="P187" s="32"/>
      <c r="Q187" s="32"/>
      <c r="R187" s="32"/>
      <c r="S187" s="2"/>
      <c r="T187" s="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32"/>
      <c r="F188" s="32"/>
      <c r="G188" s="32"/>
      <c r="H188" s="73"/>
      <c r="I188" s="32"/>
      <c r="J188" s="32"/>
      <c r="K188" s="32"/>
      <c r="L188" s="32"/>
      <c r="M188" s="2"/>
      <c r="N188" s="2"/>
      <c r="O188" s="32"/>
      <c r="P188" s="32"/>
      <c r="Q188" s="32"/>
      <c r="R188" s="32"/>
      <c r="S188" s="2"/>
      <c r="T188" s="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32"/>
      <c r="E189" s="69"/>
      <c r="F189" s="69"/>
      <c r="G189" s="32"/>
      <c r="H189" s="75"/>
      <c r="I189" s="32"/>
      <c r="J189" s="32"/>
      <c r="K189" s="32"/>
      <c r="L189" s="32"/>
      <c r="M189" s="2"/>
      <c r="N189" s="2"/>
      <c r="O189" s="32"/>
      <c r="P189" s="32"/>
      <c r="Q189" s="32"/>
      <c r="R189" s="32"/>
      <c r="S189" s="2"/>
      <c r="T189" s="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32"/>
      <c r="E190" s="69"/>
      <c r="F190" s="69"/>
      <c r="G190" s="32"/>
      <c r="H190" s="75"/>
      <c r="I190" s="32"/>
      <c r="J190" s="32"/>
      <c r="K190" s="32"/>
      <c r="L190" s="32"/>
      <c r="M190" s="2"/>
      <c r="N190" s="2"/>
      <c r="O190" s="32"/>
      <c r="P190" s="32"/>
      <c r="Q190" s="32"/>
      <c r="R190" s="32"/>
      <c r="S190" s="2"/>
      <c r="T190" s="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69"/>
      <c r="F191" s="69"/>
      <c r="G191" s="32"/>
      <c r="H191" s="75"/>
      <c r="I191" s="32"/>
      <c r="J191" s="32"/>
      <c r="K191" s="32"/>
      <c r="L191" s="32"/>
      <c r="M191" s="2"/>
      <c r="N191" s="2"/>
      <c r="O191" s="32"/>
      <c r="P191" s="32"/>
      <c r="Q191" s="32"/>
      <c r="R191" s="32"/>
      <c r="S191" s="2"/>
      <c r="T191" s="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32"/>
      <c r="F192" s="32"/>
      <c r="G192" s="32"/>
      <c r="H192" s="73"/>
      <c r="I192" s="69"/>
      <c r="J192" s="69"/>
      <c r="K192" s="69"/>
      <c r="L192" s="32"/>
      <c r="M192" s="2"/>
      <c r="N192" s="2"/>
      <c r="O192" s="32"/>
      <c r="P192" s="32"/>
      <c r="Q192" s="32"/>
      <c r="R192" s="32"/>
      <c r="S192" s="2"/>
      <c r="T192" s="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32"/>
      <c r="F193" s="32"/>
      <c r="G193" s="32"/>
      <c r="H193" s="73"/>
      <c r="I193" s="69"/>
      <c r="J193" s="69"/>
      <c r="K193" s="69"/>
      <c r="L193" s="32"/>
      <c r="M193" s="2"/>
      <c r="N193" s="2"/>
      <c r="O193" s="32"/>
      <c r="P193" s="32"/>
      <c r="Q193" s="32"/>
      <c r="R193" s="32"/>
      <c r="S193" s="2"/>
      <c r="T193" s="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32"/>
      <c r="E194" s="69"/>
      <c r="F194" s="69"/>
      <c r="G194" s="32"/>
      <c r="H194" s="75"/>
      <c r="I194" s="32"/>
      <c r="J194" s="32"/>
      <c r="K194" s="32"/>
      <c r="L194" s="32"/>
      <c r="M194" s="2"/>
      <c r="N194" s="2"/>
      <c r="O194" s="32"/>
      <c r="P194" s="32"/>
      <c r="Q194" s="32"/>
      <c r="R194" s="32"/>
      <c r="S194" s="2"/>
      <c r="T194" s="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32"/>
      <c r="E195" s="69"/>
      <c r="F195" s="69"/>
      <c r="G195" s="32"/>
      <c r="H195" s="75"/>
      <c r="I195" s="32"/>
      <c r="J195" s="32"/>
      <c r="K195" s="32"/>
      <c r="L195" s="32"/>
      <c r="M195" s="2"/>
      <c r="N195" s="2"/>
      <c r="O195" s="32"/>
      <c r="P195" s="32"/>
      <c r="Q195" s="32"/>
      <c r="R195" s="32"/>
      <c r="S195" s="2"/>
      <c r="T195" s="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69"/>
      <c r="F196" s="69"/>
      <c r="G196" s="32"/>
      <c r="H196" s="75"/>
      <c r="I196" s="32"/>
      <c r="J196" s="32"/>
      <c r="K196" s="32"/>
      <c r="L196" s="32"/>
      <c r="M196" s="2"/>
      <c r="N196" s="2"/>
      <c r="O196" s="32"/>
      <c r="P196" s="32"/>
      <c r="Q196" s="32"/>
      <c r="R196" s="32"/>
      <c r="S196" s="2"/>
      <c r="T196" s="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32"/>
      <c r="F197" s="32"/>
      <c r="G197" s="32"/>
      <c r="H197" s="73"/>
      <c r="I197" s="32"/>
      <c r="J197" s="32"/>
      <c r="K197" s="32"/>
      <c r="L197" s="32"/>
      <c r="M197" s="2"/>
      <c r="N197" s="2"/>
      <c r="O197" s="32"/>
      <c r="P197" s="32"/>
      <c r="Q197" s="32"/>
      <c r="R197" s="32"/>
      <c r="S197" s="2"/>
      <c r="T197" s="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32"/>
      <c r="F198" s="32"/>
      <c r="G198" s="32"/>
      <c r="H198" s="73"/>
      <c r="I198" s="32"/>
      <c r="J198" s="32"/>
      <c r="K198" s="32"/>
      <c r="L198" s="32"/>
      <c r="M198" s="2"/>
      <c r="N198" s="2"/>
      <c r="O198" s="32"/>
      <c r="P198" s="32"/>
      <c r="Q198" s="32"/>
      <c r="R198" s="32"/>
      <c r="S198" s="2"/>
      <c r="T198" s="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32"/>
      <c r="F199" s="32"/>
      <c r="G199" s="32"/>
      <c r="H199" s="73"/>
      <c r="I199" s="32"/>
      <c r="J199" s="32"/>
      <c r="K199" s="32"/>
      <c r="L199" s="32"/>
      <c r="M199" s="2"/>
      <c r="N199" s="2"/>
      <c r="O199" s="32"/>
      <c r="P199" s="32"/>
      <c r="Q199" s="32"/>
      <c r="R199" s="32"/>
      <c r="S199" s="2"/>
      <c r="T199" s="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32"/>
      <c r="F200" s="32"/>
      <c r="G200" s="32"/>
      <c r="H200" s="73"/>
      <c r="I200" s="69"/>
      <c r="J200" s="69"/>
      <c r="K200" s="69"/>
      <c r="L200" s="32"/>
      <c r="M200" s="2"/>
      <c r="N200" s="2"/>
      <c r="O200" s="32"/>
      <c r="P200" s="32"/>
      <c r="Q200" s="32"/>
      <c r="R200" s="32"/>
      <c r="S200" s="2"/>
      <c r="T200" s="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32"/>
      <c r="E201" s="69"/>
      <c r="F201" s="69"/>
      <c r="G201" s="32"/>
      <c r="H201" s="75"/>
      <c r="I201" s="32"/>
      <c r="J201" s="32"/>
      <c r="K201" s="32"/>
      <c r="L201" s="32"/>
      <c r="M201" s="2"/>
      <c r="N201" s="2"/>
      <c r="O201" s="32"/>
      <c r="P201" s="32"/>
      <c r="Q201" s="32"/>
      <c r="R201" s="32"/>
      <c r="S201" s="2"/>
      <c r="T201" s="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32"/>
      <c r="E202" s="69"/>
      <c r="F202" s="69"/>
      <c r="G202" s="32"/>
      <c r="H202" s="75"/>
      <c r="I202" s="32"/>
      <c r="J202" s="32"/>
      <c r="K202" s="32"/>
      <c r="L202" s="32"/>
      <c r="M202" s="2"/>
      <c r="N202" s="2"/>
      <c r="O202" s="32"/>
      <c r="P202" s="32"/>
      <c r="Q202" s="32"/>
      <c r="R202" s="32"/>
      <c r="S202" s="2"/>
      <c r="T202" s="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69"/>
      <c r="F203" s="69"/>
      <c r="G203" s="32"/>
      <c r="H203" s="75"/>
      <c r="I203" s="32"/>
      <c r="J203" s="32"/>
      <c r="K203" s="32"/>
      <c r="L203" s="32"/>
      <c r="M203" s="2"/>
      <c r="N203" s="2"/>
      <c r="O203" s="32"/>
      <c r="P203" s="32"/>
      <c r="Q203" s="32"/>
      <c r="R203" s="32"/>
      <c r="S203" s="2"/>
      <c r="T203" s="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32"/>
      <c r="F204" s="32"/>
      <c r="G204" s="32"/>
      <c r="H204" s="75"/>
      <c r="I204" s="32"/>
      <c r="J204" s="32"/>
      <c r="K204" s="32"/>
      <c r="L204" s="32"/>
      <c r="M204" s="2"/>
      <c r="N204" s="2"/>
      <c r="O204" s="32"/>
      <c r="P204" s="32"/>
      <c r="Q204" s="32"/>
      <c r="R204" s="32"/>
      <c r="S204" s="2"/>
      <c r="T204" s="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32"/>
      <c r="F205" s="32"/>
      <c r="G205" s="32"/>
      <c r="H205" s="73"/>
      <c r="I205" s="32"/>
      <c r="J205" s="76"/>
      <c r="K205" s="32"/>
      <c r="L205" s="32"/>
      <c r="M205" s="2"/>
      <c r="N205" s="2"/>
      <c r="O205" s="32"/>
      <c r="P205" s="32"/>
      <c r="Q205" s="32"/>
      <c r="R205" s="32"/>
      <c r="S205" s="2"/>
      <c r="T205" s="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32"/>
      <c r="F206" s="32"/>
      <c r="G206" s="32"/>
      <c r="H206" s="73"/>
      <c r="I206" s="32"/>
      <c r="J206" s="76"/>
      <c r="K206" s="32"/>
      <c r="L206" s="32"/>
      <c r="M206" s="2"/>
      <c r="N206" s="2"/>
      <c r="O206" s="32"/>
      <c r="P206" s="32"/>
      <c r="Q206" s="32"/>
      <c r="R206" s="32"/>
      <c r="S206" s="2"/>
      <c r="T206" s="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32"/>
      <c r="F207" s="32"/>
      <c r="G207" s="32"/>
      <c r="H207" s="73"/>
      <c r="I207" s="32"/>
      <c r="J207" s="76"/>
      <c r="K207" s="32"/>
      <c r="L207" s="32"/>
      <c r="M207" s="2"/>
      <c r="N207" s="2"/>
      <c r="O207" s="32"/>
      <c r="P207" s="32"/>
      <c r="Q207" s="32"/>
      <c r="R207" s="32"/>
      <c r="S207" s="2"/>
      <c r="T207" s="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32"/>
      <c r="E208" s="69"/>
      <c r="F208" s="69"/>
      <c r="G208" s="32"/>
      <c r="H208" s="75"/>
      <c r="I208" s="32"/>
      <c r="J208" s="32"/>
      <c r="K208" s="32"/>
      <c r="L208" s="32"/>
      <c r="M208" s="2"/>
      <c r="N208" s="2"/>
      <c r="O208" s="32"/>
      <c r="P208" s="32"/>
      <c r="Q208" s="32"/>
      <c r="R208" s="32"/>
      <c r="S208" s="2"/>
      <c r="T208" s="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32"/>
      <c r="E209" s="69"/>
      <c r="F209" s="69"/>
      <c r="G209" s="32"/>
      <c r="H209" s="75"/>
      <c r="I209" s="32"/>
      <c r="J209" s="32"/>
      <c r="K209" s="32"/>
      <c r="L209" s="32"/>
      <c r="M209" s="2"/>
      <c r="N209" s="2"/>
      <c r="O209" s="32"/>
      <c r="P209" s="32"/>
      <c r="Q209" s="32"/>
      <c r="R209" s="32"/>
      <c r="S209" s="2"/>
      <c r="T209" s="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69"/>
      <c r="F210" s="69"/>
      <c r="G210" s="32"/>
      <c r="H210" s="75"/>
      <c r="I210" s="32"/>
      <c r="J210" s="32"/>
      <c r="K210" s="32"/>
      <c r="L210" s="32"/>
      <c r="M210" s="2"/>
      <c r="N210" s="2"/>
      <c r="O210" s="32"/>
      <c r="P210" s="32"/>
      <c r="Q210" s="32"/>
      <c r="R210" s="32"/>
      <c r="S210" s="2"/>
      <c r="T210" s="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32"/>
      <c r="F211" s="32"/>
      <c r="G211" s="32"/>
      <c r="H211" s="73"/>
      <c r="I211" s="32"/>
      <c r="J211" s="32"/>
      <c r="K211" s="32"/>
      <c r="L211" s="32"/>
      <c r="M211" s="2"/>
      <c r="N211" s="2"/>
      <c r="O211" s="32"/>
      <c r="P211" s="32"/>
      <c r="Q211" s="32"/>
      <c r="R211" s="32"/>
      <c r="S211" s="2"/>
      <c r="T211" s="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32"/>
      <c r="F212" s="32"/>
      <c r="G212" s="32"/>
      <c r="H212" s="73"/>
      <c r="I212" s="32"/>
      <c r="J212" s="32"/>
      <c r="K212" s="32"/>
      <c r="L212" s="32"/>
      <c r="M212" s="2"/>
      <c r="N212" s="2"/>
      <c r="O212" s="32"/>
      <c r="P212" s="32"/>
      <c r="Q212" s="32"/>
      <c r="R212" s="32"/>
      <c r="S212" s="2"/>
      <c r="T212" s="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32"/>
      <c r="F213" s="32"/>
      <c r="G213" s="32"/>
      <c r="H213" s="73"/>
      <c r="I213" s="32"/>
      <c r="J213" s="76"/>
      <c r="K213" s="32"/>
      <c r="L213" s="32"/>
      <c r="M213" s="2"/>
      <c r="N213" s="2"/>
      <c r="O213" s="32"/>
      <c r="P213" s="32"/>
      <c r="Q213" s="32"/>
      <c r="R213" s="32"/>
      <c r="S213" s="2"/>
      <c r="T213" s="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32"/>
      <c r="E214" s="69"/>
      <c r="F214" s="69"/>
      <c r="G214" s="32"/>
      <c r="H214" s="75"/>
      <c r="I214" s="32"/>
      <c r="J214" s="32"/>
      <c r="K214" s="32"/>
      <c r="L214" s="32"/>
      <c r="M214" s="2"/>
      <c r="N214" s="2"/>
      <c r="O214" s="32"/>
      <c r="P214" s="32"/>
      <c r="Q214" s="32"/>
      <c r="R214" s="32"/>
      <c r="S214" s="2"/>
      <c r="T214" s="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32"/>
      <c r="E215" s="69"/>
      <c r="F215" s="69"/>
      <c r="G215" s="32"/>
      <c r="H215" s="75"/>
      <c r="I215" s="32"/>
      <c r="J215" s="32"/>
      <c r="K215" s="32"/>
      <c r="L215" s="32"/>
      <c r="M215" s="2"/>
      <c r="N215" s="2"/>
      <c r="O215" s="32"/>
      <c r="P215" s="32"/>
      <c r="Q215" s="32"/>
      <c r="R215" s="32"/>
      <c r="S215" s="2"/>
      <c r="T215" s="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69"/>
      <c r="F216" s="69"/>
      <c r="G216" s="32"/>
      <c r="H216" s="75"/>
      <c r="I216" s="32"/>
      <c r="J216" s="32"/>
      <c r="K216" s="32"/>
      <c r="L216" s="32"/>
      <c r="M216" s="2"/>
      <c r="N216" s="2"/>
      <c r="O216" s="32"/>
      <c r="P216" s="32"/>
      <c r="Q216" s="32"/>
      <c r="R216" s="32"/>
      <c r="S216" s="2"/>
      <c r="T216" s="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32"/>
      <c r="E217" s="32"/>
      <c r="F217" s="32"/>
      <c r="G217" s="32"/>
      <c r="H217" s="73"/>
      <c r="I217" s="32"/>
      <c r="J217" s="76"/>
      <c r="K217" s="32"/>
      <c r="L217" s="32"/>
      <c r="M217" s="2"/>
      <c r="N217" s="2"/>
      <c r="O217" s="32"/>
      <c r="P217" s="32"/>
      <c r="Q217" s="32"/>
      <c r="R217" s="32"/>
      <c r="S217" s="2"/>
      <c r="T217" s="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32"/>
      <c r="F218" s="32"/>
      <c r="G218" s="32"/>
      <c r="H218" s="73"/>
      <c r="I218" s="32"/>
      <c r="J218" s="76"/>
      <c r="K218" s="32"/>
      <c r="L218" s="32"/>
      <c r="M218" s="2"/>
      <c r="N218" s="2"/>
      <c r="O218" s="32"/>
      <c r="P218" s="32"/>
      <c r="Q218" s="32"/>
      <c r="R218" s="32"/>
      <c r="S218" s="2"/>
      <c r="T218" s="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32"/>
      <c r="F219" s="32"/>
      <c r="G219" s="32"/>
      <c r="H219" s="73"/>
      <c r="I219" s="32"/>
      <c r="J219" s="76"/>
      <c r="K219" s="32"/>
      <c r="L219" s="32"/>
      <c r="M219" s="2"/>
      <c r="N219" s="2"/>
      <c r="O219" s="32"/>
      <c r="P219" s="32"/>
      <c r="Q219" s="32"/>
      <c r="R219" s="32"/>
      <c r="S219" s="2"/>
      <c r="T219" s="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32"/>
      <c r="F220" s="32"/>
      <c r="G220" s="32"/>
      <c r="H220" s="73"/>
      <c r="I220" s="32"/>
      <c r="J220" s="69"/>
      <c r="K220" s="32"/>
      <c r="L220" s="32"/>
      <c r="M220" s="2"/>
      <c r="N220" s="2"/>
      <c r="O220" s="32"/>
      <c r="P220" s="32"/>
      <c r="Q220" s="32"/>
      <c r="R220" s="32"/>
      <c r="S220" s="2"/>
      <c r="T220" s="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32"/>
      <c r="F221" s="32"/>
      <c r="G221" s="32"/>
      <c r="H221" s="73"/>
      <c r="I221" s="32"/>
      <c r="J221" s="69"/>
      <c r="K221" s="32"/>
      <c r="L221" s="32"/>
      <c r="M221" s="2"/>
      <c r="N221" s="2"/>
      <c r="O221" s="32"/>
      <c r="P221" s="32"/>
      <c r="Q221" s="32"/>
      <c r="R221" s="32"/>
      <c r="S221" s="2"/>
      <c r="T221" s="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32"/>
      <c r="E222" s="69"/>
      <c r="F222" s="69"/>
      <c r="G222" s="32"/>
      <c r="H222" s="75"/>
      <c r="I222" s="32"/>
      <c r="J222" s="32"/>
      <c r="K222" s="32"/>
      <c r="L222" s="32"/>
      <c r="M222" s="2"/>
      <c r="N222" s="2"/>
      <c r="O222" s="32"/>
      <c r="P222" s="32"/>
      <c r="Q222" s="32"/>
      <c r="R222" s="32"/>
      <c r="S222" s="2"/>
      <c r="T222" s="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32"/>
      <c r="E223" s="69"/>
      <c r="F223" s="69"/>
      <c r="G223" s="32"/>
      <c r="H223" s="75"/>
      <c r="I223" s="32"/>
      <c r="J223" s="32"/>
      <c r="K223" s="32"/>
      <c r="L223" s="32"/>
      <c r="M223" s="2"/>
      <c r="N223" s="2"/>
      <c r="O223" s="32"/>
      <c r="P223" s="32"/>
      <c r="Q223" s="32"/>
      <c r="R223" s="32"/>
      <c r="S223" s="2"/>
      <c r="T223" s="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32"/>
      <c r="E224" s="69"/>
      <c r="F224" s="69"/>
      <c r="G224" s="32"/>
      <c r="H224" s="75"/>
      <c r="I224" s="32"/>
      <c r="J224" s="32"/>
      <c r="K224" s="32"/>
      <c r="L224" s="32"/>
      <c r="M224" s="2"/>
      <c r="N224" s="2"/>
      <c r="O224" s="32"/>
      <c r="P224" s="32"/>
      <c r="Q224" s="32"/>
      <c r="R224" s="32"/>
      <c r="S224" s="2"/>
      <c r="T224" s="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32"/>
      <c r="F225" s="32"/>
      <c r="G225" s="32"/>
      <c r="H225" s="73"/>
      <c r="I225" s="32"/>
      <c r="J225" s="32"/>
      <c r="K225" s="32"/>
      <c r="L225" s="32"/>
      <c r="M225" s="2"/>
      <c r="N225" s="2"/>
      <c r="O225" s="32"/>
      <c r="P225" s="32"/>
      <c r="Q225" s="32"/>
      <c r="R225" s="32"/>
      <c r="S225" s="2"/>
      <c r="T225" s="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32"/>
      <c r="F226" s="32"/>
      <c r="G226" s="32"/>
      <c r="H226" s="73"/>
      <c r="I226" s="32"/>
      <c r="J226" s="32"/>
      <c r="K226" s="32"/>
      <c r="L226" s="32"/>
      <c r="M226" s="2"/>
      <c r="N226" s="2"/>
      <c r="O226" s="32"/>
      <c r="P226" s="32"/>
      <c r="Q226" s="32"/>
      <c r="R226" s="32"/>
      <c r="S226" s="2"/>
      <c r="T226" s="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32"/>
      <c r="F227" s="32"/>
      <c r="G227" s="32"/>
      <c r="H227" s="73"/>
      <c r="I227" s="32"/>
      <c r="J227" s="76"/>
      <c r="K227" s="32"/>
      <c r="L227" s="32"/>
      <c r="M227" s="2"/>
      <c r="N227" s="2"/>
      <c r="O227" s="32"/>
      <c r="P227" s="32"/>
      <c r="Q227" s="32"/>
      <c r="R227" s="32"/>
      <c r="S227" s="2"/>
      <c r="T227" s="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32"/>
      <c r="E228" s="69"/>
      <c r="F228" s="69"/>
      <c r="G228" s="32"/>
      <c r="H228" s="75"/>
      <c r="I228" s="32"/>
      <c r="J228" s="32"/>
      <c r="K228" s="32"/>
      <c r="L228" s="32"/>
      <c r="M228" s="2"/>
      <c r="N228" s="2"/>
      <c r="O228" s="32"/>
      <c r="P228" s="32"/>
      <c r="Q228" s="32"/>
      <c r="R228" s="32"/>
      <c r="S228" s="2"/>
      <c r="T228" s="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32"/>
      <c r="E229" s="69"/>
      <c r="F229" s="69"/>
      <c r="G229" s="32"/>
      <c r="H229" s="75"/>
      <c r="I229" s="32"/>
      <c r="J229" s="32"/>
      <c r="K229" s="32"/>
      <c r="L229" s="32"/>
      <c r="M229" s="2"/>
      <c r="N229" s="2"/>
      <c r="O229" s="32"/>
      <c r="P229" s="32"/>
      <c r="Q229" s="32"/>
      <c r="R229" s="32"/>
      <c r="S229" s="2"/>
      <c r="T229" s="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32"/>
      <c r="F230" s="32"/>
      <c r="G230" s="32"/>
      <c r="H230" s="73"/>
      <c r="I230" s="32"/>
      <c r="J230" s="69"/>
      <c r="K230" s="32"/>
      <c r="L230" s="32"/>
      <c r="M230" s="2"/>
      <c r="N230" s="2"/>
      <c r="O230" s="32"/>
      <c r="P230" s="32"/>
      <c r="Q230" s="32"/>
      <c r="R230" s="32"/>
      <c r="S230" s="2"/>
      <c r="T230" s="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32"/>
      <c r="F231" s="32"/>
      <c r="G231" s="32"/>
      <c r="H231" s="73"/>
      <c r="I231" s="32"/>
      <c r="J231" s="69"/>
      <c r="K231" s="32"/>
      <c r="L231" s="32"/>
      <c r="M231" s="2"/>
      <c r="N231" s="2"/>
      <c r="O231" s="32"/>
      <c r="P231" s="32"/>
      <c r="Q231" s="32"/>
      <c r="R231" s="32"/>
      <c r="S231" s="2"/>
      <c r="T231" s="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32"/>
      <c r="F232" s="32"/>
      <c r="G232" s="32"/>
      <c r="H232" s="73"/>
      <c r="I232" s="32"/>
      <c r="J232" s="69"/>
      <c r="K232" s="32"/>
      <c r="L232" s="32"/>
      <c r="M232" s="2"/>
      <c r="N232" s="2"/>
      <c r="O232" s="32"/>
      <c r="P232" s="32"/>
      <c r="Q232" s="32"/>
      <c r="R232" s="32"/>
      <c r="S232" s="2"/>
      <c r="T232" s="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32"/>
      <c r="F233" s="32"/>
      <c r="G233" s="32"/>
      <c r="H233" s="73"/>
      <c r="I233" s="32"/>
      <c r="J233" s="76"/>
      <c r="K233" s="32"/>
      <c r="L233" s="32"/>
      <c r="M233" s="2"/>
      <c r="N233" s="2"/>
      <c r="O233" s="32"/>
      <c r="P233" s="32"/>
      <c r="Q233" s="32"/>
      <c r="R233" s="32"/>
      <c r="S233" s="2"/>
      <c r="T233" s="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32"/>
      <c r="F234" s="32"/>
      <c r="G234" s="32"/>
      <c r="H234" s="73"/>
      <c r="I234" s="69"/>
      <c r="J234" s="69"/>
      <c r="K234" s="69"/>
      <c r="L234" s="32"/>
      <c r="M234" s="2"/>
      <c r="N234" s="2"/>
      <c r="O234" s="32"/>
      <c r="P234" s="32"/>
      <c r="Q234" s="32"/>
      <c r="R234" s="32"/>
      <c r="S234" s="2"/>
      <c r="T234" s="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32"/>
      <c r="E235" s="69"/>
      <c r="F235" s="69"/>
      <c r="G235" s="32"/>
      <c r="H235" s="75"/>
      <c r="I235" s="32"/>
      <c r="J235" s="32"/>
      <c r="K235" s="32"/>
      <c r="L235" s="32"/>
      <c r="M235" s="2"/>
      <c r="N235" s="2"/>
      <c r="O235" s="32"/>
      <c r="P235" s="32"/>
      <c r="Q235" s="32"/>
      <c r="R235" s="32"/>
      <c r="S235" s="2"/>
      <c r="T235" s="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32"/>
      <c r="F236" s="32"/>
      <c r="G236" s="32"/>
      <c r="H236" s="73"/>
      <c r="I236" s="32"/>
      <c r="J236" s="69"/>
      <c r="K236" s="32"/>
      <c r="L236" s="32"/>
      <c r="M236" s="2"/>
      <c r="N236" s="2"/>
      <c r="O236" s="32"/>
      <c r="P236" s="32"/>
      <c r="Q236" s="32"/>
      <c r="R236" s="32"/>
      <c r="S236" s="2"/>
      <c r="T236" s="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32"/>
      <c r="F237" s="32"/>
      <c r="G237" s="32"/>
      <c r="H237" s="73"/>
      <c r="I237" s="32"/>
      <c r="J237" s="69"/>
      <c r="K237" s="32"/>
      <c r="L237" s="32"/>
      <c r="M237" s="2"/>
      <c r="N237" s="2"/>
      <c r="O237" s="32"/>
      <c r="P237" s="32"/>
      <c r="Q237" s="32"/>
      <c r="R237" s="32"/>
      <c r="S237" s="2"/>
      <c r="T237" s="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32"/>
      <c r="F238" s="32"/>
      <c r="G238" s="32"/>
      <c r="H238" s="73"/>
      <c r="I238" s="32"/>
      <c r="J238" s="76"/>
      <c r="K238" s="32"/>
      <c r="L238" s="32"/>
      <c r="M238" s="2"/>
      <c r="N238" s="2"/>
      <c r="O238" s="32"/>
      <c r="P238" s="32"/>
      <c r="Q238" s="32"/>
      <c r="R238" s="32"/>
      <c r="S238" s="2"/>
      <c r="T238" s="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32"/>
      <c r="F239" s="32"/>
      <c r="G239" s="32"/>
      <c r="H239" s="73"/>
      <c r="I239" s="69"/>
      <c r="J239" s="69"/>
      <c r="K239" s="69"/>
      <c r="L239" s="32"/>
      <c r="M239" s="2"/>
      <c r="N239" s="2"/>
      <c r="O239" s="32"/>
      <c r="P239" s="32"/>
      <c r="Q239" s="32"/>
      <c r="R239" s="32"/>
      <c r="S239" s="2"/>
      <c r="T239" s="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32"/>
      <c r="E240" s="69"/>
      <c r="F240" s="69"/>
      <c r="G240" s="32"/>
      <c r="H240" s="75"/>
      <c r="I240" s="32"/>
      <c r="J240" s="32"/>
      <c r="K240" s="32"/>
      <c r="L240" s="32"/>
      <c r="M240" s="2"/>
      <c r="N240" s="2"/>
      <c r="O240" s="32"/>
      <c r="P240" s="32"/>
      <c r="Q240" s="32"/>
      <c r="R240" s="32"/>
      <c r="S240" s="2"/>
      <c r="T240" s="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32"/>
      <c r="E241" s="69"/>
      <c r="F241" s="69"/>
      <c r="G241" s="32"/>
      <c r="H241" s="75"/>
      <c r="I241" s="32"/>
      <c r="J241" s="32"/>
      <c r="K241" s="32"/>
      <c r="L241" s="32"/>
      <c r="M241" s="2"/>
      <c r="N241" s="2"/>
      <c r="O241" s="32"/>
      <c r="P241" s="32"/>
      <c r="Q241" s="32"/>
      <c r="R241" s="32"/>
      <c r="S241" s="2"/>
      <c r="T241" s="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32"/>
      <c r="E242" s="69"/>
      <c r="F242" s="69"/>
      <c r="G242" s="32"/>
      <c r="H242" s="75"/>
      <c r="I242" s="32"/>
      <c r="J242" s="32"/>
      <c r="K242" s="32"/>
      <c r="L242" s="32"/>
      <c r="M242" s="2"/>
      <c r="N242" s="2"/>
      <c r="O242" s="32"/>
      <c r="P242" s="32"/>
      <c r="Q242" s="32"/>
      <c r="R242" s="32"/>
      <c r="S242" s="2"/>
      <c r="T242" s="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32"/>
      <c r="F243" s="32"/>
      <c r="G243" s="32"/>
      <c r="H243" s="73"/>
      <c r="I243" s="32"/>
      <c r="J243" s="69"/>
      <c r="K243" s="32"/>
      <c r="L243" s="32"/>
      <c r="M243" s="2"/>
      <c r="N243" s="2"/>
      <c r="O243" s="32"/>
      <c r="P243" s="32"/>
      <c r="Q243" s="32"/>
      <c r="R243" s="32"/>
      <c r="S243" s="2"/>
      <c r="T243" s="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32"/>
      <c r="F244" s="32"/>
      <c r="G244" s="32"/>
      <c r="H244" s="73"/>
      <c r="I244" s="32"/>
      <c r="J244" s="69"/>
      <c r="K244" s="32"/>
      <c r="L244" s="32"/>
      <c r="M244" s="2"/>
      <c r="N244" s="2"/>
      <c r="O244" s="32"/>
      <c r="P244" s="32"/>
      <c r="Q244" s="32"/>
      <c r="R244" s="32"/>
      <c r="S244" s="2"/>
      <c r="T244" s="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32"/>
      <c r="F245" s="32"/>
      <c r="G245" s="32"/>
      <c r="H245" s="73"/>
      <c r="I245" s="32"/>
      <c r="J245" s="69"/>
      <c r="K245" s="32"/>
      <c r="L245" s="32"/>
      <c r="M245" s="2"/>
      <c r="N245" s="2"/>
      <c r="O245" s="32"/>
      <c r="P245" s="32"/>
      <c r="Q245" s="32"/>
      <c r="R245" s="32"/>
      <c r="S245" s="2"/>
      <c r="T245" s="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32"/>
      <c r="F246" s="32"/>
      <c r="G246" s="32"/>
      <c r="H246" s="73"/>
      <c r="I246" s="32"/>
      <c r="J246" s="76"/>
      <c r="K246" s="32"/>
      <c r="L246" s="32"/>
      <c r="M246" s="2"/>
      <c r="N246" s="2"/>
      <c r="O246" s="32"/>
      <c r="P246" s="32"/>
      <c r="Q246" s="32"/>
      <c r="R246" s="32"/>
      <c r="S246" s="2"/>
      <c r="T246" s="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32"/>
      <c r="F247" s="32"/>
      <c r="G247" s="32"/>
      <c r="H247" s="73"/>
      <c r="I247" s="69"/>
      <c r="J247" s="69"/>
      <c r="K247" s="69"/>
      <c r="L247" s="32"/>
      <c r="M247" s="2"/>
      <c r="N247" s="2"/>
      <c r="O247" s="32"/>
      <c r="P247" s="32"/>
      <c r="Q247" s="32"/>
      <c r="R247" s="32"/>
      <c r="S247" s="2"/>
      <c r="T247" s="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32"/>
      <c r="E248" s="69"/>
      <c r="F248" s="69"/>
      <c r="G248" s="32"/>
      <c r="H248" s="75"/>
      <c r="I248" s="32"/>
      <c r="J248" s="32"/>
      <c r="K248" s="32"/>
      <c r="L248" s="32"/>
      <c r="M248" s="2"/>
      <c r="N248" s="2"/>
      <c r="O248" s="32"/>
      <c r="P248" s="32"/>
      <c r="Q248" s="32"/>
      <c r="R248" s="32"/>
      <c r="S248" s="2"/>
      <c r="T248" s="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32"/>
      <c r="E249" s="69"/>
      <c r="F249" s="69"/>
      <c r="G249" s="32"/>
      <c r="H249" s="75"/>
      <c r="I249" s="32"/>
      <c r="J249" s="32"/>
      <c r="K249" s="32"/>
      <c r="L249" s="32"/>
      <c r="M249" s="2"/>
      <c r="N249" s="2"/>
      <c r="O249" s="32"/>
      <c r="P249" s="32"/>
      <c r="Q249" s="32"/>
      <c r="R249" s="32"/>
      <c r="S249" s="2"/>
      <c r="T249" s="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32"/>
      <c r="E250" s="69"/>
      <c r="F250" s="69"/>
      <c r="G250" s="32"/>
      <c r="H250" s="75"/>
      <c r="I250" s="32"/>
      <c r="J250" s="32"/>
      <c r="K250" s="32"/>
      <c r="L250" s="32"/>
      <c r="M250" s="2"/>
      <c r="N250" s="2"/>
      <c r="O250" s="32"/>
      <c r="P250" s="32"/>
      <c r="Q250" s="32"/>
      <c r="R250" s="32"/>
      <c r="S250" s="2"/>
      <c r="T250" s="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32"/>
      <c r="E251" s="69"/>
      <c r="F251" s="69"/>
      <c r="G251" s="32"/>
      <c r="H251" s="70"/>
      <c r="I251" s="32"/>
      <c r="J251" s="32"/>
      <c r="K251" s="32"/>
      <c r="L251" s="32"/>
      <c r="M251" s="2"/>
      <c r="N251" s="2"/>
      <c r="O251" s="32"/>
      <c r="P251" s="32"/>
      <c r="Q251" s="32"/>
      <c r="R251" s="32"/>
      <c r="S251" s="2"/>
      <c r="T251" s="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32"/>
      <c r="F252" s="32"/>
      <c r="G252" s="32"/>
      <c r="H252" s="73"/>
      <c r="I252" s="69"/>
      <c r="J252" s="69"/>
      <c r="K252" s="69"/>
      <c r="L252" s="32"/>
      <c r="M252" s="2"/>
      <c r="N252" s="2"/>
      <c r="O252" s="32"/>
      <c r="P252" s="32"/>
      <c r="Q252" s="32"/>
      <c r="R252" s="32"/>
      <c r="S252" s="2"/>
      <c r="T252" s="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32"/>
      <c r="F253" s="32"/>
      <c r="G253" s="32"/>
      <c r="H253" s="73"/>
      <c r="I253" s="32"/>
      <c r="J253" s="69"/>
      <c r="K253" s="32"/>
      <c r="L253" s="32"/>
      <c r="M253" s="2"/>
      <c r="N253" s="2"/>
      <c r="O253" s="32"/>
      <c r="P253" s="32"/>
      <c r="Q253" s="32"/>
      <c r="R253" s="32"/>
      <c r="S253" s="2"/>
      <c r="T253" s="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32"/>
      <c r="F254" s="32"/>
      <c r="G254" s="32"/>
      <c r="H254" s="73"/>
      <c r="I254" s="32"/>
      <c r="J254" s="69"/>
      <c r="K254" s="32"/>
      <c r="L254" s="32"/>
      <c r="M254" s="2"/>
      <c r="N254" s="2"/>
      <c r="O254" s="32"/>
      <c r="P254" s="32"/>
      <c r="Q254" s="32"/>
      <c r="R254" s="32"/>
      <c r="S254" s="2"/>
      <c r="T254" s="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32"/>
      <c r="F255" s="32"/>
      <c r="G255" s="32"/>
      <c r="H255" s="73"/>
      <c r="I255" s="32"/>
      <c r="J255" s="69"/>
      <c r="K255" s="32"/>
      <c r="L255" s="32"/>
      <c r="M255" s="2"/>
      <c r="N255" s="2"/>
      <c r="O255" s="32"/>
      <c r="P255" s="32"/>
      <c r="Q255" s="32"/>
      <c r="R255" s="32"/>
      <c r="S255" s="2"/>
      <c r="T255" s="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32"/>
      <c r="F256" s="32"/>
      <c r="G256" s="32"/>
      <c r="H256" s="73"/>
      <c r="I256" s="32"/>
      <c r="J256" s="69"/>
      <c r="K256" s="32"/>
      <c r="L256" s="32"/>
      <c r="M256" s="2"/>
      <c r="N256" s="2"/>
      <c r="O256" s="32"/>
      <c r="P256" s="32"/>
      <c r="Q256" s="32"/>
      <c r="R256" s="32"/>
      <c r="S256" s="2"/>
      <c r="T256" s="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32"/>
      <c r="F257" s="32"/>
      <c r="G257" s="32"/>
      <c r="H257" s="73"/>
      <c r="I257" s="32"/>
      <c r="J257" s="69"/>
      <c r="K257" s="32"/>
      <c r="L257" s="32"/>
      <c r="M257" s="2"/>
      <c r="N257" s="2"/>
      <c r="O257" s="32"/>
      <c r="P257" s="32"/>
      <c r="Q257" s="32"/>
      <c r="R257" s="32"/>
      <c r="S257" s="2"/>
      <c r="T257" s="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32"/>
      <c r="F258" s="32"/>
      <c r="G258" s="32"/>
      <c r="H258" s="73"/>
      <c r="I258" s="32"/>
      <c r="J258" s="69"/>
      <c r="K258" s="32"/>
      <c r="L258" s="32"/>
      <c r="M258" s="2"/>
      <c r="N258" s="2"/>
      <c r="O258" s="32"/>
      <c r="P258" s="32"/>
      <c r="Q258" s="32"/>
      <c r="R258" s="32"/>
      <c r="S258" s="2"/>
      <c r="T258" s="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32"/>
      <c r="F259" s="32"/>
      <c r="G259" s="32"/>
      <c r="H259" s="73"/>
      <c r="I259" s="32"/>
      <c r="J259" s="32"/>
      <c r="K259" s="32"/>
      <c r="L259" s="32"/>
      <c r="M259" s="2"/>
      <c r="N259" s="2"/>
      <c r="O259" s="32"/>
      <c r="P259" s="32"/>
      <c r="Q259" s="32"/>
      <c r="R259" s="32"/>
      <c r="S259" s="2"/>
      <c r="T259" s="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32"/>
      <c r="F260" s="32"/>
      <c r="G260" s="32"/>
      <c r="H260" s="73"/>
      <c r="I260" s="32"/>
      <c r="J260" s="32"/>
      <c r="K260" s="32"/>
      <c r="L260" s="32"/>
      <c r="M260" s="2"/>
      <c r="N260" s="2"/>
      <c r="O260" s="32"/>
      <c r="P260" s="32"/>
      <c r="Q260" s="32"/>
      <c r="R260" s="32"/>
      <c r="S260" s="2"/>
      <c r="T260" s="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32"/>
      <c r="F261" s="32"/>
      <c r="G261" s="32"/>
      <c r="H261" s="73"/>
      <c r="I261" s="32"/>
      <c r="J261" s="32"/>
      <c r="K261" s="32"/>
      <c r="L261" s="32"/>
      <c r="M261" s="2"/>
      <c r="N261" s="2"/>
      <c r="O261" s="32"/>
      <c r="P261" s="32"/>
      <c r="Q261" s="32"/>
      <c r="R261" s="32"/>
      <c r="S261" s="2"/>
      <c r="T261" s="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32"/>
      <c r="F262" s="32"/>
      <c r="G262" s="32"/>
      <c r="H262" s="73"/>
      <c r="I262" s="32"/>
      <c r="J262" s="32"/>
      <c r="K262" s="32"/>
      <c r="L262" s="32"/>
      <c r="M262" s="2"/>
      <c r="N262" s="2"/>
      <c r="O262" s="32"/>
      <c r="P262" s="32"/>
      <c r="Q262" s="32"/>
      <c r="R262" s="32"/>
      <c r="S262" s="2"/>
      <c r="T262" s="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32"/>
      <c r="F263" s="32"/>
      <c r="G263" s="32"/>
      <c r="H263" s="73"/>
      <c r="I263" s="32"/>
      <c r="J263" s="32"/>
      <c r="K263" s="32"/>
      <c r="L263" s="32"/>
      <c r="M263" s="2"/>
      <c r="N263" s="2"/>
      <c r="O263" s="32"/>
      <c r="P263" s="32"/>
      <c r="Q263" s="32"/>
      <c r="R263" s="32"/>
      <c r="S263" s="2"/>
      <c r="T263" s="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32"/>
      <c r="F264" s="32"/>
      <c r="G264" s="32"/>
      <c r="H264" s="73"/>
      <c r="I264" s="32"/>
      <c r="J264" s="32"/>
      <c r="K264" s="32"/>
      <c r="L264" s="32"/>
      <c r="M264" s="2"/>
      <c r="N264" s="2"/>
      <c r="O264" s="32"/>
      <c r="P264" s="32"/>
      <c r="Q264" s="32"/>
      <c r="R264" s="32"/>
      <c r="S264" s="2"/>
      <c r="T264" s="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32"/>
      <c r="F265" s="32"/>
      <c r="G265" s="32"/>
      <c r="H265" s="73"/>
      <c r="I265" s="32"/>
      <c r="J265" s="32"/>
      <c r="K265" s="32"/>
      <c r="L265" s="32"/>
      <c r="M265" s="2"/>
      <c r="N265" s="2"/>
      <c r="O265" s="32"/>
      <c r="P265" s="32"/>
      <c r="Q265" s="32"/>
      <c r="R265" s="32"/>
      <c r="S265" s="2"/>
      <c r="T265" s="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32"/>
      <c r="F266" s="32"/>
      <c r="G266" s="32"/>
      <c r="H266" s="73"/>
      <c r="I266" s="32"/>
      <c r="J266" s="32"/>
      <c r="K266" s="32"/>
      <c r="L266" s="32"/>
      <c r="M266" s="2"/>
      <c r="N266" s="2"/>
      <c r="O266" s="32"/>
      <c r="P266" s="32"/>
      <c r="Q266" s="32"/>
      <c r="R266" s="32"/>
      <c r="S266" s="2"/>
      <c r="T266" s="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32"/>
      <c r="F267" s="32"/>
      <c r="G267" s="32"/>
      <c r="H267" s="73"/>
      <c r="I267" s="32"/>
      <c r="J267" s="32"/>
      <c r="K267" s="32"/>
      <c r="L267" s="32"/>
      <c r="M267" s="2"/>
      <c r="N267" s="2"/>
      <c r="O267" s="32"/>
      <c r="P267" s="32"/>
      <c r="Q267" s="32"/>
      <c r="R267" s="32"/>
      <c r="S267" s="2"/>
      <c r="T267" s="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32"/>
      <c r="F268" s="32"/>
      <c r="G268" s="32"/>
      <c r="H268" s="73"/>
      <c r="I268" s="32"/>
      <c r="J268" s="32"/>
      <c r="K268" s="32"/>
      <c r="L268" s="32"/>
      <c r="M268" s="2"/>
      <c r="N268" s="2"/>
      <c r="O268" s="32"/>
      <c r="P268" s="32"/>
      <c r="Q268" s="32"/>
      <c r="R268" s="32"/>
      <c r="S268" s="2"/>
      <c r="T268" s="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32"/>
      <c r="F269" s="32"/>
      <c r="G269" s="32"/>
      <c r="H269" s="73"/>
      <c r="I269" s="32"/>
      <c r="J269" s="32"/>
      <c r="K269" s="32"/>
      <c r="L269" s="32"/>
      <c r="M269" s="2"/>
      <c r="N269" s="2"/>
      <c r="O269" s="32"/>
      <c r="P269" s="32"/>
      <c r="Q269" s="32"/>
      <c r="R269" s="32"/>
      <c r="S269" s="2"/>
      <c r="T269" s="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32"/>
      <c r="F270" s="32"/>
      <c r="G270" s="32"/>
      <c r="H270" s="73"/>
      <c r="I270" s="32"/>
      <c r="J270" s="32"/>
      <c r="K270" s="32"/>
      <c r="L270" s="32"/>
      <c r="M270" s="2"/>
      <c r="N270" s="2"/>
      <c r="O270" s="32"/>
      <c r="P270" s="32"/>
      <c r="Q270" s="32"/>
      <c r="R270" s="32"/>
      <c r="S270" s="2"/>
      <c r="T270" s="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32"/>
      <c r="F271" s="32"/>
      <c r="G271" s="32"/>
      <c r="H271" s="73"/>
      <c r="I271" s="32"/>
      <c r="J271" s="32"/>
      <c r="K271" s="32"/>
      <c r="L271" s="32"/>
      <c r="M271" s="2"/>
      <c r="N271" s="2"/>
      <c r="O271" s="32"/>
      <c r="P271" s="32"/>
      <c r="Q271" s="32"/>
      <c r="R271" s="32"/>
      <c r="S271" s="2"/>
      <c r="T271" s="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32"/>
      <c r="F272" s="32"/>
      <c r="G272" s="32"/>
      <c r="H272" s="73"/>
      <c r="I272" s="32"/>
      <c r="J272" s="32"/>
      <c r="K272" s="32"/>
      <c r="L272" s="32"/>
      <c r="M272" s="2"/>
      <c r="N272" s="2"/>
      <c r="O272" s="32"/>
      <c r="P272" s="32"/>
      <c r="Q272" s="32"/>
      <c r="R272" s="32"/>
      <c r="S272" s="2"/>
      <c r="T272" s="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32"/>
      <c r="F273" s="32"/>
      <c r="G273" s="32"/>
      <c r="H273" s="73"/>
      <c r="I273" s="32"/>
      <c r="J273" s="32"/>
      <c r="K273" s="32"/>
      <c r="L273" s="32"/>
      <c r="M273" s="2"/>
      <c r="N273" s="2"/>
      <c r="O273" s="32"/>
      <c r="P273" s="32"/>
      <c r="Q273" s="32"/>
      <c r="R273" s="32"/>
      <c r="S273" s="2"/>
      <c r="T273" s="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32"/>
      <c r="F274" s="32"/>
      <c r="G274" s="32"/>
      <c r="H274" s="73"/>
      <c r="I274" s="32"/>
      <c r="J274" s="32"/>
      <c r="K274" s="32"/>
      <c r="L274" s="32"/>
      <c r="M274" s="2"/>
      <c r="N274" s="2"/>
      <c r="O274" s="32"/>
      <c r="P274" s="32"/>
      <c r="Q274" s="32"/>
      <c r="R274" s="32"/>
      <c r="S274" s="2"/>
      <c r="T274" s="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32"/>
      <c r="F275" s="32"/>
      <c r="G275" s="32"/>
      <c r="H275" s="73"/>
      <c r="I275" s="32"/>
      <c r="J275" s="32"/>
      <c r="K275" s="32"/>
      <c r="L275" s="32"/>
      <c r="M275" s="2"/>
      <c r="N275" s="2"/>
      <c r="O275" s="32"/>
      <c r="P275" s="32"/>
      <c r="Q275" s="32"/>
      <c r="R275" s="32"/>
      <c r="S275" s="2"/>
      <c r="T275" s="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32"/>
      <c r="F276" s="32"/>
      <c r="G276" s="32"/>
      <c r="H276" s="73"/>
      <c r="I276" s="32"/>
      <c r="J276" s="32"/>
      <c r="K276" s="32"/>
      <c r="L276" s="32"/>
      <c r="M276" s="2"/>
      <c r="N276" s="2"/>
      <c r="O276" s="32"/>
      <c r="P276" s="32"/>
      <c r="Q276" s="32"/>
      <c r="R276" s="32"/>
      <c r="S276" s="2"/>
      <c r="T276" s="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32"/>
      <c r="F277" s="32"/>
      <c r="G277" s="32"/>
      <c r="H277" s="73"/>
      <c r="I277" s="32"/>
      <c r="J277" s="32"/>
      <c r="K277" s="32"/>
      <c r="L277" s="32"/>
      <c r="M277" s="2"/>
      <c r="N277" s="2"/>
      <c r="O277" s="32"/>
      <c r="P277" s="32"/>
      <c r="Q277" s="32"/>
      <c r="R277" s="32"/>
      <c r="S277" s="2"/>
      <c r="T277" s="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32"/>
      <c r="F278" s="32"/>
      <c r="G278" s="32"/>
      <c r="H278" s="73"/>
      <c r="I278" s="32"/>
      <c r="J278" s="32"/>
      <c r="K278" s="32"/>
      <c r="L278" s="32"/>
      <c r="M278" s="2"/>
      <c r="N278" s="2"/>
      <c r="O278" s="32"/>
      <c r="P278" s="32"/>
      <c r="Q278" s="32"/>
      <c r="R278" s="32"/>
      <c r="S278" s="2"/>
      <c r="T278" s="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32"/>
      <c r="F279" s="32"/>
      <c r="G279" s="32"/>
      <c r="H279" s="73"/>
      <c r="I279" s="32"/>
      <c r="J279" s="32"/>
      <c r="K279" s="32"/>
      <c r="L279" s="32"/>
      <c r="M279" s="2"/>
      <c r="N279" s="2"/>
      <c r="O279" s="32"/>
      <c r="P279" s="32"/>
      <c r="Q279" s="32"/>
      <c r="R279" s="32"/>
      <c r="S279" s="2"/>
      <c r="T279" s="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32"/>
      <c r="F280" s="32"/>
      <c r="G280" s="32"/>
      <c r="H280" s="73"/>
      <c r="I280" s="32"/>
      <c r="J280" s="32"/>
      <c r="K280" s="32"/>
      <c r="L280" s="32"/>
      <c r="M280" s="2"/>
      <c r="N280" s="2"/>
      <c r="O280" s="32"/>
      <c r="P280" s="32"/>
      <c r="Q280" s="32"/>
      <c r="R280" s="32"/>
      <c r="S280" s="2"/>
      <c r="T280" s="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32"/>
      <c r="F281" s="32"/>
      <c r="G281" s="32"/>
      <c r="H281" s="73"/>
      <c r="I281" s="32"/>
      <c r="J281" s="32"/>
      <c r="K281" s="32"/>
      <c r="L281" s="32"/>
      <c r="M281" s="2"/>
      <c r="N281" s="2"/>
      <c r="O281" s="32"/>
      <c r="P281" s="32"/>
      <c r="Q281" s="32"/>
      <c r="R281" s="32"/>
      <c r="S281" s="2"/>
      <c r="T281" s="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32"/>
      <c r="F282" s="32"/>
      <c r="G282" s="32"/>
      <c r="H282" s="73"/>
      <c r="I282" s="32"/>
      <c r="J282" s="32"/>
      <c r="K282" s="32"/>
      <c r="L282" s="32"/>
      <c r="M282" s="2"/>
      <c r="N282" s="2"/>
      <c r="O282" s="32"/>
      <c r="P282" s="32"/>
      <c r="Q282" s="32"/>
      <c r="R282" s="32"/>
      <c r="S282" s="2"/>
      <c r="T282" s="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32"/>
      <c r="F283" s="32"/>
      <c r="G283" s="32"/>
      <c r="H283" s="73"/>
      <c r="I283" s="32"/>
      <c r="J283" s="32"/>
      <c r="K283" s="32"/>
      <c r="L283" s="32"/>
      <c r="M283" s="2"/>
      <c r="N283" s="2"/>
      <c r="O283" s="32"/>
      <c r="P283" s="32"/>
      <c r="Q283" s="32"/>
      <c r="R283" s="32"/>
      <c r="S283" s="2"/>
      <c r="T283" s="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32"/>
      <c r="F284" s="32"/>
      <c r="G284" s="32"/>
      <c r="H284" s="73"/>
      <c r="I284" s="32"/>
      <c r="J284" s="32"/>
      <c r="K284" s="32"/>
      <c r="L284" s="32"/>
      <c r="M284" s="2"/>
      <c r="N284" s="2"/>
      <c r="O284" s="32"/>
      <c r="P284" s="32"/>
      <c r="Q284" s="32"/>
      <c r="R284" s="32"/>
      <c r="S284" s="2"/>
      <c r="T284" s="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32"/>
      <c r="F285" s="32"/>
      <c r="G285" s="32"/>
      <c r="H285" s="73"/>
      <c r="I285" s="32"/>
      <c r="J285" s="32"/>
      <c r="K285" s="32"/>
      <c r="L285" s="32"/>
      <c r="M285" s="2"/>
      <c r="N285" s="2"/>
      <c r="O285" s="32"/>
      <c r="P285" s="32"/>
      <c r="Q285" s="32"/>
      <c r="R285" s="32"/>
      <c r="S285" s="2"/>
      <c r="T285" s="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32"/>
      <c r="F286" s="32"/>
      <c r="G286" s="32"/>
      <c r="H286" s="73"/>
      <c r="I286" s="32"/>
      <c r="J286" s="32"/>
      <c r="K286" s="32"/>
      <c r="L286" s="32"/>
      <c r="M286" s="2"/>
      <c r="N286" s="2"/>
      <c r="O286" s="32"/>
      <c r="P286" s="32"/>
      <c r="Q286" s="32"/>
      <c r="R286" s="32"/>
      <c r="S286" s="2"/>
      <c r="T286" s="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32"/>
      <c r="F287" s="32"/>
      <c r="G287" s="32"/>
      <c r="H287" s="73"/>
      <c r="I287" s="32"/>
      <c r="J287" s="32"/>
      <c r="K287" s="32"/>
      <c r="L287" s="32"/>
      <c r="M287" s="2"/>
      <c r="N287" s="2"/>
      <c r="O287" s="32"/>
      <c r="P287" s="32"/>
      <c r="Q287" s="32"/>
      <c r="R287" s="32"/>
      <c r="S287" s="2"/>
      <c r="T287" s="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32"/>
      <c r="F288" s="32"/>
      <c r="G288" s="32"/>
      <c r="H288" s="73"/>
      <c r="I288" s="32"/>
      <c r="J288" s="32"/>
      <c r="K288" s="32"/>
      <c r="L288" s="32"/>
      <c r="M288" s="2"/>
      <c r="N288" s="2"/>
      <c r="O288" s="32"/>
      <c r="P288" s="32"/>
      <c r="Q288" s="32"/>
      <c r="R288" s="32"/>
      <c r="S288" s="2"/>
      <c r="T288" s="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32"/>
      <c r="F289" s="32"/>
      <c r="G289" s="32"/>
      <c r="H289" s="73"/>
      <c r="I289" s="32"/>
      <c r="J289" s="32"/>
      <c r="K289" s="32"/>
      <c r="L289" s="32"/>
      <c r="M289" s="2"/>
      <c r="N289" s="2"/>
      <c r="O289" s="32"/>
      <c r="P289" s="32"/>
      <c r="Q289" s="32"/>
      <c r="R289" s="32"/>
      <c r="S289" s="2"/>
      <c r="T289" s="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32"/>
      <c r="F290" s="32"/>
      <c r="G290" s="32"/>
      <c r="H290" s="73"/>
      <c r="I290" s="32"/>
      <c r="J290" s="32"/>
      <c r="K290" s="32"/>
      <c r="L290" s="32"/>
      <c r="M290" s="2"/>
      <c r="N290" s="2"/>
      <c r="O290" s="32"/>
      <c r="P290" s="32"/>
      <c r="Q290" s="32"/>
      <c r="R290" s="32"/>
      <c r="S290" s="2"/>
      <c r="T290" s="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32"/>
      <c r="F291" s="32"/>
      <c r="G291" s="32"/>
      <c r="H291" s="73"/>
      <c r="I291" s="32"/>
      <c r="J291" s="32"/>
      <c r="K291" s="32"/>
      <c r="L291" s="32"/>
      <c r="M291" s="2"/>
      <c r="N291" s="2"/>
      <c r="O291" s="32"/>
      <c r="P291" s="32"/>
      <c r="Q291" s="32"/>
      <c r="R291" s="32"/>
      <c r="S291" s="2"/>
      <c r="T291" s="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32"/>
      <c r="F292" s="32"/>
      <c r="G292" s="32"/>
      <c r="H292" s="73"/>
      <c r="I292" s="32"/>
      <c r="J292" s="32"/>
      <c r="K292" s="32"/>
      <c r="L292" s="32"/>
      <c r="M292" s="2"/>
      <c r="N292" s="2"/>
      <c r="O292" s="32"/>
      <c r="P292" s="32"/>
      <c r="Q292" s="32"/>
      <c r="R292" s="32"/>
      <c r="S292" s="2"/>
      <c r="T292" s="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32"/>
      <c r="F293" s="32"/>
      <c r="G293" s="32"/>
      <c r="H293" s="73"/>
      <c r="I293" s="32"/>
      <c r="J293" s="32"/>
      <c r="K293" s="32"/>
      <c r="L293" s="32"/>
      <c r="M293" s="2"/>
      <c r="N293" s="2"/>
      <c r="O293" s="32"/>
      <c r="P293" s="32"/>
      <c r="Q293" s="32"/>
      <c r="R293" s="32"/>
      <c r="S293" s="2"/>
      <c r="T293" s="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32"/>
      <c r="F294" s="32"/>
      <c r="G294" s="32"/>
      <c r="H294" s="73"/>
      <c r="I294" s="32"/>
      <c r="J294" s="32"/>
      <c r="K294" s="32"/>
      <c r="L294" s="32"/>
      <c r="M294" s="2"/>
      <c r="N294" s="2"/>
      <c r="O294" s="32"/>
      <c r="P294" s="32"/>
      <c r="Q294" s="32"/>
      <c r="R294" s="32"/>
      <c r="S294" s="2"/>
      <c r="T294" s="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32"/>
      <c r="F295" s="32"/>
      <c r="G295" s="32"/>
      <c r="H295" s="73"/>
      <c r="I295" s="32"/>
      <c r="J295" s="32"/>
      <c r="K295" s="32"/>
      <c r="L295" s="32"/>
      <c r="M295" s="2"/>
      <c r="N295" s="2"/>
      <c r="O295" s="32"/>
      <c r="P295" s="32"/>
      <c r="Q295" s="32"/>
      <c r="R295" s="32"/>
      <c r="S295" s="2"/>
      <c r="T295" s="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32"/>
      <c r="F296" s="32"/>
      <c r="G296" s="32"/>
      <c r="H296" s="73"/>
      <c r="I296" s="32"/>
      <c r="J296" s="32"/>
      <c r="K296" s="32"/>
      <c r="L296" s="32"/>
      <c r="M296" s="2"/>
      <c r="N296" s="2"/>
      <c r="O296" s="32"/>
      <c r="P296" s="32"/>
      <c r="Q296" s="32"/>
      <c r="R296" s="32"/>
      <c r="S296" s="2"/>
      <c r="T296" s="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32"/>
      <c r="F297" s="32"/>
      <c r="G297" s="32"/>
      <c r="H297" s="73"/>
      <c r="I297" s="32"/>
      <c r="J297" s="32"/>
      <c r="K297" s="32"/>
      <c r="L297" s="32"/>
      <c r="M297" s="2"/>
      <c r="N297" s="2"/>
      <c r="O297" s="32"/>
      <c r="P297" s="32"/>
      <c r="Q297" s="32"/>
      <c r="R297" s="32"/>
      <c r="S297" s="2"/>
      <c r="T297" s="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32"/>
      <c r="F298" s="32"/>
      <c r="G298" s="32"/>
      <c r="H298" s="73"/>
      <c r="I298" s="32"/>
      <c r="J298" s="32"/>
      <c r="K298" s="32"/>
      <c r="L298" s="32"/>
      <c r="M298" s="2"/>
      <c r="N298" s="2"/>
      <c r="O298" s="32"/>
      <c r="P298" s="32"/>
      <c r="Q298" s="32"/>
      <c r="R298" s="32"/>
      <c r="S298" s="2"/>
      <c r="T298" s="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32"/>
      <c r="F299" s="32"/>
      <c r="G299" s="32"/>
      <c r="H299" s="73"/>
      <c r="I299" s="32"/>
      <c r="J299" s="32"/>
      <c r="K299" s="32"/>
      <c r="L299" s="32"/>
      <c r="M299" s="2"/>
      <c r="N299" s="2"/>
      <c r="O299" s="32"/>
      <c r="P299" s="32"/>
      <c r="Q299" s="32"/>
      <c r="R299" s="32"/>
      <c r="S299" s="2"/>
      <c r="T299" s="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32"/>
      <c r="F300" s="32"/>
      <c r="G300" s="32"/>
      <c r="H300" s="73"/>
      <c r="I300" s="32"/>
      <c r="J300" s="32"/>
      <c r="K300" s="32"/>
      <c r="L300" s="32"/>
      <c r="M300" s="2"/>
      <c r="N300" s="2"/>
      <c r="O300" s="32"/>
      <c r="P300" s="32"/>
      <c r="Q300" s="32"/>
      <c r="R300" s="32"/>
      <c r="S300" s="2"/>
      <c r="T300" s="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32"/>
      <c r="F301" s="32"/>
      <c r="G301" s="32"/>
      <c r="H301" s="73"/>
      <c r="I301" s="32"/>
      <c r="J301" s="32"/>
      <c r="K301" s="32"/>
      <c r="L301" s="32"/>
      <c r="M301" s="2"/>
      <c r="N301" s="2"/>
      <c r="O301" s="32"/>
      <c r="P301" s="32"/>
      <c r="Q301" s="32"/>
      <c r="R301" s="32"/>
      <c r="S301" s="2"/>
      <c r="T301" s="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32"/>
      <c r="F302" s="32"/>
      <c r="G302" s="32"/>
      <c r="H302" s="73"/>
      <c r="I302" s="32"/>
      <c r="J302" s="32"/>
      <c r="K302" s="32"/>
      <c r="L302" s="32"/>
      <c r="M302" s="2"/>
      <c r="N302" s="2"/>
      <c r="O302" s="32"/>
      <c r="P302" s="32"/>
      <c r="Q302" s="32"/>
      <c r="R302" s="32"/>
      <c r="S302" s="2"/>
      <c r="T302" s="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32"/>
      <c r="F303" s="32"/>
      <c r="G303" s="32"/>
      <c r="H303" s="73"/>
      <c r="I303" s="32"/>
      <c r="J303" s="32"/>
      <c r="K303" s="32"/>
      <c r="L303" s="32"/>
      <c r="M303" s="2"/>
      <c r="N303" s="2"/>
      <c r="O303" s="32"/>
      <c r="P303" s="32"/>
      <c r="Q303" s="32"/>
      <c r="R303" s="32"/>
      <c r="S303" s="2"/>
      <c r="T303" s="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32"/>
      <c r="F304" s="32"/>
      <c r="G304" s="32"/>
      <c r="H304" s="73"/>
      <c r="I304" s="32"/>
      <c r="J304" s="32"/>
      <c r="K304" s="32"/>
      <c r="L304" s="32"/>
      <c r="M304" s="2"/>
      <c r="N304" s="2"/>
      <c r="O304" s="32"/>
      <c r="P304" s="32"/>
      <c r="Q304" s="32"/>
      <c r="R304" s="32"/>
      <c r="S304" s="2"/>
      <c r="T304" s="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32"/>
      <c r="F305" s="32"/>
      <c r="G305" s="32"/>
      <c r="H305" s="73"/>
      <c r="I305" s="32"/>
      <c r="J305" s="32"/>
      <c r="K305" s="32"/>
      <c r="L305" s="32"/>
      <c r="M305" s="2"/>
      <c r="N305" s="2"/>
      <c r="O305" s="32"/>
      <c r="P305" s="32"/>
      <c r="Q305" s="32"/>
      <c r="R305" s="32"/>
      <c r="S305" s="2"/>
      <c r="T305" s="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32"/>
      <c r="F306" s="32"/>
      <c r="G306" s="32"/>
      <c r="H306" s="73"/>
      <c r="I306" s="32"/>
      <c r="J306" s="32"/>
      <c r="K306" s="32"/>
      <c r="L306" s="32"/>
      <c r="M306" s="2"/>
      <c r="N306" s="2"/>
      <c r="O306" s="32"/>
      <c r="P306" s="32"/>
      <c r="Q306" s="32"/>
      <c r="R306" s="32"/>
      <c r="S306" s="2"/>
      <c r="T306" s="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32"/>
      <c r="F307" s="32"/>
      <c r="G307" s="32"/>
      <c r="H307" s="73"/>
      <c r="I307" s="32"/>
      <c r="J307" s="32"/>
      <c r="K307" s="32"/>
      <c r="L307" s="32"/>
      <c r="M307" s="2"/>
      <c r="N307" s="2"/>
      <c r="O307" s="32"/>
      <c r="P307" s="32"/>
      <c r="Q307" s="32"/>
      <c r="R307" s="32"/>
      <c r="S307" s="2"/>
      <c r="T307" s="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32"/>
      <c r="F308" s="32"/>
      <c r="G308" s="32"/>
      <c r="H308" s="73"/>
      <c r="I308" s="32"/>
      <c r="J308" s="32"/>
      <c r="K308" s="32"/>
      <c r="L308" s="32"/>
      <c r="M308" s="2"/>
      <c r="N308" s="2"/>
      <c r="O308" s="32"/>
      <c r="P308" s="32"/>
      <c r="Q308" s="32"/>
      <c r="R308" s="32"/>
      <c r="S308" s="2"/>
      <c r="T308" s="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32"/>
      <c r="F309" s="32"/>
      <c r="G309" s="32"/>
      <c r="H309" s="73"/>
      <c r="I309" s="32"/>
      <c r="J309" s="32"/>
      <c r="K309" s="32"/>
      <c r="L309" s="32"/>
      <c r="M309" s="2"/>
      <c r="N309" s="2"/>
      <c r="O309" s="32"/>
      <c r="P309" s="32"/>
      <c r="Q309" s="32"/>
      <c r="R309" s="32"/>
      <c r="S309" s="2"/>
      <c r="T309" s="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32"/>
      <c r="F310" s="32"/>
      <c r="G310" s="32"/>
      <c r="H310" s="73"/>
      <c r="I310" s="32"/>
      <c r="J310" s="32"/>
      <c r="K310" s="32"/>
      <c r="L310" s="32"/>
      <c r="M310" s="2"/>
      <c r="N310" s="2"/>
      <c r="O310" s="32"/>
      <c r="P310" s="32"/>
      <c r="Q310" s="32"/>
      <c r="R310" s="32"/>
      <c r="S310" s="2"/>
      <c r="T310" s="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32"/>
      <c r="F311" s="32"/>
      <c r="G311" s="32"/>
      <c r="H311" s="73"/>
      <c r="I311" s="32"/>
      <c r="J311" s="32"/>
      <c r="K311" s="32"/>
      <c r="L311" s="32"/>
      <c r="M311" s="2"/>
      <c r="N311" s="2"/>
      <c r="O311" s="32"/>
      <c r="P311" s="32"/>
      <c r="Q311" s="32"/>
      <c r="R311" s="32"/>
      <c r="S311" s="2"/>
      <c r="T311" s="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32"/>
      <c r="F312" s="32"/>
      <c r="G312" s="32"/>
      <c r="H312" s="73"/>
      <c r="I312" s="32"/>
      <c r="J312" s="32"/>
      <c r="K312" s="32"/>
      <c r="L312" s="32"/>
      <c r="M312" s="2"/>
      <c r="N312" s="2"/>
      <c r="O312" s="32"/>
      <c r="P312" s="32"/>
      <c r="Q312" s="32"/>
      <c r="R312" s="32"/>
      <c r="S312" s="2"/>
      <c r="T312" s="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32"/>
      <c r="F313" s="32"/>
      <c r="G313" s="32"/>
      <c r="H313" s="73"/>
      <c r="I313" s="32"/>
      <c r="J313" s="32"/>
      <c r="K313" s="32"/>
      <c r="L313" s="32"/>
      <c r="M313" s="2"/>
      <c r="N313" s="2"/>
      <c r="O313" s="32"/>
      <c r="P313" s="32"/>
      <c r="Q313" s="32"/>
      <c r="R313" s="32"/>
      <c r="S313" s="2"/>
      <c r="T313" s="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32"/>
      <c r="F314" s="32"/>
      <c r="G314" s="32"/>
      <c r="H314" s="73"/>
      <c r="I314" s="32"/>
      <c r="J314" s="32"/>
      <c r="K314" s="32"/>
      <c r="L314" s="32"/>
      <c r="M314" s="2"/>
      <c r="N314" s="2"/>
      <c r="O314" s="32"/>
      <c r="P314" s="32"/>
      <c r="Q314" s="32"/>
      <c r="R314" s="32"/>
      <c r="S314" s="2"/>
      <c r="T314" s="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32"/>
      <c r="F315" s="32"/>
      <c r="G315" s="32"/>
      <c r="H315" s="73"/>
      <c r="I315" s="32"/>
      <c r="J315" s="32"/>
      <c r="K315" s="32"/>
      <c r="L315" s="32"/>
      <c r="M315" s="2"/>
      <c r="N315" s="2"/>
      <c r="O315" s="32"/>
      <c r="P315" s="32"/>
      <c r="Q315" s="32"/>
      <c r="R315" s="32"/>
      <c r="S315" s="2"/>
      <c r="T315" s="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32"/>
      <c r="F316" s="32"/>
      <c r="G316" s="32"/>
      <c r="H316" s="73"/>
      <c r="I316" s="32"/>
      <c r="J316" s="32"/>
      <c r="K316" s="32"/>
      <c r="L316" s="32"/>
      <c r="M316" s="2"/>
      <c r="N316" s="2"/>
      <c r="O316" s="32"/>
      <c r="P316" s="32"/>
      <c r="Q316" s="32"/>
      <c r="R316" s="32"/>
      <c r="S316" s="2"/>
      <c r="T316" s="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32"/>
      <c r="F317" s="32"/>
      <c r="G317" s="32"/>
      <c r="H317" s="73"/>
      <c r="I317" s="32"/>
      <c r="J317" s="32"/>
      <c r="K317" s="32"/>
      <c r="L317" s="32"/>
      <c r="M317" s="2"/>
      <c r="N317" s="2"/>
      <c r="O317" s="32"/>
      <c r="P317" s="32"/>
      <c r="Q317" s="32"/>
      <c r="R317" s="32"/>
      <c r="S317" s="2"/>
      <c r="T317" s="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32"/>
      <c r="F318" s="32"/>
      <c r="G318" s="32"/>
      <c r="H318" s="73"/>
      <c r="I318" s="32"/>
      <c r="J318" s="32"/>
      <c r="K318" s="32"/>
      <c r="L318" s="32"/>
      <c r="M318" s="2"/>
      <c r="N318" s="2"/>
      <c r="O318" s="32"/>
      <c r="P318" s="32"/>
      <c r="Q318" s="32"/>
      <c r="R318" s="32"/>
      <c r="S318" s="2"/>
      <c r="T318" s="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32"/>
      <c r="F319" s="32"/>
      <c r="G319" s="32"/>
      <c r="H319" s="73"/>
      <c r="I319" s="32"/>
      <c r="J319" s="32"/>
      <c r="K319" s="32"/>
      <c r="L319" s="32"/>
      <c r="M319" s="2"/>
      <c r="N319" s="2"/>
      <c r="O319" s="32"/>
      <c r="P319" s="32"/>
      <c r="Q319" s="32"/>
      <c r="R319" s="32"/>
      <c r="S319" s="2"/>
      <c r="T319" s="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32"/>
      <c r="F320" s="32"/>
      <c r="G320" s="32"/>
      <c r="H320" s="73"/>
      <c r="I320" s="32"/>
      <c r="J320" s="32"/>
      <c r="K320" s="32"/>
      <c r="L320" s="32"/>
      <c r="M320" s="2"/>
      <c r="N320" s="2"/>
      <c r="O320" s="32"/>
      <c r="P320" s="32"/>
      <c r="Q320" s="32"/>
      <c r="R320" s="32"/>
      <c r="S320" s="2"/>
      <c r="T320" s="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32"/>
      <c r="F321" s="32"/>
      <c r="G321" s="32"/>
      <c r="H321" s="73"/>
      <c r="I321" s="32"/>
      <c r="J321" s="32"/>
      <c r="K321" s="32"/>
      <c r="L321" s="32"/>
      <c r="M321" s="2"/>
      <c r="N321" s="2"/>
      <c r="O321" s="32"/>
      <c r="P321" s="32"/>
      <c r="Q321" s="32"/>
      <c r="R321" s="32"/>
      <c r="S321" s="2"/>
      <c r="T321" s="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32"/>
      <c r="F322" s="32"/>
      <c r="G322" s="32"/>
      <c r="H322" s="73"/>
      <c r="I322" s="32"/>
      <c r="J322" s="32"/>
      <c r="K322" s="32"/>
      <c r="L322" s="32"/>
      <c r="M322" s="2"/>
      <c r="N322" s="2"/>
      <c r="O322" s="32"/>
      <c r="P322" s="32"/>
      <c r="Q322" s="32"/>
      <c r="R322" s="32"/>
      <c r="S322" s="2"/>
      <c r="T322" s="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32"/>
      <c r="F323" s="32"/>
      <c r="G323" s="32"/>
      <c r="H323" s="73"/>
      <c r="I323" s="32"/>
      <c r="J323" s="32"/>
      <c r="K323" s="32"/>
      <c r="L323" s="32"/>
      <c r="M323" s="2"/>
      <c r="N323" s="2"/>
      <c r="O323" s="32"/>
      <c r="P323" s="32"/>
      <c r="Q323" s="32"/>
      <c r="R323" s="32"/>
      <c r="S323" s="2"/>
      <c r="T323" s="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32"/>
      <c r="F324" s="32"/>
      <c r="G324" s="32"/>
      <c r="H324" s="73"/>
      <c r="I324" s="32"/>
      <c r="J324" s="32"/>
      <c r="K324" s="32"/>
      <c r="L324" s="32"/>
      <c r="M324" s="2"/>
      <c r="N324" s="2"/>
      <c r="O324" s="32"/>
      <c r="P324" s="32"/>
      <c r="Q324" s="32"/>
      <c r="R324" s="32"/>
      <c r="S324" s="2"/>
      <c r="T324" s="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32"/>
      <c r="F325" s="32"/>
      <c r="G325" s="32"/>
      <c r="H325" s="73"/>
      <c r="I325" s="32"/>
      <c r="J325" s="32"/>
      <c r="K325" s="32"/>
      <c r="L325" s="32"/>
      <c r="M325" s="2"/>
      <c r="N325" s="2"/>
      <c r="O325" s="32"/>
      <c r="P325" s="32"/>
      <c r="Q325" s="32"/>
      <c r="R325" s="32"/>
      <c r="S325" s="2"/>
      <c r="T325" s="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32"/>
      <c r="F326" s="32"/>
      <c r="G326" s="32"/>
      <c r="H326" s="73"/>
      <c r="I326" s="32"/>
      <c r="J326" s="32"/>
      <c r="K326" s="32"/>
      <c r="L326" s="32"/>
      <c r="M326" s="2"/>
      <c r="N326" s="2"/>
      <c r="O326" s="32"/>
      <c r="P326" s="32"/>
      <c r="Q326" s="32"/>
      <c r="R326" s="32"/>
      <c r="S326" s="2"/>
      <c r="T326" s="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32"/>
      <c r="F327" s="32"/>
      <c r="G327" s="32"/>
      <c r="H327" s="73"/>
      <c r="I327" s="32"/>
      <c r="J327" s="32"/>
      <c r="K327" s="32"/>
      <c r="L327" s="32"/>
      <c r="M327" s="2"/>
      <c r="N327" s="2"/>
      <c r="O327" s="32"/>
      <c r="P327" s="32"/>
      <c r="Q327" s="32"/>
      <c r="R327" s="32"/>
      <c r="S327" s="2"/>
      <c r="T327" s="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32"/>
      <c r="F328" s="32"/>
      <c r="G328" s="32"/>
      <c r="H328" s="73"/>
      <c r="I328" s="32"/>
      <c r="J328" s="32"/>
      <c r="K328" s="32"/>
      <c r="L328" s="32"/>
      <c r="M328" s="2"/>
      <c r="N328" s="2"/>
      <c r="O328" s="32"/>
      <c r="P328" s="32"/>
      <c r="Q328" s="32"/>
      <c r="R328" s="32"/>
      <c r="S328" s="2"/>
      <c r="T328" s="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32"/>
      <c r="F329" s="32"/>
      <c r="G329" s="32"/>
      <c r="H329" s="73"/>
      <c r="I329" s="32"/>
      <c r="J329" s="32"/>
      <c r="K329" s="32"/>
      <c r="L329" s="32"/>
      <c r="M329" s="2"/>
      <c r="N329" s="2"/>
      <c r="O329" s="32"/>
      <c r="P329" s="32"/>
      <c r="Q329" s="32"/>
      <c r="R329" s="32"/>
      <c r="S329" s="2"/>
      <c r="T329" s="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32"/>
      <c r="F330" s="32"/>
      <c r="G330" s="32"/>
      <c r="H330" s="73"/>
      <c r="I330" s="32"/>
      <c r="J330" s="32"/>
      <c r="K330" s="32"/>
      <c r="L330" s="32"/>
      <c r="M330" s="2"/>
      <c r="N330" s="2"/>
      <c r="O330" s="32"/>
      <c r="P330" s="32"/>
      <c r="Q330" s="32"/>
      <c r="R330" s="32"/>
      <c r="S330" s="2"/>
      <c r="T330" s="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32"/>
      <c r="F331" s="32"/>
      <c r="G331" s="32"/>
      <c r="H331" s="73"/>
      <c r="I331" s="32"/>
      <c r="J331" s="32"/>
      <c r="K331" s="32"/>
      <c r="L331" s="32"/>
      <c r="M331" s="2"/>
      <c r="N331" s="2"/>
      <c r="O331" s="32"/>
      <c r="P331" s="32"/>
      <c r="Q331" s="32"/>
      <c r="R331" s="32"/>
      <c r="S331" s="2"/>
      <c r="T331" s="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32"/>
      <c r="F332" s="32"/>
      <c r="G332" s="32"/>
      <c r="H332" s="73"/>
      <c r="I332" s="32"/>
      <c r="J332" s="32"/>
      <c r="K332" s="32"/>
      <c r="L332" s="32"/>
      <c r="M332" s="2"/>
      <c r="N332" s="2"/>
      <c r="O332" s="32"/>
      <c r="P332" s="32"/>
      <c r="Q332" s="32"/>
      <c r="R332" s="32"/>
      <c r="S332" s="2"/>
      <c r="T332" s="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32"/>
      <c r="F333" s="32"/>
      <c r="G333" s="32"/>
      <c r="H333" s="73"/>
      <c r="I333" s="32"/>
      <c r="J333" s="32"/>
      <c r="K333" s="32"/>
      <c r="L333" s="32"/>
      <c r="M333" s="2"/>
      <c r="N333" s="2"/>
      <c r="O333" s="32"/>
      <c r="P333" s="32"/>
      <c r="Q333" s="32"/>
      <c r="R333" s="32"/>
      <c r="S333" s="2"/>
      <c r="T333" s="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32"/>
      <c r="F334" s="32"/>
      <c r="G334" s="32"/>
      <c r="H334" s="73"/>
      <c r="I334" s="32"/>
      <c r="J334" s="32"/>
      <c r="K334" s="32"/>
      <c r="L334" s="32"/>
      <c r="M334" s="2"/>
      <c r="N334" s="2"/>
      <c r="O334" s="32"/>
      <c r="P334" s="32"/>
      <c r="Q334" s="32"/>
      <c r="R334" s="32"/>
      <c r="S334" s="2"/>
      <c r="T334" s="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32"/>
      <c r="F335" s="32"/>
      <c r="G335" s="32"/>
      <c r="H335" s="73"/>
      <c r="I335" s="32"/>
      <c r="J335" s="32"/>
      <c r="K335" s="32"/>
      <c r="L335" s="32"/>
      <c r="M335" s="2"/>
      <c r="N335" s="2"/>
      <c r="O335" s="32"/>
      <c r="P335" s="32"/>
      <c r="Q335" s="32"/>
      <c r="R335" s="32"/>
      <c r="S335" s="2"/>
      <c r="T335" s="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32"/>
      <c r="F336" s="32"/>
      <c r="G336" s="32"/>
      <c r="H336" s="73"/>
      <c r="I336" s="32"/>
      <c r="J336" s="32"/>
      <c r="K336" s="32"/>
      <c r="L336" s="32"/>
      <c r="M336" s="2"/>
      <c r="N336" s="2"/>
      <c r="O336" s="32"/>
      <c r="P336" s="32"/>
      <c r="Q336" s="32"/>
      <c r="R336" s="32"/>
      <c r="S336" s="2"/>
      <c r="T336" s="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32"/>
      <c r="F337" s="32"/>
      <c r="G337" s="32"/>
      <c r="H337" s="73"/>
      <c r="I337" s="32"/>
      <c r="J337" s="32"/>
      <c r="K337" s="32"/>
      <c r="L337" s="32"/>
      <c r="M337" s="2"/>
      <c r="N337" s="2"/>
      <c r="O337" s="32"/>
      <c r="P337" s="32"/>
      <c r="Q337" s="32"/>
      <c r="R337" s="32"/>
      <c r="S337" s="2"/>
      <c r="T337" s="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32"/>
      <c r="F338" s="32"/>
      <c r="G338" s="32"/>
      <c r="H338" s="73"/>
      <c r="I338" s="32"/>
      <c r="J338" s="32"/>
      <c r="K338" s="32"/>
      <c r="L338" s="32"/>
      <c r="M338" s="2"/>
      <c r="N338" s="2"/>
      <c r="O338" s="32"/>
      <c r="P338" s="32"/>
      <c r="Q338" s="32"/>
      <c r="R338" s="32"/>
      <c r="S338" s="2"/>
      <c r="T338" s="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32"/>
      <c r="F339" s="32"/>
      <c r="G339" s="32"/>
      <c r="H339" s="73"/>
      <c r="I339" s="32"/>
      <c r="J339" s="32"/>
      <c r="K339" s="32"/>
      <c r="L339" s="32"/>
      <c r="M339" s="2"/>
      <c r="N339" s="2"/>
      <c r="O339" s="32"/>
      <c r="P339" s="32"/>
      <c r="Q339" s="32"/>
      <c r="R339" s="32"/>
      <c r="S339" s="2"/>
      <c r="T339" s="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32"/>
      <c r="F340" s="32"/>
      <c r="G340" s="32"/>
      <c r="H340" s="73"/>
      <c r="I340" s="32"/>
      <c r="J340" s="32"/>
      <c r="K340" s="32"/>
      <c r="L340" s="32"/>
      <c r="M340" s="2"/>
      <c r="N340" s="2"/>
      <c r="O340" s="32"/>
      <c r="P340" s="32"/>
      <c r="Q340" s="32"/>
      <c r="R340" s="32"/>
      <c r="S340" s="2"/>
      <c r="T340" s="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32"/>
      <c r="F341" s="32"/>
      <c r="G341" s="32"/>
      <c r="H341" s="73"/>
      <c r="I341" s="32"/>
      <c r="J341" s="32"/>
      <c r="K341" s="32"/>
      <c r="L341" s="32"/>
      <c r="M341" s="2"/>
      <c r="N341" s="2"/>
      <c r="O341" s="32"/>
      <c r="P341" s="32"/>
      <c r="Q341" s="32"/>
      <c r="R341" s="32"/>
      <c r="S341" s="2"/>
      <c r="T341" s="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32"/>
      <c r="F342" s="32"/>
      <c r="G342" s="32"/>
      <c r="H342" s="73"/>
      <c r="I342" s="32"/>
      <c r="J342" s="32"/>
      <c r="K342" s="32"/>
      <c r="L342" s="32"/>
      <c r="M342" s="2"/>
      <c r="N342" s="2"/>
      <c r="O342" s="32"/>
      <c r="P342" s="32"/>
      <c r="Q342" s="32"/>
      <c r="R342" s="32"/>
      <c r="S342" s="2"/>
      <c r="T342" s="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32"/>
      <c r="F343" s="32"/>
      <c r="G343" s="32"/>
      <c r="H343" s="73"/>
      <c r="I343" s="32"/>
      <c r="J343" s="32"/>
      <c r="K343" s="32"/>
      <c r="L343" s="32"/>
      <c r="M343" s="2"/>
      <c r="N343" s="2"/>
      <c r="O343" s="32"/>
      <c r="P343" s="32"/>
      <c r="Q343" s="32"/>
      <c r="R343" s="32"/>
      <c r="S343" s="2"/>
      <c r="T343" s="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32"/>
      <c r="F344" s="32"/>
      <c r="G344" s="32"/>
      <c r="H344" s="73"/>
      <c r="I344" s="32"/>
      <c r="J344" s="32"/>
      <c r="K344" s="32"/>
      <c r="L344" s="32"/>
      <c r="M344" s="2"/>
      <c r="N344" s="2"/>
      <c r="O344" s="32"/>
      <c r="P344" s="32"/>
      <c r="Q344" s="32"/>
      <c r="R344" s="32"/>
      <c r="S344" s="2"/>
      <c r="T344" s="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32"/>
      <c r="F345" s="32"/>
      <c r="G345" s="32"/>
      <c r="H345" s="73"/>
      <c r="I345" s="32"/>
      <c r="J345" s="32"/>
      <c r="K345" s="32"/>
      <c r="L345" s="32"/>
      <c r="M345" s="2"/>
      <c r="N345" s="2"/>
      <c r="O345" s="32"/>
      <c r="P345" s="32"/>
      <c r="Q345" s="32"/>
      <c r="R345" s="32"/>
      <c r="S345" s="2"/>
      <c r="T345" s="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32"/>
      <c r="F346" s="32"/>
      <c r="G346" s="32"/>
      <c r="H346" s="73"/>
      <c r="I346" s="32"/>
      <c r="J346" s="32"/>
      <c r="K346" s="32"/>
      <c r="L346" s="32"/>
      <c r="M346" s="2"/>
      <c r="N346" s="2"/>
      <c r="O346" s="32"/>
      <c r="P346" s="32"/>
      <c r="Q346" s="32"/>
      <c r="R346" s="32"/>
      <c r="S346" s="2"/>
      <c r="T346" s="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32"/>
      <c r="F347" s="32"/>
      <c r="G347" s="32"/>
      <c r="H347" s="73"/>
      <c r="I347" s="32"/>
      <c r="J347" s="32"/>
      <c r="K347" s="32"/>
      <c r="L347" s="32"/>
      <c r="M347" s="2"/>
      <c r="N347" s="2"/>
      <c r="O347" s="32"/>
      <c r="P347" s="32"/>
      <c r="Q347" s="32"/>
      <c r="R347" s="32"/>
      <c r="S347" s="2"/>
      <c r="T347" s="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32"/>
      <c r="F348" s="32"/>
      <c r="G348" s="32"/>
      <c r="H348" s="73"/>
      <c r="I348" s="32"/>
      <c r="J348" s="32"/>
      <c r="K348" s="32"/>
      <c r="L348" s="32"/>
      <c r="M348" s="2"/>
      <c r="N348" s="2"/>
      <c r="O348" s="32"/>
      <c r="P348" s="32"/>
      <c r="Q348" s="32"/>
      <c r="R348" s="32"/>
      <c r="S348" s="2"/>
      <c r="T348" s="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32"/>
      <c r="F349" s="32"/>
      <c r="G349" s="32"/>
      <c r="H349" s="73"/>
      <c r="I349" s="32"/>
      <c r="J349" s="32"/>
      <c r="K349" s="32"/>
      <c r="L349" s="32"/>
      <c r="M349" s="2"/>
      <c r="N349" s="2"/>
      <c r="O349" s="32"/>
      <c r="P349" s="32"/>
      <c r="Q349" s="32"/>
      <c r="R349" s="32"/>
      <c r="S349" s="2"/>
      <c r="T349" s="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32"/>
      <c r="F350" s="32"/>
      <c r="G350" s="32"/>
      <c r="H350" s="73"/>
      <c r="I350" s="32"/>
      <c r="J350" s="32"/>
      <c r="K350" s="32"/>
      <c r="L350" s="32"/>
      <c r="M350" s="2"/>
      <c r="N350" s="2"/>
      <c r="O350" s="32"/>
      <c r="P350" s="32"/>
      <c r="Q350" s="32"/>
      <c r="R350" s="32"/>
      <c r="S350" s="2"/>
      <c r="T350" s="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32"/>
      <c r="F351" s="32"/>
      <c r="G351" s="32"/>
      <c r="H351" s="73"/>
      <c r="I351" s="32"/>
      <c r="J351" s="32"/>
      <c r="K351" s="32"/>
      <c r="L351" s="32"/>
      <c r="M351" s="2"/>
      <c r="N351" s="2"/>
      <c r="O351" s="32"/>
      <c r="P351" s="32"/>
      <c r="Q351" s="32"/>
      <c r="R351" s="32"/>
      <c r="S351" s="2"/>
      <c r="T351" s="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32"/>
      <c r="F352" s="32"/>
      <c r="G352" s="32"/>
      <c r="H352" s="73"/>
      <c r="I352" s="32"/>
      <c r="J352" s="32"/>
      <c r="K352" s="32"/>
      <c r="L352" s="32"/>
      <c r="M352" s="2"/>
      <c r="N352" s="2"/>
      <c r="O352" s="32"/>
      <c r="P352" s="32"/>
      <c r="Q352" s="32"/>
      <c r="R352" s="32"/>
      <c r="S352" s="2"/>
      <c r="T352" s="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32"/>
      <c r="F353" s="32"/>
      <c r="G353" s="32"/>
      <c r="H353" s="73"/>
      <c r="I353" s="32"/>
      <c r="J353" s="32"/>
      <c r="K353" s="32"/>
      <c r="L353" s="32"/>
      <c r="M353" s="2"/>
      <c r="N353" s="2"/>
      <c r="O353" s="32"/>
      <c r="P353" s="32"/>
      <c r="Q353" s="32"/>
      <c r="R353" s="32"/>
      <c r="S353" s="2"/>
      <c r="T353" s="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32"/>
      <c r="F354" s="32"/>
      <c r="G354" s="32"/>
      <c r="H354" s="73"/>
      <c r="I354" s="32"/>
      <c r="J354" s="32"/>
      <c r="K354" s="32"/>
      <c r="L354" s="32"/>
      <c r="M354" s="2"/>
      <c r="N354" s="2"/>
      <c r="O354" s="32"/>
      <c r="P354" s="32"/>
      <c r="Q354" s="32"/>
      <c r="R354" s="32"/>
      <c r="S354" s="2"/>
      <c r="T354" s="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32"/>
      <c r="F355" s="32"/>
      <c r="G355" s="32"/>
      <c r="H355" s="73"/>
      <c r="I355" s="32"/>
      <c r="J355" s="32"/>
      <c r="K355" s="32"/>
      <c r="L355" s="32"/>
      <c r="M355" s="2"/>
      <c r="N355" s="2"/>
      <c r="O355" s="32"/>
      <c r="P355" s="32"/>
      <c r="Q355" s="32"/>
      <c r="R355" s="32"/>
      <c r="S355" s="2"/>
      <c r="T355" s="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32"/>
      <c r="F356" s="32"/>
      <c r="G356" s="32"/>
      <c r="H356" s="73"/>
      <c r="I356" s="32"/>
      <c r="J356" s="32"/>
      <c r="K356" s="32"/>
      <c r="L356" s="32"/>
      <c r="M356" s="2"/>
      <c r="N356" s="2"/>
      <c r="O356" s="32"/>
      <c r="P356" s="32"/>
      <c r="Q356" s="32"/>
      <c r="R356" s="32"/>
      <c r="S356" s="2"/>
      <c r="T356" s="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32"/>
      <c r="F357" s="32"/>
      <c r="G357" s="32"/>
      <c r="H357" s="73"/>
      <c r="I357" s="32"/>
      <c r="J357" s="32"/>
      <c r="K357" s="32"/>
      <c r="L357" s="32"/>
      <c r="M357" s="2"/>
      <c r="N357" s="2"/>
      <c r="O357" s="32"/>
      <c r="P357" s="32"/>
      <c r="Q357" s="32"/>
      <c r="R357" s="32"/>
      <c r="S357" s="2"/>
      <c r="T357" s="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32"/>
      <c r="F358" s="32"/>
      <c r="G358" s="32"/>
      <c r="H358" s="73"/>
      <c r="I358" s="32"/>
      <c r="J358" s="32"/>
      <c r="K358" s="32"/>
      <c r="L358" s="32"/>
      <c r="M358" s="2"/>
      <c r="N358" s="2"/>
      <c r="O358" s="32"/>
      <c r="P358" s="32"/>
      <c r="Q358" s="32"/>
      <c r="R358" s="32"/>
      <c r="S358" s="2"/>
      <c r="T358" s="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32"/>
      <c r="F359" s="32"/>
      <c r="G359" s="32"/>
      <c r="H359" s="73"/>
      <c r="I359" s="32"/>
      <c r="J359" s="32"/>
      <c r="K359" s="32"/>
      <c r="L359" s="32"/>
      <c r="M359" s="2"/>
      <c r="N359" s="2"/>
      <c r="O359" s="32"/>
      <c r="P359" s="32"/>
      <c r="Q359" s="32"/>
      <c r="R359" s="32"/>
      <c r="S359" s="2"/>
      <c r="T359" s="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32"/>
      <c r="F360" s="32"/>
      <c r="G360" s="32"/>
      <c r="H360" s="73"/>
      <c r="I360" s="32"/>
      <c r="J360" s="32"/>
      <c r="K360" s="32"/>
      <c r="L360" s="32"/>
      <c r="M360" s="2"/>
      <c r="N360" s="2"/>
      <c r="O360" s="32"/>
      <c r="P360" s="32"/>
      <c r="Q360" s="32"/>
      <c r="R360" s="32"/>
      <c r="S360" s="2"/>
      <c r="T360" s="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32"/>
      <c r="F361" s="32"/>
      <c r="G361" s="32"/>
      <c r="H361" s="73"/>
      <c r="I361" s="32"/>
      <c r="J361" s="32"/>
      <c r="K361" s="32"/>
      <c r="L361" s="32"/>
      <c r="M361" s="2"/>
      <c r="N361" s="2"/>
      <c r="O361" s="32"/>
      <c r="P361" s="32"/>
      <c r="Q361" s="32"/>
      <c r="R361" s="32"/>
      <c r="S361" s="2"/>
      <c r="T361" s="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32"/>
      <c r="F362" s="32"/>
      <c r="G362" s="32"/>
      <c r="H362" s="73"/>
      <c r="I362" s="32"/>
      <c r="J362" s="32"/>
      <c r="K362" s="32"/>
      <c r="L362" s="32"/>
      <c r="M362" s="2"/>
      <c r="N362" s="2"/>
      <c r="O362" s="32"/>
      <c r="P362" s="32"/>
      <c r="Q362" s="32"/>
      <c r="R362" s="32"/>
      <c r="S362" s="2"/>
      <c r="T362" s="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32"/>
      <c r="F363" s="32"/>
      <c r="G363" s="32"/>
      <c r="H363" s="73"/>
      <c r="I363" s="32"/>
      <c r="J363" s="32"/>
      <c r="K363" s="32"/>
      <c r="L363" s="32"/>
      <c r="M363" s="2"/>
      <c r="N363" s="2"/>
      <c r="O363" s="32"/>
      <c r="P363" s="32"/>
      <c r="Q363" s="32"/>
      <c r="R363" s="32"/>
      <c r="S363" s="2"/>
      <c r="T363" s="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32"/>
      <c r="F364" s="32"/>
      <c r="G364" s="32"/>
      <c r="H364" s="73"/>
      <c r="I364" s="32"/>
      <c r="J364" s="32"/>
      <c r="K364" s="32"/>
      <c r="L364" s="32"/>
      <c r="M364" s="2"/>
      <c r="N364" s="2"/>
      <c r="O364" s="32"/>
      <c r="P364" s="32"/>
      <c r="Q364" s="32"/>
      <c r="R364" s="32"/>
      <c r="S364" s="2"/>
      <c r="T364" s="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32"/>
      <c r="F365" s="32"/>
      <c r="G365" s="32"/>
      <c r="H365" s="73"/>
      <c r="I365" s="32"/>
      <c r="J365" s="32"/>
      <c r="K365" s="32"/>
      <c r="L365" s="32"/>
      <c r="M365" s="2"/>
      <c r="N365" s="2"/>
      <c r="O365" s="32"/>
      <c r="P365" s="32"/>
      <c r="Q365" s="32"/>
      <c r="R365" s="32"/>
      <c r="S365" s="2"/>
      <c r="T365" s="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32"/>
      <c r="F366" s="32"/>
      <c r="G366" s="32"/>
      <c r="H366" s="73"/>
      <c r="I366" s="32"/>
      <c r="J366" s="32"/>
      <c r="K366" s="32"/>
      <c r="L366" s="32"/>
      <c r="M366" s="2"/>
      <c r="N366" s="2"/>
      <c r="O366" s="32"/>
      <c r="P366" s="32"/>
      <c r="Q366" s="32"/>
      <c r="R366" s="32"/>
      <c r="S366" s="2"/>
      <c r="T366" s="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32"/>
      <c r="F367" s="32"/>
      <c r="G367" s="32"/>
      <c r="H367" s="73"/>
      <c r="I367" s="32"/>
      <c r="J367" s="32"/>
      <c r="K367" s="32"/>
      <c r="L367" s="32"/>
      <c r="M367" s="2"/>
      <c r="N367" s="2"/>
      <c r="O367" s="32"/>
      <c r="P367" s="32"/>
      <c r="Q367" s="32"/>
      <c r="R367" s="32"/>
      <c r="S367" s="2"/>
      <c r="T367" s="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32"/>
      <c r="F368" s="32"/>
      <c r="G368" s="32"/>
      <c r="H368" s="73"/>
      <c r="I368" s="32"/>
      <c r="J368" s="32"/>
      <c r="K368" s="32"/>
      <c r="L368" s="32"/>
      <c r="M368" s="2"/>
      <c r="N368" s="2"/>
      <c r="O368" s="32"/>
      <c r="P368" s="32"/>
      <c r="Q368" s="32"/>
      <c r="R368" s="32"/>
      <c r="S368" s="2"/>
      <c r="T368" s="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32"/>
      <c r="F369" s="32"/>
      <c r="G369" s="32"/>
      <c r="H369" s="73"/>
      <c r="I369" s="32"/>
      <c r="J369" s="32"/>
      <c r="K369" s="32"/>
      <c r="L369" s="32"/>
      <c r="M369" s="2"/>
      <c r="N369" s="2"/>
      <c r="O369" s="32"/>
      <c r="P369" s="32"/>
      <c r="Q369" s="32"/>
      <c r="R369" s="32"/>
      <c r="S369" s="2"/>
      <c r="T369" s="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32"/>
      <c r="F370" s="32"/>
      <c r="G370" s="32"/>
      <c r="H370" s="73"/>
      <c r="I370" s="32"/>
      <c r="J370" s="32"/>
      <c r="K370" s="32"/>
      <c r="L370" s="32"/>
      <c r="M370" s="2"/>
      <c r="N370" s="2"/>
      <c r="O370" s="32"/>
      <c r="P370" s="32"/>
      <c r="Q370" s="32"/>
      <c r="R370" s="32"/>
      <c r="S370" s="2"/>
      <c r="T370" s="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32"/>
      <c r="F371" s="32"/>
      <c r="G371" s="32"/>
      <c r="H371" s="73"/>
      <c r="I371" s="32"/>
      <c r="J371" s="32"/>
      <c r="K371" s="32"/>
      <c r="L371" s="32"/>
      <c r="M371" s="2"/>
      <c r="N371" s="2"/>
      <c r="O371" s="32"/>
      <c r="P371" s="32"/>
      <c r="Q371" s="32"/>
      <c r="R371" s="32"/>
      <c r="S371" s="2"/>
      <c r="T371" s="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32"/>
      <c r="F372" s="32"/>
      <c r="G372" s="32"/>
      <c r="H372" s="73"/>
      <c r="I372" s="32"/>
      <c r="J372" s="32"/>
      <c r="K372" s="32"/>
      <c r="L372" s="32"/>
      <c r="M372" s="2"/>
      <c r="N372" s="2"/>
      <c r="O372" s="32"/>
      <c r="P372" s="32"/>
      <c r="Q372" s="32"/>
      <c r="R372" s="32"/>
      <c r="S372" s="2"/>
      <c r="T372" s="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32"/>
      <c r="F373" s="32"/>
      <c r="G373" s="32"/>
      <c r="H373" s="73"/>
      <c r="I373" s="32"/>
      <c r="J373" s="32"/>
      <c r="K373" s="32"/>
      <c r="L373" s="32"/>
      <c r="M373" s="2"/>
      <c r="N373" s="2"/>
      <c r="O373" s="32"/>
      <c r="P373" s="32"/>
      <c r="Q373" s="32"/>
      <c r="R373" s="32"/>
      <c r="S373" s="2"/>
      <c r="T373" s="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32"/>
      <c r="F374" s="32"/>
      <c r="G374" s="32"/>
      <c r="H374" s="73"/>
      <c r="I374" s="32"/>
      <c r="J374" s="32"/>
      <c r="K374" s="32"/>
      <c r="L374" s="32"/>
      <c r="M374" s="2"/>
      <c r="N374" s="2"/>
      <c r="O374" s="32"/>
      <c r="P374" s="32"/>
      <c r="Q374" s="32"/>
      <c r="R374" s="32"/>
      <c r="S374" s="2"/>
      <c r="T374" s="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32"/>
      <c r="F375" s="32"/>
      <c r="G375" s="32"/>
      <c r="H375" s="73"/>
      <c r="I375" s="32"/>
      <c r="J375" s="32"/>
      <c r="K375" s="32"/>
      <c r="L375" s="32"/>
      <c r="M375" s="2"/>
      <c r="N375" s="2"/>
      <c r="O375" s="32"/>
      <c r="P375" s="32"/>
      <c r="Q375" s="32"/>
      <c r="R375" s="32"/>
      <c r="S375" s="2"/>
      <c r="T375" s="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32"/>
      <c r="F376" s="32"/>
      <c r="G376" s="32"/>
      <c r="H376" s="73"/>
      <c r="I376" s="32"/>
      <c r="J376" s="32"/>
      <c r="K376" s="32"/>
      <c r="L376" s="32"/>
      <c r="M376" s="2"/>
      <c r="N376" s="2"/>
      <c r="O376" s="32"/>
      <c r="P376" s="32"/>
      <c r="Q376" s="32"/>
      <c r="R376" s="32"/>
      <c r="S376" s="2"/>
      <c r="T376" s="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32"/>
      <c r="F377" s="32"/>
      <c r="G377" s="32"/>
      <c r="H377" s="73"/>
      <c r="I377" s="32"/>
      <c r="J377" s="32"/>
      <c r="K377" s="32"/>
      <c r="L377" s="32"/>
      <c r="M377" s="2"/>
      <c r="N377" s="2"/>
      <c r="O377" s="32"/>
      <c r="P377" s="32"/>
      <c r="Q377" s="32"/>
      <c r="R377" s="32"/>
      <c r="S377" s="2"/>
      <c r="T377" s="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32"/>
      <c r="F378" s="32"/>
      <c r="G378" s="32"/>
      <c r="H378" s="73"/>
      <c r="I378" s="32"/>
      <c r="J378" s="32"/>
      <c r="K378" s="32"/>
      <c r="L378" s="32"/>
      <c r="M378" s="2"/>
      <c r="N378" s="2"/>
      <c r="O378" s="32"/>
      <c r="P378" s="32"/>
      <c r="Q378" s="32"/>
      <c r="R378" s="32"/>
      <c r="S378" s="2"/>
      <c r="T378" s="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32"/>
      <c r="F379" s="32"/>
      <c r="G379" s="32"/>
      <c r="H379" s="73"/>
      <c r="I379" s="32"/>
      <c r="J379" s="32"/>
      <c r="K379" s="32"/>
      <c r="L379" s="32"/>
      <c r="M379" s="2"/>
      <c r="N379" s="2"/>
      <c r="O379" s="32"/>
      <c r="P379" s="32"/>
      <c r="Q379" s="32"/>
      <c r="R379" s="32"/>
      <c r="S379" s="2"/>
      <c r="T379" s="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32"/>
      <c r="F380" s="32"/>
      <c r="G380" s="32"/>
      <c r="H380" s="73"/>
      <c r="I380" s="32"/>
      <c r="J380" s="32"/>
      <c r="K380" s="32"/>
      <c r="L380" s="32"/>
      <c r="M380" s="2"/>
      <c r="N380" s="2"/>
      <c r="O380" s="32"/>
      <c r="P380" s="32"/>
      <c r="Q380" s="32"/>
      <c r="R380" s="32"/>
      <c r="S380" s="2"/>
      <c r="T380" s="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32"/>
      <c r="F381" s="32"/>
      <c r="G381" s="32"/>
      <c r="H381" s="73"/>
      <c r="I381" s="32"/>
      <c r="J381" s="32"/>
      <c r="K381" s="32"/>
      <c r="L381" s="32"/>
      <c r="M381" s="2"/>
      <c r="N381" s="2"/>
      <c r="O381" s="32"/>
      <c r="P381" s="32"/>
      <c r="Q381" s="32"/>
      <c r="R381" s="32"/>
      <c r="S381" s="2"/>
      <c r="T381" s="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32"/>
      <c r="F382" s="32"/>
      <c r="G382" s="32"/>
      <c r="H382" s="73"/>
      <c r="I382" s="32"/>
      <c r="J382" s="32"/>
      <c r="K382" s="32"/>
      <c r="L382" s="32"/>
      <c r="M382" s="2"/>
      <c r="N382" s="2"/>
      <c r="O382" s="32"/>
      <c r="P382" s="32"/>
      <c r="Q382" s="32"/>
      <c r="R382" s="32"/>
      <c r="S382" s="2"/>
      <c r="T382" s="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32"/>
      <c r="F383" s="32"/>
      <c r="G383" s="32"/>
      <c r="H383" s="73"/>
      <c r="I383" s="32"/>
      <c r="J383" s="32"/>
      <c r="K383" s="32"/>
      <c r="L383" s="32"/>
      <c r="M383" s="2"/>
      <c r="N383" s="2"/>
      <c r="O383" s="32"/>
      <c r="P383" s="32"/>
      <c r="Q383" s="32"/>
      <c r="R383" s="32"/>
      <c r="S383" s="2"/>
      <c r="T383" s="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32"/>
      <c r="F384" s="32"/>
      <c r="G384" s="32"/>
      <c r="H384" s="73"/>
      <c r="I384" s="32"/>
      <c r="J384" s="32"/>
      <c r="K384" s="32"/>
      <c r="L384" s="32"/>
      <c r="M384" s="2"/>
      <c r="N384" s="2"/>
      <c r="O384" s="32"/>
      <c r="P384" s="32"/>
      <c r="Q384" s="32"/>
      <c r="R384" s="32"/>
      <c r="S384" s="2"/>
      <c r="T384" s="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32"/>
      <c r="F385" s="32"/>
      <c r="G385" s="32"/>
      <c r="H385" s="73"/>
      <c r="I385" s="32"/>
      <c r="J385" s="32"/>
      <c r="K385" s="32"/>
      <c r="L385" s="32"/>
      <c r="M385" s="2"/>
      <c r="N385" s="2"/>
      <c r="O385" s="32"/>
      <c r="P385" s="32"/>
      <c r="Q385" s="32"/>
      <c r="R385" s="32"/>
      <c r="S385" s="2"/>
      <c r="T385" s="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32"/>
      <c r="F386" s="32"/>
      <c r="G386" s="32"/>
      <c r="H386" s="73"/>
      <c r="I386" s="32"/>
      <c r="J386" s="32"/>
      <c r="K386" s="32"/>
      <c r="L386" s="32"/>
      <c r="M386" s="2"/>
      <c r="N386" s="2"/>
      <c r="O386" s="32"/>
      <c r="P386" s="32"/>
      <c r="Q386" s="32"/>
      <c r="R386" s="32"/>
      <c r="S386" s="2"/>
      <c r="T386" s="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32"/>
      <c r="F387" s="32"/>
      <c r="G387" s="32"/>
      <c r="H387" s="73"/>
      <c r="I387" s="32"/>
      <c r="J387" s="32"/>
      <c r="K387" s="32"/>
      <c r="L387" s="32"/>
      <c r="M387" s="2"/>
      <c r="N387" s="2"/>
      <c r="O387" s="32"/>
      <c r="P387" s="32"/>
      <c r="Q387" s="32"/>
      <c r="R387" s="32"/>
      <c r="S387" s="2"/>
      <c r="T387" s="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32"/>
      <c r="F388" s="32"/>
      <c r="G388" s="32"/>
      <c r="H388" s="73"/>
      <c r="I388" s="32"/>
      <c r="J388" s="32"/>
      <c r="K388" s="32"/>
      <c r="L388" s="32"/>
      <c r="M388" s="2"/>
      <c r="N388" s="2"/>
      <c r="O388" s="32"/>
      <c r="P388" s="32"/>
      <c r="Q388" s="32"/>
      <c r="R388" s="32"/>
      <c r="S388" s="2"/>
      <c r="T388" s="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32"/>
      <c r="F389" s="32"/>
      <c r="G389" s="32"/>
      <c r="H389" s="73"/>
      <c r="I389" s="32"/>
      <c r="J389" s="32"/>
      <c r="K389" s="32"/>
      <c r="L389" s="32"/>
      <c r="M389" s="2"/>
      <c r="N389" s="2"/>
      <c r="O389" s="32"/>
      <c r="P389" s="32"/>
      <c r="Q389" s="32"/>
      <c r="R389" s="32"/>
      <c r="S389" s="2"/>
      <c r="T389" s="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32"/>
      <c r="F390" s="32"/>
      <c r="G390" s="32"/>
      <c r="H390" s="73"/>
      <c r="I390" s="32"/>
      <c r="J390" s="32"/>
      <c r="K390" s="32"/>
      <c r="L390" s="32"/>
      <c r="M390" s="2"/>
      <c r="N390" s="2"/>
      <c r="O390" s="32"/>
      <c r="P390" s="32"/>
      <c r="Q390" s="32"/>
      <c r="R390" s="32"/>
      <c r="S390" s="2"/>
      <c r="T390" s="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32"/>
      <c r="F391" s="32"/>
      <c r="G391" s="32"/>
      <c r="H391" s="73"/>
      <c r="I391" s="32"/>
      <c r="J391" s="32"/>
      <c r="K391" s="32"/>
      <c r="L391" s="32"/>
      <c r="M391" s="2"/>
      <c r="N391" s="2"/>
      <c r="O391" s="32"/>
      <c r="P391" s="32"/>
      <c r="Q391" s="32"/>
      <c r="R391" s="32"/>
      <c r="S391" s="2"/>
      <c r="T391" s="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32"/>
      <c r="F392" s="32"/>
      <c r="G392" s="32"/>
      <c r="H392" s="73"/>
      <c r="I392" s="32"/>
      <c r="J392" s="32"/>
      <c r="K392" s="32"/>
      <c r="L392" s="32"/>
      <c r="M392" s="2"/>
      <c r="N392" s="2"/>
      <c r="O392" s="32"/>
      <c r="P392" s="32"/>
      <c r="Q392" s="32"/>
      <c r="R392" s="32"/>
      <c r="S392" s="2"/>
      <c r="T392" s="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32"/>
      <c r="F393" s="32"/>
      <c r="G393" s="32"/>
      <c r="H393" s="73"/>
      <c r="I393" s="32"/>
      <c r="J393" s="32"/>
      <c r="K393" s="32"/>
      <c r="L393" s="32"/>
      <c r="M393" s="2"/>
      <c r="N393" s="2"/>
      <c r="O393" s="32"/>
      <c r="P393" s="32"/>
      <c r="Q393" s="32"/>
      <c r="R393" s="32"/>
      <c r="S393" s="2"/>
      <c r="T393" s="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32"/>
      <c r="F394" s="32"/>
      <c r="G394" s="32"/>
      <c r="H394" s="73"/>
      <c r="I394" s="32"/>
      <c r="J394" s="32"/>
      <c r="K394" s="32"/>
      <c r="L394" s="32"/>
      <c r="M394" s="2"/>
      <c r="N394" s="2"/>
      <c r="O394" s="32"/>
      <c r="P394" s="32"/>
      <c r="Q394" s="32"/>
      <c r="R394" s="32"/>
      <c r="S394" s="2"/>
      <c r="T394" s="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32"/>
      <c r="F395" s="32"/>
      <c r="G395" s="32"/>
      <c r="H395" s="73"/>
      <c r="I395" s="32"/>
      <c r="J395" s="32"/>
      <c r="K395" s="32"/>
      <c r="L395" s="32"/>
      <c r="M395" s="2"/>
      <c r="N395" s="2"/>
      <c r="O395" s="32"/>
      <c r="P395" s="32"/>
      <c r="Q395" s="32"/>
      <c r="R395" s="32"/>
      <c r="S395" s="2"/>
      <c r="T395" s="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32"/>
      <c r="F396" s="32"/>
      <c r="G396" s="32"/>
      <c r="H396" s="73"/>
      <c r="I396" s="32"/>
      <c r="J396" s="32"/>
      <c r="K396" s="32"/>
      <c r="L396" s="32"/>
      <c r="M396" s="2"/>
      <c r="N396" s="2"/>
      <c r="O396" s="32"/>
      <c r="P396" s="32"/>
      <c r="Q396" s="32"/>
      <c r="R396" s="32"/>
      <c r="S396" s="2"/>
      <c r="T396" s="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32"/>
      <c r="F397" s="32"/>
      <c r="G397" s="32"/>
      <c r="H397" s="73"/>
      <c r="I397" s="32"/>
      <c r="J397" s="32"/>
      <c r="K397" s="32"/>
      <c r="L397" s="32"/>
      <c r="M397" s="2"/>
      <c r="N397" s="2"/>
      <c r="O397" s="32"/>
      <c r="P397" s="32"/>
      <c r="Q397" s="32"/>
      <c r="R397" s="32"/>
      <c r="S397" s="2"/>
      <c r="T397" s="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32"/>
      <c r="F398" s="32"/>
      <c r="G398" s="32"/>
      <c r="H398" s="73"/>
      <c r="I398" s="32"/>
      <c r="J398" s="32"/>
      <c r="K398" s="32"/>
      <c r="L398" s="32"/>
      <c r="M398" s="2"/>
      <c r="N398" s="2"/>
      <c r="O398" s="32"/>
      <c r="P398" s="32"/>
      <c r="Q398" s="32"/>
      <c r="R398" s="32"/>
      <c r="S398" s="2"/>
      <c r="T398" s="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32"/>
      <c r="F399" s="32"/>
      <c r="G399" s="32"/>
      <c r="H399" s="73"/>
      <c r="I399" s="32"/>
      <c r="J399" s="32"/>
      <c r="K399" s="32"/>
      <c r="L399" s="32"/>
      <c r="M399" s="2"/>
      <c r="N399" s="2"/>
      <c r="O399" s="32"/>
      <c r="P399" s="32"/>
      <c r="Q399" s="32"/>
      <c r="R399" s="32"/>
      <c r="S399" s="2"/>
      <c r="T399" s="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32"/>
      <c r="F400" s="32"/>
      <c r="G400" s="32"/>
      <c r="H400" s="73"/>
      <c r="I400" s="32"/>
      <c r="J400" s="32"/>
      <c r="K400" s="32"/>
      <c r="L400" s="32"/>
      <c r="M400" s="2"/>
      <c r="N400" s="2"/>
      <c r="O400" s="32"/>
      <c r="P400" s="32"/>
      <c r="Q400" s="32"/>
      <c r="R400" s="32"/>
      <c r="S400" s="2"/>
      <c r="T400" s="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32"/>
      <c r="F401" s="32"/>
      <c r="G401" s="32"/>
      <c r="H401" s="73"/>
      <c r="I401" s="32"/>
      <c r="J401" s="32"/>
      <c r="K401" s="32"/>
      <c r="L401" s="32"/>
      <c r="M401" s="2"/>
      <c r="N401" s="2"/>
      <c r="O401" s="32"/>
      <c r="P401" s="32"/>
      <c r="Q401" s="32"/>
      <c r="R401" s="32"/>
      <c r="S401" s="2"/>
      <c r="T401" s="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32"/>
      <c r="F402" s="32"/>
      <c r="G402" s="32"/>
      <c r="H402" s="73"/>
      <c r="I402" s="32"/>
      <c r="J402" s="32"/>
      <c r="K402" s="32"/>
      <c r="L402" s="32"/>
      <c r="M402" s="2"/>
      <c r="N402" s="2"/>
      <c r="O402" s="32"/>
      <c r="P402" s="32"/>
      <c r="Q402" s="32"/>
      <c r="R402" s="32"/>
      <c r="S402" s="2"/>
      <c r="T402" s="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32"/>
      <c r="F403" s="32"/>
      <c r="G403" s="32"/>
      <c r="H403" s="73"/>
      <c r="I403" s="32"/>
      <c r="J403" s="32"/>
      <c r="K403" s="32"/>
      <c r="L403" s="32"/>
      <c r="M403" s="2"/>
      <c r="N403" s="2"/>
      <c r="O403" s="32"/>
      <c r="P403" s="32"/>
      <c r="Q403" s="32"/>
      <c r="R403" s="32"/>
      <c r="S403" s="2"/>
      <c r="T403" s="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32"/>
      <c r="F404" s="32"/>
      <c r="G404" s="32"/>
      <c r="H404" s="73"/>
      <c r="I404" s="32"/>
      <c r="J404" s="32"/>
      <c r="K404" s="32"/>
      <c r="L404" s="32"/>
      <c r="M404" s="2"/>
      <c r="N404" s="2"/>
      <c r="O404" s="32"/>
      <c r="P404" s="32"/>
      <c r="Q404" s="32"/>
      <c r="R404" s="32"/>
      <c r="S404" s="2"/>
      <c r="T404" s="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32"/>
      <c r="F405" s="32"/>
      <c r="G405" s="32"/>
      <c r="H405" s="73"/>
      <c r="I405" s="32"/>
      <c r="J405" s="32"/>
      <c r="K405" s="32"/>
      <c r="L405" s="32"/>
      <c r="M405" s="2"/>
      <c r="N405" s="2"/>
      <c r="O405" s="32"/>
      <c r="P405" s="32"/>
      <c r="Q405" s="32"/>
      <c r="R405" s="32"/>
      <c r="S405" s="2"/>
      <c r="T405" s="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32"/>
      <c r="F406" s="32"/>
      <c r="G406" s="32"/>
      <c r="H406" s="73"/>
      <c r="I406" s="32"/>
      <c r="J406" s="32"/>
      <c r="K406" s="32"/>
      <c r="L406" s="32"/>
      <c r="M406" s="2"/>
      <c r="N406" s="2"/>
      <c r="O406" s="32"/>
      <c r="P406" s="32"/>
      <c r="Q406" s="32"/>
      <c r="R406" s="32"/>
      <c r="S406" s="2"/>
      <c r="T406" s="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32"/>
      <c r="F407" s="32"/>
      <c r="G407" s="32"/>
      <c r="H407" s="73"/>
      <c r="I407" s="32"/>
      <c r="J407" s="32"/>
      <c r="K407" s="32"/>
      <c r="L407" s="32"/>
      <c r="M407" s="2"/>
      <c r="N407" s="2"/>
      <c r="O407" s="32"/>
      <c r="P407" s="32"/>
      <c r="Q407" s="32"/>
      <c r="R407" s="32"/>
      <c r="S407" s="2"/>
      <c r="T407" s="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32"/>
      <c r="F408" s="32"/>
      <c r="G408" s="32"/>
      <c r="H408" s="73"/>
      <c r="I408" s="32"/>
      <c r="J408" s="32"/>
      <c r="K408" s="32"/>
      <c r="L408" s="32"/>
      <c r="M408" s="2"/>
      <c r="N408" s="2"/>
      <c r="O408" s="32"/>
      <c r="P408" s="32"/>
      <c r="Q408" s="32"/>
      <c r="R408" s="32"/>
      <c r="S408" s="2"/>
      <c r="T408" s="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32"/>
      <c r="F409" s="32"/>
      <c r="G409" s="32"/>
      <c r="H409" s="73"/>
      <c r="I409" s="32"/>
      <c r="J409" s="32"/>
      <c r="K409" s="32"/>
      <c r="L409" s="32"/>
      <c r="M409" s="2"/>
      <c r="N409" s="2"/>
      <c r="O409" s="32"/>
      <c r="P409" s="32"/>
      <c r="Q409" s="32"/>
      <c r="R409" s="32"/>
      <c r="S409" s="2"/>
      <c r="T409" s="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32"/>
      <c r="F410" s="32"/>
      <c r="G410" s="32"/>
      <c r="H410" s="73"/>
      <c r="I410" s="32"/>
      <c r="J410" s="32"/>
      <c r="K410" s="32"/>
      <c r="L410" s="32"/>
      <c r="M410" s="2"/>
      <c r="N410" s="2"/>
      <c r="O410" s="32"/>
      <c r="P410" s="32"/>
      <c r="Q410" s="32"/>
      <c r="R410" s="32"/>
      <c r="S410" s="2"/>
      <c r="T410" s="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32"/>
      <c r="F411" s="32"/>
      <c r="G411" s="32"/>
      <c r="H411" s="73"/>
      <c r="I411" s="32"/>
      <c r="J411" s="32"/>
      <c r="K411" s="32"/>
      <c r="L411" s="32"/>
      <c r="M411" s="2"/>
      <c r="N411" s="2"/>
      <c r="O411" s="32"/>
      <c r="P411" s="32"/>
      <c r="Q411" s="32"/>
      <c r="R411" s="32"/>
      <c r="S411" s="2"/>
      <c r="T411" s="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32"/>
      <c r="F412" s="32"/>
      <c r="G412" s="32"/>
      <c r="H412" s="73"/>
      <c r="I412" s="32"/>
      <c r="J412" s="32"/>
      <c r="K412" s="32"/>
      <c r="L412" s="32"/>
      <c r="M412" s="2"/>
      <c r="N412" s="2"/>
      <c r="O412" s="32"/>
      <c r="P412" s="32"/>
      <c r="Q412" s="32"/>
      <c r="R412" s="32"/>
      <c r="S412" s="2"/>
      <c r="T412" s="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32"/>
      <c r="F413" s="32"/>
      <c r="G413" s="32"/>
      <c r="H413" s="73"/>
      <c r="I413" s="32"/>
      <c r="J413" s="32"/>
      <c r="K413" s="32"/>
      <c r="L413" s="32"/>
      <c r="M413" s="2"/>
      <c r="N413" s="2"/>
      <c r="O413" s="32"/>
      <c r="P413" s="32"/>
      <c r="Q413" s="32"/>
      <c r="R413" s="32"/>
      <c r="S413" s="2"/>
      <c r="T413" s="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32"/>
      <c r="F414" s="32"/>
      <c r="G414" s="32"/>
      <c r="H414" s="73"/>
      <c r="I414" s="32"/>
      <c r="J414" s="32"/>
      <c r="K414" s="32"/>
      <c r="L414" s="32"/>
      <c r="M414" s="2"/>
      <c r="N414" s="2"/>
      <c r="O414" s="32"/>
      <c r="P414" s="32"/>
      <c r="Q414" s="32"/>
      <c r="R414" s="32"/>
      <c r="S414" s="2"/>
      <c r="T414" s="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32"/>
      <c r="F415" s="32"/>
      <c r="G415" s="32"/>
      <c r="H415" s="73"/>
      <c r="I415" s="32"/>
      <c r="J415" s="32"/>
      <c r="K415" s="32"/>
      <c r="L415" s="32"/>
      <c r="M415" s="2"/>
      <c r="N415" s="2"/>
      <c r="O415" s="32"/>
      <c r="P415" s="32"/>
      <c r="Q415" s="32"/>
      <c r="R415" s="32"/>
      <c r="S415" s="2"/>
      <c r="T415" s="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32"/>
      <c r="F416" s="32"/>
      <c r="G416" s="32"/>
      <c r="H416" s="73"/>
      <c r="I416" s="32"/>
      <c r="J416" s="32"/>
      <c r="K416" s="32"/>
      <c r="L416" s="32"/>
      <c r="M416" s="2"/>
      <c r="N416" s="2"/>
      <c r="O416" s="32"/>
      <c r="P416" s="32"/>
      <c r="Q416" s="32"/>
      <c r="R416" s="32"/>
      <c r="S416" s="2"/>
      <c r="T416" s="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32"/>
      <c r="F417" s="32"/>
      <c r="G417" s="32"/>
      <c r="H417" s="73"/>
      <c r="I417" s="32"/>
      <c r="J417" s="32"/>
      <c r="K417" s="32"/>
      <c r="L417" s="32"/>
      <c r="M417" s="2"/>
      <c r="N417" s="2"/>
      <c r="O417" s="32"/>
      <c r="P417" s="32"/>
      <c r="Q417" s="32"/>
      <c r="R417" s="32"/>
      <c r="S417" s="2"/>
      <c r="T417" s="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32"/>
      <c r="F418" s="32"/>
      <c r="G418" s="32"/>
      <c r="H418" s="73"/>
      <c r="I418" s="32"/>
      <c r="J418" s="32"/>
      <c r="K418" s="32"/>
      <c r="L418" s="32"/>
      <c r="M418" s="2"/>
      <c r="N418" s="2"/>
      <c r="O418" s="32"/>
      <c r="P418" s="32"/>
      <c r="Q418" s="32"/>
      <c r="R418" s="32"/>
      <c r="S418" s="2"/>
      <c r="T418" s="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32"/>
      <c r="F419" s="32"/>
      <c r="G419" s="32"/>
      <c r="H419" s="73"/>
      <c r="I419" s="32"/>
      <c r="J419" s="32"/>
      <c r="K419" s="32"/>
      <c r="L419" s="32"/>
      <c r="M419" s="2"/>
      <c r="N419" s="2"/>
      <c r="O419" s="32"/>
      <c r="P419" s="32"/>
      <c r="Q419" s="32"/>
      <c r="R419" s="32"/>
      <c r="S419" s="2"/>
      <c r="T419" s="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32"/>
      <c r="F420" s="32"/>
      <c r="G420" s="32"/>
      <c r="H420" s="73"/>
      <c r="I420" s="32"/>
      <c r="J420" s="32"/>
      <c r="K420" s="32"/>
      <c r="L420" s="32"/>
      <c r="M420" s="2"/>
      <c r="N420" s="2"/>
      <c r="O420" s="32"/>
      <c r="P420" s="32"/>
      <c r="Q420" s="32"/>
      <c r="R420" s="32"/>
      <c r="S420" s="2"/>
      <c r="T420" s="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32"/>
      <c r="F421" s="32"/>
      <c r="G421" s="32"/>
      <c r="H421" s="73"/>
      <c r="I421" s="32"/>
      <c r="J421" s="32"/>
      <c r="K421" s="32"/>
      <c r="L421" s="32"/>
      <c r="M421" s="2"/>
      <c r="N421" s="2"/>
      <c r="O421" s="32"/>
      <c r="P421" s="32"/>
      <c r="Q421" s="32"/>
      <c r="R421" s="32"/>
      <c r="S421" s="2"/>
      <c r="T421" s="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32"/>
      <c r="F422" s="32"/>
      <c r="G422" s="32"/>
      <c r="H422" s="73"/>
      <c r="I422" s="32"/>
      <c r="J422" s="32"/>
      <c r="K422" s="32"/>
      <c r="L422" s="32"/>
      <c r="M422" s="2"/>
      <c r="N422" s="2"/>
      <c r="O422" s="32"/>
      <c r="P422" s="32"/>
      <c r="Q422" s="32"/>
      <c r="R422" s="32"/>
      <c r="S422" s="2"/>
      <c r="T422" s="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32"/>
      <c r="F423" s="32"/>
      <c r="G423" s="32"/>
      <c r="H423" s="73"/>
      <c r="I423" s="32"/>
      <c r="J423" s="32"/>
      <c r="K423" s="32"/>
      <c r="L423" s="32"/>
      <c r="M423" s="2"/>
      <c r="N423" s="2"/>
      <c r="O423" s="32"/>
      <c r="P423" s="32"/>
      <c r="Q423" s="32"/>
      <c r="R423" s="32"/>
      <c r="S423" s="2"/>
      <c r="T423" s="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32"/>
      <c r="F424" s="32"/>
      <c r="G424" s="32"/>
      <c r="H424" s="73"/>
      <c r="I424" s="32"/>
      <c r="J424" s="32"/>
      <c r="K424" s="32"/>
      <c r="L424" s="32"/>
      <c r="M424" s="2"/>
      <c r="N424" s="2"/>
      <c r="O424" s="32"/>
      <c r="P424" s="32"/>
      <c r="Q424" s="32"/>
      <c r="R424" s="32"/>
      <c r="S424" s="2"/>
      <c r="T424" s="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32"/>
      <c r="F425" s="32"/>
      <c r="G425" s="32"/>
      <c r="H425" s="73"/>
      <c r="I425" s="32"/>
      <c r="J425" s="32"/>
      <c r="K425" s="32"/>
      <c r="L425" s="32"/>
      <c r="M425" s="2"/>
      <c r="N425" s="2"/>
      <c r="O425" s="32"/>
      <c r="P425" s="32"/>
      <c r="Q425" s="32"/>
      <c r="R425" s="32"/>
      <c r="S425" s="2"/>
      <c r="T425" s="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32"/>
      <c r="F426" s="32"/>
      <c r="G426" s="32"/>
      <c r="H426" s="73"/>
      <c r="I426" s="32"/>
      <c r="J426" s="32"/>
      <c r="K426" s="32"/>
      <c r="L426" s="32"/>
      <c r="M426" s="2"/>
      <c r="N426" s="2"/>
      <c r="O426" s="32"/>
      <c r="P426" s="32"/>
      <c r="Q426" s="32"/>
      <c r="R426" s="32"/>
      <c r="S426" s="2"/>
      <c r="T426" s="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32"/>
      <c r="F427" s="32"/>
      <c r="G427" s="32"/>
      <c r="H427" s="73"/>
      <c r="I427" s="32"/>
      <c r="J427" s="32"/>
      <c r="K427" s="32"/>
      <c r="L427" s="32"/>
      <c r="M427" s="2"/>
      <c r="N427" s="2"/>
      <c r="O427" s="32"/>
      <c r="P427" s="32"/>
      <c r="Q427" s="32"/>
      <c r="R427" s="32"/>
      <c r="S427" s="2"/>
      <c r="T427" s="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32"/>
      <c r="F428" s="32"/>
      <c r="G428" s="32"/>
      <c r="H428" s="73"/>
      <c r="I428" s="32"/>
      <c r="J428" s="32"/>
      <c r="K428" s="32"/>
      <c r="L428" s="32"/>
      <c r="M428" s="2"/>
      <c r="N428" s="2"/>
      <c r="O428" s="32"/>
      <c r="P428" s="32"/>
      <c r="Q428" s="32"/>
      <c r="R428" s="32"/>
      <c r="S428" s="2"/>
      <c r="T428" s="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32"/>
      <c r="F429" s="32"/>
      <c r="G429" s="32"/>
      <c r="H429" s="73"/>
      <c r="I429" s="32"/>
      <c r="J429" s="32"/>
      <c r="K429" s="32"/>
      <c r="L429" s="32"/>
      <c r="M429" s="2"/>
      <c r="N429" s="2"/>
      <c r="O429" s="32"/>
      <c r="P429" s="32"/>
      <c r="Q429" s="32"/>
      <c r="R429" s="32"/>
      <c r="S429" s="2"/>
      <c r="T429" s="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32"/>
      <c r="F430" s="32"/>
      <c r="G430" s="32"/>
      <c r="H430" s="73"/>
      <c r="I430" s="32"/>
      <c r="J430" s="32"/>
      <c r="K430" s="32"/>
      <c r="L430" s="32"/>
      <c r="M430" s="2"/>
      <c r="N430" s="2"/>
      <c r="O430" s="32"/>
      <c r="P430" s="32"/>
      <c r="Q430" s="32"/>
      <c r="R430" s="32"/>
      <c r="S430" s="2"/>
      <c r="T430" s="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32"/>
      <c r="F431" s="32"/>
      <c r="G431" s="32"/>
      <c r="H431" s="73"/>
      <c r="I431" s="32"/>
      <c r="J431" s="32"/>
      <c r="K431" s="32"/>
      <c r="L431" s="32"/>
      <c r="M431" s="2"/>
      <c r="N431" s="2"/>
      <c r="O431" s="32"/>
      <c r="P431" s="32"/>
      <c r="Q431" s="32"/>
      <c r="R431" s="32"/>
      <c r="S431" s="2"/>
      <c r="T431" s="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32"/>
      <c r="F432" s="32"/>
      <c r="G432" s="32"/>
      <c r="H432" s="73"/>
      <c r="I432" s="32"/>
      <c r="J432" s="32"/>
      <c r="K432" s="32"/>
      <c r="L432" s="32"/>
      <c r="M432" s="2"/>
      <c r="N432" s="2"/>
      <c r="O432" s="32"/>
      <c r="P432" s="32"/>
      <c r="Q432" s="32"/>
      <c r="R432" s="32"/>
      <c r="S432" s="2"/>
      <c r="T432" s="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32"/>
      <c r="F433" s="32"/>
      <c r="G433" s="32"/>
      <c r="H433" s="73"/>
      <c r="I433" s="32"/>
      <c r="J433" s="32"/>
      <c r="K433" s="32"/>
      <c r="L433" s="32"/>
      <c r="M433" s="2"/>
      <c r="N433" s="2"/>
      <c r="O433" s="32"/>
      <c r="P433" s="32"/>
      <c r="Q433" s="32"/>
      <c r="R433" s="32"/>
      <c r="S433" s="2"/>
      <c r="T433" s="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32"/>
      <c r="F434" s="32"/>
      <c r="G434" s="32"/>
      <c r="H434" s="73"/>
      <c r="I434" s="32"/>
      <c r="J434" s="32"/>
      <c r="K434" s="32"/>
      <c r="L434" s="32"/>
      <c r="M434" s="2"/>
      <c r="N434" s="2"/>
      <c r="O434" s="32"/>
      <c r="P434" s="32"/>
      <c r="Q434" s="32"/>
      <c r="R434" s="32"/>
      <c r="S434" s="2"/>
      <c r="T434" s="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32"/>
      <c r="F435" s="32"/>
      <c r="G435" s="32"/>
      <c r="H435" s="73"/>
      <c r="I435" s="32"/>
      <c r="J435" s="32"/>
      <c r="K435" s="32"/>
      <c r="L435" s="32"/>
      <c r="M435" s="2"/>
      <c r="N435" s="2"/>
      <c r="O435" s="32"/>
      <c r="P435" s="32"/>
      <c r="Q435" s="32"/>
      <c r="R435" s="32"/>
      <c r="S435" s="2"/>
      <c r="T435" s="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32"/>
      <c r="F436" s="32"/>
      <c r="G436" s="32"/>
      <c r="H436" s="73"/>
      <c r="I436" s="32"/>
      <c r="J436" s="32"/>
      <c r="K436" s="32"/>
      <c r="L436" s="32"/>
      <c r="M436" s="2"/>
      <c r="N436" s="2"/>
      <c r="O436" s="32"/>
      <c r="P436" s="32"/>
      <c r="Q436" s="32"/>
      <c r="R436" s="32"/>
      <c r="S436" s="2"/>
      <c r="T436" s="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32"/>
      <c r="F437" s="32"/>
      <c r="G437" s="32"/>
      <c r="H437" s="73"/>
      <c r="I437" s="32"/>
      <c r="J437" s="32"/>
      <c r="K437" s="32"/>
      <c r="L437" s="32"/>
      <c r="M437" s="2"/>
      <c r="N437" s="2"/>
      <c r="O437" s="32"/>
      <c r="P437" s="32"/>
      <c r="Q437" s="32"/>
      <c r="R437" s="32"/>
      <c r="S437" s="2"/>
      <c r="T437" s="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32"/>
      <c r="F438" s="32"/>
      <c r="G438" s="32"/>
      <c r="H438" s="73"/>
      <c r="I438" s="32"/>
      <c r="J438" s="32"/>
      <c r="K438" s="32"/>
      <c r="L438" s="32"/>
      <c r="M438" s="2"/>
      <c r="N438" s="2"/>
      <c r="O438" s="32"/>
      <c r="P438" s="32"/>
      <c r="Q438" s="32"/>
      <c r="R438" s="32"/>
      <c r="S438" s="2"/>
      <c r="T438" s="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32"/>
      <c r="F439" s="32"/>
      <c r="G439" s="32"/>
      <c r="H439" s="73"/>
      <c r="I439" s="32"/>
      <c r="J439" s="32"/>
      <c r="K439" s="32"/>
      <c r="L439" s="32"/>
      <c r="M439" s="2"/>
      <c r="N439" s="2"/>
      <c r="O439" s="32"/>
      <c r="P439" s="32"/>
      <c r="Q439" s="32"/>
      <c r="R439" s="32"/>
      <c r="S439" s="2"/>
      <c r="T439" s="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32"/>
      <c r="F440" s="32"/>
      <c r="G440" s="32"/>
      <c r="H440" s="73"/>
      <c r="I440" s="32"/>
      <c r="J440" s="32"/>
      <c r="K440" s="32"/>
      <c r="L440" s="32"/>
      <c r="M440" s="2"/>
      <c r="N440" s="2"/>
      <c r="O440" s="32"/>
      <c r="P440" s="32"/>
      <c r="Q440" s="32"/>
      <c r="R440" s="32"/>
      <c r="S440" s="2"/>
      <c r="T440" s="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32"/>
      <c r="F441" s="32"/>
      <c r="G441" s="32"/>
      <c r="H441" s="73"/>
      <c r="I441" s="32"/>
      <c r="J441" s="32"/>
      <c r="K441" s="32"/>
      <c r="L441" s="32"/>
      <c r="M441" s="2"/>
      <c r="N441" s="2"/>
      <c r="O441" s="32"/>
      <c r="P441" s="32"/>
      <c r="Q441" s="32"/>
      <c r="R441" s="32"/>
      <c r="S441" s="2"/>
      <c r="T441" s="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32"/>
      <c r="F442" s="32"/>
      <c r="G442" s="32"/>
      <c r="H442" s="73"/>
      <c r="I442" s="32"/>
      <c r="J442" s="32"/>
      <c r="K442" s="32"/>
      <c r="L442" s="32"/>
      <c r="M442" s="2"/>
      <c r="N442" s="2"/>
      <c r="O442" s="32"/>
      <c r="P442" s="32"/>
      <c r="Q442" s="32"/>
      <c r="R442" s="32"/>
      <c r="S442" s="2"/>
      <c r="T442" s="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32"/>
      <c r="F443" s="32"/>
      <c r="G443" s="32"/>
      <c r="H443" s="73"/>
      <c r="I443" s="32"/>
      <c r="J443" s="32"/>
      <c r="K443" s="32"/>
      <c r="L443" s="32"/>
      <c r="M443" s="2"/>
      <c r="N443" s="2"/>
      <c r="O443" s="32"/>
      <c r="P443" s="32"/>
      <c r="Q443" s="32"/>
      <c r="R443" s="32"/>
      <c r="S443" s="2"/>
      <c r="T443" s="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32"/>
      <c r="F444" s="32"/>
      <c r="G444" s="32"/>
      <c r="H444" s="73"/>
      <c r="I444" s="32"/>
      <c r="J444" s="32"/>
      <c r="K444" s="32"/>
      <c r="L444" s="32"/>
      <c r="M444" s="2"/>
      <c r="N444" s="2"/>
      <c r="O444" s="32"/>
      <c r="P444" s="32"/>
      <c r="Q444" s="32"/>
      <c r="R444" s="32"/>
      <c r="S444" s="2"/>
      <c r="T444" s="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32"/>
      <c r="F445" s="32"/>
      <c r="G445" s="32"/>
      <c r="H445" s="73"/>
      <c r="I445" s="32"/>
      <c r="J445" s="32"/>
      <c r="K445" s="32"/>
      <c r="L445" s="32"/>
      <c r="M445" s="2"/>
      <c r="N445" s="2"/>
      <c r="O445" s="32"/>
      <c r="P445" s="32"/>
      <c r="Q445" s="32"/>
      <c r="R445" s="32"/>
      <c r="S445" s="2"/>
      <c r="T445" s="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32"/>
      <c r="F446" s="32"/>
      <c r="G446" s="32"/>
      <c r="H446" s="73"/>
      <c r="I446" s="32"/>
      <c r="J446" s="32"/>
      <c r="K446" s="32"/>
      <c r="L446" s="32"/>
      <c r="M446" s="2"/>
      <c r="N446" s="2"/>
      <c r="O446" s="32"/>
      <c r="P446" s="32"/>
      <c r="Q446" s="32"/>
      <c r="R446" s="32"/>
      <c r="S446" s="2"/>
      <c r="T446" s="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32"/>
      <c r="F447" s="32"/>
      <c r="G447" s="32"/>
      <c r="H447" s="73"/>
      <c r="I447" s="32"/>
      <c r="J447" s="32"/>
      <c r="K447" s="32"/>
      <c r="L447" s="32"/>
      <c r="M447" s="2"/>
      <c r="N447" s="2"/>
      <c r="O447" s="32"/>
      <c r="P447" s="32"/>
      <c r="Q447" s="32"/>
      <c r="R447" s="32"/>
      <c r="S447" s="2"/>
      <c r="T447" s="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32"/>
      <c r="F448" s="32"/>
      <c r="G448" s="32"/>
      <c r="H448" s="73"/>
      <c r="I448" s="32"/>
      <c r="J448" s="32"/>
      <c r="K448" s="32"/>
      <c r="L448" s="32"/>
      <c r="M448" s="2"/>
      <c r="N448" s="2"/>
      <c r="O448" s="32"/>
      <c r="P448" s="32"/>
      <c r="Q448" s="32"/>
      <c r="R448" s="32"/>
      <c r="S448" s="2"/>
      <c r="T448" s="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32"/>
      <c r="F449" s="32"/>
      <c r="G449" s="32"/>
      <c r="H449" s="73"/>
      <c r="I449" s="32"/>
      <c r="J449" s="32"/>
      <c r="K449" s="32"/>
      <c r="L449" s="32"/>
      <c r="M449" s="2"/>
      <c r="N449" s="2"/>
      <c r="O449" s="32"/>
      <c r="P449" s="32"/>
      <c r="Q449" s="32"/>
      <c r="R449" s="32"/>
      <c r="S449" s="2"/>
      <c r="T449" s="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32"/>
      <c r="F450" s="32"/>
      <c r="G450" s="32"/>
      <c r="H450" s="73"/>
      <c r="I450" s="32"/>
      <c r="J450" s="32"/>
      <c r="K450" s="32"/>
      <c r="L450" s="32"/>
      <c r="M450" s="2"/>
      <c r="N450" s="2"/>
      <c r="O450" s="32"/>
      <c r="P450" s="32"/>
      <c r="Q450" s="32"/>
      <c r="R450" s="32"/>
      <c r="S450" s="2"/>
      <c r="T450" s="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32"/>
      <c r="F451" s="32"/>
      <c r="G451" s="32"/>
      <c r="H451" s="73"/>
      <c r="I451" s="32"/>
      <c r="J451" s="32"/>
      <c r="K451" s="32"/>
      <c r="L451" s="32"/>
      <c r="M451" s="2"/>
      <c r="N451" s="2"/>
      <c r="O451" s="32"/>
      <c r="P451" s="32"/>
      <c r="Q451" s="32"/>
      <c r="R451" s="32"/>
      <c r="S451" s="2"/>
      <c r="T451" s="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32"/>
      <c r="F452" s="32"/>
      <c r="G452" s="32"/>
      <c r="H452" s="73"/>
      <c r="I452" s="32"/>
      <c r="J452" s="32"/>
      <c r="K452" s="32"/>
      <c r="L452" s="32"/>
      <c r="M452" s="2"/>
      <c r="N452" s="2"/>
      <c r="O452" s="32"/>
      <c r="P452" s="32"/>
      <c r="Q452" s="32"/>
      <c r="R452" s="32"/>
      <c r="S452" s="2"/>
      <c r="T452" s="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32"/>
      <c r="F453" s="32"/>
      <c r="G453" s="32"/>
      <c r="H453" s="73"/>
      <c r="I453" s="32"/>
      <c r="J453" s="32"/>
      <c r="K453" s="32"/>
      <c r="L453" s="32"/>
      <c r="M453" s="2"/>
      <c r="N453" s="2"/>
      <c r="O453" s="32"/>
      <c r="P453" s="32"/>
      <c r="Q453" s="32"/>
      <c r="R453" s="32"/>
      <c r="S453" s="2"/>
      <c r="T453" s="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32"/>
      <c r="F454" s="32"/>
      <c r="G454" s="32"/>
      <c r="H454" s="73"/>
      <c r="I454" s="32"/>
      <c r="J454" s="32"/>
      <c r="K454" s="32"/>
      <c r="L454" s="32"/>
      <c r="M454" s="2"/>
      <c r="N454" s="2"/>
      <c r="O454" s="32"/>
      <c r="P454" s="32"/>
      <c r="Q454" s="32"/>
      <c r="R454" s="32"/>
      <c r="S454" s="2"/>
      <c r="T454" s="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32"/>
      <c r="F455" s="32"/>
      <c r="G455" s="32"/>
      <c r="H455" s="73"/>
      <c r="I455" s="32"/>
      <c r="J455" s="32"/>
      <c r="K455" s="32"/>
      <c r="L455" s="32"/>
      <c r="M455" s="2"/>
      <c r="N455" s="2"/>
      <c r="O455" s="32"/>
      <c r="P455" s="32"/>
      <c r="Q455" s="32"/>
      <c r="R455" s="32"/>
      <c r="S455" s="2"/>
      <c r="T455" s="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32"/>
      <c r="F456" s="32"/>
      <c r="G456" s="32"/>
      <c r="H456" s="73"/>
      <c r="I456" s="32"/>
      <c r="J456" s="32"/>
      <c r="K456" s="32"/>
      <c r="L456" s="32"/>
      <c r="M456" s="2"/>
      <c r="N456" s="2"/>
      <c r="O456" s="32"/>
      <c r="P456" s="32"/>
      <c r="Q456" s="32"/>
      <c r="R456" s="32"/>
      <c r="S456" s="2"/>
      <c r="T456" s="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32"/>
      <c r="F457" s="32"/>
      <c r="G457" s="32"/>
      <c r="H457" s="73"/>
      <c r="I457" s="32"/>
      <c r="J457" s="32"/>
      <c r="K457" s="32"/>
      <c r="L457" s="32"/>
      <c r="M457" s="2"/>
      <c r="N457" s="2"/>
      <c r="O457" s="32"/>
      <c r="P457" s="32"/>
      <c r="Q457" s="32"/>
      <c r="R457" s="32"/>
      <c r="S457" s="2"/>
      <c r="T457" s="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32"/>
      <c r="F458" s="32"/>
      <c r="G458" s="32"/>
      <c r="H458" s="73"/>
      <c r="I458" s="32"/>
      <c r="J458" s="32"/>
      <c r="K458" s="32"/>
      <c r="L458" s="32"/>
      <c r="M458" s="2"/>
      <c r="N458" s="2"/>
      <c r="O458" s="32"/>
      <c r="P458" s="32"/>
      <c r="Q458" s="32"/>
      <c r="R458" s="32"/>
      <c r="S458" s="2"/>
      <c r="T458" s="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32"/>
      <c r="F459" s="32"/>
      <c r="G459" s="32"/>
      <c r="H459" s="73"/>
      <c r="I459" s="32"/>
      <c r="J459" s="32"/>
      <c r="K459" s="32"/>
      <c r="L459" s="32"/>
      <c r="M459" s="2"/>
      <c r="N459" s="2"/>
      <c r="O459" s="32"/>
      <c r="P459" s="32"/>
      <c r="Q459" s="32"/>
      <c r="R459" s="32"/>
      <c r="S459" s="2"/>
      <c r="T459" s="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32"/>
      <c r="F460" s="32"/>
      <c r="G460" s="32"/>
      <c r="H460" s="73"/>
      <c r="I460" s="32"/>
      <c r="J460" s="32"/>
      <c r="K460" s="32"/>
      <c r="L460" s="32"/>
      <c r="M460" s="2"/>
      <c r="N460" s="2"/>
      <c r="O460" s="32"/>
      <c r="P460" s="32"/>
      <c r="Q460" s="32"/>
      <c r="R460" s="32"/>
      <c r="S460" s="2"/>
      <c r="T460" s="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32"/>
      <c r="F461" s="32"/>
      <c r="G461" s="32"/>
      <c r="H461" s="73"/>
      <c r="I461" s="32"/>
      <c r="J461" s="32"/>
      <c r="K461" s="32"/>
      <c r="L461" s="32"/>
      <c r="M461" s="2"/>
      <c r="N461" s="2"/>
      <c r="O461" s="32"/>
      <c r="P461" s="32"/>
      <c r="Q461" s="32"/>
      <c r="R461" s="32"/>
      <c r="S461" s="2"/>
      <c r="T461" s="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32"/>
      <c r="F462" s="32"/>
      <c r="G462" s="32"/>
      <c r="H462" s="73"/>
      <c r="I462" s="32"/>
      <c r="J462" s="32"/>
      <c r="K462" s="32"/>
      <c r="L462" s="32"/>
      <c r="M462" s="2"/>
      <c r="N462" s="2"/>
      <c r="O462" s="32"/>
      <c r="P462" s="32"/>
      <c r="Q462" s="32"/>
      <c r="R462" s="32"/>
      <c r="S462" s="2"/>
      <c r="T462" s="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32"/>
      <c r="F463" s="32"/>
      <c r="G463" s="32"/>
      <c r="H463" s="73"/>
      <c r="I463" s="32"/>
      <c r="J463" s="32"/>
      <c r="K463" s="32"/>
      <c r="L463" s="32"/>
      <c r="M463" s="2"/>
      <c r="N463" s="2"/>
      <c r="O463" s="32"/>
      <c r="P463" s="32"/>
      <c r="Q463" s="32"/>
      <c r="R463" s="32"/>
      <c r="S463" s="2"/>
      <c r="T463" s="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32"/>
      <c r="F464" s="32"/>
      <c r="G464" s="32"/>
      <c r="H464" s="73"/>
      <c r="I464" s="32"/>
      <c r="J464" s="32"/>
      <c r="K464" s="32"/>
      <c r="L464" s="32"/>
      <c r="M464" s="2"/>
      <c r="N464" s="2"/>
      <c r="O464" s="32"/>
      <c r="P464" s="32"/>
      <c r="Q464" s="32"/>
      <c r="R464" s="32"/>
      <c r="S464" s="2"/>
      <c r="T464" s="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32"/>
      <c r="F465" s="32"/>
      <c r="G465" s="32"/>
      <c r="H465" s="73"/>
      <c r="I465" s="32"/>
      <c r="J465" s="32"/>
      <c r="K465" s="32"/>
      <c r="L465" s="32"/>
      <c r="M465" s="2"/>
      <c r="N465" s="2"/>
      <c r="O465" s="32"/>
      <c r="P465" s="32"/>
      <c r="Q465" s="32"/>
      <c r="R465" s="32"/>
      <c r="S465" s="2"/>
      <c r="T465" s="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32"/>
      <c r="F466" s="32"/>
      <c r="G466" s="32"/>
      <c r="H466" s="73"/>
      <c r="I466" s="32"/>
      <c r="J466" s="32"/>
      <c r="K466" s="32"/>
      <c r="L466" s="32"/>
      <c r="M466" s="2"/>
      <c r="N466" s="2"/>
      <c r="O466" s="32"/>
      <c r="P466" s="32"/>
      <c r="Q466" s="32"/>
      <c r="R466" s="32"/>
      <c r="S466" s="2"/>
      <c r="T466" s="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32"/>
      <c r="F467" s="32"/>
      <c r="G467" s="32"/>
      <c r="H467" s="73"/>
      <c r="I467" s="32"/>
      <c r="J467" s="32"/>
      <c r="K467" s="32"/>
      <c r="L467" s="32"/>
      <c r="M467" s="2"/>
      <c r="N467" s="2"/>
      <c r="O467" s="32"/>
      <c r="P467" s="32"/>
      <c r="Q467" s="32"/>
      <c r="R467" s="32"/>
      <c r="S467" s="2"/>
      <c r="T467" s="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32"/>
      <c r="F468" s="32"/>
      <c r="G468" s="32"/>
      <c r="H468" s="73"/>
      <c r="I468" s="32"/>
      <c r="J468" s="32"/>
      <c r="K468" s="32"/>
      <c r="L468" s="32"/>
      <c r="M468" s="2"/>
      <c r="N468" s="2"/>
      <c r="O468" s="32"/>
      <c r="P468" s="32"/>
      <c r="Q468" s="32"/>
      <c r="R468" s="32"/>
      <c r="S468" s="2"/>
      <c r="T468" s="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32"/>
      <c r="F469" s="32"/>
      <c r="G469" s="32"/>
      <c r="H469" s="73"/>
      <c r="I469" s="32"/>
      <c r="J469" s="32"/>
      <c r="K469" s="32"/>
      <c r="L469" s="32"/>
      <c r="M469" s="2"/>
      <c r="N469" s="2"/>
      <c r="O469" s="32"/>
      <c r="P469" s="32"/>
      <c r="Q469" s="32"/>
      <c r="R469" s="32"/>
      <c r="S469" s="2"/>
      <c r="T469" s="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32"/>
      <c r="F470" s="32"/>
      <c r="G470" s="32"/>
      <c r="H470" s="73"/>
      <c r="I470" s="32"/>
      <c r="J470" s="32"/>
      <c r="K470" s="32"/>
      <c r="L470" s="32"/>
      <c r="M470" s="2"/>
      <c r="N470" s="2"/>
      <c r="O470" s="32"/>
      <c r="P470" s="32"/>
      <c r="Q470" s="32"/>
      <c r="R470" s="32"/>
      <c r="S470" s="2"/>
      <c r="T470" s="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32"/>
      <c r="F471" s="32"/>
      <c r="G471" s="32"/>
      <c r="H471" s="73"/>
      <c r="I471" s="32"/>
      <c r="J471" s="32"/>
      <c r="K471" s="32"/>
      <c r="L471" s="32"/>
      <c r="M471" s="2"/>
      <c r="N471" s="2"/>
      <c r="O471" s="32"/>
      <c r="P471" s="32"/>
      <c r="Q471" s="32"/>
      <c r="R471" s="32"/>
      <c r="S471" s="2"/>
      <c r="T471" s="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32"/>
      <c r="F472" s="32"/>
      <c r="G472" s="32"/>
      <c r="H472" s="73"/>
      <c r="I472" s="32"/>
      <c r="J472" s="32"/>
      <c r="K472" s="32"/>
      <c r="L472" s="32"/>
      <c r="M472" s="2"/>
      <c r="N472" s="2"/>
      <c r="O472" s="32"/>
      <c r="P472" s="32"/>
      <c r="Q472" s="32"/>
      <c r="R472" s="32"/>
      <c r="S472" s="2"/>
      <c r="T472" s="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32"/>
      <c r="F473" s="32"/>
      <c r="G473" s="32"/>
      <c r="H473" s="73"/>
      <c r="I473" s="32"/>
      <c r="J473" s="32"/>
      <c r="K473" s="32"/>
      <c r="L473" s="32"/>
      <c r="M473" s="2"/>
      <c r="N473" s="2"/>
      <c r="O473" s="32"/>
      <c r="P473" s="32"/>
      <c r="Q473" s="32"/>
      <c r="R473" s="32"/>
      <c r="S473" s="2"/>
      <c r="T473" s="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32"/>
      <c r="F474" s="32"/>
      <c r="G474" s="32"/>
      <c r="H474" s="73"/>
      <c r="I474" s="32"/>
      <c r="J474" s="32"/>
      <c r="K474" s="32"/>
      <c r="L474" s="32"/>
      <c r="M474" s="2"/>
      <c r="N474" s="2"/>
      <c r="O474" s="32"/>
      <c r="P474" s="32"/>
      <c r="Q474" s="32"/>
      <c r="R474" s="32"/>
      <c r="S474" s="2"/>
      <c r="T474" s="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32"/>
      <c r="F475" s="32"/>
      <c r="G475" s="32"/>
      <c r="H475" s="73"/>
      <c r="I475" s="32"/>
      <c r="J475" s="32"/>
      <c r="K475" s="32"/>
      <c r="L475" s="32"/>
      <c r="M475" s="2"/>
      <c r="N475" s="2"/>
      <c r="O475" s="32"/>
      <c r="P475" s="32"/>
      <c r="Q475" s="32"/>
      <c r="R475" s="32"/>
      <c r="S475" s="2"/>
      <c r="T475" s="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32"/>
      <c r="F476" s="32"/>
      <c r="G476" s="32"/>
      <c r="H476" s="73"/>
      <c r="I476" s="32"/>
      <c r="J476" s="32"/>
      <c r="K476" s="32"/>
      <c r="L476" s="32"/>
      <c r="M476" s="2"/>
      <c r="N476" s="2"/>
      <c r="O476" s="32"/>
      <c r="P476" s="32"/>
      <c r="Q476" s="32"/>
      <c r="R476" s="32"/>
      <c r="S476" s="2"/>
      <c r="T476" s="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32"/>
      <c r="F477" s="32"/>
      <c r="G477" s="32"/>
      <c r="H477" s="73"/>
      <c r="I477" s="32"/>
      <c r="J477" s="32"/>
      <c r="K477" s="32"/>
      <c r="L477" s="32"/>
      <c r="M477" s="2"/>
      <c r="N477" s="2"/>
      <c r="O477" s="32"/>
      <c r="P477" s="32"/>
      <c r="Q477" s="32"/>
      <c r="R477" s="32"/>
      <c r="S477" s="2"/>
      <c r="T477" s="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32"/>
      <c r="F478" s="32"/>
      <c r="G478" s="32"/>
      <c r="H478" s="73"/>
      <c r="I478" s="32"/>
      <c r="J478" s="32"/>
      <c r="K478" s="32"/>
      <c r="L478" s="32"/>
      <c r="M478" s="2"/>
      <c r="N478" s="2"/>
      <c r="O478" s="32"/>
      <c r="P478" s="32"/>
      <c r="Q478" s="32"/>
      <c r="R478" s="32"/>
      <c r="S478" s="2"/>
      <c r="T478" s="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32"/>
      <c r="F479" s="32"/>
      <c r="G479" s="32"/>
      <c r="H479" s="73"/>
      <c r="I479" s="32"/>
      <c r="J479" s="32"/>
      <c r="K479" s="32"/>
      <c r="L479" s="32"/>
      <c r="M479" s="2"/>
      <c r="N479" s="2"/>
      <c r="O479" s="32"/>
      <c r="P479" s="32"/>
      <c r="Q479" s="32"/>
      <c r="R479" s="32"/>
      <c r="S479" s="2"/>
      <c r="T479" s="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32"/>
      <c r="F480" s="32"/>
      <c r="G480" s="32"/>
      <c r="H480" s="73"/>
      <c r="I480" s="32"/>
      <c r="J480" s="32"/>
      <c r="K480" s="32"/>
      <c r="L480" s="32"/>
      <c r="M480" s="2"/>
      <c r="N480" s="2"/>
      <c r="O480" s="32"/>
      <c r="P480" s="32"/>
      <c r="Q480" s="32"/>
      <c r="R480" s="32"/>
      <c r="S480" s="2"/>
      <c r="T480" s="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32"/>
      <c r="F481" s="32"/>
      <c r="G481" s="32"/>
      <c r="H481" s="73"/>
      <c r="I481" s="32"/>
      <c r="J481" s="32"/>
      <c r="K481" s="32"/>
      <c r="L481" s="32"/>
      <c r="M481" s="2"/>
      <c r="N481" s="2"/>
      <c r="O481" s="32"/>
      <c r="P481" s="32"/>
      <c r="Q481" s="32"/>
      <c r="R481" s="32"/>
      <c r="S481" s="2"/>
      <c r="T481" s="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32"/>
      <c r="F482" s="32"/>
      <c r="G482" s="32"/>
      <c r="H482" s="73"/>
      <c r="I482" s="32"/>
      <c r="J482" s="32"/>
      <c r="K482" s="32"/>
      <c r="L482" s="32"/>
      <c r="M482" s="2"/>
      <c r="N482" s="2"/>
      <c r="O482" s="32"/>
      <c r="P482" s="32"/>
      <c r="Q482" s="32"/>
      <c r="R482" s="32"/>
      <c r="S482" s="2"/>
      <c r="T482" s="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32"/>
      <c r="F483" s="32"/>
      <c r="G483" s="32"/>
      <c r="H483" s="73"/>
      <c r="I483" s="32"/>
      <c r="J483" s="32"/>
      <c r="K483" s="32"/>
      <c r="L483" s="32"/>
      <c r="M483" s="2"/>
      <c r="N483" s="2"/>
      <c r="O483" s="32"/>
      <c r="P483" s="32"/>
      <c r="Q483" s="32"/>
      <c r="R483" s="32"/>
      <c r="S483" s="2"/>
      <c r="T483" s="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32"/>
      <c r="F484" s="32"/>
      <c r="G484" s="32"/>
      <c r="H484" s="73"/>
      <c r="I484" s="32"/>
      <c r="J484" s="32"/>
      <c r="K484" s="32"/>
      <c r="L484" s="32"/>
      <c r="M484" s="2"/>
      <c r="N484" s="2"/>
      <c r="O484" s="32"/>
      <c r="P484" s="32"/>
      <c r="Q484" s="32"/>
      <c r="R484" s="32"/>
      <c r="S484" s="2"/>
      <c r="T484" s="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32"/>
      <c r="F485" s="32"/>
      <c r="G485" s="32"/>
      <c r="H485" s="73"/>
      <c r="I485" s="32"/>
      <c r="J485" s="32"/>
      <c r="K485" s="32"/>
      <c r="L485" s="32"/>
      <c r="M485" s="2"/>
      <c r="N485" s="2"/>
      <c r="O485" s="32"/>
      <c r="P485" s="32"/>
      <c r="Q485" s="32"/>
      <c r="R485" s="32"/>
      <c r="S485" s="2"/>
      <c r="T485" s="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32"/>
      <c r="F486" s="32"/>
      <c r="G486" s="32"/>
      <c r="H486" s="73"/>
      <c r="I486" s="32"/>
      <c r="J486" s="32"/>
      <c r="K486" s="32"/>
      <c r="L486" s="32"/>
      <c r="M486" s="2"/>
      <c r="N486" s="2"/>
      <c r="O486" s="32"/>
      <c r="P486" s="32"/>
      <c r="Q486" s="32"/>
      <c r="R486" s="32"/>
      <c r="S486" s="2"/>
      <c r="T486" s="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32"/>
      <c r="F487" s="32"/>
      <c r="G487" s="32"/>
      <c r="H487" s="73"/>
      <c r="I487" s="32"/>
      <c r="J487" s="32"/>
      <c r="K487" s="32"/>
      <c r="L487" s="32"/>
      <c r="M487" s="2"/>
      <c r="N487" s="2"/>
      <c r="O487" s="32"/>
      <c r="P487" s="32"/>
      <c r="Q487" s="32"/>
      <c r="R487" s="32"/>
      <c r="S487" s="2"/>
      <c r="T487" s="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32"/>
      <c r="F488" s="32"/>
      <c r="G488" s="32"/>
      <c r="H488" s="73"/>
      <c r="I488" s="32"/>
      <c r="J488" s="32"/>
      <c r="K488" s="32"/>
      <c r="L488" s="32"/>
      <c r="M488" s="2"/>
      <c r="N488" s="2"/>
      <c r="O488" s="32"/>
      <c r="P488" s="32"/>
      <c r="Q488" s="32"/>
      <c r="R488" s="32"/>
      <c r="S488" s="2"/>
      <c r="T488" s="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32"/>
      <c r="F489" s="32"/>
      <c r="G489" s="32"/>
      <c r="H489" s="73"/>
      <c r="I489" s="32"/>
      <c r="J489" s="32"/>
      <c r="K489" s="32"/>
      <c r="L489" s="32"/>
      <c r="M489" s="2"/>
      <c r="N489" s="2"/>
      <c r="O489" s="32"/>
      <c r="P489" s="32"/>
      <c r="Q489" s="32"/>
      <c r="R489" s="32"/>
      <c r="S489" s="2"/>
      <c r="T489" s="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32"/>
      <c r="F490" s="32"/>
      <c r="G490" s="32"/>
      <c r="H490" s="73"/>
      <c r="I490" s="32"/>
      <c r="J490" s="32"/>
      <c r="K490" s="32"/>
      <c r="L490" s="32"/>
      <c r="M490" s="2"/>
      <c r="N490" s="2"/>
      <c r="O490" s="32"/>
      <c r="P490" s="32"/>
      <c r="Q490" s="32"/>
      <c r="R490" s="32"/>
      <c r="S490" s="2"/>
      <c r="T490" s="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32"/>
      <c r="F491" s="32"/>
      <c r="G491" s="32"/>
      <c r="H491" s="73"/>
      <c r="I491" s="32"/>
      <c r="J491" s="32"/>
      <c r="K491" s="32"/>
      <c r="L491" s="32"/>
      <c r="M491" s="2"/>
      <c r="N491" s="2"/>
      <c r="O491" s="32"/>
      <c r="P491" s="32"/>
      <c r="Q491" s="32"/>
      <c r="R491" s="32"/>
      <c r="S491" s="2"/>
      <c r="T491" s="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32"/>
      <c r="F492" s="32"/>
      <c r="G492" s="32"/>
      <c r="H492" s="73"/>
      <c r="I492" s="32"/>
      <c r="J492" s="32"/>
      <c r="K492" s="32"/>
      <c r="L492" s="32"/>
      <c r="M492" s="2"/>
      <c r="N492" s="2"/>
      <c r="O492" s="32"/>
      <c r="P492" s="32"/>
      <c r="Q492" s="32"/>
      <c r="R492" s="32"/>
      <c r="S492" s="2"/>
      <c r="T492" s="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32"/>
      <c r="F493" s="32"/>
      <c r="G493" s="32"/>
      <c r="H493" s="73"/>
      <c r="I493" s="32"/>
      <c r="J493" s="32"/>
      <c r="K493" s="32"/>
      <c r="L493" s="32"/>
      <c r="M493" s="2"/>
      <c r="N493" s="2"/>
      <c r="O493" s="32"/>
      <c r="P493" s="32"/>
      <c r="Q493" s="32"/>
      <c r="R493" s="32"/>
      <c r="S493" s="2"/>
      <c r="T493" s="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32"/>
      <c r="F494" s="32"/>
      <c r="G494" s="32"/>
      <c r="H494" s="73"/>
      <c r="I494" s="32"/>
      <c r="J494" s="32"/>
      <c r="K494" s="32"/>
      <c r="L494" s="32"/>
      <c r="M494" s="2"/>
      <c r="N494" s="2"/>
      <c r="O494" s="32"/>
      <c r="P494" s="32"/>
      <c r="Q494" s="32"/>
      <c r="R494" s="32"/>
      <c r="S494" s="2"/>
      <c r="T494" s="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32"/>
      <c r="F495" s="32"/>
      <c r="G495" s="32"/>
      <c r="H495" s="73"/>
      <c r="I495" s="32"/>
      <c r="J495" s="32"/>
      <c r="K495" s="32"/>
      <c r="L495" s="32"/>
      <c r="M495" s="2"/>
      <c r="N495" s="2"/>
      <c r="O495" s="32"/>
      <c r="P495" s="32"/>
      <c r="Q495" s="32"/>
      <c r="R495" s="32"/>
      <c r="S495" s="2"/>
      <c r="T495" s="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32"/>
      <c r="F496" s="32"/>
      <c r="G496" s="32"/>
      <c r="H496" s="73"/>
      <c r="I496" s="32"/>
      <c r="J496" s="32"/>
      <c r="K496" s="32"/>
      <c r="L496" s="32"/>
      <c r="M496" s="2"/>
      <c r="N496" s="2"/>
      <c r="O496" s="32"/>
      <c r="P496" s="32"/>
      <c r="Q496" s="32"/>
      <c r="R496" s="32"/>
      <c r="S496" s="2"/>
      <c r="T496" s="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32"/>
      <c r="F497" s="32"/>
      <c r="G497" s="32"/>
      <c r="H497" s="73"/>
      <c r="I497" s="32"/>
      <c r="J497" s="32"/>
      <c r="K497" s="32"/>
      <c r="L497" s="32"/>
      <c r="M497" s="2"/>
      <c r="N497" s="2"/>
      <c r="O497" s="32"/>
      <c r="P497" s="32"/>
      <c r="Q497" s="32"/>
      <c r="R497" s="32"/>
      <c r="S497" s="2"/>
      <c r="T497" s="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32"/>
      <c r="F498" s="32"/>
      <c r="G498" s="32"/>
      <c r="H498" s="73"/>
      <c r="I498" s="32"/>
      <c r="J498" s="32"/>
      <c r="K498" s="32"/>
      <c r="L498" s="32"/>
      <c r="M498" s="2"/>
      <c r="N498" s="2"/>
      <c r="O498" s="32"/>
      <c r="P498" s="32"/>
      <c r="Q498" s="32"/>
      <c r="R498" s="32"/>
      <c r="S498" s="2"/>
      <c r="T498" s="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32"/>
      <c r="F499" s="32"/>
      <c r="G499" s="32"/>
      <c r="H499" s="73"/>
      <c r="I499" s="32"/>
      <c r="J499" s="32"/>
      <c r="K499" s="32"/>
      <c r="L499" s="32"/>
      <c r="M499" s="2"/>
      <c r="N499" s="2"/>
      <c r="O499" s="32"/>
      <c r="P499" s="32"/>
      <c r="Q499" s="32"/>
      <c r="R499" s="32"/>
      <c r="S499" s="2"/>
      <c r="T499" s="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32"/>
      <c r="F500" s="32"/>
      <c r="G500" s="32"/>
      <c r="H500" s="73"/>
      <c r="I500" s="32"/>
      <c r="J500" s="32"/>
      <c r="K500" s="32"/>
      <c r="L500" s="32"/>
      <c r="M500" s="2"/>
      <c r="N500" s="2"/>
      <c r="O500" s="32"/>
      <c r="P500" s="32"/>
      <c r="Q500" s="32"/>
      <c r="R500" s="32"/>
      <c r="S500" s="2"/>
      <c r="T500" s="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32"/>
      <c r="F501" s="32"/>
      <c r="G501" s="32"/>
      <c r="H501" s="73"/>
      <c r="I501" s="32"/>
      <c r="J501" s="32"/>
      <c r="K501" s="32"/>
      <c r="L501" s="32"/>
      <c r="M501" s="2"/>
      <c r="N501" s="2"/>
      <c r="O501" s="32"/>
      <c r="P501" s="32"/>
      <c r="Q501" s="32"/>
      <c r="R501" s="32"/>
      <c r="S501" s="2"/>
      <c r="T501" s="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32"/>
      <c r="F502" s="32"/>
      <c r="G502" s="32"/>
      <c r="H502" s="73"/>
      <c r="I502" s="32"/>
      <c r="J502" s="32"/>
      <c r="K502" s="32"/>
      <c r="L502" s="32"/>
      <c r="M502" s="2"/>
      <c r="N502" s="2"/>
      <c r="O502" s="32"/>
      <c r="P502" s="32"/>
      <c r="Q502" s="32"/>
      <c r="R502" s="32"/>
      <c r="S502" s="2"/>
      <c r="T502" s="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32"/>
      <c r="F503" s="32"/>
      <c r="G503" s="32"/>
      <c r="H503" s="73"/>
      <c r="I503" s="32"/>
      <c r="J503" s="32"/>
      <c r="K503" s="32"/>
      <c r="L503" s="32"/>
      <c r="M503" s="2"/>
      <c r="N503" s="2"/>
      <c r="O503" s="32"/>
      <c r="P503" s="32"/>
      <c r="Q503" s="32"/>
      <c r="R503" s="32"/>
      <c r="S503" s="2"/>
      <c r="T503" s="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32"/>
      <c r="F504" s="32"/>
      <c r="G504" s="32"/>
      <c r="H504" s="73"/>
      <c r="I504" s="32"/>
      <c r="J504" s="32"/>
      <c r="K504" s="32"/>
      <c r="L504" s="32"/>
      <c r="M504" s="2"/>
      <c r="N504" s="2"/>
      <c r="O504" s="32"/>
      <c r="P504" s="32"/>
      <c r="Q504" s="32"/>
      <c r="R504" s="32"/>
      <c r="S504" s="2"/>
      <c r="T504" s="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32"/>
      <c r="F505" s="32"/>
      <c r="G505" s="32"/>
      <c r="H505" s="73"/>
      <c r="I505" s="32"/>
      <c r="J505" s="32"/>
      <c r="K505" s="32"/>
      <c r="L505" s="32"/>
      <c r="M505" s="2"/>
      <c r="N505" s="2"/>
      <c r="O505" s="32"/>
      <c r="P505" s="32"/>
      <c r="Q505" s="32"/>
      <c r="R505" s="32"/>
      <c r="S505" s="2"/>
      <c r="T505" s="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32"/>
      <c r="F506" s="32"/>
      <c r="G506" s="32"/>
      <c r="H506" s="73"/>
      <c r="I506" s="32"/>
      <c r="J506" s="32"/>
      <c r="K506" s="32"/>
      <c r="L506" s="32"/>
      <c r="M506" s="2"/>
      <c r="N506" s="2"/>
      <c r="O506" s="32"/>
      <c r="P506" s="32"/>
      <c r="Q506" s="32"/>
      <c r="R506" s="32"/>
      <c r="S506" s="2"/>
      <c r="T506" s="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32"/>
      <c r="F507" s="32"/>
      <c r="G507" s="32"/>
      <c r="H507" s="73"/>
      <c r="I507" s="32"/>
      <c r="J507" s="32"/>
      <c r="K507" s="32"/>
      <c r="L507" s="32"/>
      <c r="M507" s="2"/>
      <c r="N507" s="2"/>
      <c r="O507" s="32"/>
      <c r="P507" s="32"/>
      <c r="Q507" s="32"/>
      <c r="R507" s="32"/>
      <c r="S507" s="2"/>
      <c r="T507" s="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32"/>
      <c r="F508" s="32"/>
      <c r="G508" s="32"/>
      <c r="H508" s="73"/>
      <c r="I508" s="32"/>
      <c r="J508" s="32"/>
      <c r="K508" s="32"/>
      <c r="L508" s="32"/>
      <c r="M508" s="2"/>
      <c r="N508" s="2"/>
      <c r="O508" s="32"/>
      <c r="P508" s="32"/>
      <c r="Q508" s="32"/>
      <c r="R508" s="32"/>
      <c r="S508" s="2"/>
      <c r="T508" s="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32"/>
      <c r="F509" s="32"/>
      <c r="G509" s="32"/>
      <c r="H509" s="73"/>
      <c r="I509" s="32"/>
      <c r="J509" s="32"/>
      <c r="K509" s="32"/>
      <c r="L509" s="32"/>
      <c r="M509" s="2"/>
      <c r="N509" s="2"/>
      <c r="O509" s="32"/>
      <c r="P509" s="32"/>
      <c r="Q509" s="32"/>
      <c r="R509" s="32"/>
      <c r="S509" s="2"/>
      <c r="T509" s="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32"/>
      <c r="F510" s="32"/>
      <c r="G510" s="32"/>
      <c r="H510" s="73"/>
      <c r="I510" s="32"/>
      <c r="J510" s="32"/>
      <c r="K510" s="32"/>
      <c r="L510" s="32"/>
      <c r="M510" s="2"/>
      <c r="N510" s="2"/>
      <c r="O510" s="32"/>
      <c r="P510" s="32"/>
      <c r="Q510" s="32"/>
      <c r="R510" s="32"/>
      <c r="S510" s="2"/>
      <c r="T510" s="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32"/>
      <c r="F511" s="32"/>
      <c r="G511" s="32"/>
      <c r="H511" s="73"/>
      <c r="I511" s="32"/>
      <c r="J511" s="32"/>
      <c r="K511" s="32"/>
      <c r="L511" s="32"/>
      <c r="M511" s="2"/>
      <c r="N511" s="2"/>
      <c r="O511" s="32"/>
      <c r="P511" s="32"/>
      <c r="Q511" s="32"/>
      <c r="R511" s="32"/>
      <c r="S511" s="2"/>
      <c r="T511" s="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32"/>
      <c r="F512" s="32"/>
      <c r="G512" s="32"/>
      <c r="H512" s="73"/>
      <c r="I512" s="32"/>
      <c r="J512" s="32"/>
      <c r="K512" s="32"/>
      <c r="L512" s="32"/>
      <c r="M512" s="2"/>
      <c r="N512" s="2"/>
      <c r="O512" s="32"/>
      <c r="P512" s="32"/>
      <c r="Q512" s="32"/>
      <c r="R512" s="32"/>
      <c r="S512" s="2"/>
      <c r="T512" s="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32"/>
      <c r="F513" s="32"/>
      <c r="G513" s="32"/>
      <c r="H513" s="73"/>
      <c r="I513" s="32"/>
      <c r="J513" s="32"/>
      <c r="K513" s="32"/>
      <c r="L513" s="32"/>
      <c r="M513" s="2"/>
      <c r="N513" s="2"/>
      <c r="O513" s="32"/>
      <c r="P513" s="32"/>
      <c r="Q513" s="32"/>
      <c r="R513" s="32"/>
      <c r="S513" s="2"/>
      <c r="T513" s="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32"/>
      <c r="F514" s="32"/>
      <c r="G514" s="32"/>
      <c r="H514" s="73"/>
      <c r="I514" s="32"/>
      <c r="J514" s="32"/>
      <c r="K514" s="32"/>
      <c r="L514" s="32"/>
      <c r="M514" s="2"/>
      <c r="N514" s="2"/>
      <c r="O514" s="32"/>
      <c r="P514" s="32"/>
      <c r="Q514" s="32"/>
      <c r="R514" s="32"/>
      <c r="S514" s="2"/>
      <c r="T514" s="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32"/>
      <c r="F515" s="32"/>
      <c r="G515" s="32"/>
      <c r="H515" s="73"/>
      <c r="I515" s="32"/>
      <c r="J515" s="32"/>
      <c r="K515" s="32"/>
      <c r="L515" s="32"/>
      <c r="M515" s="2"/>
      <c r="N515" s="2"/>
      <c r="O515" s="32"/>
      <c r="P515" s="32"/>
      <c r="Q515" s="32"/>
      <c r="R515" s="32"/>
      <c r="S515" s="2"/>
      <c r="T515" s="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32"/>
      <c r="F516" s="32"/>
      <c r="G516" s="32"/>
      <c r="H516" s="73"/>
      <c r="I516" s="32"/>
      <c r="J516" s="32"/>
      <c r="K516" s="32"/>
      <c r="L516" s="32"/>
      <c r="M516" s="2"/>
      <c r="N516" s="2"/>
      <c r="O516" s="32"/>
      <c r="P516" s="32"/>
      <c r="Q516" s="32"/>
      <c r="R516" s="32"/>
      <c r="S516" s="2"/>
      <c r="T516" s="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32"/>
      <c r="F517" s="32"/>
      <c r="G517" s="32"/>
      <c r="H517" s="73"/>
      <c r="I517" s="32"/>
      <c r="J517" s="32"/>
      <c r="K517" s="32"/>
      <c r="L517" s="32"/>
      <c r="M517" s="2"/>
      <c r="N517" s="2"/>
      <c r="O517" s="32"/>
      <c r="P517" s="32"/>
      <c r="Q517" s="32"/>
      <c r="R517" s="32"/>
      <c r="S517" s="2"/>
      <c r="T517" s="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32"/>
      <c r="F518" s="32"/>
      <c r="G518" s="32"/>
      <c r="H518" s="73"/>
      <c r="I518" s="32"/>
      <c r="J518" s="32"/>
      <c r="K518" s="32"/>
      <c r="L518" s="32"/>
      <c r="M518" s="2"/>
      <c r="N518" s="2"/>
      <c r="O518" s="32"/>
      <c r="P518" s="32"/>
      <c r="Q518" s="32"/>
      <c r="R518" s="32"/>
      <c r="S518" s="2"/>
      <c r="T518" s="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32"/>
      <c r="F519" s="32"/>
      <c r="G519" s="32"/>
      <c r="H519" s="73"/>
      <c r="I519" s="32"/>
      <c r="J519" s="32"/>
      <c r="K519" s="32"/>
      <c r="L519" s="32"/>
      <c r="M519" s="2"/>
      <c r="N519" s="2"/>
      <c r="O519" s="32"/>
      <c r="P519" s="32"/>
      <c r="Q519" s="32"/>
      <c r="R519" s="32"/>
      <c r="S519" s="2"/>
      <c r="T519" s="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32"/>
      <c r="F520" s="32"/>
      <c r="G520" s="32"/>
      <c r="H520" s="73"/>
      <c r="I520" s="32"/>
      <c r="J520" s="32"/>
      <c r="K520" s="32"/>
      <c r="L520" s="32"/>
      <c r="M520" s="2"/>
      <c r="N520" s="2"/>
      <c r="O520" s="32"/>
      <c r="P520" s="32"/>
      <c r="Q520" s="32"/>
      <c r="R520" s="32"/>
      <c r="S520" s="2"/>
      <c r="T520" s="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32"/>
      <c r="F521" s="32"/>
      <c r="G521" s="32"/>
      <c r="H521" s="73"/>
      <c r="I521" s="32"/>
      <c r="J521" s="32"/>
      <c r="K521" s="32"/>
      <c r="L521" s="32"/>
      <c r="M521" s="2"/>
      <c r="N521" s="2"/>
      <c r="O521" s="32"/>
      <c r="P521" s="32"/>
      <c r="Q521" s="32"/>
      <c r="R521" s="32"/>
      <c r="S521" s="2"/>
      <c r="T521" s="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32"/>
      <c r="F522" s="32"/>
      <c r="G522" s="32"/>
      <c r="H522" s="73"/>
      <c r="I522" s="32"/>
      <c r="J522" s="32"/>
      <c r="K522" s="32"/>
      <c r="L522" s="32"/>
      <c r="M522" s="2"/>
      <c r="N522" s="2"/>
      <c r="O522" s="32"/>
      <c r="P522" s="32"/>
      <c r="Q522" s="32"/>
      <c r="R522" s="32"/>
      <c r="S522" s="2"/>
      <c r="T522" s="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32"/>
      <c r="F523" s="32"/>
      <c r="G523" s="32"/>
      <c r="H523" s="73"/>
      <c r="I523" s="32"/>
      <c r="J523" s="32"/>
      <c r="K523" s="32"/>
      <c r="L523" s="32"/>
      <c r="M523" s="2"/>
      <c r="N523" s="2"/>
      <c r="O523" s="32"/>
      <c r="P523" s="32"/>
      <c r="Q523" s="32"/>
      <c r="R523" s="32"/>
      <c r="S523" s="2"/>
      <c r="T523" s="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32"/>
      <c r="F524" s="32"/>
      <c r="G524" s="32"/>
      <c r="H524" s="73"/>
      <c r="I524" s="32"/>
      <c r="J524" s="32"/>
      <c r="K524" s="32"/>
      <c r="L524" s="32"/>
      <c r="M524" s="2"/>
      <c r="N524" s="2"/>
      <c r="O524" s="32"/>
      <c r="P524" s="32"/>
      <c r="Q524" s="32"/>
      <c r="R524" s="32"/>
      <c r="S524" s="2"/>
      <c r="T524" s="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32"/>
      <c r="F525" s="32"/>
      <c r="G525" s="32"/>
      <c r="H525" s="73"/>
      <c r="I525" s="32"/>
      <c r="J525" s="32"/>
      <c r="K525" s="32"/>
      <c r="L525" s="32"/>
      <c r="M525" s="2"/>
      <c r="N525" s="2"/>
      <c r="O525" s="32"/>
      <c r="P525" s="32"/>
      <c r="Q525" s="32"/>
      <c r="R525" s="32"/>
      <c r="S525" s="2"/>
      <c r="T525" s="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32"/>
      <c r="F526" s="32"/>
      <c r="G526" s="32"/>
      <c r="H526" s="73"/>
      <c r="I526" s="32"/>
      <c r="J526" s="32"/>
      <c r="K526" s="32"/>
      <c r="L526" s="32"/>
      <c r="M526" s="2"/>
      <c r="N526" s="2"/>
      <c r="O526" s="32"/>
      <c r="P526" s="32"/>
      <c r="Q526" s="32"/>
      <c r="R526" s="32"/>
      <c r="S526" s="2"/>
      <c r="T526" s="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32"/>
      <c r="F527" s="32"/>
      <c r="G527" s="32"/>
      <c r="H527" s="73"/>
      <c r="I527" s="32"/>
      <c r="J527" s="32"/>
      <c r="K527" s="32"/>
      <c r="L527" s="32"/>
      <c r="M527" s="2"/>
      <c r="N527" s="2"/>
      <c r="O527" s="32"/>
      <c r="P527" s="32"/>
      <c r="Q527" s="32"/>
      <c r="R527" s="32"/>
      <c r="S527" s="2"/>
      <c r="T527" s="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32"/>
      <c r="F528" s="32"/>
      <c r="G528" s="32"/>
      <c r="H528" s="73"/>
      <c r="I528" s="32"/>
      <c r="J528" s="32"/>
      <c r="K528" s="32"/>
      <c r="L528" s="32"/>
      <c r="M528" s="2"/>
      <c r="N528" s="2"/>
      <c r="O528" s="32"/>
      <c r="P528" s="32"/>
      <c r="Q528" s="32"/>
      <c r="R528" s="32"/>
      <c r="S528" s="2"/>
      <c r="T528" s="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32"/>
      <c r="F529" s="32"/>
      <c r="G529" s="32"/>
      <c r="H529" s="73"/>
      <c r="I529" s="32"/>
      <c r="J529" s="32"/>
      <c r="K529" s="32"/>
      <c r="L529" s="32"/>
      <c r="M529" s="2"/>
      <c r="N529" s="2"/>
      <c r="O529" s="32"/>
      <c r="P529" s="32"/>
      <c r="Q529" s="32"/>
      <c r="R529" s="32"/>
      <c r="S529" s="2"/>
      <c r="T529" s="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32"/>
      <c r="F530" s="32"/>
      <c r="G530" s="32"/>
      <c r="H530" s="73"/>
      <c r="I530" s="32"/>
      <c r="J530" s="32"/>
      <c r="K530" s="32"/>
      <c r="L530" s="32"/>
      <c r="M530" s="2"/>
      <c r="N530" s="2"/>
      <c r="O530" s="32"/>
      <c r="P530" s="32"/>
      <c r="Q530" s="32"/>
      <c r="R530" s="32"/>
      <c r="S530" s="2"/>
      <c r="T530" s="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32"/>
      <c r="F531" s="32"/>
      <c r="G531" s="32"/>
      <c r="H531" s="73"/>
      <c r="I531" s="32"/>
      <c r="J531" s="32"/>
      <c r="K531" s="32"/>
      <c r="L531" s="32"/>
      <c r="M531" s="2"/>
      <c r="N531" s="2"/>
      <c r="O531" s="32"/>
      <c r="P531" s="32"/>
      <c r="Q531" s="32"/>
      <c r="R531" s="32"/>
      <c r="S531" s="2"/>
      <c r="T531" s="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32"/>
      <c r="F532" s="32"/>
      <c r="G532" s="32"/>
      <c r="H532" s="73"/>
      <c r="I532" s="32"/>
      <c r="J532" s="32"/>
      <c r="K532" s="32"/>
      <c r="L532" s="32"/>
      <c r="M532" s="2"/>
      <c r="N532" s="2"/>
      <c r="O532" s="32"/>
      <c r="P532" s="32"/>
      <c r="Q532" s="32"/>
      <c r="R532" s="32"/>
      <c r="S532" s="2"/>
      <c r="T532" s="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32"/>
      <c r="F533" s="32"/>
      <c r="G533" s="32"/>
      <c r="H533" s="73"/>
      <c r="I533" s="32"/>
      <c r="J533" s="32"/>
      <c r="K533" s="32"/>
      <c r="L533" s="32"/>
      <c r="M533" s="2"/>
      <c r="N533" s="2"/>
      <c r="O533" s="32"/>
      <c r="P533" s="32"/>
      <c r="Q533" s="32"/>
      <c r="R533" s="32"/>
      <c r="S533" s="2"/>
      <c r="T533" s="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32"/>
      <c r="F534" s="32"/>
      <c r="G534" s="32"/>
      <c r="H534" s="73"/>
      <c r="I534" s="32"/>
      <c r="J534" s="32"/>
      <c r="K534" s="32"/>
      <c r="L534" s="32"/>
      <c r="M534" s="2"/>
      <c r="N534" s="2"/>
      <c r="O534" s="32"/>
      <c r="P534" s="32"/>
      <c r="Q534" s="32"/>
      <c r="R534" s="32"/>
      <c r="S534" s="2"/>
      <c r="T534" s="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32"/>
      <c r="F535" s="32"/>
      <c r="G535" s="32"/>
      <c r="H535" s="73"/>
      <c r="I535" s="32"/>
      <c r="J535" s="32"/>
      <c r="K535" s="32"/>
      <c r="L535" s="32"/>
      <c r="M535" s="2"/>
      <c r="N535" s="2"/>
      <c r="O535" s="32"/>
      <c r="P535" s="32"/>
      <c r="Q535" s="32"/>
      <c r="R535" s="32"/>
      <c r="S535" s="2"/>
      <c r="T535" s="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32"/>
      <c r="F536" s="32"/>
      <c r="G536" s="32"/>
      <c r="H536" s="73"/>
      <c r="I536" s="32"/>
      <c r="J536" s="32"/>
      <c r="K536" s="32"/>
      <c r="L536" s="32"/>
      <c r="M536" s="2"/>
      <c r="N536" s="2"/>
      <c r="O536" s="32"/>
      <c r="P536" s="32"/>
      <c r="Q536" s="32"/>
      <c r="R536" s="32"/>
      <c r="S536" s="2"/>
      <c r="T536" s="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32"/>
      <c r="F537" s="32"/>
      <c r="G537" s="32"/>
      <c r="H537" s="73"/>
      <c r="I537" s="32"/>
      <c r="J537" s="32"/>
      <c r="K537" s="32"/>
      <c r="L537" s="32"/>
      <c r="M537" s="2"/>
      <c r="N537" s="2"/>
      <c r="O537" s="32"/>
      <c r="P537" s="32"/>
      <c r="Q537" s="32"/>
      <c r="R537" s="32"/>
      <c r="S537" s="2"/>
      <c r="T537" s="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32"/>
      <c r="F538" s="32"/>
      <c r="G538" s="32"/>
      <c r="H538" s="73"/>
      <c r="I538" s="32"/>
      <c r="J538" s="32"/>
      <c r="K538" s="32"/>
      <c r="L538" s="32"/>
      <c r="M538" s="2"/>
      <c r="N538" s="2"/>
      <c r="O538" s="32"/>
      <c r="P538" s="32"/>
      <c r="Q538" s="32"/>
      <c r="R538" s="32"/>
      <c r="S538" s="2"/>
      <c r="T538" s="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32"/>
      <c r="F539" s="32"/>
      <c r="G539" s="32"/>
      <c r="H539" s="73"/>
      <c r="I539" s="32"/>
      <c r="J539" s="32"/>
      <c r="K539" s="32"/>
      <c r="L539" s="32"/>
      <c r="M539" s="2"/>
      <c r="N539" s="2"/>
      <c r="O539" s="32"/>
      <c r="P539" s="32"/>
      <c r="Q539" s="32"/>
      <c r="R539" s="32"/>
      <c r="S539" s="2"/>
      <c r="T539" s="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32"/>
      <c r="F540" s="32"/>
      <c r="G540" s="32"/>
      <c r="H540" s="73"/>
      <c r="I540" s="32"/>
      <c r="J540" s="32"/>
      <c r="K540" s="32"/>
      <c r="L540" s="32"/>
      <c r="M540" s="2"/>
      <c r="N540" s="2"/>
      <c r="O540" s="32"/>
      <c r="P540" s="32"/>
      <c r="Q540" s="32"/>
      <c r="R540" s="32"/>
      <c r="S540" s="2"/>
      <c r="T540" s="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32"/>
      <c r="F541" s="32"/>
      <c r="G541" s="32"/>
      <c r="H541" s="73"/>
      <c r="I541" s="32"/>
      <c r="J541" s="32"/>
      <c r="K541" s="32"/>
      <c r="L541" s="32"/>
      <c r="M541" s="2"/>
      <c r="N541" s="2"/>
      <c r="O541" s="32"/>
      <c r="P541" s="32"/>
      <c r="Q541" s="32"/>
      <c r="R541" s="32"/>
      <c r="S541" s="2"/>
      <c r="T541" s="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32"/>
      <c r="F542" s="32"/>
      <c r="G542" s="32"/>
      <c r="H542" s="73"/>
      <c r="I542" s="32"/>
      <c r="J542" s="32"/>
      <c r="K542" s="32"/>
      <c r="L542" s="32"/>
      <c r="M542" s="2"/>
      <c r="N542" s="2"/>
      <c r="O542" s="32"/>
      <c r="P542" s="32"/>
      <c r="Q542" s="32"/>
      <c r="R542" s="32"/>
      <c r="S542" s="2"/>
      <c r="T542" s="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32"/>
      <c r="F543" s="32"/>
      <c r="G543" s="32"/>
      <c r="H543" s="73"/>
      <c r="I543" s="32"/>
      <c r="J543" s="32"/>
      <c r="K543" s="32"/>
      <c r="L543" s="32"/>
      <c r="M543" s="2"/>
      <c r="N543" s="2"/>
      <c r="O543" s="32"/>
      <c r="P543" s="32"/>
      <c r="Q543" s="32"/>
      <c r="R543" s="32"/>
      <c r="S543" s="2"/>
      <c r="T543" s="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32"/>
      <c r="F544" s="32"/>
      <c r="G544" s="32"/>
      <c r="H544" s="73"/>
      <c r="I544" s="32"/>
      <c r="J544" s="32"/>
      <c r="K544" s="32"/>
      <c r="L544" s="32"/>
      <c r="M544" s="2"/>
      <c r="N544" s="2"/>
      <c r="O544" s="32"/>
      <c r="P544" s="32"/>
      <c r="Q544" s="32"/>
      <c r="R544" s="32"/>
      <c r="S544" s="2"/>
      <c r="T544" s="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32"/>
      <c r="F545" s="32"/>
      <c r="G545" s="32"/>
      <c r="H545" s="73"/>
      <c r="I545" s="32"/>
      <c r="J545" s="32"/>
      <c r="K545" s="32"/>
      <c r="L545" s="32"/>
      <c r="M545" s="2"/>
      <c r="N545" s="2"/>
      <c r="O545" s="32"/>
      <c r="P545" s="32"/>
      <c r="Q545" s="32"/>
      <c r="R545" s="32"/>
      <c r="S545" s="2"/>
      <c r="T545" s="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32"/>
      <c r="F546" s="32"/>
      <c r="G546" s="32"/>
      <c r="H546" s="73"/>
      <c r="I546" s="32"/>
      <c r="J546" s="32"/>
      <c r="K546" s="32"/>
      <c r="L546" s="32"/>
      <c r="M546" s="2"/>
      <c r="N546" s="2"/>
      <c r="O546" s="32"/>
      <c r="P546" s="32"/>
      <c r="Q546" s="32"/>
      <c r="R546" s="32"/>
      <c r="S546" s="2"/>
      <c r="T546" s="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32"/>
      <c r="F547" s="32"/>
      <c r="G547" s="32"/>
      <c r="H547" s="73"/>
      <c r="I547" s="32"/>
      <c r="J547" s="32"/>
      <c r="K547" s="32"/>
      <c r="L547" s="32"/>
      <c r="M547" s="2"/>
      <c r="N547" s="2"/>
      <c r="O547" s="32"/>
      <c r="P547" s="32"/>
      <c r="Q547" s="32"/>
      <c r="R547" s="32"/>
      <c r="S547" s="2"/>
      <c r="T547" s="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32"/>
      <c r="F548" s="32"/>
      <c r="G548" s="32"/>
      <c r="H548" s="73"/>
      <c r="I548" s="32"/>
      <c r="J548" s="32"/>
      <c r="K548" s="32"/>
      <c r="L548" s="32"/>
      <c r="M548" s="2"/>
      <c r="N548" s="2"/>
      <c r="O548" s="32"/>
      <c r="P548" s="32"/>
      <c r="Q548" s="32"/>
      <c r="R548" s="32"/>
      <c r="S548" s="2"/>
      <c r="T548" s="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32"/>
      <c r="F549" s="32"/>
      <c r="G549" s="32"/>
      <c r="H549" s="73"/>
      <c r="I549" s="32"/>
      <c r="J549" s="32"/>
      <c r="K549" s="32"/>
      <c r="L549" s="32"/>
      <c r="M549" s="2"/>
      <c r="N549" s="2"/>
      <c r="O549" s="32"/>
      <c r="P549" s="32"/>
      <c r="Q549" s="32"/>
      <c r="R549" s="32"/>
      <c r="S549" s="2"/>
      <c r="T549" s="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32"/>
      <c r="F550" s="32"/>
      <c r="G550" s="32"/>
      <c r="H550" s="73"/>
      <c r="I550" s="32"/>
      <c r="J550" s="32"/>
      <c r="K550" s="32"/>
      <c r="L550" s="32"/>
      <c r="M550" s="2"/>
      <c r="N550" s="2"/>
      <c r="O550" s="32"/>
      <c r="P550" s="32"/>
      <c r="Q550" s="32"/>
      <c r="R550" s="32"/>
      <c r="S550" s="2"/>
      <c r="T550" s="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32"/>
      <c r="F551" s="32"/>
      <c r="G551" s="32"/>
      <c r="H551" s="73"/>
      <c r="I551" s="32"/>
      <c r="J551" s="32"/>
      <c r="K551" s="32"/>
      <c r="L551" s="32"/>
      <c r="M551" s="2"/>
      <c r="N551" s="2"/>
      <c r="O551" s="32"/>
      <c r="P551" s="32"/>
      <c r="Q551" s="32"/>
      <c r="R551" s="32"/>
      <c r="S551" s="2"/>
      <c r="T551" s="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32"/>
      <c r="F552" s="32"/>
      <c r="G552" s="32"/>
      <c r="H552" s="73"/>
      <c r="I552" s="32"/>
      <c r="J552" s="32"/>
      <c r="K552" s="32"/>
      <c r="L552" s="32"/>
      <c r="M552" s="2"/>
      <c r="N552" s="2"/>
      <c r="O552" s="32"/>
      <c r="P552" s="32"/>
      <c r="Q552" s="32"/>
      <c r="R552" s="32"/>
      <c r="S552" s="2"/>
      <c r="T552" s="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32"/>
      <c r="F553" s="32"/>
      <c r="G553" s="32"/>
      <c r="H553" s="73"/>
      <c r="I553" s="32"/>
      <c r="J553" s="32"/>
      <c r="K553" s="32"/>
      <c r="L553" s="32"/>
      <c r="M553" s="2"/>
      <c r="N553" s="2"/>
      <c r="O553" s="32"/>
      <c r="P553" s="32"/>
      <c r="Q553" s="32"/>
      <c r="R553" s="32"/>
      <c r="S553" s="2"/>
      <c r="T553" s="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32"/>
      <c r="F554" s="32"/>
      <c r="G554" s="32"/>
      <c r="H554" s="73"/>
      <c r="I554" s="32"/>
      <c r="J554" s="32"/>
      <c r="K554" s="32"/>
      <c r="L554" s="32"/>
      <c r="M554" s="2"/>
      <c r="N554" s="2"/>
      <c r="O554" s="32"/>
      <c r="P554" s="32"/>
      <c r="Q554" s="32"/>
      <c r="R554" s="32"/>
      <c r="S554" s="2"/>
      <c r="T554" s="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32"/>
      <c r="F555" s="32"/>
      <c r="G555" s="32"/>
      <c r="H555" s="73"/>
      <c r="I555" s="32"/>
      <c r="J555" s="32"/>
      <c r="K555" s="32"/>
      <c r="L555" s="32"/>
      <c r="M555" s="2"/>
      <c r="N555" s="2"/>
      <c r="O555" s="32"/>
      <c r="P555" s="32"/>
      <c r="Q555" s="32"/>
      <c r="R555" s="32"/>
      <c r="S555" s="2"/>
      <c r="T555" s="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32"/>
      <c r="F556" s="32"/>
      <c r="G556" s="32"/>
      <c r="H556" s="73"/>
      <c r="I556" s="32"/>
      <c r="J556" s="32"/>
      <c r="K556" s="32"/>
      <c r="L556" s="32"/>
      <c r="M556" s="2"/>
      <c r="N556" s="2"/>
      <c r="O556" s="32"/>
      <c r="P556" s="32"/>
      <c r="Q556" s="32"/>
      <c r="R556" s="32"/>
      <c r="S556" s="2"/>
      <c r="T556" s="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32"/>
      <c r="F557" s="32"/>
      <c r="G557" s="32"/>
      <c r="H557" s="73"/>
      <c r="I557" s="32"/>
      <c r="J557" s="32"/>
      <c r="K557" s="32"/>
      <c r="L557" s="32"/>
      <c r="M557" s="2"/>
      <c r="N557" s="2"/>
      <c r="O557" s="32"/>
      <c r="P557" s="32"/>
      <c r="Q557" s="32"/>
      <c r="R557" s="32"/>
      <c r="S557" s="2"/>
      <c r="T557" s="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32"/>
      <c r="F558" s="32"/>
      <c r="G558" s="32"/>
      <c r="H558" s="73"/>
      <c r="I558" s="32"/>
      <c r="J558" s="32"/>
      <c r="K558" s="32"/>
      <c r="L558" s="32"/>
      <c r="M558" s="2"/>
      <c r="N558" s="2"/>
      <c r="O558" s="32"/>
      <c r="P558" s="32"/>
      <c r="Q558" s="32"/>
      <c r="R558" s="32"/>
      <c r="S558" s="2"/>
      <c r="T558" s="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32"/>
      <c r="F559" s="32"/>
      <c r="G559" s="32"/>
      <c r="H559" s="73"/>
      <c r="I559" s="32"/>
      <c r="J559" s="32"/>
      <c r="K559" s="32"/>
      <c r="L559" s="32"/>
      <c r="M559" s="2"/>
      <c r="N559" s="2"/>
      <c r="O559" s="32"/>
      <c r="P559" s="32"/>
      <c r="Q559" s="32"/>
      <c r="R559" s="32"/>
      <c r="S559" s="2"/>
      <c r="T559" s="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32"/>
      <c r="F560" s="32"/>
      <c r="G560" s="32"/>
      <c r="H560" s="73"/>
      <c r="I560" s="32"/>
      <c r="J560" s="32"/>
      <c r="K560" s="32"/>
      <c r="L560" s="32"/>
      <c r="M560" s="2"/>
      <c r="N560" s="2"/>
      <c r="O560" s="32"/>
      <c r="P560" s="32"/>
      <c r="Q560" s="32"/>
      <c r="R560" s="32"/>
      <c r="S560" s="2"/>
      <c r="T560" s="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32"/>
      <c r="F561" s="32"/>
      <c r="G561" s="32"/>
      <c r="H561" s="73"/>
      <c r="I561" s="32"/>
      <c r="J561" s="32"/>
      <c r="K561" s="32"/>
      <c r="L561" s="32"/>
      <c r="M561" s="2"/>
      <c r="N561" s="2"/>
      <c r="O561" s="32"/>
      <c r="P561" s="32"/>
      <c r="Q561" s="32"/>
      <c r="R561" s="32"/>
      <c r="S561" s="2"/>
      <c r="T561" s="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32"/>
      <c r="F562" s="32"/>
      <c r="G562" s="32"/>
      <c r="H562" s="73"/>
      <c r="I562" s="32"/>
      <c r="J562" s="32"/>
      <c r="K562" s="32"/>
      <c r="L562" s="32"/>
      <c r="M562" s="2"/>
      <c r="N562" s="2"/>
      <c r="O562" s="32"/>
      <c r="P562" s="32"/>
      <c r="Q562" s="32"/>
      <c r="R562" s="32"/>
      <c r="S562" s="2"/>
      <c r="T562" s="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32"/>
      <c r="F563" s="32"/>
      <c r="G563" s="32"/>
      <c r="H563" s="73"/>
      <c r="I563" s="32"/>
      <c r="J563" s="32"/>
      <c r="K563" s="32"/>
      <c r="L563" s="32"/>
      <c r="M563" s="2"/>
      <c r="N563" s="2"/>
      <c r="O563" s="32"/>
      <c r="P563" s="32"/>
      <c r="Q563" s="32"/>
      <c r="R563" s="32"/>
      <c r="S563" s="2"/>
      <c r="T563" s="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32"/>
      <c r="F564" s="32"/>
      <c r="G564" s="32"/>
      <c r="H564" s="73"/>
      <c r="I564" s="32"/>
      <c r="J564" s="32"/>
      <c r="K564" s="32"/>
      <c r="L564" s="32"/>
      <c r="M564" s="2"/>
      <c r="N564" s="2"/>
      <c r="O564" s="32"/>
      <c r="P564" s="32"/>
      <c r="Q564" s="32"/>
      <c r="R564" s="32"/>
      <c r="S564" s="2"/>
      <c r="T564" s="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32"/>
      <c r="F565" s="32"/>
      <c r="G565" s="32"/>
      <c r="H565" s="73"/>
      <c r="I565" s="32"/>
      <c r="J565" s="32"/>
      <c r="K565" s="32"/>
      <c r="L565" s="32"/>
      <c r="M565" s="2"/>
      <c r="N565" s="2"/>
      <c r="O565" s="32"/>
      <c r="P565" s="32"/>
      <c r="Q565" s="32"/>
      <c r="R565" s="32"/>
      <c r="S565" s="2"/>
      <c r="T565" s="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32"/>
      <c r="F566" s="32"/>
      <c r="G566" s="32"/>
      <c r="H566" s="73"/>
      <c r="I566" s="32"/>
      <c r="J566" s="32"/>
      <c r="K566" s="32"/>
      <c r="L566" s="32"/>
      <c r="M566" s="2"/>
      <c r="N566" s="2"/>
      <c r="O566" s="32"/>
      <c r="P566" s="32"/>
      <c r="Q566" s="32"/>
      <c r="R566" s="32"/>
      <c r="S566" s="2"/>
      <c r="T566" s="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32"/>
      <c r="F567" s="32"/>
      <c r="G567" s="32"/>
      <c r="H567" s="73"/>
      <c r="I567" s="32"/>
      <c r="J567" s="32"/>
      <c r="K567" s="32"/>
      <c r="L567" s="32"/>
      <c r="M567" s="2"/>
      <c r="N567" s="2"/>
      <c r="O567" s="32"/>
      <c r="P567" s="32"/>
      <c r="Q567" s="32"/>
      <c r="R567" s="32"/>
      <c r="S567" s="2"/>
      <c r="T567" s="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32"/>
      <c r="F568" s="32"/>
      <c r="G568" s="32"/>
      <c r="H568" s="73"/>
      <c r="I568" s="32"/>
      <c r="J568" s="32"/>
      <c r="K568" s="32"/>
      <c r="L568" s="32"/>
      <c r="M568" s="2"/>
      <c r="N568" s="2"/>
      <c r="O568" s="32"/>
      <c r="P568" s="32"/>
      <c r="Q568" s="32"/>
      <c r="R568" s="32"/>
      <c r="S568" s="2"/>
      <c r="T568" s="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32"/>
      <c r="F569" s="32"/>
      <c r="G569" s="32"/>
      <c r="H569" s="73"/>
      <c r="I569" s="32"/>
      <c r="J569" s="32"/>
      <c r="K569" s="32"/>
      <c r="L569" s="32"/>
      <c r="M569" s="2"/>
      <c r="N569" s="2"/>
      <c r="O569" s="32"/>
      <c r="P569" s="32"/>
      <c r="Q569" s="32"/>
      <c r="R569" s="32"/>
      <c r="S569" s="2"/>
      <c r="T569" s="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32"/>
      <c r="F570" s="32"/>
      <c r="G570" s="32"/>
      <c r="H570" s="73"/>
      <c r="I570" s="32"/>
      <c r="J570" s="32"/>
      <c r="K570" s="32"/>
      <c r="L570" s="32"/>
      <c r="M570" s="2"/>
      <c r="N570" s="2"/>
      <c r="O570" s="32"/>
      <c r="P570" s="32"/>
      <c r="Q570" s="32"/>
      <c r="R570" s="32"/>
      <c r="S570" s="2"/>
      <c r="T570" s="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32"/>
      <c r="F571" s="32"/>
      <c r="G571" s="32"/>
      <c r="H571" s="73"/>
      <c r="I571" s="32"/>
      <c r="J571" s="32"/>
      <c r="K571" s="32"/>
      <c r="L571" s="32"/>
      <c r="M571" s="2"/>
      <c r="N571" s="2"/>
      <c r="O571" s="32"/>
      <c r="P571" s="32"/>
      <c r="Q571" s="32"/>
      <c r="R571" s="32"/>
      <c r="S571" s="2"/>
      <c r="T571" s="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32"/>
      <c r="F572" s="32"/>
      <c r="G572" s="32"/>
      <c r="H572" s="73"/>
      <c r="I572" s="32"/>
      <c r="J572" s="32"/>
      <c r="K572" s="32"/>
      <c r="L572" s="32"/>
      <c r="M572" s="2"/>
      <c r="N572" s="2"/>
      <c r="O572" s="32"/>
      <c r="P572" s="32"/>
      <c r="Q572" s="32"/>
      <c r="R572" s="32"/>
      <c r="S572" s="2"/>
      <c r="T572" s="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32"/>
      <c r="F573" s="32"/>
      <c r="G573" s="32"/>
      <c r="H573" s="73"/>
      <c r="I573" s="32"/>
      <c r="J573" s="32"/>
      <c r="K573" s="32"/>
      <c r="L573" s="32"/>
      <c r="M573" s="2"/>
      <c r="N573" s="2"/>
      <c r="O573" s="32"/>
      <c r="P573" s="32"/>
      <c r="Q573" s="32"/>
      <c r="R573" s="32"/>
      <c r="S573" s="2"/>
      <c r="T573" s="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32"/>
      <c r="F574" s="32"/>
      <c r="G574" s="32"/>
      <c r="H574" s="73"/>
      <c r="I574" s="32"/>
      <c r="J574" s="32"/>
      <c r="K574" s="32"/>
      <c r="L574" s="32"/>
      <c r="M574" s="2"/>
      <c r="N574" s="2"/>
      <c r="O574" s="32"/>
      <c r="P574" s="32"/>
      <c r="Q574" s="32"/>
      <c r="R574" s="32"/>
      <c r="S574" s="2"/>
      <c r="T574" s="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32"/>
      <c r="F575" s="32"/>
      <c r="G575" s="32"/>
      <c r="H575" s="73"/>
      <c r="I575" s="32"/>
      <c r="J575" s="32"/>
      <c r="K575" s="32"/>
      <c r="L575" s="32"/>
      <c r="M575" s="2"/>
      <c r="N575" s="2"/>
      <c r="O575" s="32"/>
      <c r="P575" s="32"/>
      <c r="Q575" s="32"/>
      <c r="R575" s="32"/>
      <c r="S575" s="2"/>
      <c r="T575" s="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32"/>
      <c r="F576" s="32"/>
      <c r="G576" s="32"/>
      <c r="H576" s="73"/>
      <c r="I576" s="32"/>
      <c r="J576" s="32"/>
      <c r="K576" s="32"/>
      <c r="L576" s="32"/>
      <c r="M576" s="2"/>
      <c r="N576" s="2"/>
      <c r="O576" s="32"/>
      <c r="P576" s="32"/>
      <c r="Q576" s="32"/>
      <c r="R576" s="32"/>
      <c r="S576" s="2"/>
      <c r="T576" s="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32"/>
      <c r="F577" s="32"/>
      <c r="G577" s="32"/>
      <c r="H577" s="73"/>
      <c r="I577" s="32"/>
      <c r="J577" s="32"/>
      <c r="K577" s="32"/>
      <c r="L577" s="32"/>
      <c r="M577" s="2"/>
      <c r="N577" s="2"/>
      <c r="O577" s="32"/>
      <c r="P577" s="32"/>
      <c r="Q577" s="32"/>
      <c r="R577" s="32"/>
      <c r="S577" s="2"/>
      <c r="T577" s="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32"/>
      <c r="F578" s="32"/>
      <c r="G578" s="32"/>
      <c r="H578" s="73"/>
      <c r="I578" s="32"/>
      <c r="J578" s="32"/>
      <c r="K578" s="32"/>
      <c r="L578" s="32"/>
      <c r="M578" s="2"/>
      <c r="N578" s="2"/>
      <c r="O578" s="32"/>
      <c r="P578" s="32"/>
      <c r="Q578" s="32"/>
      <c r="R578" s="32"/>
      <c r="S578" s="2"/>
      <c r="T578" s="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32"/>
      <c r="F579" s="32"/>
      <c r="G579" s="32"/>
      <c r="H579" s="73"/>
      <c r="I579" s="32"/>
      <c r="J579" s="32"/>
      <c r="K579" s="32"/>
      <c r="L579" s="32"/>
      <c r="M579" s="2"/>
      <c r="N579" s="2"/>
      <c r="O579" s="32"/>
      <c r="P579" s="32"/>
      <c r="Q579" s="32"/>
      <c r="R579" s="32"/>
      <c r="S579" s="2"/>
      <c r="T579" s="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32"/>
      <c r="F580" s="32"/>
      <c r="G580" s="32"/>
      <c r="H580" s="73"/>
      <c r="I580" s="32"/>
      <c r="J580" s="32"/>
      <c r="K580" s="32"/>
      <c r="L580" s="32"/>
      <c r="M580" s="2"/>
      <c r="N580" s="2"/>
      <c r="O580" s="32"/>
      <c r="P580" s="32"/>
      <c r="Q580" s="32"/>
      <c r="R580" s="32"/>
      <c r="S580" s="2"/>
      <c r="T580" s="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32"/>
      <c r="F581" s="32"/>
      <c r="G581" s="32"/>
      <c r="H581" s="73"/>
      <c r="I581" s="32"/>
      <c r="J581" s="32"/>
      <c r="K581" s="32"/>
      <c r="L581" s="32"/>
      <c r="M581" s="2"/>
      <c r="N581" s="2"/>
      <c r="O581" s="32"/>
      <c r="P581" s="32"/>
      <c r="Q581" s="32"/>
      <c r="R581" s="32"/>
      <c r="S581" s="2"/>
      <c r="T581" s="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32"/>
      <c r="F582" s="32"/>
      <c r="G582" s="32"/>
      <c r="H582" s="73"/>
      <c r="I582" s="32"/>
      <c r="J582" s="32"/>
      <c r="K582" s="32"/>
      <c r="L582" s="32"/>
      <c r="M582" s="2"/>
      <c r="N582" s="2"/>
      <c r="O582" s="32"/>
      <c r="P582" s="32"/>
      <c r="Q582" s="32"/>
      <c r="R582" s="32"/>
      <c r="S582" s="2"/>
      <c r="T582" s="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32"/>
      <c r="F583" s="32"/>
      <c r="G583" s="32"/>
      <c r="H583" s="73"/>
      <c r="I583" s="32"/>
      <c r="J583" s="32"/>
      <c r="K583" s="32"/>
      <c r="L583" s="32"/>
      <c r="M583" s="2"/>
      <c r="N583" s="2"/>
      <c r="O583" s="32"/>
      <c r="P583" s="32"/>
      <c r="Q583" s="32"/>
      <c r="R583" s="32"/>
      <c r="S583" s="2"/>
      <c r="T583" s="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32"/>
      <c r="F584" s="32"/>
      <c r="G584" s="32"/>
      <c r="H584" s="73"/>
      <c r="I584" s="32"/>
      <c r="J584" s="32"/>
      <c r="K584" s="32"/>
      <c r="L584" s="32"/>
      <c r="M584" s="2"/>
      <c r="N584" s="2"/>
      <c r="O584" s="32"/>
      <c r="P584" s="32"/>
      <c r="Q584" s="32"/>
      <c r="R584" s="32"/>
      <c r="S584" s="2"/>
      <c r="T584" s="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32"/>
      <c r="F585" s="32"/>
      <c r="G585" s="32"/>
      <c r="H585" s="73"/>
      <c r="I585" s="32"/>
      <c r="J585" s="32"/>
      <c r="K585" s="32"/>
      <c r="L585" s="32"/>
      <c r="M585" s="2"/>
      <c r="N585" s="2"/>
      <c r="O585" s="32"/>
      <c r="P585" s="32"/>
      <c r="Q585" s="32"/>
      <c r="R585" s="32"/>
      <c r="S585" s="2"/>
      <c r="T585" s="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32"/>
      <c r="F586" s="32"/>
      <c r="G586" s="32"/>
      <c r="H586" s="73"/>
      <c r="I586" s="32"/>
      <c r="J586" s="32"/>
      <c r="K586" s="32"/>
      <c r="L586" s="32"/>
      <c r="M586" s="2"/>
      <c r="N586" s="2"/>
      <c r="O586" s="32"/>
      <c r="P586" s="32"/>
      <c r="Q586" s="32"/>
      <c r="R586" s="32"/>
      <c r="S586" s="2"/>
      <c r="T586" s="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32"/>
      <c r="F587" s="32"/>
      <c r="G587" s="32"/>
      <c r="H587" s="73"/>
      <c r="I587" s="32"/>
      <c r="J587" s="32"/>
      <c r="K587" s="32"/>
      <c r="L587" s="32"/>
      <c r="M587" s="2"/>
      <c r="N587" s="2"/>
      <c r="O587" s="32"/>
      <c r="P587" s="32"/>
      <c r="Q587" s="32"/>
      <c r="R587" s="32"/>
      <c r="S587" s="2"/>
      <c r="T587" s="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32"/>
      <c r="F588" s="32"/>
      <c r="G588" s="32"/>
      <c r="H588" s="73"/>
      <c r="I588" s="32"/>
      <c r="J588" s="32"/>
      <c r="K588" s="32"/>
      <c r="L588" s="32"/>
      <c r="M588" s="2"/>
      <c r="N588" s="2"/>
      <c r="O588" s="32"/>
      <c r="P588" s="32"/>
      <c r="Q588" s="32"/>
      <c r="R588" s="32"/>
      <c r="S588" s="2"/>
      <c r="T588" s="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32"/>
      <c r="F589" s="32"/>
      <c r="G589" s="32"/>
      <c r="H589" s="73"/>
      <c r="I589" s="32"/>
      <c r="J589" s="32"/>
      <c r="K589" s="32"/>
      <c r="L589" s="32"/>
      <c r="M589" s="2"/>
      <c r="N589" s="2"/>
      <c r="O589" s="32"/>
      <c r="P589" s="32"/>
      <c r="Q589" s="32"/>
      <c r="R589" s="32"/>
      <c r="S589" s="2"/>
      <c r="T589" s="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32"/>
      <c r="F590" s="32"/>
      <c r="G590" s="32"/>
      <c r="H590" s="73"/>
      <c r="I590" s="32"/>
      <c r="J590" s="32"/>
      <c r="K590" s="32"/>
      <c r="L590" s="32"/>
      <c r="M590" s="2"/>
      <c r="N590" s="2"/>
      <c r="O590" s="32"/>
      <c r="P590" s="32"/>
      <c r="Q590" s="32"/>
      <c r="R590" s="32"/>
      <c r="S590" s="2"/>
      <c r="T590" s="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32"/>
      <c r="F591" s="32"/>
      <c r="G591" s="32"/>
      <c r="H591" s="73"/>
      <c r="I591" s="32"/>
      <c r="J591" s="32"/>
      <c r="K591" s="32"/>
      <c r="L591" s="32"/>
      <c r="M591" s="2"/>
      <c r="N591" s="2"/>
      <c r="O591" s="32"/>
      <c r="P591" s="32"/>
      <c r="Q591" s="32"/>
      <c r="R591" s="32"/>
      <c r="S591" s="2"/>
      <c r="T591" s="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32"/>
      <c r="F592" s="32"/>
      <c r="G592" s="32"/>
      <c r="H592" s="73"/>
      <c r="I592" s="32"/>
      <c r="J592" s="32"/>
      <c r="K592" s="32"/>
      <c r="L592" s="32"/>
      <c r="M592" s="2"/>
      <c r="N592" s="2"/>
      <c r="O592" s="32"/>
      <c r="P592" s="32"/>
      <c r="Q592" s="32"/>
      <c r="R592" s="32"/>
      <c r="S592" s="2"/>
      <c r="T592" s="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32"/>
      <c r="F593" s="32"/>
      <c r="G593" s="32"/>
      <c r="H593" s="73"/>
      <c r="I593" s="32"/>
      <c r="J593" s="32"/>
      <c r="K593" s="32"/>
      <c r="L593" s="32"/>
      <c r="M593" s="2"/>
      <c r="N593" s="2"/>
      <c r="O593" s="32"/>
      <c r="P593" s="32"/>
      <c r="Q593" s="32"/>
      <c r="R593" s="32"/>
      <c r="S593" s="2"/>
      <c r="T593" s="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32"/>
      <c r="F594" s="32"/>
      <c r="G594" s="32"/>
      <c r="H594" s="73"/>
      <c r="I594" s="32"/>
      <c r="J594" s="32"/>
      <c r="K594" s="32"/>
      <c r="L594" s="32"/>
      <c r="M594" s="2"/>
      <c r="N594" s="2"/>
      <c r="O594" s="32"/>
      <c r="P594" s="32"/>
      <c r="Q594" s="32"/>
      <c r="R594" s="32"/>
      <c r="S594" s="2"/>
      <c r="T594" s="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32"/>
      <c r="F595" s="32"/>
      <c r="G595" s="32"/>
      <c r="H595" s="73"/>
      <c r="I595" s="32"/>
      <c r="J595" s="32"/>
      <c r="K595" s="32"/>
      <c r="L595" s="32"/>
      <c r="M595" s="2"/>
      <c r="N595" s="2"/>
      <c r="O595" s="32"/>
      <c r="P595" s="32"/>
      <c r="Q595" s="32"/>
      <c r="R595" s="32"/>
      <c r="S595" s="2"/>
      <c r="T595" s="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32"/>
      <c r="F596" s="32"/>
      <c r="G596" s="32"/>
      <c r="H596" s="73"/>
      <c r="I596" s="32"/>
      <c r="J596" s="32"/>
      <c r="K596" s="32"/>
      <c r="L596" s="32"/>
      <c r="M596" s="2"/>
      <c r="N596" s="2"/>
      <c r="O596" s="32"/>
      <c r="P596" s="32"/>
      <c r="Q596" s="32"/>
      <c r="R596" s="32"/>
      <c r="S596" s="2"/>
      <c r="T596" s="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32"/>
      <c r="F597" s="32"/>
      <c r="G597" s="32"/>
      <c r="H597" s="73"/>
      <c r="I597" s="32"/>
      <c r="J597" s="32"/>
      <c r="K597" s="32"/>
      <c r="L597" s="32"/>
      <c r="M597" s="2"/>
      <c r="N597" s="2"/>
      <c r="O597" s="32"/>
      <c r="P597" s="32"/>
      <c r="Q597" s="32"/>
      <c r="R597" s="32"/>
      <c r="S597" s="2"/>
      <c r="T597" s="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32"/>
      <c r="F598" s="32"/>
      <c r="G598" s="32"/>
      <c r="H598" s="73"/>
      <c r="I598" s="32"/>
      <c r="J598" s="32"/>
      <c r="K598" s="32"/>
      <c r="L598" s="32"/>
      <c r="M598" s="2"/>
      <c r="N598" s="2"/>
      <c r="O598" s="32"/>
      <c r="P598" s="32"/>
      <c r="Q598" s="32"/>
      <c r="R598" s="32"/>
      <c r="S598" s="2"/>
      <c r="T598" s="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32"/>
      <c r="F599" s="32"/>
      <c r="G599" s="32"/>
      <c r="H599" s="73"/>
      <c r="I599" s="32"/>
      <c r="J599" s="32"/>
      <c r="K599" s="32"/>
      <c r="L599" s="32"/>
      <c r="M599" s="2"/>
      <c r="N599" s="2"/>
      <c r="O599" s="32"/>
      <c r="P599" s="32"/>
      <c r="Q599" s="32"/>
      <c r="R599" s="32"/>
      <c r="S599" s="2"/>
      <c r="T599" s="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32"/>
      <c r="F600" s="32"/>
      <c r="G600" s="32"/>
      <c r="H600" s="73"/>
      <c r="I600" s="32"/>
      <c r="J600" s="32"/>
      <c r="K600" s="32"/>
      <c r="L600" s="32"/>
      <c r="M600" s="2"/>
      <c r="N600" s="2"/>
      <c r="O600" s="32"/>
      <c r="P600" s="32"/>
      <c r="Q600" s="32"/>
      <c r="R600" s="32"/>
      <c r="S600" s="2"/>
      <c r="T600" s="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32"/>
      <c r="F601" s="32"/>
      <c r="G601" s="32"/>
      <c r="H601" s="73"/>
      <c r="I601" s="32"/>
      <c r="J601" s="32"/>
      <c r="K601" s="32"/>
      <c r="L601" s="32"/>
      <c r="M601" s="2"/>
      <c r="N601" s="2"/>
      <c r="O601" s="32"/>
      <c r="P601" s="32"/>
      <c r="Q601" s="32"/>
      <c r="R601" s="32"/>
      <c r="S601" s="2"/>
      <c r="T601" s="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32"/>
      <c r="F602" s="32"/>
      <c r="G602" s="32"/>
      <c r="H602" s="73"/>
      <c r="I602" s="32"/>
      <c r="J602" s="32"/>
      <c r="K602" s="32"/>
      <c r="L602" s="32"/>
      <c r="M602" s="2"/>
      <c r="N602" s="2"/>
      <c r="O602" s="32"/>
      <c r="P602" s="32"/>
      <c r="Q602" s="32"/>
      <c r="R602" s="32"/>
      <c r="S602" s="2"/>
      <c r="T602" s="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32"/>
      <c r="F603" s="32"/>
      <c r="G603" s="32"/>
      <c r="H603" s="73"/>
      <c r="I603" s="32"/>
      <c r="J603" s="32"/>
      <c r="K603" s="32"/>
      <c r="L603" s="32"/>
      <c r="M603" s="2"/>
      <c r="N603" s="2"/>
      <c r="O603" s="32"/>
      <c r="P603" s="32"/>
      <c r="Q603" s="32"/>
      <c r="R603" s="32"/>
      <c r="S603" s="2"/>
      <c r="T603" s="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32"/>
      <c r="F604" s="32"/>
      <c r="G604" s="32"/>
      <c r="H604" s="73"/>
      <c r="I604" s="32"/>
      <c r="J604" s="32"/>
      <c r="K604" s="32"/>
      <c r="L604" s="32"/>
      <c r="M604" s="2"/>
      <c r="N604" s="2"/>
      <c r="O604" s="32"/>
      <c r="P604" s="32"/>
      <c r="Q604" s="32"/>
      <c r="R604" s="32"/>
      <c r="S604" s="2"/>
      <c r="T604" s="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32"/>
      <c r="F605" s="32"/>
      <c r="G605" s="32"/>
      <c r="H605" s="73"/>
      <c r="I605" s="32"/>
      <c r="J605" s="32"/>
      <c r="K605" s="32"/>
      <c r="L605" s="32"/>
      <c r="M605" s="2"/>
      <c r="N605" s="2"/>
      <c r="O605" s="32"/>
      <c r="P605" s="32"/>
      <c r="Q605" s="32"/>
      <c r="R605" s="32"/>
      <c r="S605" s="2"/>
      <c r="T605" s="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32"/>
      <c r="F606" s="32"/>
      <c r="G606" s="32"/>
      <c r="H606" s="73"/>
      <c r="I606" s="32"/>
      <c r="J606" s="32"/>
      <c r="K606" s="32"/>
      <c r="L606" s="32"/>
      <c r="M606" s="2"/>
      <c r="N606" s="2"/>
      <c r="O606" s="32"/>
      <c r="P606" s="32"/>
      <c r="Q606" s="32"/>
      <c r="R606" s="32"/>
      <c r="S606" s="2"/>
      <c r="T606" s="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32"/>
      <c r="F607" s="32"/>
      <c r="G607" s="32"/>
      <c r="H607" s="73"/>
      <c r="I607" s="32"/>
      <c r="J607" s="32"/>
      <c r="K607" s="32"/>
      <c r="L607" s="32"/>
      <c r="M607" s="2"/>
      <c r="N607" s="2"/>
      <c r="O607" s="32"/>
      <c r="P607" s="32"/>
      <c r="Q607" s="32"/>
      <c r="R607" s="32"/>
      <c r="S607" s="2"/>
      <c r="T607" s="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32"/>
      <c r="F608" s="32"/>
      <c r="G608" s="32"/>
      <c r="H608" s="73"/>
      <c r="I608" s="32"/>
      <c r="J608" s="32"/>
      <c r="K608" s="32"/>
      <c r="L608" s="32"/>
      <c r="M608" s="2"/>
      <c r="N608" s="2"/>
      <c r="O608" s="32"/>
      <c r="P608" s="32"/>
      <c r="Q608" s="32"/>
      <c r="R608" s="32"/>
      <c r="S608" s="2"/>
      <c r="T608" s="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32"/>
      <c r="F609" s="32"/>
      <c r="G609" s="32"/>
      <c r="H609" s="73"/>
      <c r="I609" s="32"/>
      <c r="J609" s="32"/>
      <c r="K609" s="32"/>
      <c r="L609" s="32"/>
      <c r="M609" s="2"/>
      <c r="N609" s="2"/>
      <c r="O609" s="32"/>
      <c r="P609" s="32"/>
      <c r="Q609" s="32"/>
      <c r="R609" s="32"/>
      <c r="S609" s="2"/>
      <c r="T609" s="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32"/>
      <c r="F610" s="32"/>
      <c r="G610" s="32"/>
      <c r="H610" s="73"/>
      <c r="I610" s="32"/>
      <c r="J610" s="32"/>
      <c r="K610" s="32"/>
      <c r="L610" s="32"/>
      <c r="M610" s="2"/>
      <c r="N610" s="2"/>
      <c r="O610" s="32"/>
      <c r="P610" s="32"/>
      <c r="Q610" s="32"/>
      <c r="R610" s="32"/>
      <c r="S610" s="2"/>
      <c r="T610" s="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32"/>
      <c r="F611" s="32"/>
      <c r="G611" s="32"/>
      <c r="H611" s="73"/>
      <c r="I611" s="32"/>
      <c r="J611" s="32"/>
      <c r="K611" s="32"/>
      <c r="L611" s="32"/>
      <c r="M611" s="2"/>
      <c r="N611" s="2"/>
      <c r="O611" s="32"/>
      <c r="P611" s="32"/>
      <c r="Q611" s="32"/>
      <c r="R611" s="32"/>
      <c r="S611" s="2"/>
      <c r="T611" s="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32"/>
      <c r="F612" s="32"/>
      <c r="G612" s="32"/>
      <c r="H612" s="73"/>
      <c r="I612" s="32"/>
      <c r="J612" s="32"/>
      <c r="K612" s="32"/>
      <c r="L612" s="32"/>
      <c r="M612" s="2"/>
      <c r="N612" s="2"/>
      <c r="O612" s="32"/>
      <c r="P612" s="32"/>
      <c r="Q612" s="32"/>
      <c r="R612" s="32"/>
      <c r="S612" s="2"/>
      <c r="T612" s="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32"/>
      <c r="F613" s="32"/>
      <c r="G613" s="32"/>
      <c r="H613" s="73"/>
      <c r="I613" s="32"/>
      <c r="J613" s="32"/>
      <c r="K613" s="32"/>
      <c r="L613" s="32"/>
      <c r="M613" s="2"/>
      <c r="N613" s="2"/>
      <c r="O613" s="32"/>
      <c r="P613" s="32"/>
      <c r="Q613" s="32"/>
      <c r="R613" s="32"/>
      <c r="S613" s="2"/>
      <c r="T613" s="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32"/>
      <c r="F614" s="32"/>
      <c r="G614" s="32"/>
      <c r="H614" s="73"/>
      <c r="I614" s="32"/>
      <c r="J614" s="32"/>
      <c r="K614" s="32"/>
      <c r="L614" s="32"/>
      <c r="M614" s="2"/>
      <c r="N614" s="2"/>
      <c r="O614" s="32"/>
      <c r="P614" s="32"/>
      <c r="Q614" s="32"/>
      <c r="R614" s="32"/>
      <c r="S614" s="2"/>
      <c r="T614" s="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32"/>
      <c r="F615" s="32"/>
      <c r="G615" s="32"/>
      <c r="H615" s="73"/>
      <c r="I615" s="32"/>
      <c r="J615" s="32"/>
      <c r="K615" s="32"/>
      <c r="L615" s="32"/>
      <c r="M615" s="2"/>
      <c r="N615" s="2"/>
      <c r="O615" s="32"/>
      <c r="P615" s="32"/>
      <c r="Q615" s="32"/>
      <c r="R615" s="32"/>
      <c r="S615" s="2"/>
      <c r="T615" s="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32"/>
      <c r="F616" s="32"/>
      <c r="G616" s="32"/>
      <c r="H616" s="73"/>
      <c r="I616" s="32"/>
      <c r="J616" s="32"/>
      <c r="K616" s="32"/>
      <c r="L616" s="32"/>
      <c r="M616" s="2"/>
      <c r="N616" s="2"/>
      <c r="O616" s="32"/>
      <c r="P616" s="32"/>
      <c r="Q616" s="32"/>
      <c r="R616" s="32"/>
      <c r="S616" s="2"/>
      <c r="T616" s="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32"/>
      <c r="F617" s="32"/>
      <c r="G617" s="32"/>
      <c r="H617" s="73"/>
      <c r="I617" s="32"/>
      <c r="J617" s="32"/>
      <c r="K617" s="32"/>
      <c r="L617" s="32"/>
      <c r="M617" s="2"/>
      <c r="N617" s="2"/>
      <c r="O617" s="32"/>
      <c r="P617" s="32"/>
      <c r="Q617" s="32"/>
      <c r="R617" s="32"/>
      <c r="S617" s="2"/>
      <c r="T617" s="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32"/>
      <c r="F618" s="32"/>
      <c r="G618" s="32"/>
      <c r="H618" s="73"/>
      <c r="I618" s="32"/>
      <c r="J618" s="32"/>
      <c r="K618" s="32"/>
      <c r="L618" s="32"/>
      <c r="M618" s="2"/>
      <c r="N618" s="2"/>
      <c r="O618" s="32"/>
      <c r="P618" s="32"/>
      <c r="Q618" s="32"/>
      <c r="R618" s="32"/>
      <c r="S618" s="2"/>
      <c r="T618" s="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32"/>
      <c r="F619" s="32"/>
      <c r="G619" s="32"/>
      <c r="H619" s="73"/>
      <c r="I619" s="32"/>
      <c r="J619" s="32"/>
      <c r="K619" s="32"/>
      <c r="L619" s="32"/>
      <c r="M619" s="2"/>
      <c r="N619" s="2"/>
      <c r="O619" s="32"/>
      <c r="P619" s="32"/>
      <c r="Q619" s="32"/>
      <c r="R619" s="32"/>
      <c r="S619" s="2"/>
      <c r="T619" s="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32"/>
      <c r="F620" s="32"/>
      <c r="G620" s="32"/>
      <c r="H620" s="73"/>
      <c r="I620" s="32"/>
      <c r="J620" s="32"/>
      <c r="K620" s="32"/>
      <c r="L620" s="32"/>
      <c r="M620" s="2"/>
      <c r="N620" s="2"/>
      <c r="O620" s="32"/>
      <c r="P620" s="32"/>
      <c r="Q620" s="32"/>
      <c r="R620" s="32"/>
      <c r="S620" s="2"/>
      <c r="T620" s="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32"/>
      <c r="F621" s="32"/>
      <c r="G621" s="32"/>
      <c r="H621" s="73"/>
      <c r="I621" s="32"/>
      <c r="J621" s="32"/>
      <c r="K621" s="32"/>
      <c r="L621" s="32"/>
      <c r="M621" s="2"/>
      <c r="N621" s="2"/>
      <c r="O621" s="32"/>
      <c r="P621" s="32"/>
      <c r="Q621" s="32"/>
      <c r="R621" s="32"/>
      <c r="S621" s="2"/>
      <c r="T621" s="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32"/>
      <c r="F622" s="32"/>
      <c r="G622" s="32"/>
      <c r="H622" s="73"/>
      <c r="I622" s="32"/>
      <c r="J622" s="32"/>
      <c r="K622" s="32"/>
      <c r="L622" s="32"/>
      <c r="M622" s="2"/>
      <c r="N622" s="2"/>
      <c r="O622" s="32"/>
      <c r="P622" s="32"/>
      <c r="Q622" s="32"/>
      <c r="R622" s="32"/>
      <c r="S622" s="2"/>
      <c r="T622" s="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32"/>
      <c r="F623" s="32"/>
      <c r="G623" s="32"/>
      <c r="H623" s="73"/>
      <c r="I623" s="32"/>
      <c r="J623" s="32"/>
      <c r="K623" s="32"/>
      <c r="L623" s="32"/>
      <c r="M623" s="2"/>
      <c r="N623" s="2"/>
      <c r="O623" s="32"/>
      <c r="P623" s="32"/>
      <c r="Q623" s="32"/>
      <c r="R623" s="32"/>
      <c r="S623" s="2"/>
      <c r="T623" s="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32"/>
      <c r="F624" s="32"/>
      <c r="G624" s="32"/>
      <c r="H624" s="73"/>
      <c r="I624" s="32"/>
      <c r="J624" s="32"/>
      <c r="K624" s="32"/>
      <c r="L624" s="32"/>
      <c r="M624" s="2"/>
      <c r="N624" s="2"/>
      <c r="O624" s="32"/>
      <c r="P624" s="32"/>
      <c r="Q624" s="32"/>
      <c r="R624" s="32"/>
      <c r="S624" s="2"/>
      <c r="T624" s="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32"/>
      <c r="F625" s="32"/>
      <c r="G625" s="32"/>
      <c r="H625" s="73"/>
      <c r="I625" s="32"/>
      <c r="J625" s="32"/>
      <c r="K625" s="32"/>
      <c r="L625" s="32"/>
      <c r="M625" s="2"/>
      <c r="N625" s="2"/>
      <c r="O625" s="32"/>
      <c r="P625" s="32"/>
      <c r="Q625" s="32"/>
      <c r="R625" s="32"/>
      <c r="S625" s="2"/>
      <c r="T625" s="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32"/>
      <c r="F626" s="32"/>
      <c r="G626" s="32"/>
      <c r="H626" s="73"/>
      <c r="I626" s="32"/>
      <c r="J626" s="32"/>
      <c r="K626" s="32"/>
      <c r="L626" s="32"/>
      <c r="M626" s="2"/>
      <c r="N626" s="2"/>
      <c r="O626" s="32"/>
      <c r="P626" s="32"/>
      <c r="Q626" s="32"/>
      <c r="R626" s="32"/>
      <c r="S626" s="2"/>
      <c r="T626" s="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32"/>
      <c r="F627" s="32"/>
      <c r="G627" s="32"/>
      <c r="H627" s="73"/>
      <c r="I627" s="32"/>
      <c r="J627" s="32"/>
      <c r="K627" s="32"/>
      <c r="L627" s="32"/>
      <c r="M627" s="2"/>
      <c r="N627" s="2"/>
      <c r="O627" s="32"/>
      <c r="P627" s="32"/>
      <c r="Q627" s="32"/>
      <c r="R627" s="32"/>
      <c r="S627" s="2"/>
      <c r="T627" s="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32"/>
      <c r="F628" s="32"/>
      <c r="G628" s="32"/>
      <c r="H628" s="73"/>
      <c r="I628" s="32"/>
      <c r="J628" s="32"/>
      <c r="K628" s="32"/>
      <c r="L628" s="32"/>
      <c r="M628" s="2"/>
      <c r="N628" s="2"/>
      <c r="O628" s="32"/>
      <c r="P628" s="32"/>
      <c r="Q628" s="32"/>
      <c r="R628" s="32"/>
      <c r="S628" s="2"/>
      <c r="T628" s="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32"/>
      <c r="F629" s="32"/>
      <c r="G629" s="32"/>
      <c r="H629" s="73"/>
      <c r="I629" s="32"/>
      <c r="J629" s="32"/>
      <c r="K629" s="32"/>
      <c r="L629" s="32"/>
      <c r="M629" s="2"/>
      <c r="N629" s="2"/>
      <c r="O629" s="32"/>
      <c r="P629" s="32"/>
      <c r="Q629" s="32"/>
      <c r="R629" s="32"/>
      <c r="S629" s="2"/>
      <c r="T629" s="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32"/>
      <c r="F630" s="32"/>
      <c r="G630" s="32"/>
      <c r="H630" s="73"/>
      <c r="I630" s="32"/>
      <c r="J630" s="32"/>
      <c r="K630" s="32"/>
      <c r="L630" s="32"/>
      <c r="M630" s="2"/>
      <c r="N630" s="2"/>
      <c r="O630" s="32"/>
      <c r="P630" s="32"/>
      <c r="Q630" s="32"/>
      <c r="R630" s="32"/>
      <c r="S630" s="2"/>
      <c r="T630" s="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32"/>
      <c r="F631" s="32"/>
      <c r="G631" s="32"/>
      <c r="H631" s="73"/>
      <c r="I631" s="32"/>
      <c r="J631" s="32"/>
      <c r="K631" s="32"/>
      <c r="L631" s="32"/>
      <c r="M631" s="2"/>
      <c r="N631" s="2"/>
      <c r="O631" s="32"/>
      <c r="P631" s="32"/>
      <c r="Q631" s="32"/>
      <c r="R631" s="32"/>
      <c r="S631" s="2"/>
      <c r="T631" s="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32"/>
      <c r="F632" s="32"/>
      <c r="G632" s="32"/>
      <c r="H632" s="73"/>
      <c r="I632" s="32"/>
      <c r="J632" s="32"/>
      <c r="K632" s="32"/>
      <c r="L632" s="32"/>
      <c r="M632" s="2"/>
      <c r="N632" s="2"/>
      <c r="O632" s="32"/>
      <c r="P632" s="32"/>
      <c r="Q632" s="32"/>
      <c r="R632" s="32"/>
      <c r="S632" s="2"/>
      <c r="T632" s="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32"/>
      <c r="F633" s="32"/>
      <c r="G633" s="32"/>
      <c r="H633" s="73"/>
      <c r="I633" s="32"/>
      <c r="J633" s="32"/>
      <c r="K633" s="32"/>
      <c r="L633" s="32"/>
      <c r="M633" s="2"/>
      <c r="N633" s="2"/>
      <c r="O633" s="32"/>
      <c r="P633" s="32"/>
      <c r="Q633" s="32"/>
      <c r="R633" s="32"/>
      <c r="S633" s="2"/>
      <c r="T633" s="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32"/>
      <c r="F634" s="32"/>
      <c r="G634" s="32"/>
      <c r="H634" s="73"/>
      <c r="I634" s="32"/>
      <c r="J634" s="32"/>
      <c r="K634" s="32"/>
      <c r="L634" s="32"/>
      <c r="M634" s="2"/>
      <c r="N634" s="2"/>
      <c r="O634" s="32"/>
      <c r="P634" s="32"/>
      <c r="Q634" s="32"/>
      <c r="R634" s="32"/>
      <c r="S634" s="2"/>
      <c r="T634" s="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32"/>
      <c r="F635" s="32"/>
      <c r="G635" s="32"/>
      <c r="H635" s="73"/>
      <c r="I635" s="32"/>
      <c r="J635" s="32"/>
      <c r="K635" s="32"/>
      <c r="L635" s="32"/>
      <c r="M635" s="2"/>
      <c r="N635" s="2"/>
      <c r="O635" s="32"/>
      <c r="P635" s="32"/>
      <c r="Q635" s="32"/>
      <c r="R635" s="32"/>
      <c r="S635" s="2"/>
      <c r="T635" s="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32"/>
      <c r="F636" s="32"/>
      <c r="G636" s="32"/>
      <c r="H636" s="73"/>
      <c r="I636" s="32"/>
      <c r="J636" s="32"/>
      <c r="K636" s="32"/>
      <c r="L636" s="32"/>
      <c r="M636" s="2"/>
      <c r="N636" s="2"/>
      <c r="O636" s="32"/>
      <c r="P636" s="32"/>
      <c r="Q636" s="32"/>
      <c r="R636" s="32"/>
      <c r="S636" s="2"/>
      <c r="T636" s="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32"/>
      <c r="F637" s="32"/>
      <c r="G637" s="32"/>
      <c r="H637" s="73"/>
      <c r="I637" s="32"/>
      <c r="J637" s="32"/>
      <c r="K637" s="32"/>
      <c r="L637" s="32"/>
      <c r="M637" s="2"/>
      <c r="N637" s="2"/>
      <c r="O637" s="32"/>
      <c r="P637" s="32"/>
      <c r="Q637" s="32"/>
      <c r="R637" s="32"/>
      <c r="S637" s="2"/>
      <c r="T637" s="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32"/>
      <c r="F638" s="32"/>
      <c r="G638" s="32"/>
      <c r="H638" s="73"/>
      <c r="I638" s="32"/>
      <c r="J638" s="32"/>
      <c r="K638" s="32"/>
      <c r="L638" s="32"/>
      <c r="M638" s="2"/>
      <c r="N638" s="2"/>
      <c r="O638" s="32"/>
      <c r="P638" s="32"/>
      <c r="Q638" s="32"/>
      <c r="R638" s="32"/>
      <c r="S638" s="2"/>
      <c r="T638" s="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32"/>
      <c r="F639" s="32"/>
      <c r="G639" s="32"/>
      <c r="H639" s="73"/>
      <c r="I639" s="32"/>
      <c r="J639" s="32"/>
      <c r="K639" s="32"/>
      <c r="L639" s="32"/>
      <c r="M639" s="2"/>
      <c r="N639" s="2"/>
      <c r="O639" s="32"/>
      <c r="P639" s="32"/>
      <c r="Q639" s="32"/>
      <c r="R639" s="32"/>
      <c r="S639" s="2"/>
      <c r="T639" s="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32"/>
      <c r="F640" s="32"/>
      <c r="G640" s="32"/>
      <c r="H640" s="73"/>
      <c r="I640" s="32"/>
      <c r="J640" s="32"/>
      <c r="K640" s="32"/>
      <c r="L640" s="32"/>
      <c r="M640" s="2"/>
      <c r="N640" s="2"/>
      <c r="O640" s="32"/>
      <c r="P640" s="32"/>
      <c r="Q640" s="32"/>
      <c r="R640" s="32"/>
      <c r="S640" s="2"/>
      <c r="T640" s="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32"/>
      <c r="F641" s="32"/>
      <c r="G641" s="32"/>
      <c r="H641" s="73"/>
      <c r="I641" s="32"/>
      <c r="J641" s="32"/>
      <c r="K641" s="32"/>
      <c r="L641" s="32"/>
      <c r="M641" s="2"/>
      <c r="N641" s="2"/>
      <c r="O641" s="32"/>
      <c r="P641" s="32"/>
      <c r="Q641" s="32"/>
      <c r="R641" s="32"/>
      <c r="S641" s="2"/>
      <c r="T641" s="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32"/>
      <c r="F642" s="32"/>
      <c r="G642" s="32"/>
      <c r="H642" s="73"/>
      <c r="I642" s="32"/>
      <c r="J642" s="32"/>
      <c r="K642" s="32"/>
      <c r="L642" s="32"/>
      <c r="M642" s="2"/>
      <c r="N642" s="2"/>
      <c r="O642" s="32"/>
      <c r="P642" s="32"/>
      <c r="Q642" s="32"/>
      <c r="R642" s="32"/>
      <c r="S642" s="2"/>
      <c r="T642" s="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32"/>
      <c r="F643" s="32"/>
      <c r="G643" s="32"/>
      <c r="H643" s="73"/>
      <c r="I643" s="32"/>
      <c r="J643" s="32"/>
      <c r="K643" s="32"/>
      <c r="L643" s="32"/>
      <c r="M643" s="2"/>
      <c r="N643" s="2"/>
      <c r="O643" s="32"/>
      <c r="P643" s="32"/>
      <c r="Q643" s="32"/>
      <c r="R643" s="32"/>
      <c r="S643" s="2"/>
      <c r="T643" s="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32"/>
      <c r="F644" s="32"/>
      <c r="G644" s="32"/>
      <c r="H644" s="73"/>
      <c r="I644" s="32"/>
      <c r="J644" s="32"/>
      <c r="K644" s="32"/>
      <c r="L644" s="32"/>
      <c r="M644" s="2"/>
      <c r="N644" s="2"/>
      <c r="O644" s="32"/>
      <c r="P644" s="32"/>
      <c r="Q644" s="32"/>
      <c r="R644" s="32"/>
      <c r="S644" s="2"/>
      <c r="T644" s="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32"/>
      <c r="F645" s="32"/>
      <c r="G645" s="32"/>
      <c r="H645" s="73"/>
      <c r="I645" s="32"/>
      <c r="J645" s="32"/>
      <c r="K645" s="32"/>
      <c r="L645" s="32"/>
      <c r="M645" s="2"/>
      <c r="N645" s="2"/>
      <c r="O645" s="32"/>
      <c r="P645" s="32"/>
      <c r="Q645" s="32"/>
      <c r="R645" s="32"/>
      <c r="S645" s="2"/>
      <c r="T645" s="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32"/>
      <c r="F646" s="32"/>
      <c r="G646" s="32"/>
      <c r="H646" s="73"/>
      <c r="I646" s="32"/>
      <c r="J646" s="32"/>
      <c r="K646" s="32"/>
      <c r="L646" s="32"/>
      <c r="M646" s="2"/>
      <c r="N646" s="2"/>
      <c r="O646" s="32"/>
      <c r="P646" s="32"/>
      <c r="Q646" s="32"/>
      <c r="R646" s="32"/>
      <c r="S646" s="2"/>
      <c r="T646" s="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32"/>
      <c r="F647" s="32"/>
      <c r="G647" s="32"/>
      <c r="H647" s="73"/>
      <c r="I647" s="32"/>
      <c r="J647" s="32"/>
      <c r="K647" s="32"/>
      <c r="L647" s="32"/>
      <c r="M647" s="2"/>
      <c r="N647" s="2"/>
      <c r="O647" s="32"/>
      <c r="P647" s="32"/>
      <c r="Q647" s="32"/>
      <c r="R647" s="32"/>
      <c r="S647" s="2"/>
      <c r="T647" s="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32"/>
      <c r="F648" s="32"/>
      <c r="G648" s="32"/>
      <c r="H648" s="73"/>
      <c r="I648" s="32"/>
      <c r="J648" s="32"/>
      <c r="K648" s="32"/>
      <c r="L648" s="32"/>
      <c r="M648" s="2"/>
      <c r="N648" s="2"/>
      <c r="O648" s="32"/>
      <c r="P648" s="32"/>
      <c r="Q648" s="32"/>
      <c r="R648" s="32"/>
      <c r="S648" s="2"/>
      <c r="T648" s="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32"/>
      <c r="F649" s="32"/>
      <c r="G649" s="32"/>
      <c r="H649" s="73"/>
      <c r="I649" s="32"/>
      <c r="J649" s="32"/>
      <c r="K649" s="32"/>
      <c r="L649" s="32"/>
      <c r="M649" s="2"/>
      <c r="N649" s="2"/>
      <c r="O649" s="32"/>
      <c r="P649" s="32"/>
      <c r="Q649" s="32"/>
      <c r="R649" s="32"/>
      <c r="S649" s="2"/>
      <c r="T649" s="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32"/>
      <c r="F650" s="32"/>
      <c r="G650" s="32"/>
      <c r="H650" s="73"/>
      <c r="I650" s="32"/>
      <c r="J650" s="32"/>
      <c r="K650" s="32"/>
      <c r="L650" s="32"/>
      <c r="M650" s="2"/>
      <c r="N650" s="2"/>
      <c r="O650" s="32"/>
      <c r="P650" s="32"/>
      <c r="Q650" s="32"/>
      <c r="R650" s="32"/>
      <c r="S650" s="2"/>
      <c r="T650" s="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32"/>
      <c r="F651" s="32"/>
      <c r="G651" s="32"/>
      <c r="H651" s="73"/>
      <c r="I651" s="32"/>
      <c r="J651" s="32"/>
      <c r="K651" s="32"/>
      <c r="L651" s="32"/>
      <c r="M651" s="2"/>
      <c r="N651" s="2"/>
      <c r="O651" s="32"/>
      <c r="P651" s="32"/>
      <c r="Q651" s="32"/>
      <c r="R651" s="32"/>
      <c r="S651" s="2"/>
      <c r="T651" s="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32"/>
      <c r="F652" s="32"/>
      <c r="G652" s="32"/>
      <c r="H652" s="73"/>
      <c r="I652" s="32"/>
      <c r="J652" s="32"/>
      <c r="K652" s="32"/>
      <c r="L652" s="32"/>
      <c r="M652" s="2"/>
      <c r="N652" s="2"/>
      <c r="O652" s="32"/>
      <c r="P652" s="32"/>
      <c r="Q652" s="32"/>
      <c r="R652" s="32"/>
      <c r="S652" s="2"/>
      <c r="T652" s="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32"/>
      <c r="F653" s="32"/>
      <c r="G653" s="32"/>
      <c r="H653" s="73"/>
      <c r="I653" s="32"/>
      <c r="J653" s="32"/>
      <c r="K653" s="32"/>
      <c r="L653" s="32"/>
      <c r="M653" s="2"/>
      <c r="N653" s="2"/>
      <c r="O653" s="32"/>
      <c r="P653" s="32"/>
      <c r="Q653" s="32"/>
      <c r="R653" s="32"/>
      <c r="S653" s="2"/>
      <c r="T653" s="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32"/>
      <c r="F654" s="32"/>
      <c r="G654" s="32"/>
      <c r="H654" s="73"/>
      <c r="I654" s="32"/>
      <c r="J654" s="32"/>
      <c r="K654" s="32"/>
      <c r="L654" s="32"/>
      <c r="M654" s="2"/>
      <c r="N654" s="2"/>
      <c r="O654" s="32"/>
      <c r="P654" s="32"/>
      <c r="Q654" s="32"/>
      <c r="R654" s="32"/>
      <c r="S654" s="2"/>
      <c r="T654" s="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32"/>
      <c r="F655" s="32"/>
      <c r="G655" s="32"/>
      <c r="H655" s="73"/>
      <c r="I655" s="32"/>
      <c r="J655" s="32"/>
      <c r="K655" s="32"/>
      <c r="L655" s="32"/>
      <c r="M655" s="2"/>
      <c r="N655" s="2"/>
      <c r="O655" s="32"/>
      <c r="P655" s="32"/>
      <c r="Q655" s="32"/>
      <c r="R655" s="32"/>
      <c r="S655" s="2"/>
      <c r="T655" s="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32"/>
      <c r="F656" s="32"/>
      <c r="G656" s="32"/>
      <c r="H656" s="73"/>
      <c r="I656" s="32"/>
      <c r="J656" s="32"/>
      <c r="K656" s="32"/>
      <c r="L656" s="32"/>
      <c r="M656" s="2"/>
      <c r="N656" s="2"/>
      <c r="O656" s="32"/>
      <c r="P656" s="32"/>
      <c r="Q656" s="32"/>
      <c r="R656" s="32"/>
      <c r="S656" s="2"/>
      <c r="T656" s="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32"/>
      <c r="F657" s="32"/>
      <c r="G657" s="32"/>
      <c r="H657" s="73"/>
      <c r="I657" s="32"/>
      <c r="J657" s="32"/>
      <c r="K657" s="32"/>
      <c r="L657" s="32"/>
      <c r="M657" s="2"/>
      <c r="N657" s="2"/>
      <c r="O657" s="32"/>
      <c r="P657" s="32"/>
      <c r="Q657" s="32"/>
      <c r="R657" s="32"/>
      <c r="S657" s="2"/>
      <c r="T657" s="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32"/>
      <c r="F658" s="32"/>
      <c r="G658" s="32"/>
      <c r="H658" s="73"/>
      <c r="I658" s="32"/>
      <c r="J658" s="32"/>
      <c r="K658" s="32"/>
      <c r="L658" s="32"/>
      <c r="M658" s="2"/>
      <c r="N658" s="2"/>
      <c r="O658" s="32"/>
      <c r="P658" s="32"/>
      <c r="Q658" s="32"/>
      <c r="R658" s="32"/>
      <c r="S658" s="2"/>
      <c r="T658" s="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32"/>
      <c r="F659" s="32"/>
      <c r="G659" s="32"/>
      <c r="H659" s="73"/>
      <c r="I659" s="32"/>
      <c r="J659" s="32"/>
      <c r="K659" s="32"/>
      <c r="L659" s="32"/>
      <c r="M659" s="2"/>
      <c r="N659" s="2"/>
      <c r="O659" s="32"/>
      <c r="P659" s="32"/>
      <c r="Q659" s="32"/>
      <c r="R659" s="32"/>
      <c r="S659" s="2"/>
      <c r="T659" s="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32"/>
      <c r="F660" s="32"/>
      <c r="G660" s="32"/>
      <c r="H660" s="73"/>
      <c r="I660" s="32"/>
      <c r="J660" s="32"/>
      <c r="K660" s="32"/>
      <c r="L660" s="32"/>
      <c r="M660" s="2"/>
      <c r="N660" s="2"/>
      <c r="O660" s="32"/>
      <c r="P660" s="32"/>
      <c r="Q660" s="32"/>
      <c r="R660" s="32"/>
      <c r="S660" s="2"/>
      <c r="T660" s="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32"/>
      <c r="F661" s="32"/>
      <c r="G661" s="32"/>
      <c r="H661" s="73"/>
      <c r="I661" s="32"/>
      <c r="J661" s="32"/>
      <c r="K661" s="32"/>
      <c r="L661" s="32"/>
      <c r="M661" s="2"/>
      <c r="N661" s="2"/>
      <c r="O661" s="32"/>
      <c r="P661" s="32"/>
      <c r="Q661" s="32"/>
      <c r="R661" s="32"/>
      <c r="S661" s="2"/>
      <c r="T661" s="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32"/>
      <c r="F662" s="32"/>
      <c r="G662" s="32"/>
      <c r="H662" s="73"/>
      <c r="I662" s="32"/>
      <c r="J662" s="32"/>
      <c r="K662" s="32"/>
      <c r="L662" s="32"/>
      <c r="M662" s="2"/>
      <c r="N662" s="2"/>
      <c r="O662" s="32"/>
      <c r="P662" s="32"/>
      <c r="Q662" s="32"/>
      <c r="R662" s="32"/>
      <c r="S662" s="2"/>
      <c r="T662" s="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32"/>
      <c r="F663" s="32"/>
      <c r="G663" s="32"/>
      <c r="H663" s="73"/>
      <c r="I663" s="32"/>
      <c r="J663" s="32"/>
      <c r="K663" s="32"/>
      <c r="L663" s="32"/>
      <c r="M663" s="2"/>
      <c r="N663" s="2"/>
      <c r="O663" s="32"/>
      <c r="P663" s="32"/>
      <c r="Q663" s="32"/>
      <c r="R663" s="32"/>
      <c r="S663" s="2"/>
      <c r="T663" s="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32"/>
      <c r="F664" s="32"/>
      <c r="G664" s="32"/>
      <c r="H664" s="73"/>
      <c r="I664" s="32"/>
      <c r="J664" s="32"/>
      <c r="K664" s="32"/>
      <c r="L664" s="32"/>
      <c r="M664" s="2"/>
      <c r="N664" s="2"/>
      <c r="O664" s="32"/>
      <c r="P664" s="32"/>
      <c r="Q664" s="32"/>
      <c r="R664" s="32"/>
      <c r="S664" s="2"/>
      <c r="T664" s="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32"/>
      <c r="F665" s="32"/>
      <c r="G665" s="32"/>
      <c r="H665" s="73"/>
      <c r="I665" s="32"/>
      <c r="J665" s="32"/>
      <c r="K665" s="32"/>
      <c r="L665" s="32"/>
      <c r="M665" s="2"/>
      <c r="N665" s="2"/>
      <c r="O665" s="32"/>
      <c r="P665" s="32"/>
      <c r="Q665" s="32"/>
      <c r="R665" s="32"/>
      <c r="S665" s="2"/>
      <c r="T665" s="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32"/>
      <c r="F666" s="32"/>
      <c r="G666" s="32"/>
      <c r="H666" s="73"/>
      <c r="I666" s="32"/>
      <c r="J666" s="32"/>
      <c r="K666" s="32"/>
      <c r="L666" s="32"/>
      <c r="M666" s="2"/>
      <c r="N666" s="2"/>
      <c r="O666" s="32"/>
      <c r="P666" s="32"/>
      <c r="Q666" s="32"/>
      <c r="R666" s="32"/>
      <c r="S666" s="2"/>
      <c r="T666" s="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32"/>
      <c r="F667" s="32"/>
      <c r="G667" s="32"/>
      <c r="H667" s="73"/>
      <c r="I667" s="32"/>
      <c r="J667" s="32"/>
      <c r="K667" s="32"/>
      <c r="L667" s="32"/>
      <c r="M667" s="2"/>
      <c r="N667" s="2"/>
      <c r="O667" s="32"/>
      <c r="P667" s="32"/>
      <c r="Q667" s="32"/>
      <c r="R667" s="32"/>
      <c r="S667" s="2"/>
      <c r="T667" s="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32"/>
      <c r="F668" s="32"/>
      <c r="G668" s="32"/>
      <c r="H668" s="73"/>
      <c r="I668" s="32"/>
      <c r="J668" s="32"/>
      <c r="K668" s="32"/>
      <c r="L668" s="32"/>
      <c r="M668" s="2"/>
      <c r="N668" s="2"/>
      <c r="O668" s="32"/>
      <c r="P668" s="32"/>
      <c r="Q668" s="32"/>
      <c r="R668" s="32"/>
      <c r="S668" s="2"/>
      <c r="T668" s="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32"/>
      <c r="F669" s="32"/>
      <c r="G669" s="32"/>
      <c r="H669" s="73"/>
      <c r="I669" s="32"/>
      <c r="J669" s="32"/>
      <c r="K669" s="32"/>
      <c r="L669" s="32"/>
      <c r="M669" s="2"/>
      <c r="N669" s="2"/>
      <c r="O669" s="32"/>
      <c r="P669" s="32"/>
      <c r="Q669" s="32"/>
      <c r="R669" s="32"/>
      <c r="S669" s="2"/>
      <c r="T669" s="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32"/>
      <c r="F670" s="32"/>
      <c r="G670" s="32"/>
      <c r="H670" s="73"/>
      <c r="I670" s="32"/>
      <c r="J670" s="32"/>
      <c r="K670" s="32"/>
      <c r="L670" s="32"/>
      <c r="M670" s="2"/>
      <c r="N670" s="2"/>
      <c r="O670" s="32"/>
      <c r="P670" s="32"/>
      <c r="Q670" s="32"/>
      <c r="R670" s="32"/>
      <c r="S670" s="2"/>
      <c r="T670" s="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32"/>
      <c r="F671" s="32"/>
      <c r="G671" s="32"/>
      <c r="H671" s="73"/>
      <c r="I671" s="32"/>
      <c r="J671" s="32"/>
      <c r="K671" s="32"/>
      <c r="L671" s="32"/>
      <c r="M671" s="2"/>
      <c r="N671" s="2"/>
      <c r="O671" s="32"/>
      <c r="P671" s="32"/>
      <c r="Q671" s="32"/>
      <c r="R671" s="32"/>
      <c r="S671" s="2"/>
      <c r="T671" s="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32"/>
      <c r="F672" s="32"/>
      <c r="G672" s="32"/>
      <c r="H672" s="73"/>
      <c r="I672" s="32"/>
      <c r="J672" s="32"/>
      <c r="K672" s="32"/>
      <c r="L672" s="32"/>
      <c r="M672" s="2"/>
      <c r="N672" s="2"/>
      <c r="O672" s="32"/>
      <c r="P672" s="32"/>
      <c r="Q672" s="32"/>
      <c r="R672" s="32"/>
      <c r="S672" s="2"/>
      <c r="T672" s="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32"/>
      <c r="F673" s="32"/>
      <c r="G673" s="32"/>
      <c r="H673" s="73"/>
      <c r="I673" s="32"/>
      <c r="J673" s="32"/>
      <c r="K673" s="32"/>
      <c r="L673" s="32"/>
      <c r="M673" s="2"/>
      <c r="N673" s="2"/>
      <c r="O673" s="32"/>
      <c r="P673" s="32"/>
      <c r="Q673" s="32"/>
      <c r="R673" s="32"/>
      <c r="S673" s="2"/>
      <c r="T673" s="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32"/>
      <c r="F674" s="32"/>
      <c r="G674" s="32"/>
      <c r="H674" s="73"/>
      <c r="I674" s="32"/>
      <c r="J674" s="32"/>
      <c r="K674" s="32"/>
      <c r="L674" s="32"/>
      <c r="M674" s="2"/>
      <c r="N674" s="2"/>
      <c r="O674" s="32"/>
      <c r="P674" s="32"/>
      <c r="Q674" s="32"/>
      <c r="R674" s="32"/>
      <c r="S674" s="2"/>
      <c r="T674" s="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32"/>
      <c r="F675" s="32"/>
      <c r="G675" s="32"/>
      <c r="H675" s="73"/>
      <c r="I675" s="32"/>
      <c r="J675" s="32"/>
      <c r="K675" s="32"/>
      <c r="L675" s="32"/>
      <c r="M675" s="2"/>
      <c r="N675" s="2"/>
      <c r="O675" s="32"/>
      <c r="P675" s="32"/>
      <c r="Q675" s="32"/>
      <c r="R675" s="32"/>
      <c r="S675" s="2"/>
      <c r="T675" s="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32"/>
      <c r="F676" s="32"/>
      <c r="G676" s="32"/>
      <c r="H676" s="73"/>
      <c r="I676" s="32"/>
      <c r="J676" s="32"/>
      <c r="K676" s="32"/>
      <c r="L676" s="32"/>
      <c r="M676" s="2"/>
      <c r="N676" s="2"/>
      <c r="O676" s="32"/>
      <c r="P676" s="32"/>
      <c r="Q676" s="32"/>
      <c r="R676" s="32"/>
      <c r="S676" s="2"/>
      <c r="T676" s="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32"/>
      <c r="F677" s="32"/>
      <c r="G677" s="32"/>
      <c r="H677" s="73"/>
      <c r="I677" s="32"/>
      <c r="J677" s="32"/>
      <c r="K677" s="32"/>
      <c r="L677" s="32"/>
      <c r="M677" s="2"/>
      <c r="N677" s="2"/>
      <c r="O677" s="32"/>
      <c r="P677" s="32"/>
      <c r="Q677" s="32"/>
      <c r="R677" s="32"/>
      <c r="S677" s="2"/>
      <c r="T677" s="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32"/>
      <c r="F678" s="32"/>
      <c r="G678" s="32"/>
      <c r="H678" s="73"/>
      <c r="I678" s="32"/>
      <c r="J678" s="32"/>
      <c r="K678" s="32"/>
      <c r="L678" s="32"/>
      <c r="M678" s="2"/>
      <c r="N678" s="2"/>
      <c r="O678" s="32"/>
      <c r="P678" s="32"/>
      <c r="Q678" s="32"/>
      <c r="R678" s="32"/>
      <c r="S678" s="2"/>
      <c r="T678" s="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32"/>
      <c r="F679" s="32"/>
      <c r="G679" s="32"/>
      <c r="H679" s="73"/>
      <c r="I679" s="32"/>
      <c r="J679" s="32"/>
      <c r="K679" s="32"/>
      <c r="L679" s="32"/>
      <c r="M679" s="2"/>
      <c r="N679" s="2"/>
      <c r="O679" s="32"/>
      <c r="P679" s="32"/>
      <c r="Q679" s="32"/>
      <c r="R679" s="32"/>
      <c r="S679" s="2"/>
      <c r="T679" s="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32"/>
      <c r="F680" s="32"/>
      <c r="G680" s="32"/>
      <c r="H680" s="73"/>
      <c r="I680" s="32"/>
      <c r="J680" s="32"/>
      <c r="K680" s="32"/>
      <c r="L680" s="32"/>
      <c r="M680" s="2"/>
      <c r="N680" s="2"/>
      <c r="O680" s="32"/>
      <c r="P680" s="32"/>
      <c r="Q680" s="32"/>
      <c r="R680" s="32"/>
      <c r="S680" s="2"/>
      <c r="T680" s="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32"/>
      <c r="F681" s="32"/>
      <c r="G681" s="32"/>
      <c r="H681" s="73"/>
      <c r="I681" s="32"/>
      <c r="J681" s="32"/>
      <c r="K681" s="32"/>
      <c r="L681" s="32"/>
      <c r="M681" s="2"/>
      <c r="N681" s="2"/>
      <c r="O681" s="32"/>
      <c r="P681" s="32"/>
      <c r="Q681" s="32"/>
      <c r="R681" s="32"/>
      <c r="S681" s="2"/>
      <c r="T681" s="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32"/>
      <c r="F682" s="32"/>
      <c r="G682" s="32"/>
      <c r="H682" s="73"/>
      <c r="I682" s="32"/>
      <c r="J682" s="32"/>
      <c r="K682" s="32"/>
      <c r="L682" s="32"/>
      <c r="M682" s="2"/>
      <c r="N682" s="2"/>
      <c r="O682" s="32"/>
      <c r="P682" s="32"/>
      <c r="Q682" s="32"/>
      <c r="R682" s="32"/>
      <c r="S682" s="2"/>
      <c r="T682" s="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32"/>
      <c r="F683" s="32"/>
      <c r="G683" s="32"/>
      <c r="H683" s="73"/>
      <c r="I683" s="32"/>
      <c r="J683" s="32"/>
      <c r="K683" s="32"/>
      <c r="L683" s="32"/>
      <c r="M683" s="2"/>
      <c r="N683" s="2"/>
      <c r="O683" s="32"/>
      <c r="P683" s="32"/>
      <c r="Q683" s="32"/>
      <c r="R683" s="32"/>
      <c r="S683" s="2"/>
      <c r="T683" s="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32"/>
      <c r="F684" s="32"/>
      <c r="G684" s="32"/>
      <c r="H684" s="73"/>
      <c r="I684" s="32"/>
      <c r="J684" s="32"/>
      <c r="K684" s="32"/>
      <c r="L684" s="32"/>
      <c r="M684" s="2"/>
      <c r="N684" s="2"/>
      <c r="O684" s="32"/>
      <c r="P684" s="32"/>
      <c r="Q684" s="32"/>
      <c r="R684" s="32"/>
      <c r="S684" s="2"/>
      <c r="T684" s="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32"/>
      <c r="F685" s="32"/>
      <c r="G685" s="32"/>
      <c r="H685" s="73"/>
      <c r="I685" s="32"/>
      <c r="J685" s="32"/>
      <c r="K685" s="32"/>
      <c r="L685" s="32"/>
      <c r="M685" s="2"/>
      <c r="N685" s="2"/>
      <c r="O685" s="32"/>
      <c r="P685" s="32"/>
      <c r="Q685" s="32"/>
      <c r="R685" s="32"/>
      <c r="S685" s="2"/>
      <c r="T685" s="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32"/>
      <c r="F686" s="32"/>
      <c r="G686" s="32"/>
      <c r="H686" s="73"/>
      <c r="I686" s="32"/>
      <c r="J686" s="32"/>
      <c r="K686" s="32"/>
      <c r="L686" s="32"/>
      <c r="M686" s="2"/>
      <c r="N686" s="2"/>
      <c r="O686" s="32"/>
      <c r="P686" s="32"/>
      <c r="Q686" s="32"/>
      <c r="R686" s="32"/>
      <c r="S686" s="2"/>
      <c r="T686" s="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32"/>
      <c r="F687" s="32"/>
      <c r="G687" s="32"/>
      <c r="H687" s="73"/>
      <c r="I687" s="32"/>
      <c r="J687" s="32"/>
      <c r="K687" s="32"/>
      <c r="L687" s="32"/>
      <c r="M687" s="2"/>
      <c r="N687" s="2"/>
      <c r="O687" s="32"/>
      <c r="P687" s="32"/>
      <c r="Q687" s="32"/>
      <c r="R687" s="32"/>
      <c r="S687" s="2"/>
      <c r="T687" s="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32"/>
      <c r="F688" s="32"/>
      <c r="G688" s="32"/>
      <c r="H688" s="73"/>
      <c r="I688" s="32"/>
      <c r="J688" s="32"/>
      <c r="K688" s="32"/>
      <c r="L688" s="32"/>
      <c r="M688" s="2"/>
      <c r="N688" s="2"/>
      <c r="O688" s="32"/>
      <c r="P688" s="32"/>
      <c r="Q688" s="32"/>
      <c r="R688" s="32"/>
      <c r="S688" s="2"/>
      <c r="T688" s="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32"/>
      <c r="F689" s="32"/>
      <c r="G689" s="32"/>
      <c r="H689" s="73"/>
      <c r="I689" s="32"/>
      <c r="J689" s="32"/>
      <c r="K689" s="32"/>
      <c r="L689" s="32"/>
      <c r="M689" s="2"/>
      <c r="N689" s="2"/>
      <c r="O689" s="32"/>
      <c r="P689" s="32"/>
      <c r="Q689" s="32"/>
      <c r="R689" s="32"/>
      <c r="S689" s="2"/>
      <c r="T689" s="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32"/>
      <c r="F690" s="32"/>
      <c r="G690" s="32"/>
      <c r="H690" s="73"/>
      <c r="I690" s="32"/>
      <c r="J690" s="32"/>
      <c r="K690" s="32"/>
      <c r="L690" s="32"/>
      <c r="M690" s="2"/>
      <c r="N690" s="2"/>
      <c r="O690" s="32"/>
      <c r="P690" s="32"/>
      <c r="Q690" s="32"/>
      <c r="R690" s="32"/>
      <c r="S690" s="2"/>
      <c r="T690" s="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32"/>
      <c r="F691" s="32"/>
      <c r="G691" s="32"/>
      <c r="H691" s="73"/>
      <c r="I691" s="32"/>
      <c r="J691" s="32"/>
      <c r="K691" s="32"/>
      <c r="L691" s="32"/>
      <c r="M691" s="2"/>
      <c r="N691" s="2"/>
      <c r="O691" s="32"/>
      <c r="P691" s="32"/>
      <c r="Q691" s="32"/>
      <c r="R691" s="32"/>
      <c r="S691" s="2"/>
      <c r="T691" s="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32"/>
      <c r="F692" s="32"/>
      <c r="G692" s="32"/>
      <c r="H692" s="73"/>
      <c r="I692" s="32"/>
      <c r="J692" s="32"/>
      <c r="K692" s="32"/>
      <c r="L692" s="32"/>
      <c r="M692" s="2"/>
      <c r="N692" s="2"/>
      <c r="O692" s="32"/>
      <c r="P692" s="32"/>
      <c r="Q692" s="32"/>
      <c r="R692" s="32"/>
      <c r="S692" s="2"/>
      <c r="T692" s="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32"/>
      <c r="F693" s="32"/>
      <c r="G693" s="32"/>
      <c r="H693" s="73"/>
      <c r="I693" s="32"/>
      <c r="J693" s="32"/>
      <c r="K693" s="32"/>
      <c r="L693" s="32"/>
      <c r="M693" s="2"/>
      <c r="N693" s="2"/>
      <c r="O693" s="32"/>
      <c r="P693" s="32"/>
      <c r="Q693" s="32"/>
      <c r="R693" s="32"/>
      <c r="S693" s="2"/>
      <c r="T693" s="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32"/>
      <c r="F694" s="32"/>
      <c r="G694" s="32"/>
      <c r="H694" s="73"/>
      <c r="I694" s="32"/>
      <c r="J694" s="32"/>
      <c r="K694" s="32"/>
      <c r="L694" s="32"/>
      <c r="M694" s="2"/>
      <c r="N694" s="2"/>
      <c r="O694" s="32"/>
      <c r="P694" s="32"/>
      <c r="Q694" s="32"/>
      <c r="R694" s="32"/>
      <c r="S694" s="2"/>
      <c r="T694" s="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32"/>
      <c r="F695" s="32"/>
      <c r="G695" s="32"/>
      <c r="H695" s="73"/>
      <c r="I695" s="32"/>
      <c r="J695" s="32"/>
      <c r="K695" s="32"/>
      <c r="L695" s="32"/>
      <c r="M695" s="2"/>
      <c r="N695" s="2"/>
      <c r="O695" s="32"/>
      <c r="P695" s="32"/>
      <c r="Q695" s="32"/>
      <c r="R695" s="32"/>
      <c r="S695" s="2"/>
      <c r="T695" s="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32"/>
      <c r="F696" s="32"/>
      <c r="G696" s="32"/>
      <c r="H696" s="73"/>
      <c r="I696" s="32"/>
      <c r="J696" s="32"/>
      <c r="K696" s="32"/>
      <c r="L696" s="32"/>
      <c r="M696" s="2"/>
      <c r="N696" s="2"/>
      <c r="O696" s="32"/>
      <c r="P696" s="32"/>
      <c r="Q696" s="32"/>
      <c r="R696" s="32"/>
      <c r="S696" s="2"/>
      <c r="T696" s="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32"/>
      <c r="F697" s="32"/>
      <c r="G697" s="32"/>
      <c r="H697" s="73"/>
      <c r="I697" s="32"/>
      <c r="J697" s="32"/>
      <c r="K697" s="32"/>
      <c r="L697" s="32"/>
      <c r="M697" s="2"/>
      <c r="N697" s="2"/>
      <c r="O697" s="32"/>
      <c r="P697" s="32"/>
      <c r="Q697" s="32"/>
      <c r="R697" s="32"/>
      <c r="S697" s="2"/>
      <c r="T697" s="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32"/>
      <c r="F698" s="32"/>
      <c r="G698" s="32"/>
      <c r="H698" s="73"/>
      <c r="I698" s="32"/>
      <c r="J698" s="32"/>
      <c r="K698" s="32"/>
      <c r="L698" s="32"/>
      <c r="M698" s="2"/>
      <c r="N698" s="2"/>
      <c r="O698" s="32"/>
      <c r="P698" s="32"/>
      <c r="Q698" s="32"/>
      <c r="R698" s="32"/>
      <c r="S698" s="2"/>
      <c r="T698" s="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32"/>
      <c r="F699" s="32"/>
      <c r="G699" s="32"/>
      <c r="H699" s="73"/>
      <c r="I699" s="32"/>
      <c r="J699" s="32"/>
      <c r="K699" s="32"/>
      <c r="L699" s="32"/>
      <c r="M699" s="2"/>
      <c r="N699" s="2"/>
      <c r="O699" s="32"/>
      <c r="P699" s="32"/>
      <c r="Q699" s="32"/>
      <c r="R699" s="32"/>
      <c r="S699" s="2"/>
      <c r="T699" s="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32"/>
      <c r="F700" s="32"/>
      <c r="G700" s="32"/>
      <c r="H700" s="73"/>
      <c r="I700" s="32"/>
      <c r="J700" s="32"/>
      <c r="K700" s="32"/>
      <c r="L700" s="32"/>
      <c r="M700" s="2"/>
      <c r="N700" s="2"/>
      <c r="O700" s="32"/>
      <c r="P700" s="32"/>
      <c r="Q700" s="32"/>
      <c r="R700" s="32"/>
      <c r="S700" s="2"/>
      <c r="T700" s="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32"/>
      <c r="F701" s="32"/>
      <c r="G701" s="32"/>
      <c r="H701" s="73"/>
      <c r="I701" s="32"/>
      <c r="J701" s="32"/>
      <c r="K701" s="32"/>
      <c r="L701" s="32"/>
      <c r="M701" s="2"/>
      <c r="N701" s="2"/>
      <c r="O701" s="32"/>
      <c r="P701" s="32"/>
      <c r="Q701" s="32"/>
      <c r="R701" s="32"/>
      <c r="S701" s="2"/>
      <c r="T701" s="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32"/>
      <c r="F702" s="32"/>
      <c r="G702" s="32"/>
      <c r="H702" s="73"/>
      <c r="I702" s="32"/>
      <c r="J702" s="32"/>
      <c r="K702" s="32"/>
      <c r="L702" s="32"/>
      <c r="M702" s="2"/>
      <c r="N702" s="2"/>
      <c r="O702" s="32"/>
      <c r="P702" s="32"/>
      <c r="Q702" s="32"/>
      <c r="R702" s="32"/>
      <c r="S702" s="2"/>
      <c r="T702" s="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32"/>
      <c r="F703" s="32"/>
      <c r="G703" s="32"/>
      <c r="H703" s="73"/>
      <c r="I703" s="32"/>
      <c r="J703" s="32"/>
      <c r="K703" s="32"/>
      <c r="L703" s="32"/>
      <c r="M703" s="2"/>
      <c r="N703" s="2"/>
      <c r="O703" s="32"/>
      <c r="P703" s="32"/>
      <c r="Q703" s="32"/>
      <c r="R703" s="32"/>
      <c r="S703" s="2"/>
      <c r="T703" s="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32"/>
      <c r="F704" s="32"/>
      <c r="G704" s="32"/>
      <c r="H704" s="73"/>
      <c r="I704" s="32"/>
      <c r="J704" s="32"/>
      <c r="K704" s="32"/>
      <c r="L704" s="32"/>
      <c r="M704" s="2"/>
      <c r="N704" s="2"/>
      <c r="O704" s="32"/>
      <c r="P704" s="32"/>
      <c r="Q704" s="32"/>
      <c r="R704" s="32"/>
      <c r="S704" s="2"/>
      <c r="T704" s="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32"/>
      <c r="F705" s="32"/>
      <c r="G705" s="32"/>
      <c r="H705" s="73"/>
      <c r="I705" s="32"/>
      <c r="J705" s="32"/>
      <c r="K705" s="32"/>
      <c r="L705" s="32"/>
      <c r="M705" s="2"/>
      <c r="N705" s="2"/>
      <c r="O705" s="32"/>
      <c r="P705" s="32"/>
      <c r="Q705" s="32"/>
      <c r="R705" s="32"/>
      <c r="S705" s="2"/>
      <c r="T705" s="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32"/>
      <c r="F706" s="32"/>
      <c r="G706" s="32"/>
      <c r="H706" s="73"/>
      <c r="I706" s="32"/>
      <c r="J706" s="32"/>
      <c r="K706" s="32"/>
      <c r="L706" s="32"/>
      <c r="M706" s="2"/>
      <c r="N706" s="2"/>
      <c r="O706" s="32"/>
      <c r="P706" s="32"/>
      <c r="Q706" s="32"/>
      <c r="R706" s="32"/>
      <c r="S706" s="2"/>
      <c r="T706" s="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32"/>
      <c r="F707" s="32"/>
      <c r="G707" s="32"/>
      <c r="H707" s="73"/>
      <c r="I707" s="32"/>
      <c r="J707" s="32"/>
      <c r="K707" s="32"/>
      <c r="L707" s="32"/>
      <c r="M707" s="2"/>
      <c r="N707" s="2"/>
      <c r="O707" s="32"/>
      <c r="P707" s="32"/>
      <c r="Q707" s="32"/>
      <c r="R707" s="32"/>
      <c r="S707" s="2"/>
      <c r="T707" s="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32"/>
      <c r="F708" s="32"/>
      <c r="G708" s="32"/>
      <c r="H708" s="73"/>
      <c r="I708" s="32"/>
      <c r="J708" s="32"/>
      <c r="K708" s="32"/>
      <c r="L708" s="32"/>
      <c r="M708" s="2"/>
      <c r="N708" s="2"/>
      <c r="O708" s="32"/>
      <c r="P708" s="32"/>
      <c r="Q708" s="32"/>
      <c r="R708" s="32"/>
      <c r="S708" s="2"/>
      <c r="T708" s="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32"/>
      <c r="F709" s="32"/>
      <c r="G709" s="32"/>
      <c r="H709" s="73"/>
      <c r="I709" s="32"/>
      <c r="J709" s="32"/>
      <c r="K709" s="32"/>
      <c r="L709" s="32"/>
      <c r="M709" s="2"/>
      <c r="N709" s="2"/>
      <c r="O709" s="32"/>
      <c r="P709" s="32"/>
      <c r="Q709" s="32"/>
      <c r="R709" s="32"/>
      <c r="S709" s="2"/>
      <c r="T709" s="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32"/>
      <c r="F710" s="32"/>
      <c r="G710" s="32"/>
      <c r="H710" s="73"/>
      <c r="I710" s="32"/>
      <c r="J710" s="32"/>
      <c r="K710" s="32"/>
      <c r="L710" s="32"/>
      <c r="M710" s="2"/>
      <c r="N710" s="2"/>
      <c r="O710" s="32"/>
      <c r="P710" s="32"/>
      <c r="Q710" s="32"/>
      <c r="R710" s="32"/>
      <c r="S710" s="2"/>
      <c r="T710" s="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32"/>
      <c r="F711" s="32"/>
      <c r="G711" s="32"/>
      <c r="H711" s="73"/>
      <c r="I711" s="32"/>
      <c r="J711" s="32"/>
      <c r="K711" s="32"/>
      <c r="L711" s="32"/>
      <c r="M711" s="2"/>
      <c r="N711" s="2"/>
      <c r="O711" s="32"/>
      <c r="P711" s="32"/>
      <c r="Q711" s="32"/>
      <c r="R711" s="32"/>
      <c r="S711" s="2"/>
      <c r="T711" s="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32"/>
      <c r="F712" s="32"/>
      <c r="G712" s="32"/>
      <c r="H712" s="73"/>
      <c r="I712" s="32"/>
      <c r="J712" s="32"/>
      <c r="K712" s="32"/>
      <c r="L712" s="32"/>
      <c r="M712" s="2"/>
      <c r="N712" s="2"/>
      <c r="O712" s="32"/>
      <c r="P712" s="32"/>
      <c r="Q712" s="32"/>
      <c r="R712" s="32"/>
      <c r="S712" s="2"/>
      <c r="T712" s="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32"/>
      <c r="F713" s="32"/>
      <c r="G713" s="32"/>
      <c r="H713" s="73"/>
      <c r="I713" s="32"/>
      <c r="J713" s="32"/>
      <c r="K713" s="32"/>
      <c r="L713" s="32"/>
      <c r="M713" s="2"/>
      <c r="N713" s="2"/>
      <c r="O713" s="32"/>
      <c r="P713" s="32"/>
      <c r="Q713" s="32"/>
      <c r="R713" s="32"/>
      <c r="S713" s="2"/>
      <c r="T713" s="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32"/>
      <c r="F714" s="32"/>
      <c r="G714" s="32"/>
      <c r="H714" s="73"/>
      <c r="I714" s="32"/>
      <c r="J714" s="32"/>
      <c r="K714" s="32"/>
      <c r="L714" s="32"/>
      <c r="M714" s="2"/>
      <c r="N714" s="2"/>
      <c r="O714" s="32"/>
      <c r="P714" s="32"/>
      <c r="Q714" s="32"/>
      <c r="R714" s="32"/>
      <c r="S714" s="2"/>
      <c r="T714" s="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32"/>
      <c r="F715" s="32"/>
      <c r="G715" s="32"/>
      <c r="H715" s="73"/>
      <c r="I715" s="32"/>
      <c r="J715" s="32"/>
      <c r="K715" s="32"/>
      <c r="L715" s="32"/>
      <c r="M715" s="2"/>
      <c r="N715" s="2"/>
      <c r="O715" s="32"/>
      <c r="P715" s="32"/>
      <c r="Q715" s="32"/>
      <c r="R715" s="32"/>
      <c r="S715" s="2"/>
      <c r="T715" s="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32"/>
      <c r="F716" s="32"/>
      <c r="G716" s="32"/>
      <c r="H716" s="73"/>
      <c r="I716" s="32"/>
      <c r="J716" s="32"/>
      <c r="K716" s="32"/>
      <c r="L716" s="32"/>
      <c r="M716" s="2"/>
      <c r="N716" s="2"/>
      <c r="O716" s="32"/>
      <c r="P716" s="32"/>
      <c r="Q716" s="32"/>
      <c r="R716" s="32"/>
      <c r="S716" s="2"/>
      <c r="T716" s="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32"/>
      <c r="F717" s="32"/>
      <c r="G717" s="32"/>
      <c r="H717" s="73"/>
      <c r="I717" s="32"/>
      <c r="J717" s="32"/>
      <c r="K717" s="32"/>
      <c r="L717" s="32"/>
      <c r="M717" s="2"/>
      <c r="N717" s="2"/>
      <c r="O717" s="32"/>
      <c r="P717" s="32"/>
      <c r="Q717" s="32"/>
      <c r="R717" s="32"/>
      <c r="S717" s="2"/>
      <c r="T717" s="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32"/>
      <c r="F718" s="32"/>
      <c r="G718" s="32"/>
      <c r="H718" s="73"/>
      <c r="I718" s="32"/>
      <c r="J718" s="32"/>
      <c r="K718" s="32"/>
      <c r="L718" s="32"/>
      <c r="M718" s="2"/>
      <c r="N718" s="2"/>
      <c r="O718" s="32"/>
      <c r="P718" s="32"/>
      <c r="Q718" s="32"/>
      <c r="R718" s="32"/>
      <c r="S718" s="2"/>
      <c r="T718" s="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32"/>
      <c r="F719" s="32"/>
      <c r="G719" s="32"/>
      <c r="H719" s="73"/>
      <c r="I719" s="32"/>
      <c r="J719" s="32"/>
      <c r="K719" s="32"/>
      <c r="L719" s="32"/>
      <c r="M719" s="2"/>
      <c r="N719" s="2"/>
      <c r="O719" s="32"/>
      <c r="P719" s="32"/>
      <c r="Q719" s="32"/>
      <c r="R719" s="32"/>
      <c r="S719" s="2"/>
      <c r="T719" s="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32"/>
      <c r="F720" s="32"/>
      <c r="G720" s="32"/>
      <c r="H720" s="73"/>
      <c r="I720" s="32"/>
      <c r="J720" s="32"/>
      <c r="K720" s="32"/>
      <c r="L720" s="32"/>
      <c r="M720" s="2"/>
      <c r="N720" s="2"/>
      <c r="O720" s="32"/>
      <c r="P720" s="32"/>
      <c r="Q720" s="32"/>
      <c r="R720" s="32"/>
      <c r="S720" s="2"/>
      <c r="T720" s="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32"/>
      <c r="F721" s="32"/>
      <c r="G721" s="32"/>
      <c r="H721" s="73"/>
      <c r="I721" s="32"/>
      <c r="J721" s="32"/>
      <c r="K721" s="32"/>
      <c r="L721" s="32"/>
      <c r="M721" s="2"/>
      <c r="N721" s="2"/>
      <c r="O721" s="32"/>
      <c r="P721" s="32"/>
      <c r="Q721" s="32"/>
      <c r="R721" s="32"/>
      <c r="S721" s="2"/>
      <c r="T721" s="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32"/>
      <c r="F722" s="32"/>
      <c r="G722" s="32"/>
      <c r="H722" s="73"/>
      <c r="I722" s="32"/>
      <c r="J722" s="32"/>
      <c r="K722" s="32"/>
      <c r="L722" s="32"/>
      <c r="M722" s="2"/>
      <c r="N722" s="2"/>
      <c r="O722" s="32"/>
      <c r="P722" s="32"/>
      <c r="Q722" s="32"/>
      <c r="R722" s="32"/>
      <c r="S722" s="2"/>
      <c r="T722" s="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32"/>
      <c r="F723" s="32"/>
      <c r="G723" s="32"/>
      <c r="H723" s="73"/>
      <c r="I723" s="32"/>
      <c r="J723" s="32"/>
      <c r="K723" s="32"/>
      <c r="L723" s="32"/>
      <c r="M723" s="2"/>
      <c r="N723" s="2"/>
      <c r="O723" s="32"/>
      <c r="P723" s="32"/>
      <c r="Q723" s="32"/>
      <c r="R723" s="32"/>
      <c r="S723" s="2"/>
      <c r="T723" s="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32"/>
      <c r="F724" s="32"/>
      <c r="G724" s="32"/>
      <c r="H724" s="73"/>
      <c r="I724" s="32"/>
      <c r="J724" s="32"/>
      <c r="K724" s="32"/>
      <c r="L724" s="32"/>
      <c r="M724" s="2"/>
      <c r="N724" s="2"/>
      <c r="O724" s="32"/>
      <c r="P724" s="32"/>
      <c r="Q724" s="32"/>
      <c r="R724" s="32"/>
      <c r="S724" s="2"/>
      <c r="T724" s="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32"/>
      <c r="F725" s="32"/>
      <c r="G725" s="32"/>
      <c r="H725" s="73"/>
      <c r="I725" s="32"/>
      <c r="J725" s="32"/>
      <c r="K725" s="32"/>
      <c r="L725" s="32"/>
      <c r="M725" s="2"/>
      <c r="N725" s="2"/>
      <c r="O725" s="32"/>
      <c r="P725" s="32"/>
      <c r="Q725" s="32"/>
      <c r="R725" s="32"/>
      <c r="S725" s="2"/>
      <c r="T725" s="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32"/>
      <c r="F726" s="32"/>
      <c r="G726" s="32"/>
      <c r="H726" s="73"/>
      <c r="I726" s="32"/>
      <c r="J726" s="32"/>
      <c r="K726" s="32"/>
      <c r="L726" s="32"/>
      <c r="M726" s="2"/>
      <c r="N726" s="2"/>
      <c r="O726" s="32"/>
      <c r="P726" s="32"/>
      <c r="Q726" s="32"/>
      <c r="R726" s="32"/>
      <c r="S726" s="2"/>
      <c r="T726" s="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32"/>
      <c r="F727" s="32"/>
      <c r="G727" s="32"/>
      <c r="H727" s="73"/>
      <c r="I727" s="32"/>
      <c r="J727" s="32"/>
      <c r="K727" s="32"/>
      <c r="L727" s="32"/>
      <c r="M727" s="2"/>
      <c r="N727" s="2"/>
      <c r="O727" s="32"/>
      <c r="P727" s="32"/>
      <c r="Q727" s="32"/>
      <c r="R727" s="32"/>
      <c r="S727" s="2"/>
      <c r="T727" s="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32"/>
      <c r="F728" s="32"/>
      <c r="G728" s="32"/>
      <c r="H728" s="73"/>
      <c r="I728" s="32"/>
      <c r="J728" s="32"/>
      <c r="K728" s="32"/>
      <c r="L728" s="32"/>
      <c r="M728" s="2"/>
      <c r="N728" s="2"/>
      <c r="O728" s="32"/>
      <c r="P728" s="32"/>
      <c r="Q728" s="32"/>
      <c r="R728" s="32"/>
      <c r="S728" s="2"/>
      <c r="T728" s="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32"/>
      <c r="F729" s="32"/>
      <c r="G729" s="32"/>
      <c r="H729" s="73"/>
      <c r="I729" s="32"/>
      <c r="J729" s="32"/>
      <c r="K729" s="32"/>
      <c r="L729" s="32"/>
      <c r="M729" s="2"/>
      <c r="N729" s="2"/>
      <c r="O729" s="32"/>
      <c r="P729" s="32"/>
      <c r="Q729" s="32"/>
      <c r="R729" s="32"/>
      <c r="S729" s="2"/>
      <c r="T729" s="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32"/>
      <c r="F730" s="32"/>
      <c r="G730" s="32"/>
      <c r="H730" s="73"/>
      <c r="I730" s="32"/>
      <c r="J730" s="32"/>
      <c r="K730" s="32"/>
      <c r="L730" s="32"/>
      <c r="M730" s="2"/>
      <c r="N730" s="2"/>
      <c r="O730" s="32"/>
      <c r="P730" s="32"/>
      <c r="Q730" s="32"/>
      <c r="R730" s="32"/>
      <c r="S730" s="2"/>
      <c r="T730" s="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32"/>
      <c r="F731" s="32"/>
      <c r="G731" s="32"/>
      <c r="H731" s="73"/>
      <c r="I731" s="32"/>
      <c r="J731" s="32"/>
      <c r="K731" s="32"/>
      <c r="L731" s="32"/>
      <c r="M731" s="2"/>
      <c r="N731" s="2"/>
      <c r="O731" s="32"/>
      <c r="P731" s="32"/>
      <c r="Q731" s="32"/>
      <c r="R731" s="32"/>
      <c r="S731" s="2"/>
      <c r="T731" s="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32"/>
      <c r="F732" s="32"/>
      <c r="G732" s="32"/>
      <c r="H732" s="73"/>
      <c r="I732" s="32"/>
      <c r="J732" s="32"/>
      <c r="K732" s="32"/>
      <c r="L732" s="32"/>
      <c r="M732" s="2"/>
      <c r="N732" s="2"/>
      <c r="O732" s="32"/>
      <c r="P732" s="32"/>
      <c r="Q732" s="32"/>
      <c r="R732" s="32"/>
      <c r="S732" s="2"/>
      <c r="T732" s="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32"/>
      <c r="F733" s="32"/>
      <c r="G733" s="32"/>
      <c r="H733" s="73"/>
      <c r="I733" s="32"/>
      <c r="J733" s="32"/>
      <c r="K733" s="32"/>
      <c r="L733" s="32"/>
      <c r="M733" s="2"/>
      <c r="N733" s="2"/>
      <c r="O733" s="32"/>
      <c r="P733" s="32"/>
      <c r="Q733" s="32"/>
      <c r="R733" s="32"/>
      <c r="S733" s="2"/>
      <c r="T733" s="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32"/>
      <c r="F734" s="32"/>
      <c r="G734" s="32"/>
      <c r="H734" s="73"/>
      <c r="I734" s="32"/>
      <c r="J734" s="32"/>
      <c r="K734" s="32"/>
      <c r="L734" s="32"/>
      <c r="M734" s="2"/>
      <c r="N734" s="2"/>
      <c r="O734" s="32"/>
      <c r="P734" s="32"/>
      <c r="Q734" s="32"/>
      <c r="R734" s="32"/>
      <c r="S734" s="2"/>
      <c r="T734" s="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32"/>
      <c r="F735" s="32"/>
      <c r="G735" s="32"/>
      <c r="H735" s="73"/>
      <c r="I735" s="32"/>
      <c r="J735" s="32"/>
      <c r="K735" s="32"/>
      <c r="L735" s="32"/>
      <c r="M735" s="2"/>
      <c r="N735" s="2"/>
      <c r="O735" s="32"/>
      <c r="P735" s="32"/>
      <c r="Q735" s="32"/>
      <c r="R735" s="32"/>
      <c r="S735" s="2"/>
      <c r="T735" s="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32"/>
      <c r="F736" s="32"/>
      <c r="G736" s="32"/>
      <c r="H736" s="73"/>
      <c r="I736" s="32"/>
      <c r="J736" s="32"/>
      <c r="K736" s="32"/>
      <c r="L736" s="32"/>
      <c r="M736" s="2"/>
      <c r="N736" s="2"/>
      <c r="O736" s="32"/>
      <c r="P736" s="32"/>
      <c r="Q736" s="32"/>
      <c r="R736" s="32"/>
      <c r="S736" s="2"/>
      <c r="T736" s="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32"/>
      <c r="F737" s="32"/>
      <c r="G737" s="32"/>
      <c r="H737" s="73"/>
      <c r="I737" s="32"/>
      <c r="J737" s="32"/>
      <c r="K737" s="32"/>
      <c r="L737" s="32"/>
      <c r="M737" s="2"/>
      <c r="N737" s="2"/>
      <c r="O737" s="32"/>
      <c r="P737" s="32"/>
      <c r="Q737" s="32"/>
      <c r="R737" s="32"/>
      <c r="S737" s="2"/>
      <c r="T737" s="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32"/>
      <c r="F738" s="32"/>
      <c r="G738" s="32"/>
      <c r="H738" s="73"/>
      <c r="I738" s="32"/>
      <c r="J738" s="32"/>
      <c r="K738" s="32"/>
      <c r="L738" s="32"/>
      <c r="M738" s="2"/>
      <c r="N738" s="2"/>
      <c r="O738" s="32"/>
      <c r="P738" s="32"/>
      <c r="Q738" s="32"/>
      <c r="R738" s="32"/>
      <c r="S738" s="2"/>
      <c r="T738" s="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32"/>
      <c r="F739" s="32"/>
      <c r="G739" s="32"/>
      <c r="H739" s="73"/>
      <c r="I739" s="32"/>
      <c r="J739" s="32"/>
      <c r="K739" s="32"/>
      <c r="L739" s="32"/>
      <c r="M739" s="2"/>
      <c r="N739" s="2"/>
      <c r="O739" s="32"/>
      <c r="P739" s="32"/>
      <c r="Q739" s="32"/>
      <c r="R739" s="32"/>
      <c r="S739" s="2"/>
      <c r="T739" s="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32"/>
      <c r="F740" s="32"/>
      <c r="G740" s="32"/>
      <c r="H740" s="73"/>
      <c r="I740" s="32"/>
      <c r="J740" s="32"/>
      <c r="K740" s="32"/>
      <c r="L740" s="32"/>
      <c r="M740" s="2"/>
      <c r="N740" s="2"/>
      <c r="O740" s="32"/>
      <c r="P740" s="32"/>
      <c r="Q740" s="32"/>
      <c r="R740" s="32"/>
      <c r="S740" s="2"/>
      <c r="T740" s="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32"/>
      <c r="F741" s="32"/>
      <c r="G741" s="32"/>
      <c r="H741" s="73"/>
      <c r="I741" s="32"/>
      <c r="J741" s="32"/>
      <c r="K741" s="32"/>
      <c r="L741" s="32"/>
      <c r="M741" s="2"/>
      <c r="N741" s="2"/>
      <c r="O741" s="32"/>
      <c r="P741" s="32"/>
      <c r="Q741" s="32"/>
      <c r="R741" s="32"/>
      <c r="S741" s="2"/>
      <c r="T741" s="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32"/>
      <c r="F742" s="32"/>
      <c r="G742" s="32"/>
      <c r="H742" s="73"/>
      <c r="I742" s="32"/>
      <c r="J742" s="32"/>
      <c r="K742" s="32"/>
      <c r="L742" s="32"/>
      <c r="M742" s="2"/>
      <c r="N742" s="2"/>
      <c r="O742" s="32"/>
      <c r="P742" s="32"/>
      <c r="Q742" s="32"/>
      <c r="R742" s="32"/>
      <c r="S742" s="2"/>
      <c r="T742" s="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32"/>
      <c r="F743" s="32"/>
      <c r="G743" s="32"/>
      <c r="H743" s="73"/>
      <c r="I743" s="32"/>
      <c r="J743" s="32"/>
      <c r="K743" s="32"/>
      <c r="L743" s="32"/>
      <c r="M743" s="2"/>
      <c r="N743" s="2"/>
      <c r="O743" s="32"/>
      <c r="P743" s="32"/>
      <c r="Q743" s="32"/>
      <c r="R743" s="32"/>
      <c r="S743" s="2"/>
      <c r="T743" s="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32"/>
      <c r="F744" s="32"/>
      <c r="G744" s="32"/>
      <c r="H744" s="73"/>
      <c r="I744" s="32"/>
      <c r="J744" s="32"/>
      <c r="K744" s="32"/>
      <c r="L744" s="32"/>
      <c r="M744" s="2"/>
      <c r="N744" s="2"/>
      <c r="O744" s="32"/>
      <c r="P744" s="32"/>
      <c r="Q744" s="32"/>
      <c r="R744" s="32"/>
      <c r="S744" s="2"/>
      <c r="T744" s="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32"/>
      <c r="F745" s="32"/>
      <c r="G745" s="32"/>
      <c r="H745" s="73"/>
      <c r="I745" s="32"/>
      <c r="J745" s="32"/>
      <c r="K745" s="32"/>
      <c r="L745" s="32"/>
      <c r="M745" s="2"/>
      <c r="N745" s="2"/>
      <c r="O745" s="32"/>
      <c r="P745" s="32"/>
      <c r="Q745" s="32"/>
      <c r="R745" s="32"/>
      <c r="S745" s="2"/>
      <c r="T745" s="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32"/>
      <c r="F746" s="32"/>
      <c r="G746" s="32"/>
      <c r="H746" s="73"/>
      <c r="I746" s="32"/>
      <c r="J746" s="32"/>
      <c r="K746" s="32"/>
      <c r="L746" s="32"/>
      <c r="M746" s="2"/>
      <c r="N746" s="2"/>
      <c r="O746" s="32"/>
      <c r="P746" s="32"/>
      <c r="Q746" s="32"/>
      <c r="R746" s="32"/>
      <c r="S746" s="2"/>
      <c r="T746" s="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32"/>
      <c r="F747" s="32"/>
      <c r="G747" s="32"/>
      <c r="H747" s="73"/>
      <c r="I747" s="32"/>
      <c r="J747" s="32"/>
      <c r="K747" s="32"/>
      <c r="L747" s="32"/>
      <c r="M747" s="2"/>
      <c r="N747" s="2"/>
      <c r="O747" s="32"/>
      <c r="P747" s="32"/>
      <c r="Q747" s="32"/>
      <c r="R747" s="32"/>
      <c r="S747" s="2"/>
      <c r="T747" s="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32"/>
      <c r="F748" s="32"/>
      <c r="G748" s="32"/>
      <c r="H748" s="73"/>
      <c r="I748" s="32"/>
      <c r="J748" s="32"/>
      <c r="K748" s="32"/>
      <c r="L748" s="32"/>
      <c r="M748" s="2"/>
      <c r="N748" s="2"/>
      <c r="O748" s="32"/>
      <c r="P748" s="32"/>
      <c r="Q748" s="32"/>
      <c r="R748" s="32"/>
      <c r="S748" s="2"/>
      <c r="T748" s="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32"/>
      <c r="F749" s="32"/>
      <c r="G749" s="32"/>
      <c r="H749" s="73"/>
      <c r="I749" s="32"/>
      <c r="J749" s="32"/>
      <c r="K749" s="32"/>
      <c r="L749" s="32"/>
      <c r="M749" s="2"/>
      <c r="N749" s="2"/>
      <c r="O749" s="32"/>
      <c r="P749" s="32"/>
      <c r="Q749" s="32"/>
      <c r="R749" s="32"/>
      <c r="S749" s="2"/>
      <c r="T749" s="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32"/>
      <c r="F750" s="32"/>
      <c r="G750" s="32"/>
      <c r="H750" s="73"/>
      <c r="I750" s="32"/>
      <c r="J750" s="32"/>
      <c r="K750" s="32"/>
      <c r="L750" s="32"/>
      <c r="M750" s="2"/>
      <c r="N750" s="2"/>
      <c r="O750" s="32"/>
      <c r="P750" s="32"/>
      <c r="Q750" s="32"/>
      <c r="R750" s="32"/>
      <c r="S750" s="2"/>
      <c r="T750" s="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32"/>
      <c r="F751" s="32"/>
      <c r="G751" s="32"/>
      <c r="H751" s="73"/>
      <c r="I751" s="32"/>
      <c r="J751" s="32"/>
      <c r="K751" s="32"/>
      <c r="L751" s="32"/>
      <c r="M751" s="2"/>
      <c r="N751" s="2"/>
      <c r="O751" s="32"/>
      <c r="P751" s="32"/>
      <c r="Q751" s="32"/>
      <c r="R751" s="32"/>
      <c r="S751" s="2"/>
      <c r="T751" s="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32"/>
      <c r="F752" s="32"/>
      <c r="G752" s="32"/>
      <c r="H752" s="73"/>
      <c r="I752" s="32"/>
      <c r="J752" s="32"/>
      <c r="K752" s="32"/>
      <c r="L752" s="32"/>
      <c r="M752" s="2"/>
      <c r="N752" s="2"/>
      <c r="O752" s="32"/>
      <c r="P752" s="32"/>
      <c r="Q752" s="32"/>
      <c r="R752" s="32"/>
      <c r="S752" s="2"/>
      <c r="T752" s="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32"/>
      <c r="F753" s="32"/>
      <c r="G753" s="32"/>
      <c r="H753" s="73"/>
      <c r="I753" s="32"/>
      <c r="J753" s="32"/>
      <c r="K753" s="32"/>
      <c r="L753" s="32"/>
      <c r="M753" s="2"/>
      <c r="N753" s="2"/>
      <c r="O753" s="32"/>
      <c r="P753" s="32"/>
      <c r="Q753" s="32"/>
      <c r="R753" s="32"/>
      <c r="S753" s="2"/>
      <c r="T753" s="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32"/>
      <c r="F754" s="32"/>
      <c r="G754" s="32"/>
      <c r="H754" s="73"/>
      <c r="I754" s="32"/>
      <c r="J754" s="32"/>
      <c r="K754" s="32"/>
      <c r="L754" s="32"/>
      <c r="M754" s="2"/>
      <c r="N754" s="2"/>
      <c r="O754" s="32"/>
      <c r="P754" s="32"/>
      <c r="Q754" s="32"/>
      <c r="R754" s="32"/>
      <c r="S754" s="2"/>
      <c r="T754" s="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32"/>
      <c r="F755" s="32"/>
      <c r="G755" s="32"/>
      <c r="H755" s="73"/>
      <c r="I755" s="32"/>
      <c r="J755" s="32"/>
      <c r="K755" s="32"/>
      <c r="L755" s="32"/>
      <c r="M755" s="2"/>
      <c r="N755" s="2"/>
      <c r="O755" s="32"/>
      <c r="P755" s="32"/>
      <c r="Q755" s="32"/>
      <c r="R755" s="32"/>
      <c r="S755" s="2"/>
      <c r="T755" s="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32"/>
      <c r="F756" s="32"/>
      <c r="G756" s="32"/>
      <c r="H756" s="73"/>
      <c r="I756" s="32"/>
      <c r="J756" s="32"/>
      <c r="K756" s="32"/>
      <c r="L756" s="32"/>
      <c r="M756" s="2"/>
      <c r="N756" s="2"/>
      <c r="O756" s="32"/>
      <c r="P756" s="32"/>
      <c r="Q756" s="32"/>
      <c r="R756" s="32"/>
      <c r="S756" s="2"/>
      <c r="T756" s="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32"/>
      <c r="F757" s="32"/>
      <c r="G757" s="32"/>
      <c r="H757" s="73"/>
      <c r="I757" s="32"/>
      <c r="J757" s="32"/>
      <c r="K757" s="32"/>
      <c r="L757" s="32"/>
      <c r="M757" s="2"/>
      <c r="N757" s="2"/>
      <c r="O757" s="32"/>
      <c r="P757" s="32"/>
      <c r="Q757" s="32"/>
      <c r="R757" s="32"/>
      <c r="S757" s="2"/>
      <c r="T757" s="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32"/>
      <c r="F758" s="32"/>
      <c r="G758" s="32"/>
      <c r="H758" s="73"/>
      <c r="I758" s="32"/>
      <c r="J758" s="32"/>
      <c r="K758" s="32"/>
      <c r="L758" s="32"/>
      <c r="M758" s="2"/>
      <c r="N758" s="2"/>
      <c r="O758" s="32"/>
      <c r="P758" s="32"/>
      <c r="Q758" s="32"/>
      <c r="R758" s="32"/>
      <c r="S758" s="2"/>
      <c r="T758" s="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32"/>
      <c r="F759" s="32"/>
      <c r="G759" s="32"/>
      <c r="H759" s="73"/>
      <c r="I759" s="32"/>
      <c r="J759" s="32"/>
      <c r="K759" s="32"/>
      <c r="L759" s="32"/>
      <c r="M759" s="2"/>
      <c r="N759" s="2"/>
      <c r="O759" s="32"/>
      <c r="P759" s="32"/>
      <c r="Q759" s="32"/>
      <c r="R759" s="32"/>
      <c r="S759" s="2"/>
      <c r="T759" s="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32"/>
      <c r="F760" s="32"/>
      <c r="G760" s="32"/>
      <c r="H760" s="73"/>
      <c r="I760" s="32"/>
      <c r="J760" s="32"/>
      <c r="K760" s="32"/>
      <c r="L760" s="32"/>
      <c r="M760" s="2"/>
      <c r="N760" s="2"/>
      <c r="O760" s="32"/>
      <c r="P760" s="32"/>
      <c r="Q760" s="32"/>
      <c r="R760" s="32"/>
      <c r="S760" s="2"/>
      <c r="T760" s="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32"/>
      <c r="F761" s="32"/>
      <c r="G761" s="32"/>
      <c r="H761" s="73"/>
      <c r="I761" s="32"/>
      <c r="J761" s="32"/>
      <c r="K761" s="32"/>
      <c r="L761" s="32"/>
      <c r="M761" s="2"/>
      <c r="N761" s="2"/>
      <c r="O761" s="32"/>
      <c r="P761" s="32"/>
      <c r="Q761" s="32"/>
      <c r="R761" s="32"/>
      <c r="S761" s="2"/>
      <c r="T761" s="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32"/>
      <c r="F762" s="32"/>
      <c r="G762" s="32"/>
      <c r="H762" s="73"/>
      <c r="I762" s="32"/>
      <c r="J762" s="32"/>
      <c r="K762" s="32"/>
      <c r="L762" s="32"/>
      <c r="M762" s="2"/>
      <c r="N762" s="2"/>
      <c r="O762" s="32"/>
      <c r="P762" s="32"/>
      <c r="Q762" s="32"/>
      <c r="R762" s="32"/>
      <c r="S762" s="2"/>
      <c r="T762" s="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32"/>
      <c r="F763" s="32"/>
      <c r="G763" s="32"/>
      <c r="H763" s="73"/>
      <c r="I763" s="32"/>
      <c r="J763" s="32"/>
      <c r="K763" s="32"/>
      <c r="L763" s="32"/>
      <c r="M763" s="2"/>
      <c r="N763" s="2"/>
      <c r="O763" s="32"/>
      <c r="P763" s="32"/>
      <c r="Q763" s="32"/>
      <c r="R763" s="32"/>
      <c r="S763" s="2"/>
      <c r="T763" s="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32"/>
      <c r="F764" s="32"/>
      <c r="G764" s="32"/>
      <c r="H764" s="73"/>
      <c r="I764" s="32"/>
      <c r="J764" s="32"/>
      <c r="K764" s="32"/>
      <c r="L764" s="32"/>
      <c r="M764" s="2"/>
      <c r="N764" s="2"/>
      <c r="O764" s="32"/>
      <c r="P764" s="32"/>
      <c r="Q764" s="32"/>
      <c r="R764" s="32"/>
      <c r="S764" s="2"/>
      <c r="T764" s="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32"/>
      <c r="F765" s="32"/>
      <c r="G765" s="32"/>
      <c r="H765" s="73"/>
      <c r="I765" s="32"/>
      <c r="J765" s="32"/>
      <c r="K765" s="32"/>
      <c r="L765" s="32"/>
      <c r="M765" s="2"/>
      <c r="N765" s="2"/>
      <c r="O765" s="32"/>
      <c r="P765" s="32"/>
      <c r="Q765" s="32"/>
      <c r="R765" s="32"/>
      <c r="S765" s="2"/>
      <c r="T765" s="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32"/>
      <c r="F766" s="32"/>
      <c r="G766" s="32"/>
      <c r="H766" s="73"/>
      <c r="I766" s="32"/>
      <c r="J766" s="32"/>
      <c r="K766" s="32"/>
      <c r="L766" s="32"/>
      <c r="M766" s="2"/>
      <c r="N766" s="2"/>
      <c r="O766" s="32"/>
      <c r="P766" s="32"/>
      <c r="Q766" s="32"/>
      <c r="R766" s="32"/>
      <c r="S766" s="2"/>
      <c r="T766" s="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32"/>
      <c r="F767" s="32"/>
      <c r="G767" s="32"/>
      <c r="H767" s="73"/>
      <c r="I767" s="32"/>
      <c r="J767" s="32"/>
      <c r="K767" s="32"/>
      <c r="L767" s="32"/>
      <c r="M767" s="2"/>
      <c r="N767" s="2"/>
      <c r="O767" s="32"/>
      <c r="P767" s="32"/>
      <c r="Q767" s="32"/>
      <c r="R767" s="32"/>
      <c r="S767" s="2"/>
      <c r="T767" s="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32"/>
      <c r="F768" s="32"/>
      <c r="G768" s="32"/>
      <c r="H768" s="73"/>
      <c r="I768" s="32"/>
      <c r="J768" s="32"/>
      <c r="K768" s="32"/>
      <c r="L768" s="32"/>
      <c r="M768" s="2"/>
      <c r="N768" s="2"/>
      <c r="O768" s="32"/>
      <c r="P768" s="32"/>
      <c r="Q768" s="32"/>
      <c r="R768" s="32"/>
      <c r="S768" s="2"/>
      <c r="T768" s="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32"/>
      <c r="F769" s="32"/>
      <c r="G769" s="32"/>
      <c r="H769" s="73"/>
      <c r="I769" s="32"/>
      <c r="J769" s="32"/>
      <c r="K769" s="32"/>
      <c r="L769" s="32"/>
      <c r="M769" s="2"/>
      <c r="N769" s="2"/>
      <c r="O769" s="32"/>
      <c r="P769" s="32"/>
      <c r="Q769" s="32"/>
      <c r="R769" s="32"/>
      <c r="S769" s="2"/>
      <c r="T769" s="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32"/>
      <c r="F770" s="32"/>
      <c r="G770" s="32"/>
      <c r="H770" s="73"/>
      <c r="I770" s="32"/>
      <c r="J770" s="32"/>
      <c r="K770" s="32"/>
      <c r="L770" s="32"/>
      <c r="M770" s="2"/>
      <c r="N770" s="2"/>
      <c r="O770" s="32"/>
      <c r="P770" s="32"/>
      <c r="Q770" s="32"/>
      <c r="R770" s="32"/>
      <c r="S770" s="2"/>
      <c r="T770" s="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32"/>
      <c r="F771" s="32"/>
      <c r="G771" s="32"/>
      <c r="H771" s="73"/>
      <c r="I771" s="32"/>
      <c r="J771" s="32"/>
      <c r="K771" s="32"/>
      <c r="L771" s="32"/>
      <c r="M771" s="2"/>
      <c r="N771" s="2"/>
      <c r="O771" s="32"/>
      <c r="P771" s="32"/>
      <c r="Q771" s="32"/>
      <c r="R771" s="32"/>
      <c r="S771" s="2"/>
      <c r="T771" s="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32"/>
      <c r="F772" s="32"/>
      <c r="G772" s="32"/>
      <c r="H772" s="73"/>
      <c r="I772" s="32"/>
      <c r="J772" s="32"/>
      <c r="K772" s="32"/>
      <c r="L772" s="32"/>
      <c r="M772" s="2"/>
      <c r="N772" s="2"/>
      <c r="O772" s="32"/>
      <c r="P772" s="32"/>
      <c r="Q772" s="32"/>
      <c r="R772" s="32"/>
      <c r="S772" s="2"/>
      <c r="T772" s="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32"/>
      <c r="F773" s="32"/>
      <c r="G773" s="32"/>
      <c r="H773" s="73"/>
      <c r="I773" s="32"/>
      <c r="J773" s="32"/>
      <c r="K773" s="32"/>
      <c r="L773" s="32"/>
      <c r="M773" s="2"/>
      <c r="N773" s="2"/>
      <c r="O773" s="32"/>
      <c r="P773" s="32"/>
      <c r="Q773" s="32"/>
      <c r="R773" s="32"/>
      <c r="S773" s="2"/>
      <c r="T773" s="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32"/>
      <c r="F774" s="32"/>
      <c r="G774" s="32"/>
      <c r="H774" s="73"/>
      <c r="I774" s="32"/>
      <c r="J774" s="32"/>
      <c r="K774" s="32"/>
      <c r="L774" s="32"/>
      <c r="M774" s="2"/>
      <c r="N774" s="2"/>
      <c r="O774" s="32"/>
      <c r="P774" s="32"/>
      <c r="Q774" s="32"/>
      <c r="R774" s="32"/>
      <c r="S774" s="2"/>
      <c r="T774" s="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32"/>
      <c r="F775" s="32"/>
      <c r="G775" s="32"/>
      <c r="H775" s="73"/>
      <c r="I775" s="32"/>
      <c r="J775" s="32"/>
      <c r="K775" s="32"/>
      <c r="L775" s="32"/>
      <c r="M775" s="2"/>
      <c r="N775" s="2"/>
      <c r="O775" s="32"/>
      <c r="P775" s="32"/>
      <c r="Q775" s="32"/>
      <c r="R775" s="32"/>
      <c r="S775" s="2"/>
      <c r="T775" s="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32"/>
      <c r="F776" s="32"/>
      <c r="G776" s="32"/>
      <c r="H776" s="73"/>
      <c r="I776" s="32"/>
      <c r="J776" s="32"/>
      <c r="K776" s="32"/>
      <c r="L776" s="32"/>
      <c r="M776" s="2"/>
      <c r="N776" s="2"/>
      <c r="O776" s="32"/>
      <c r="P776" s="32"/>
      <c r="Q776" s="32"/>
      <c r="R776" s="32"/>
      <c r="S776" s="2"/>
      <c r="T776" s="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32"/>
      <c r="F777" s="32"/>
      <c r="G777" s="32"/>
      <c r="H777" s="73"/>
      <c r="I777" s="32"/>
      <c r="J777" s="32"/>
      <c r="K777" s="32"/>
      <c r="L777" s="32"/>
      <c r="M777" s="2"/>
      <c r="N777" s="2"/>
      <c r="O777" s="32"/>
      <c r="P777" s="32"/>
      <c r="Q777" s="32"/>
      <c r="R777" s="32"/>
      <c r="S777" s="2"/>
      <c r="T777" s="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32"/>
      <c r="F778" s="32"/>
      <c r="G778" s="32"/>
      <c r="H778" s="73"/>
      <c r="I778" s="32"/>
      <c r="J778" s="32"/>
      <c r="K778" s="32"/>
      <c r="L778" s="32"/>
      <c r="M778" s="2"/>
      <c r="N778" s="2"/>
      <c r="O778" s="32"/>
      <c r="P778" s="32"/>
      <c r="Q778" s="32"/>
      <c r="R778" s="32"/>
      <c r="S778" s="2"/>
      <c r="T778" s="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32"/>
      <c r="F779" s="32"/>
      <c r="G779" s="32"/>
      <c r="H779" s="73"/>
      <c r="I779" s="32"/>
      <c r="J779" s="32"/>
      <c r="K779" s="32"/>
      <c r="L779" s="32"/>
      <c r="M779" s="2"/>
      <c r="N779" s="2"/>
      <c r="O779" s="32"/>
      <c r="P779" s="32"/>
      <c r="Q779" s="32"/>
      <c r="R779" s="32"/>
      <c r="S779" s="2"/>
      <c r="T779" s="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32"/>
      <c r="F780" s="32"/>
      <c r="G780" s="32"/>
      <c r="H780" s="73"/>
      <c r="I780" s="32"/>
      <c r="J780" s="32"/>
      <c r="K780" s="32"/>
      <c r="L780" s="32"/>
      <c r="M780" s="2"/>
      <c r="N780" s="2"/>
      <c r="O780" s="32"/>
      <c r="P780" s="32"/>
      <c r="Q780" s="32"/>
      <c r="R780" s="32"/>
      <c r="S780" s="2"/>
      <c r="T780" s="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32"/>
      <c r="F781" s="32"/>
      <c r="G781" s="32"/>
      <c r="H781" s="73"/>
      <c r="I781" s="32"/>
      <c r="J781" s="32"/>
      <c r="K781" s="32"/>
      <c r="L781" s="32"/>
      <c r="M781" s="2"/>
      <c r="N781" s="2"/>
      <c r="O781" s="32"/>
      <c r="P781" s="32"/>
      <c r="Q781" s="32"/>
      <c r="R781" s="32"/>
      <c r="S781" s="2"/>
      <c r="T781" s="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32"/>
      <c r="F782" s="32"/>
      <c r="G782" s="32"/>
      <c r="H782" s="73"/>
      <c r="I782" s="32"/>
      <c r="J782" s="32"/>
      <c r="K782" s="32"/>
      <c r="L782" s="32"/>
      <c r="M782" s="2"/>
      <c r="N782" s="2"/>
      <c r="O782" s="32"/>
      <c r="P782" s="32"/>
      <c r="Q782" s="32"/>
      <c r="R782" s="32"/>
      <c r="S782" s="2"/>
      <c r="T782" s="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32"/>
      <c r="F783" s="32"/>
      <c r="G783" s="32"/>
      <c r="H783" s="73"/>
      <c r="I783" s="32"/>
      <c r="J783" s="32"/>
      <c r="K783" s="32"/>
      <c r="L783" s="32"/>
      <c r="M783" s="2"/>
      <c r="N783" s="2"/>
      <c r="O783" s="32"/>
      <c r="P783" s="32"/>
      <c r="Q783" s="32"/>
      <c r="R783" s="32"/>
      <c r="S783" s="2"/>
      <c r="T783" s="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32"/>
      <c r="F784" s="32"/>
      <c r="G784" s="32"/>
      <c r="H784" s="73"/>
      <c r="I784" s="32"/>
      <c r="J784" s="32"/>
      <c r="K784" s="32"/>
      <c r="L784" s="32"/>
      <c r="M784" s="2"/>
      <c r="N784" s="2"/>
      <c r="O784" s="32"/>
      <c r="P784" s="32"/>
      <c r="Q784" s="32"/>
      <c r="R784" s="32"/>
      <c r="S784" s="2"/>
      <c r="T784" s="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32"/>
      <c r="F785" s="32"/>
      <c r="G785" s="32"/>
      <c r="H785" s="73"/>
      <c r="I785" s="32"/>
      <c r="J785" s="32"/>
      <c r="K785" s="32"/>
      <c r="L785" s="32"/>
      <c r="M785" s="2"/>
      <c r="N785" s="2"/>
      <c r="O785" s="32"/>
      <c r="P785" s="32"/>
      <c r="Q785" s="32"/>
      <c r="R785" s="32"/>
      <c r="S785" s="2"/>
      <c r="T785" s="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32"/>
      <c r="F786" s="32"/>
      <c r="G786" s="32"/>
      <c r="H786" s="73"/>
      <c r="I786" s="32"/>
      <c r="J786" s="32"/>
      <c r="K786" s="32"/>
      <c r="L786" s="32"/>
      <c r="M786" s="2"/>
      <c r="N786" s="2"/>
      <c r="O786" s="32"/>
      <c r="P786" s="32"/>
      <c r="Q786" s="32"/>
      <c r="R786" s="32"/>
      <c r="S786" s="2"/>
      <c r="T786" s="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32"/>
      <c r="F787" s="32"/>
      <c r="G787" s="32"/>
      <c r="H787" s="73"/>
      <c r="I787" s="32"/>
      <c r="J787" s="32"/>
      <c r="K787" s="32"/>
      <c r="L787" s="32"/>
      <c r="M787" s="2"/>
      <c r="N787" s="2"/>
      <c r="O787" s="32"/>
      <c r="P787" s="32"/>
      <c r="Q787" s="32"/>
      <c r="R787" s="32"/>
      <c r="S787" s="2"/>
      <c r="T787" s="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32"/>
      <c r="F788" s="32"/>
      <c r="G788" s="32"/>
      <c r="H788" s="73"/>
      <c r="I788" s="32"/>
      <c r="J788" s="32"/>
      <c r="K788" s="32"/>
      <c r="L788" s="32"/>
      <c r="M788" s="2"/>
      <c r="N788" s="2"/>
      <c r="O788" s="32"/>
      <c r="P788" s="32"/>
      <c r="Q788" s="32"/>
      <c r="R788" s="32"/>
      <c r="S788" s="2"/>
      <c r="T788" s="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32"/>
      <c r="F789" s="32"/>
      <c r="G789" s="32"/>
      <c r="H789" s="73"/>
      <c r="I789" s="32"/>
      <c r="J789" s="32"/>
      <c r="K789" s="32"/>
      <c r="L789" s="32"/>
      <c r="M789" s="2"/>
      <c r="N789" s="2"/>
      <c r="O789" s="32"/>
      <c r="P789" s="32"/>
      <c r="Q789" s="32"/>
      <c r="R789" s="32"/>
      <c r="S789" s="2"/>
      <c r="T789" s="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32"/>
      <c r="F790" s="32"/>
      <c r="G790" s="32"/>
      <c r="H790" s="73"/>
      <c r="I790" s="32"/>
      <c r="J790" s="32"/>
      <c r="K790" s="32"/>
      <c r="L790" s="32"/>
      <c r="M790" s="2"/>
      <c r="N790" s="2"/>
      <c r="O790" s="32"/>
      <c r="P790" s="32"/>
      <c r="Q790" s="32"/>
      <c r="R790" s="32"/>
      <c r="S790" s="2"/>
      <c r="T790" s="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32"/>
      <c r="F791" s="32"/>
      <c r="G791" s="32"/>
      <c r="H791" s="73"/>
      <c r="I791" s="32"/>
      <c r="J791" s="32"/>
      <c r="K791" s="32"/>
      <c r="L791" s="32"/>
      <c r="M791" s="2"/>
      <c r="N791" s="2"/>
      <c r="O791" s="32"/>
      <c r="P791" s="32"/>
      <c r="Q791" s="32"/>
      <c r="R791" s="32"/>
      <c r="S791" s="2"/>
      <c r="T791" s="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32"/>
      <c r="F792" s="32"/>
      <c r="G792" s="32"/>
      <c r="H792" s="73"/>
      <c r="I792" s="32"/>
      <c r="J792" s="32"/>
      <c r="K792" s="32"/>
      <c r="L792" s="32"/>
      <c r="M792" s="2"/>
      <c r="N792" s="2"/>
      <c r="O792" s="32"/>
      <c r="P792" s="32"/>
      <c r="Q792" s="32"/>
      <c r="R792" s="32"/>
      <c r="S792" s="2"/>
      <c r="T792" s="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32"/>
      <c r="F793" s="32"/>
      <c r="G793" s="32"/>
      <c r="H793" s="73"/>
      <c r="I793" s="32"/>
      <c r="J793" s="32"/>
      <c r="K793" s="32"/>
      <c r="L793" s="32"/>
      <c r="M793" s="2"/>
      <c r="N793" s="2"/>
      <c r="O793" s="32"/>
      <c r="P793" s="32"/>
      <c r="Q793" s="32"/>
      <c r="R793" s="32"/>
      <c r="S793" s="2"/>
      <c r="T793" s="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32"/>
      <c r="F794" s="32"/>
      <c r="G794" s="32"/>
      <c r="H794" s="73"/>
      <c r="I794" s="32"/>
      <c r="J794" s="32"/>
      <c r="K794" s="32"/>
      <c r="L794" s="32"/>
      <c r="M794" s="2"/>
      <c r="N794" s="2"/>
      <c r="O794" s="32"/>
      <c r="P794" s="32"/>
      <c r="Q794" s="32"/>
      <c r="R794" s="32"/>
      <c r="S794" s="2"/>
      <c r="T794" s="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32"/>
      <c r="F795" s="32"/>
      <c r="G795" s="32"/>
      <c r="H795" s="73"/>
      <c r="I795" s="32"/>
      <c r="J795" s="32"/>
      <c r="K795" s="32"/>
      <c r="L795" s="32"/>
      <c r="M795" s="2"/>
      <c r="N795" s="2"/>
      <c r="O795" s="32"/>
      <c r="P795" s="32"/>
      <c r="Q795" s="32"/>
      <c r="R795" s="32"/>
      <c r="S795" s="2"/>
      <c r="T795" s="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32"/>
      <c r="F796" s="32"/>
      <c r="G796" s="32"/>
      <c r="H796" s="73"/>
      <c r="I796" s="32"/>
      <c r="J796" s="32"/>
      <c r="K796" s="32"/>
      <c r="L796" s="32"/>
      <c r="M796" s="2"/>
      <c r="N796" s="2"/>
      <c r="O796" s="32"/>
      <c r="P796" s="32"/>
      <c r="Q796" s="32"/>
      <c r="R796" s="32"/>
      <c r="S796" s="2"/>
      <c r="T796" s="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32"/>
      <c r="F797" s="32"/>
      <c r="G797" s="32"/>
      <c r="H797" s="73"/>
      <c r="I797" s="32"/>
      <c r="J797" s="32"/>
      <c r="K797" s="32"/>
      <c r="L797" s="32"/>
      <c r="M797" s="2"/>
      <c r="N797" s="2"/>
      <c r="O797" s="32"/>
      <c r="P797" s="32"/>
      <c r="Q797" s="32"/>
      <c r="R797" s="32"/>
      <c r="S797" s="2"/>
      <c r="T797" s="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32"/>
      <c r="F798" s="32"/>
      <c r="G798" s="32"/>
      <c r="H798" s="73"/>
      <c r="I798" s="32"/>
      <c r="J798" s="32"/>
      <c r="K798" s="32"/>
      <c r="L798" s="32"/>
      <c r="M798" s="2"/>
      <c r="N798" s="2"/>
      <c r="O798" s="32"/>
      <c r="P798" s="32"/>
      <c r="Q798" s="32"/>
      <c r="R798" s="32"/>
      <c r="S798" s="2"/>
      <c r="T798" s="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32"/>
      <c r="F799" s="32"/>
      <c r="G799" s="32"/>
      <c r="H799" s="73"/>
      <c r="I799" s="32"/>
      <c r="J799" s="32"/>
      <c r="K799" s="32"/>
      <c r="L799" s="32"/>
      <c r="M799" s="2"/>
      <c r="N799" s="2"/>
      <c r="O799" s="32"/>
      <c r="P799" s="32"/>
      <c r="Q799" s="32"/>
      <c r="R799" s="32"/>
      <c r="S799" s="2"/>
      <c r="T799" s="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32"/>
      <c r="F800" s="32"/>
      <c r="G800" s="32"/>
      <c r="H800" s="73"/>
      <c r="I800" s="32"/>
      <c r="J800" s="32"/>
      <c r="K800" s="32"/>
      <c r="L800" s="32"/>
      <c r="M800" s="2"/>
      <c r="N800" s="2"/>
      <c r="O800" s="32"/>
      <c r="P800" s="32"/>
      <c r="Q800" s="32"/>
      <c r="R800" s="32"/>
      <c r="S800" s="2"/>
      <c r="T800" s="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32"/>
      <c r="F801" s="32"/>
      <c r="G801" s="32"/>
      <c r="H801" s="73"/>
      <c r="I801" s="32"/>
      <c r="J801" s="32"/>
      <c r="K801" s="32"/>
      <c r="L801" s="32"/>
      <c r="M801" s="2"/>
      <c r="N801" s="2"/>
      <c r="O801" s="32"/>
      <c r="P801" s="32"/>
      <c r="Q801" s="32"/>
      <c r="R801" s="32"/>
      <c r="S801" s="2"/>
      <c r="T801" s="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32"/>
      <c r="F802" s="32"/>
      <c r="G802" s="32"/>
      <c r="H802" s="73"/>
      <c r="I802" s="32"/>
      <c r="J802" s="32"/>
      <c r="K802" s="32"/>
      <c r="L802" s="32"/>
      <c r="M802" s="2"/>
      <c r="N802" s="2"/>
      <c r="O802" s="32"/>
      <c r="P802" s="32"/>
      <c r="Q802" s="32"/>
      <c r="R802" s="32"/>
      <c r="S802" s="2"/>
      <c r="T802" s="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32"/>
      <c r="F803" s="32"/>
      <c r="G803" s="32"/>
      <c r="H803" s="73"/>
      <c r="I803" s="32"/>
      <c r="J803" s="32"/>
      <c r="K803" s="32"/>
      <c r="L803" s="32"/>
      <c r="M803" s="2"/>
      <c r="N803" s="2"/>
      <c r="O803" s="32"/>
      <c r="P803" s="32"/>
      <c r="Q803" s="32"/>
      <c r="R803" s="32"/>
      <c r="S803" s="2"/>
      <c r="T803" s="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32"/>
      <c r="F804" s="32"/>
      <c r="G804" s="32"/>
      <c r="H804" s="73"/>
      <c r="I804" s="32"/>
      <c r="J804" s="32"/>
      <c r="K804" s="32"/>
      <c r="L804" s="32"/>
      <c r="M804" s="2"/>
      <c r="N804" s="2"/>
      <c r="O804" s="32"/>
      <c r="P804" s="32"/>
      <c r="Q804" s="32"/>
      <c r="R804" s="32"/>
      <c r="S804" s="2"/>
      <c r="T804" s="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32"/>
      <c r="F805" s="32"/>
      <c r="G805" s="32"/>
      <c r="H805" s="73"/>
      <c r="I805" s="32"/>
      <c r="J805" s="32"/>
      <c r="K805" s="32"/>
      <c r="L805" s="32"/>
      <c r="M805" s="2"/>
      <c r="N805" s="2"/>
      <c r="O805" s="32"/>
      <c r="P805" s="32"/>
      <c r="Q805" s="32"/>
      <c r="R805" s="32"/>
      <c r="S805" s="2"/>
      <c r="T805" s="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32"/>
      <c r="F806" s="32"/>
      <c r="G806" s="32"/>
      <c r="H806" s="73"/>
      <c r="I806" s="32"/>
      <c r="J806" s="32"/>
      <c r="K806" s="32"/>
      <c r="L806" s="32"/>
      <c r="M806" s="2"/>
      <c r="N806" s="2"/>
      <c r="O806" s="32"/>
      <c r="P806" s="32"/>
      <c r="Q806" s="32"/>
      <c r="R806" s="32"/>
      <c r="S806" s="2"/>
      <c r="T806" s="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32"/>
      <c r="F807" s="32"/>
      <c r="G807" s="32"/>
      <c r="H807" s="73"/>
      <c r="I807" s="32"/>
      <c r="J807" s="32"/>
      <c r="K807" s="32"/>
      <c r="L807" s="32"/>
      <c r="M807" s="2"/>
      <c r="N807" s="2"/>
      <c r="O807" s="32"/>
      <c r="P807" s="32"/>
      <c r="Q807" s="32"/>
      <c r="R807" s="32"/>
      <c r="S807" s="2"/>
      <c r="T807" s="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32"/>
      <c r="F808" s="32"/>
      <c r="G808" s="32"/>
      <c r="H808" s="73"/>
      <c r="I808" s="32"/>
      <c r="J808" s="32"/>
      <c r="K808" s="32"/>
      <c r="L808" s="32"/>
      <c r="M808" s="2"/>
      <c r="N808" s="2"/>
      <c r="O808" s="32"/>
      <c r="P808" s="32"/>
      <c r="Q808" s="32"/>
      <c r="R808" s="32"/>
      <c r="S808" s="2"/>
      <c r="T808" s="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32"/>
      <c r="F809" s="32"/>
      <c r="G809" s="32"/>
      <c r="H809" s="73"/>
      <c r="I809" s="32"/>
      <c r="J809" s="32"/>
      <c r="K809" s="32"/>
      <c r="L809" s="32"/>
      <c r="M809" s="2"/>
      <c r="N809" s="2"/>
      <c r="O809" s="32"/>
      <c r="P809" s="32"/>
      <c r="Q809" s="32"/>
      <c r="R809" s="32"/>
      <c r="S809" s="2"/>
      <c r="T809" s="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32"/>
      <c r="F810" s="32"/>
      <c r="G810" s="32"/>
      <c r="H810" s="73"/>
      <c r="I810" s="32"/>
      <c r="J810" s="32"/>
      <c r="K810" s="32"/>
      <c r="L810" s="32"/>
      <c r="M810" s="2"/>
      <c r="N810" s="2"/>
      <c r="O810" s="32"/>
      <c r="P810" s="32"/>
      <c r="Q810" s="32"/>
      <c r="R810" s="32"/>
      <c r="S810" s="2"/>
      <c r="T810" s="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32"/>
      <c r="F811" s="32"/>
      <c r="G811" s="32"/>
      <c r="H811" s="73"/>
      <c r="I811" s="32"/>
      <c r="J811" s="32"/>
      <c r="K811" s="32"/>
      <c r="L811" s="32"/>
      <c r="M811" s="2"/>
      <c r="N811" s="2"/>
      <c r="O811" s="32"/>
      <c r="P811" s="32"/>
      <c r="Q811" s="32"/>
      <c r="R811" s="32"/>
      <c r="S811" s="2"/>
      <c r="T811" s="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32"/>
      <c r="F812" s="32"/>
      <c r="G812" s="32"/>
      <c r="H812" s="73"/>
      <c r="I812" s="32"/>
      <c r="J812" s="32"/>
      <c r="K812" s="32"/>
      <c r="L812" s="32"/>
      <c r="M812" s="2"/>
      <c r="N812" s="2"/>
      <c r="O812" s="32"/>
      <c r="P812" s="32"/>
      <c r="Q812" s="32"/>
      <c r="R812" s="32"/>
      <c r="S812" s="2"/>
      <c r="T812" s="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32"/>
      <c r="F813" s="32"/>
      <c r="G813" s="32"/>
      <c r="H813" s="73"/>
      <c r="I813" s="32"/>
      <c r="J813" s="32"/>
      <c r="K813" s="32"/>
      <c r="L813" s="32"/>
      <c r="M813" s="2"/>
      <c r="N813" s="2"/>
      <c r="O813" s="32"/>
      <c r="P813" s="32"/>
      <c r="Q813" s="32"/>
      <c r="R813" s="32"/>
      <c r="S813" s="2"/>
      <c r="T813" s="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32"/>
      <c r="F814" s="32"/>
      <c r="G814" s="32"/>
      <c r="H814" s="73"/>
      <c r="I814" s="32"/>
      <c r="J814" s="32"/>
      <c r="K814" s="32"/>
      <c r="L814" s="32"/>
      <c r="M814" s="2"/>
      <c r="N814" s="2"/>
      <c r="O814" s="32"/>
      <c r="P814" s="32"/>
      <c r="Q814" s="32"/>
      <c r="R814" s="32"/>
      <c r="S814" s="2"/>
      <c r="T814" s="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32"/>
      <c r="F815" s="32"/>
      <c r="G815" s="32"/>
      <c r="H815" s="73"/>
      <c r="I815" s="32"/>
      <c r="J815" s="32"/>
      <c r="K815" s="32"/>
      <c r="L815" s="32"/>
      <c r="M815" s="2"/>
      <c r="N815" s="2"/>
      <c r="O815" s="32"/>
      <c r="P815" s="32"/>
      <c r="Q815" s="32"/>
      <c r="R815" s="32"/>
      <c r="S815" s="2"/>
      <c r="T815" s="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32"/>
      <c r="F816" s="32"/>
      <c r="G816" s="32"/>
      <c r="H816" s="73"/>
      <c r="I816" s="32"/>
      <c r="J816" s="32"/>
      <c r="K816" s="32"/>
      <c r="L816" s="32"/>
      <c r="M816" s="2"/>
      <c r="N816" s="2"/>
      <c r="O816" s="32"/>
      <c r="P816" s="32"/>
      <c r="Q816" s="32"/>
      <c r="R816" s="32"/>
      <c r="S816" s="2"/>
      <c r="T816" s="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32"/>
      <c r="F817" s="32"/>
      <c r="G817" s="32"/>
      <c r="H817" s="73"/>
      <c r="I817" s="32"/>
      <c r="J817" s="32"/>
      <c r="K817" s="32"/>
      <c r="L817" s="32"/>
      <c r="M817" s="2"/>
      <c r="N817" s="2"/>
      <c r="O817" s="32"/>
      <c r="P817" s="32"/>
      <c r="Q817" s="32"/>
      <c r="R817" s="32"/>
      <c r="S817" s="2"/>
      <c r="T817" s="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32"/>
      <c r="F818" s="32"/>
      <c r="G818" s="32"/>
      <c r="H818" s="73"/>
      <c r="I818" s="32"/>
      <c r="J818" s="32"/>
      <c r="K818" s="32"/>
      <c r="L818" s="32"/>
      <c r="M818" s="2"/>
      <c r="N818" s="2"/>
      <c r="O818" s="32"/>
      <c r="P818" s="32"/>
      <c r="Q818" s="32"/>
      <c r="R818" s="32"/>
      <c r="S818" s="2"/>
      <c r="T818" s="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32"/>
      <c r="F819" s="32"/>
      <c r="G819" s="32"/>
      <c r="H819" s="73"/>
      <c r="I819" s="32"/>
      <c r="J819" s="32"/>
      <c r="K819" s="32"/>
      <c r="L819" s="32"/>
      <c r="M819" s="2"/>
      <c r="N819" s="2"/>
      <c r="O819" s="32"/>
      <c r="P819" s="32"/>
      <c r="Q819" s="32"/>
      <c r="R819" s="32"/>
      <c r="S819" s="2"/>
      <c r="T819" s="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32"/>
      <c r="F820" s="32"/>
      <c r="G820" s="32"/>
      <c r="H820" s="73"/>
      <c r="I820" s="32"/>
      <c r="J820" s="32"/>
      <c r="K820" s="32"/>
      <c r="L820" s="32"/>
      <c r="M820" s="2"/>
      <c r="N820" s="2"/>
      <c r="O820" s="32"/>
      <c r="P820" s="32"/>
      <c r="Q820" s="32"/>
      <c r="R820" s="32"/>
      <c r="S820" s="2"/>
      <c r="T820" s="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32"/>
      <c r="F821" s="32"/>
      <c r="G821" s="32"/>
      <c r="H821" s="73"/>
      <c r="I821" s="32"/>
      <c r="J821" s="32"/>
      <c r="K821" s="32"/>
      <c r="L821" s="32"/>
      <c r="M821" s="2"/>
      <c r="N821" s="2"/>
      <c r="O821" s="32"/>
      <c r="P821" s="32"/>
      <c r="Q821" s="32"/>
      <c r="R821" s="32"/>
      <c r="S821" s="2"/>
      <c r="T821" s="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32"/>
      <c r="F822" s="32"/>
      <c r="G822" s="32"/>
      <c r="H822" s="73"/>
      <c r="I822" s="32"/>
      <c r="J822" s="32"/>
      <c r="K822" s="32"/>
      <c r="L822" s="32"/>
      <c r="M822" s="2"/>
      <c r="N822" s="2"/>
      <c r="O822" s="32"/>
      <c r="P822" s="32"/>
      <c r="Q822" s="32"/>
      <c r="R822" s="32"/>
      <c r="S822" s="2"/>
      <c r="T822" s="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32"/>
      <c r="F823" s="32"/>
      <c r="G823" s="32"/>
      <c r="H823" s="73"/>
      <c r="I823" s="32"/>
      <c r="J823" s="32"/>
      <c r="K823" s="32"/>
      <c r="L823" s="32"/>
      <c r="M823" s="2"/>
      <c r="N823" s="2"/>
      <c r="O823" s="32"/>
      <c r="P823" s="32"/>
      <c r="Q823" s="32"/>
      <c r="R823" s="32"/>
      <c r="S823" s="2"/>
      <c r="T823" s="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32"/>
      <c r="F824" s="32"/>
      <c r="G824" s="32"/>
      <c r="H824" s="73"/>
      <c r="I824" s="32"/>
      <c r="J824" s="32"/>
      <c r="K824" s="32"/>
      <c r="L824" s="32"/>
      <c r="M824" s="2"/>
      <c r="N824" s="2"/>
      <c r="O824" s="32"/>
      <c r="P824" s="32"/>
      <c r="Q824" s="32"/>
      <c r="R824" s="32"/>
      <c r="S824" s="2"/>
      <c r="T824" s="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32"/>
      <c r="F825" s="32"/>
      <c r="G825" s="32"/>
      <c r="H825" s="73"/>
      <c r="I825" s="32"/>
      <c r="J825" s="32"/>
      <c r="K825" s="32"/>
      <c r="L825" s="32"/>
      <c r="M825" s="2"/>
      <c r="N825" s="2"/>
      <c r="O825" s="32"/>
      <c r="P825" s="32"/>
      <c r="Q825" s="32"/>
      <c r="R825" s="32"/>
      <c r="S825" s="2"/>
      <c r="T825" s="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32"/>
      <c r="F826" s="32"/>
      <c r="G826" s="32"/>
      <c r="H826" s="73"/>
      <c r="I826" s="32"/>
      <c r="J826" s="32"/>
      <c r="K826" s="32"/>
      <c r="L826" s="32"/>
      <c r="M826" s="2"/>
      <c r="N826" s="2"/>
      <c r="O826" s="32"/>
      <c r="P826" s="32"/>
      <c r="Q826" s="32"/>
      <c r="R826" s="32"/>
      <c r="S826" s="2"/>
      <c r="T826" s="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32"/>
      <c r="F827" s="32"/>
      <c r="G827" s="32"/>
      <c r="H827" s="73"/>
      <c r="I827" s="32"/>
      <c r="J827" s="32"/>
      <c r="K827" s="32"/>
      <c r="L827" s="32"/>
      <c r="M827" s="2"/>
      <c r="N827" s="2"/>
      <c r="O827" s="32"/>
      <c r="P827" s="32"/>
      <c r="Q827" s="32"/>
      <c r="R827" s="32"/>
      <c r="S827" s="2"/>
      <c r="T827" s="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32"/>
      <c r="F828" s="32"/>
      <c r="G828" s="32"/>
      <c r="H828" s="73"/>
      <c r="I828" s="32"/>
      <c r="J828" s="32"/>
      <c r="K828" s="32"/>
      <c r="L828" s="32"/>
      <c r="M828" s="2"/>
      <c r="N828" s="2"/>
      <c r="O828" s="32"/>
      <c r="P828" s="32"/>
      <c r="Q828" s="32"/>
      <c r="R828" s="32"/>
      <c r="S828" s="2"/>
      <c r="T828" s="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32"/>
      <c r="F829" s="32"/>
      <c r="G829" s="32"/>
      <c r="H829" s="73"/>
      <c r="I829" s="32"/>
      <c r="J829" s="32"/>
      <c r="K829" s="32"/>
      <c r="L829" s="32"/>
      <c r="M829" s="2"/>
      <c r="N829" s="2"/>
      <c r="O829" s="32"/>
      <c r="P829" s="32"/>
      <c r="Q829" s="32"/>
      <c r="R829" s="32"/>
      <c r="S829" s="2"/>
      <c r="T829" s="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32"/>
      <c r="F830" s="32"/>
      <c r="G830" s="32"/>
      <c r="H830" s="73"/>
      <c r="I830" s="32"/>
      <c r="J830" s="32"/>
      <c r="K830" s="32"/>
      <c r="L830" s="32"/>
      <c r="M830" s="2"/>
      <c r="N830" s="2"/>
      <c r="O830" s="32"/>
      <c r="P830" s="32"/>
      <c r="Q830" s="32"/>
      <c r="R830" s="32"/>
      <c r="S830" s="2"/>
      <c r="T830" s="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32"/>
      <c r="F831" s="32"/>
      <c r="G831" s="32"/>
      <c r="H831" s="73"/>
      <c r="I831" s="32"/>
      <c r="J831" s="32"/>
      <c r="K831" s="32"/>
      <c r="L831" s="32"/>
      <c r="M831" s="2"/>
      <c r="N831" s="2"/>
      <c r="O831" s="32"/>
      <c r="P831" s="32"/>
      <c r="Q831" s="32"/>
      <c r="R831" s="32"/>
      <c r="S831" s="2"/>
      <c r="T831" s="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32"/>
      <c r="F832" s="32"/>
      <c r="G832" s="32"/>
      <c r="H832" s="73"/>
      <c r="I832" s="32"/>
      <c r="J832" s="32"/>
      <c r="K832" s="32"/>
      <c r="L832" s="32"/>
      <c r="M832" s="2"/>
      <c r="N832" s="2"/>
      <c r="O832" s="32"/>
      <c r="P832" s="32"/>
      <c r="Q832" s="32"/>
      <c r="R832" s="32"/>
      <c r="S832" s="2"/>
      <c r="T832" s="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32"/>
      <c r="F833" s="32"/>
      <c r="G833" s="32"/>
      <c r="H833" s="73"/>
      <c r="I833" s="32"/>
      <c r="J833" s="32"/>
      <c r="K833" s="32"/>
      <c r="L833" s="32"/>
      <c r="M833" s="2"/>
      <c r="N833" s="2"/>
      <c r="O833" s="32"/>
      <c r="P833" s="32"/>
      <c r="Q833" s="32"/>
      <c r="R833" s="32"/>
      <c r="S833" s="2"/>
      <c r="T833" s="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32"/>
      <c r="F834" s="32"/>
      <c r="G834" s="32"/>
      <c r="H834" s="73"/>
      <c r="I834" s="32"/>
      <c r="J834" s="32"/>
      <c r="K834" s="32"/>
      <c r="L834" s="32"/>
      <c r="M834" s="2"/>
      <c r="N834" s="2"/>
      <c r="O834" s="32"/>
      <c r="P834" s="32"/>
      <c r="Q834" s="32"/>
      <c r="R834" s="32"/>
      <c r="S834" s="2"/>
      <c r="T834" s="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32"/>
      <c r="F835" s="32"/>
      <c r="G835" s="32"/>
      <c r="H835" s="73"/>
      <c r="I835" s="32"/>
      <c r="J835" s="32"/>
      <c r="K835" s="32"/>
      <c r="L835" s="32"/>
      <c r="M835" s="2"/>
      <c r="N835" s="2"/>
      <c r="O835" s="32"/>
      <c r="P835" s="32"/>
      <c r="Q835" s="32"/>
      <c r="R835" s="32"/>
      <c r="S835" s="2"/>
      <c r="T835" s="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32"/>
      <c r="F836" s="32"/>
      <c r="G836" s="32"/>
      <c r="H836" s="73"/>
      <c r="I836" s="32"/>
      <c r="J836" s="32"/>
      <c r="K836" s="32"/>
      <c r="L836" s="32"/>
      <c r="M836" s="2"/>
      <c r="N836" s="2"/>
      <c r="O836" s="32"/>
      <c r="P836" s="32"/>
      <c r="Q836" s="32"/>
      <c r="R836" s="32"/>
      <c r="S836" s="2"/>
      <c r="T836" s="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32"/>
      <c r="F837" s="32"/>
      <c r="G837" s="32"/>
      <c r="H837" s="73"/>
      <c r="I837" s="32"/>
      <c r="J837" s="32"/>
      <c r="K837" s="32"/>
      <c r="L837" s="32"/>
      <c r="M837" s="2"/>
      <c r="N837" s="2"/>
      <c r="O837" s="32"/>
      <c r="P837" s="32"/>
      <c r="Q837" s="32"/>
      <c r="R837" s="32"/>
      <c r="S837" s="2"/>
      <c r="T837" s="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32"/>
      <c r="F838" s="32"/>
      <c r="G838" s="32"/>
      <c r="H838" s="73"/>
      <c r="I838" s="32"/>
      <c r="J838" s="32"/>
      <c r="K838" s="32"/>
      <c r="L838" s="32"/>
      <c r="M838" s="2"/>
      <c r="N838" s="2"/>
      <c r="O838" s="32"/>
      <c r="P838" s="32"/>
      <c r="Q838" s="32"/>
      <c r="R838" s="32"/>
      <c r="S838" s="2"/>
      <c r="T838" s="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32"/>
      <c r="F839" s="32"/>
      <c r="G839" s="32"/>
      <c r="H839" s="73"/>
      <c r="I839" s="32"/>
      <c r="J839" s="32"/>
      <c r="K839" s="32"/>
      <c r="L839" s="32"/>
      <c r="M839" s="2"/>
      <c r="N839" s="2"/>
      <c r="O839" s="32"/>
      <c r="P839" s="32"/>
      <c r="Q839" s="32"/>
      <c r="R839" s="32"/>
      <c r="S839" s="2"/>
      <c r="T839" s="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32"/>
      <c r="F840" s="32"/>
      <c r="G840" s="32"/>
      <c r="H840" s="73"/>
      <c r="I840" s="32"/>
      <c r="J840" s="32"/>
      <c r="K840" s="32"/>
      <c r="L840" s="32"/>
      <c r="M840" s="2"/>
      <c r="N840" s="2"/>
      <c r="O840" s="32"/>
      <c r="P840" s="32"/>
      <c r="Q840" s="32"/>
      <c r="R840" s="32"/>
      <c r="S840" s="2"/>
      <c r="T840" s="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32"/>
      <c r="F841" s="32"/>
      <c r="G841" s="32"/>
      <c r="H841" s="73"/>
      <c r="I841" s="32"/>
      <c r="J841" s="32"/>
      <c r="K841" s="32"/>
      <c r="L841" s="32"/>
      <c r="M841" s="2"/>
      <c r="N841" s="2"/>
      <c r="O841" s="32"/>
      <c r="P841" s="32"/>
      <c r="Q841" s="32"/>
      <c r="R841" s="32"/>
      <c r="S841" s="2"/>
      <c r="T841" s="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32"/>
      <c r="F842" s="32"/>
      <c r="G842" s="32"/>
      <c r="H842" s="73"/>
      <c r="I842" s="32"/>
      <c r="J842" s="32"/>
      <c r="K842" s="32"/>
      <c r="L842" s="32"/>
      <c r="M842" s="2"/>
      <c r="N842" s="2"/>
      <c r="O842" s="32"/>
      <c r="P842" s="32"/>
      <c r="Q842" s="32"/>
      <c r="R842" s="32"/>
      <c r="S842" s="2"/>
      <c r="T842" s="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32"/>
      <c r="F843" s="32"/>
      <c r="G843" s="32"/>
      <c r="H843" s="73"/>
      <c r="I843" s="32"/>
      <c r="J843" s="32"/>
      <c r="K843" s="32"/>
      <c r="L843" s="32"/>
      <c r="M843" s="2"/>
      <c r="N843" s="2"/>
      <c r="O843" s="32"/>
      <c r="P843" s="32"/>
      <c r="Q843" s="32"/>
      <c r="R843" s="32"/>
      <c r="S843" s="2"/>
      <c r="T843" s="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32"/>
      <c r="F844" s="32"/>
      <c r="G844" s="32"/>
      <c r="H844" s="73"/>
      <c r="I844" s="32"/>
      <c r="J844" s="32"/>
      <c r="K844" s="32"/>
      <c r="L844" s="32"/>
      <c r="M844" s="2"/>
      <c r="N844" s="2"/>
      <c r="O844" s="32"/>
      <c r="P844" s="32"/>
      <c r="Q844" s="32"/>
      <c r="R844" s="32"/>
      <c r="S844" s="2"/>
      <c r="T844" s="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32"/>
      <c r="F845" s="32"/>
      <c r="G845" s="32"/>
      <c r="H845" s="73"/>
      <c r="I845" s="32"/>
      <c r="J845" s="32"/>
      <c r="K845" s="32"/>
      <c r="L845" s="32"/>
      <c r="M845" s="2"/>
      <c r="N845" s="2"/>
      <c r="O845" s="32"/>
      <c r="P845" s="32"/>
      <c r="Q845" s="32"/>
      <c r="R845" s="32"/>
      <c r="S845" s="2"/>
      <c r="T845" s="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32"/>
      <c r="F846" s="32"/>
      <c r="G846" s="32"/>
      <c r="H846" s="73"/>
      <c r="I846" s="32"/>
      <c r="J846" s="32"/>
      <c r="K846" s="32"/>
      <c r="L846" s="32"/>
      <c r="M846" s="2"/>
      <c r="N846" s="2"/>
      <c r="O846" s="32"/>
      <c r="P846" s="32"/>
      <c r="Q846" s="32"/>
      <c r="R846" s="32"/>
      <c r="S846" s="2"/>
      <c r="T846" s="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32"/>
      <c r="F847" s="32"/>
      <c r="G847" s="32"/>
      <c r="H847" s="73"/>
      <c r="I847" s="32"/>
      <c r="J847" s="32"/>
      <c r="K847" s="32"/>
      <c r="L847" s="32"/>
      <c r="M847" s="2"/>
      <c r="N847" s="2"/>
      <c r="O847" s="32"/>
      <c r="P847" s="32"/>
      <c r="Q847" s="32"/>
      <c r="R847" s="32"/>
      <c r="S847" s="2"/>
      <c r="T847" s="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32"/>
      <c r="F848" s="32"/>
      <c r="G848" s="32"/>
      <c r="H848" s="73"/>
      <c r="I848" s="32"/>
      <c r="J848" s="32"/>
      <c r="K848" s="32"/>
      <c r="L848" s="32"/>
      <c r="M848" s="2"/>
      <c r="N848" s="2"/>
      <c r="O848" s="32"/>
      <c r="P848" s="32"/>
      <c r="Q848" s="32"/>
      <c r="R848" s="32"/>
      <c r="S848" s="2"/>
      <c r="T848" s="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32"/>
      <c r="F849" s="32"/>
      <c r="G849" s="32"/>
      <c r="H849" s="73"/>
      <c r="I849" s="32"/>
      <c r="J849" s="32"/>
      <c r="K849" s="32"/>
      <c r="L849" s="32"/>
      <c r="M849" s="2"/>
      <c r="N849" s="2"/>
      <c r="O849" s="32"/>
      <c r="P849" s="32"/>
      <c r="Q849" s="32"/>
      <c r="R849" s="32"/>
      <c r="S849" s="2"/>
      <c r="T849" s="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32"/>
      <c r="F850" s="32"/>
      <c r="G850" s="32"/>
      <c r="H850" s="73"/>
      <c r="I850" s="32"/>
      <c r="J850" s="32"/>
      <c r="K850" s="32"/>
      <c r="L850" s="32"/>
      <c r="M850" s="2"/>
      <c r="N850" s="2"/>
      <c r="O850" s="32"/>
      <c r="P850" s="32"/>
      <c r="Q850" s="32"/>
      <c r="R850" s="32"/>
      <c r="S850" s="2"/>
      <c r="T850" s="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32"/>
      <c r="F851" s="32"/>
      <c r="G851" s="32"/>
      <c r="H851" s="73"/>
      <c r="I851" s="32"/>
      <c r="J851" s="32"/>
      <c r="K851" s="32"/>
      <c r="L851" s="32"/>
      <c r="M851" s="2"/>
      <c r="N851" s="2"/>
      <c r="O851" s="32"/>
      <c r="P851" s="32"/>
      <c r="Q851" s="32"/>
      <c r="R851" s="32"/>
      <c r="S851" s="2"/>
      <c r="T851" s="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32"/>
      <c r="F852" s="32"/>
      <c r="G852" s="32"/>
      <c r="H852" s="73"/>
      <c r="I852" s="32"/>
      <c r="J852" s="32"/>
      <c r="K852" s="32"/>
      <c r="L852" s="32"/>
      <c r="M852" s="2"/>
      <c r="N852" s="2"/>
      <c r="O852" s="32"/>
      <c r="P852" s="32"/>
      <c r="Q852" s="32"/>
      <c r="R852" s="32"/>
      <c r="S852" s="2"/>
      <c r="T852" s="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32"/>
      <c r="F853" s="32"/>
      <c r="G853" s="32"/>
      <c r="H853" s="73"/>
      <c r="I853" s="32"/>
      <c r="J853" s="32"/>
      <c r="K853" s="32"/>
      <c r="L853" s="32"/>
      <c r="M853" s="2"/>
      <c r="N853" s="2"/>
      <c r="O853" s="32"/>
      <c r="P853" s="32"/>
      <c r="Q853" s="32"/>
      <c r="R853" s="32"/>
      <c r="S853" s="2"/>
      <c r="T853" s="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32"/>
      <c r="F854" s="32"/>
      <c r="G854" s="32"/>
      <c r="H854" s="73"/>
      <c r="I854" s="32"/>
      <c r="J854" s="32"/>
      <c r="K854" s="32"/>
      <c r="L854" s="32"/>
      <c r="M854" s="2"/>
      <c r="N854" s="2"/>
      <c r="O854" s="32"/>
      <c r="P854" s="32"/>
      <c r="Q854" s="32"/>
      <c r="R854" s="32"/>
      <c r="S854" s="2"/>
      <c r="T854" s="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32"/>
      <c r="F855" s="32"/>
      <c r="G855" s="32"/>
      <c r="H855" s="73"/>
      <c r="I855" s="32"/>
      <c r="J855" s="32"/>
      <c r="K855" s="32"/>
      <c r="L855" s="32"/>
      <c r="M855" s="2"/>
      <c r="N855" s="2"/>
      <c r="O855" s="32"/>
      <c r="P855" s="32"/>
      <c r="Q855" s="32"/>
      <c r="R855" s="32"/>
      <c r="S855" s="2"/>
      <c r="T855" s="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32"/>
      <c r="F856" s="32"/>
      <c r="G856" s="32"/>
      <c r="H856" s="73"/>
      <c r="I856" s="32"/>
      <c r="J856" s="32"/>
      <c r="K856" s="32"/>
      <c r="L856" s="32"/>
      <c r="M856" s="2"/>
      <c r="N856" s="2"/>
      <c r="O856" s="32"/>
      <c r="P856" s="32"/>
      <c r="Q856" s="32"/>
      <c r="R856" s="32"/>
      <c r="S856" s="2"/>
      <c r="T856" s="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32"/>
      <c r="F857" s="32"/>
      <c r="G857" s="32"/>
      <c r="H857" s="73"/>
      <c r="I857" s="32"/>
      <c r="J857" s="32"/>
      <c r="K857" s="32"/>
      <c r="L857" s="32"/>
      <c r="M857" s="2"/>
      <c r="N857" s="2"/>
      <c r="O857" s="32"/>
      <c r="P857" s="32"/>
      <c r="Q857" s="32"/>
      <c r="R857" s="32"/>
      <c r="S857" s="2"/>
      <c r="T857" s="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32"/>
      <c r="F858" s="32"/>
      <c r="G858" s="32"/>
      <c r="H858" s="73"/>
      <c r="I858" s="32"/>
      <c r="J858" s="32"/>
      <c r="K858" s="32"/>
      <c r="L858" s="32"/>
      <c r="M858" s="2"/>
      <c r="N858" s="2"/>
      <c r="O858" s="32"/>
      <c r="P858" s="32"/>
      <c r="Q858" s="32"/>
      <c r="R858" s="32"/>
      <c r="S858" s="2"/>
      <c r="T858" s="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32"/>
      <c r="F859" s="32"/>
      <c r="G859" s="32"/>
      <c r="H859" s="73"/>
      <c r="I859" s="32"/>
      <c r="J859" s="32"/>
      <c r="K859" s="32"/>
      <c r="L859" s="32"/>
      <c r="M859" s="2"/>
      <c r="N859" s="2"/>
      <c r="O859" s="32"/>
      <c r="P859" s="32"/>
      <c r="Q859" s="32"/>
      <c r="R859" s="32"/>
      <c r="S859" s="2"/>
      <c r="T859" s="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32"/>
      <c r="F860" s="32"/>
      <c r="G860" s="32"/>
      <c r="H860" s="73"/>
      <c r="I860" s="32"/>
      <c r="J860" s="32"/>
      <c r="K860" s="32"/>
      <c r="L860" s="32"/>
      <c r="M860" s="2"/>
      <c r="N860" s="2"/>
      <c r="O860" s="32"/>
      <c r="P860" s="32"/>
      <c r="Q860" s="32"/>
      <c r="R860" s="32"/>
      <c r="S860" s="2"/>
      <c r="T860" s="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32"/>
      <c r="F861" s="32"/>
      <c r="G861" s="32"/>
      <c r="H861" s="73"/>
      <c r="I861" s="32"/>
      <c r="J861" s="32"/>
      <c r="K861" s="32"/>
      <c r="L861" s="32"/>
      <c r="M861" s="2"/>
      <c r="N861" s="2"/>
      <c r="O861" s="32"/>
      <c r="P861" s="32"/>
      <c r="Q861" s="32"/>
      <c r="R861" s="32"/>
      <c r="S861" s="2"/>
      <c r="T861" s="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32"/>
      <c r="F862" s="32"/>
      <c r="G862" s="32"/>
      <c r="H862" s="73"/>
      <c r="I862" s="32"/>
      <c r="J862" s="32"/>
      <c r="K862" s="32"/>
      <c r="L862" s="32"/>
      <c r="M862" s="2"/>
      <c r="N862" s="2"/>
      <c r="O862" s="32"/>
      <c r="P862" s="32"/>
      <c r="Q862" s="32"/>
      <c r="R862" s="32"/>
      <c r="S862" s="2"/>
      <c r="T862" s="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32"/>
      <c r="F863" s="32"/>
      <c r="G863" s="32"/>
      <c r="H863" s="73"/>
      <c r="I863" s="32"/>
      <c r="J863" s="32"/>
      <c r="K863" s="32"/>
      <c r="L863" s="32"/>
      <c r="M863" s="2"/>
      <c r="N863" s="2"/>
      <c r="O863" s="32"/>
      <c r="P863" s="32"/>
      <c r="Q863" s="32"/>
      <c r="R863" s="32"/>
      <c r="S863" s="2"/>
      <c r="T863" s="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32"/>
      <c r="F864" s="32"/>
      <c r="G864" s="32"/>
      <c r="H864" s="73"/>
      <c r="I864" s="32"/>
      <c r="J864" s="32"/>
      <c r="K864" s="32"/>
      <c r="L864" s="32"/>
      <c r="M864" s="2"/>
      <c r="N864" s="2"/>
      <c r="O864" s="32"/>
      <c r="P864" s="32"/>
      <c r="Q864" s="32"/>
      <c r="R864" s="32"/>
      <c r="S864" s="2"/>
      <c r="T864" s="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32"/>
      <c r="F865" s="32"/>
      <c r="G865" s="32"/>
      <c r="H865" s="73"/>
      <c r="I865" s="32"/>
      <c r="J865" s="32"/>
      <c r="K865" s="32"/>
      <c r="L865" s="32"/>
      <c r="M865" s="2"/>
      <c r="N865" s="2"/>
      <c r="O865" s="32"/>
      <c r="P865" s="32"/>
      <c r="Q865" s="32"/>
      <c r="R865" s="32"/>
      <c r="S865" s="2"/>
      <c r="T865" s="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32"/>
      <c r="F866" s="32"/>
      <c r="G866" s="32"/>
      <c r="H866" s="73"/>
      <c r="I866" s="32"/>
      <c r="J866" s="32"/>
      <c r="K866" s="32"/>
      <c r="L866" s="32"/>
      <c r="M866" s="2"/>
      <c r="N866" s="2"/>
      <c r="O866" s="32"/>
      <c r="P866" s="32"/>
      <c r="Q866" s="32"/>
      <c r="R866" s="32"/>
      <c r="S866" s="2"/>
      <c r="T866" s="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32"/>
      <c r="F867" s="32"/>
      <c r="G867" s="32"/>
      <c r="H867" s="73"/>
      <c r="I867" s="32"/>
      <c r="J867" s="32"/>
      <c r="K867" s="32"/>
      <c r="L867" s="32"/>
      <c r="M867" s="2"/>
      <c r="N867" s="2"/>
      <c r="O867" s="32"/>
      <c r="P867" s="32"/>
      <c r="Q867" s="32"/>
      <c r="R867" s="32"/>
      <c r="S867" s="2"/>
      <c r="T867" s="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32"/>
      <c r="F868" s="32"/>
      <c r="G868" s="32"/>
      <c r="H868" s="73"/>
      <c r="I868" s="32"/>
      <c r="J868" s="32"/>
      <c r="K868" s="32"/>
      <c r="L868" s="32"/>
      <c r="M868" s="2"/>
      <c r="N868" s="2"/>
      <c r="O868" s="32"/>
      <c r="P868" s="32"/>
      <c r="Q868" s="32"/>
      <c r="R868" s="32"/>
      <c r="S868" s="2"/>
      <c r="T868" s="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32"/>
      <c r="F869" s="32"/>
      <c r="G869" s="32"/>
      <c r="H869" s="73"/>
      <c r="I869" s="32"/>
      <c r="J869" s="32"/>
      <c r="K869" s="32"/>
      <c r="L869" s="32"/>
      <c r="M869" s="2"/>
      <c r="N869" s="2"/>
      <c r="O869" s="32"/>
      <c r="P869" s="32"/>
      <c r="Q869" s="32"/>
      <c r="R869" s="32"/>
      <c r="S869" s="2"/>
      <c r="T869" s="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32"/>
      <c r="F870" s="32"/>
      <c r="G870" s="32"/>
      <c r="H870" s="73"/>
      <c r="I870" s="32"/>
      <c r="J870" s="32"/>
      <c r="K870" s="32"/>
      <c r="L870" s="32"/>
      <c r="M870" s="2"/>
      <c r="N870" s="2"/>
      <c r="O870" s="32"/>
      <c r="P870" s="32"/>
      <c r="Q870" s="32"/>
      <c r="R870" s="32"/>
      <c r="S870" s="2"/>
      <c r="T870" s="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32"/>
      <c r="F871" s="32"/>
      <c r="G871" s="32"/>
      <c r="H871" s="73"/>
      <c r="I871" s="32"/>
      <c r="J871" s="32"/>
      <c r="K871" s="32"/>
      <c r="L871" s="32"/>
      <c r="M871" s="2"/>
      <c r="N871" s="2"/>
      <c r="O871" s="32"/>
      <c r="P871" s="32"/>
      <c r="Q871" s="32"/>
      <c r="R871" s="32"/>
      <c r="S871" s="2"/>
      <c r="T871" s="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32"/>
      <c r="F872" s="32"/>
      <c r="G872" s="32"/>
      <c r="H872" s="73"/>
      <c r="I872" s="32"/>
      <c r="J872" s="32"/>
      <c r="K872" s="32"/>
      <c r="L872" s="32"/>
      <c r="M872" s="2"/>
      <c r="N872" s="2"/>
      <c r="O872" s="32"/>
      <c r="P872" s="32"/>
      <c r="Q872" s="32"/>
      <c r="R872" s="32"/>
      <c r="S872" s="2"/>
      <c r="T872" s="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32"/>
      <c r="F873" s="32"/>
      <c r="G873" s="32"/>
      <c r="H873" s="73"/>
      <c r="I873" s="32"/>
      <c r="J873" s="32"/>
      <c r="K873" s="32"/>
      <c r="L873" s="32"/>
      <c r="M873" s="2"/>
      <c r="N873" s="2"/>
      <c r="O873" s="32"/>
      <c r="P873" s="32"/>
      <c r="Q873" s="32"/>
      <c r="R873" s="32"/>
      <c r="S873" s="2"/>
      <c r="T873" s="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32"/>
      <c r="F874" s="32"/>
      <c r="G874" s="32"/>
      <c r="H874" s="73"/>
      <c r="I874" s="32"/>
      <c r="J874" s="32"/>
      <c r="K874" s="32"/>
      <c r="L874" s="32"/>
      <c r="M874" s="2"/>
      <c r="N874" s="2"/>
      <c r="O874" s="32"/>
      <c r="P874" s="32"/>
      <c r="Q874" s="32"/>
      <c r="R874" s="32"/>
      <c r="S874" s="2"/>
      <c r="T874" s="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32"/>
      <c r="F875" s="32"/>
      <c r="G875" s="32"/>
      <c r="H875" s="73"/>
      <c r="I875" s="32"/>
      <c r="J875" s="32"/>
      <c r="K875" s="32"/>
      <c r="L875" s="32"/>
      <c r="M875" s="2"/>
      <c r="N875" s="2"/>
      <c r="O875" s="32"/>
      <c r="P875" s="32"/>
      <c r="Q875" s="32"/>
      <c r="R875" s="32"/>
      <c r="S875" s="2"/>
      <c r="T875" s="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32"/>
      <c r="F876" s="32"/>
      <c r="G876" s="32"/>
      <c r="H876" s="73"/>
      <c r="I876" s="32"/>
      <c r="J876" s="32"/>
      <c r="K876" s="32"/>
      <c r="L876" s="32"/>
      <c r="M876" s="2"/>
      <c r="N876" s="2"/>
      <c r="O876" s="32"/>
      <c r="P876" s="32"/>
      <c r="Q876" s="32"/>
      <c r="R876" s="32"/>
      <c r="S876" s="2"/>
      <c r="T876" s="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32"/>
      <c r="F877" s="32"/>
      <c r="G877" s="32"/>
      <c r="H877" s="73"/>
      <c r="I877" s="32"/>
      <c r="J877" s="32"/>
      <c r="K877" s="32"/>
      <c r="L877" s="32"/>
      <c r="M877" s="2"/>
      <c r="N877" s="2"/>
      <c r="O877" s="32"/>
      <c r="P877" s="32"/>
      <c r="Q877" s="32"/>
      <c r="R877" s="32"/>
      <c r="S877" s="2"/>
      <c r="T877" s="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32"/>
      <c r="F878" s="32"/>
      <c r="G878" s="32"/>
      <c r="H878" s="73"/>
      <c r="I878" s="32"/>
      <c r="J878" s="32"/>
      <c r="K878" s="32"/>
      <c r="L878" s="32"/>
      <c r="M878" s="2"/>
      <c r="N878" s="2"/>
      <c r="O878" s="32"/>
      <c r="P878" s="32"/>
      <c r="Q878" s="32"/>
      <c r="R878" s="32"/>
      <c r="S878" s="2"/>
      <c r="T878" s="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32"/>
      <c r="F879" s="32"/>
      <c r="G879" s="32"/>
      <c r="H879" s="73"/>
      <c r="I879" s="32"/>
      <c r="J879" s="32"/>
      <c r="K879" s="32"/>
      <c r="L879" s="32"/>
      <c r="M879" s="2"/>
      <c r="N879" s="2"/>
      <c r="O879" s="32"/>
      <c r="P879" s="32"/>
      <c r="Q879" s="32"/>
      <c r="R879" s="32"/>
      <c r="S879" s="2"/>
      <c r="T879" s="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32"/>
      <c r="F880" s="32"/>
      <c r="G880" s="32"/>
      <c r="H880" s="73"/>
      <c r="I880" s="32"/>
      <c r="J880" s="32"/>
      <c r="K880" s="32"/>
      <c r="L880" s="32"/>
      <c r="M880" s="2"/>
      <c r="N880" s="2"/>
      <c r="O880" s="32"/>
      <c r="P880" s="32"/>
      <c r="Q880" s="32"/>
      <c r="R880" s="32"/>
      <c r="S880" s="2"/>
      <c r="T880" s="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32"/>
      <c r="F881" s="32"/>
      <c r="G881" s="32"/>
      <c r="H881" s="73"/>
      <c r="I881" s="32"/>
      <c r="J881" s="32"/>
      <c r="K881" s="32"/>
      <c r="L881" s="32"/>
      <c r="M881" s="2"/>
      <c r="N881" s="2"/>
      <c r="O881" s="32"/>
      <c r="P881" s="32"/>
      <c r="Q881" s="32"/>
      <c r="R881" s="32"/>
      <c r="S881" s="2"/>
      <c r="T881" s="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32"/>
      <c r="F882" s="32"/>
      <c r="G882" s="32"/>
      <c r="H882" s="73"/>
      <c r="I882" s="32"/>
      <c r="J882" s="32"/>
      <c r="K882" s="32"/>
      <c r="L882" s="32"/>
      <c r="M882" s="2"/>
      <c r="N882" s="2"/>
      <c r="O882" s="32"/>
      <c r="P882" s="32"/>
      <c r="Q882" s="32"/>
      <c r="R882" s="32"/>
      <c r="S882" s="2"/>
      <c r="T882" s="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32"/>
      <c r="F883" s="32"/>
      <c r="G883" s="32"/>
      <c r="H883" s="73"/>
      <c r="I883" s="32"/>
      <c r="J883" s="32"/>
      <c r="K883" s="32"/>
      <c r="L883" s="32"/>
      <c r="M883" s="2"/>
      <c r="N883" s="2"/>
      <c r="O883" s="32"/>
      <c r="P883" s="32"/>
      <c r="Q883" s="32"/>
      <c r="R883" s="32"/>
      <c r="S883" s="2"/>
      <c r="T883" s="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32"/>
      <c r="F884" s="32"/>
      <c r="G884" s="32"/>
      <c r="H884" s="73"/>
      <c r="I884" s="32"/>
      <c r="J884" s="32"/>
      <c r="K884" s="32"/>
      <c r="L884" s="32"/>
      <c r="M884" s="2"/>
      <c r="N884" s="2"/>
      <c r="O884" s="32"/>
      <c r="P884" s="32"/>
      <c r="Q884" s="32"/>
      <c r="R884" s="32"/>
      <c r="S884" s="2"/>
      <c r="T884" s="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32"/>
      <c r="F885" s="32"/>
      <c r="G885" s="32"/>
      <c r="H885" s="73"/>
      <c r="I885" s="32"/>
      <c r="J885" s="32"/>
      <c r="K885" s="32"/>
      <c r="L885" s="32"/>
      <c r="M885" s="2"/>
      <c r="N885" s="2"/>
      <c r="O885" s="32"/>
      <c r="P885" s="32"/>
      <c r="Q885" s="32"/>
      <c r="R885" s="32"/>
      <c r="S885" s="2"/>
      <c r="T885" s="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32"/>
      <c r="F886" s="32"/>
      <c r="G886" s="32"/>
      <c r="H886" s="73"/>
      <c r="I886" s="32"/>
      <c r="J886" s="32"/>
      <c r="K886" s="32"/>
      <c r="L886" s="32"/>
      <c r="M886" s="2"/>
      <c r="N886" s="2"/>
      <c r="O886" s="32"/>
      <c r="P886" s="32"/>
      <c r="Q886" s="32"/>
      <c r="R886" s="32"/>
      <c r="S886" s="2"/>
      <c r="T886" s="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32"/>
      <c r="F887" s="32"/>
      <c r="G887" s="32"/>
      <c r="H887" s="73"/>
      <c r="I887" s="32"/>
      <c r="J887" s="32"/>
      <c r="K887" s="32"/>
      <c r="L887" s="32"/>
      <c r="M887" s="2"/>
      <c r="N887" s="2"/>
      <c r="O887" s="32"/>
      <c r="P887" s="32"/>
      <c r="Q887" s="32"/>
      <c r="R887" s="32"/>
      <c r="S887" s="2"/>
      <c r="T887" s="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32"/>
      <c r="F888" s="32"/>
      <c r="G888" s="32"/>
      <c r="H888" s="73"/>
      <c r="I888" s="32"/>
      <c r="J888" s="32"/>
      <c r="K888" s="32"/>
      <c r="L888" s="32"/>
      <c r="M888" s="2"/>
      <c r="N888" s="2"/>
      <c r="O888" s="32"/>
      <c r="P888" s="32"/>
      <c r="Q888" s="32"/>
      <c r="R888" s="32"/>
      <c r="S888" s="2"/>
      <c r="T888" s="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32"/>
      <c r="F889" s="32"/>
      <c r="G889" s="32"/>
      <c r="H889" s="73"/>
      <c r="I889" s="32"/>
      <c r="J889" s="32"/>
      <c r="K889" s="32"/>
      <c r="L889" s="32"/>
      <c r="M889" s="2"/>
      <c r="N889" s="2"/>
      <c r="O889" s="32"/>
      <c r="P889" s="32"/>
      <c r="Q889" s="32"/>
      <c r="R889" s="32"/>
      <c r="S889" s="2"/>
      <c r="T889" s="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32"/>
      <c r="F890" s="32"/>
      <c r="G890" s="32"/>
      <c r="H890" s="73"/>
      <c r="I890" s="32"/>
      <c r="J890" s="32"/>
      <c r="K890" s="32"/>
      <c r="L890" s="32"/>
      <c r="M890" s="2"/>
      <c r="N890" s="2"/>
      <c r="O890" s="32"/>
      <c r="P890" s="32"/>
      <c r="Q890" s="32"/>
      <c r="R890" s="32"/>
      <c r="S890" s="2"/>
      <c r="T890" s="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32"/>
      <c r="F891" s="32"/>
      <c r="G891" s="32"/>
      <c r="H891" s="73"/>
      <c r="I891" s="32"/>
      <c r="J891" s="32"/>
      <c r="K891" s="32"/>
      <c r="L891" s="32"/>
      <c r="M891" s="2"/>
      <c r="N891" s="2"/>
      <c r="O891" s="32"/>
      <c r="P891" s="32"/>
      <c r="Q891" s="32"/>
      <c r="R891" s="32"/>
      <c r="S891" s="2"/>
      <c r="T891" s="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32"/>
      <c r="F892" s="32"/>
      <c r="G892" s="32"/>
      <c r="H892" s="73"/>
      <c r="I892" s="32"/>
      <c r="J892" s="32"/>
      <c r="K892" s="32"/>
      <c r="L892" s="32"/>
      <c r="M892" s="2"/>
      <c r="N892" s="2"/>
      <c r="O892" s="32"/>
      <c r="P892" s="32"/>
      <c r="Q892" s="32"/>
      <c r="R892" s="32"/>
      <c r="S892" s="2"/>
      <c r="T892" s="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32"/>
      <c r="F893" s="32"/>
      <c r="G893" s="32"/>
      <c r="H893" s="73"/>
      <c r="I893" s="32"/>
      <c r="J893" s="32"/>
      <c r="K893" s="32"/>
      <c r="L893" s="32"/>
      <c r="M893" s="2"/>
      <c r="N893" s="2"/>
      <c r="O893" s="32"/>
      <c r="P893" s="32"/>
      <c r="Q893" s="32"/>
      <c r="R893" s="32"/>
      <c r="S893" s="2"/>
      <c r="T893" s="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32"/>
      <c r="F894" s="32"/>
      <c r="G894" s="32"/>
      <c r="H894" s="73"/>
      <c r="I894" s="32"/>
      <c r="J894" s="32"/>
      <c r="K894" s="32"/>
      <c r="L894" s="32"/>
      <c r="M894" s="2"/>
      <c r="N894" s="2"/>
      <c r="O894" s="32"/>
      <c r="P894" s="32"/>
      <c r="Q894" s="32"/>
      <c r="R894" s="32"/>
      <c r="S894" s="2"/>
      <c r="T894" s="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32"/>
      <c r="F895" s="32"/>
      <c r="G895" s="32"/>
      <c r="H895" s="73"/>
      <c r="I895" s="32"/>
      <c r="J895" s="32"/>
      <c r="K895" s="32"/>
      <c r="L895" s="32"/>
      <c r="M895" s="2"/>
      <c r="N895" s="2"/>
      <c r="O895" s="32"/>
      <c r="P895" s="32"/>
      <c r="Q895" s="32"/>
      <c r="R895" s="32"/>
      <c r="S895" s="2"/>
      <c r="T895" s="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32"/>
      <c r="F896" s="32"/>
      <c r="G896" s="32"/>
      <c r="H896" s="73"/>
      <c r="I896" s="32"/>
      <c r="J896" s="32"/>
      <c r="K896" s="32"/>
      <c r="L896" s="32"/>
      <c r="M896" s="2"/>
      <c r="N896" s="2"/>
      <c r="O896" s="32"/>
      <c r="P896" s="32"/>
      <c r="Q896" s="32"/>
      <c r="R896" s="32"/>
      <c r="S896" s="2"/>
      <c r="T896" s="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32"/>
      <c r="F897" s="32"/>
      <c r="G897" s="32"/>
      <c r="H897" s="73"/>
      <c r="I897" s="32"/>
      <c r="J897" s="32"/>
      <c r="K897" s="32"/>
      <c r="L897" s="32"/>
      <c r="M897" s="2"/>
      <c r="N897" s="2"/>
      <c r="O897" s="32"/>
      <c r="P897" s="32"/>
      <c r="Q897" s="32"/>
      <c r="R897" s="32"/>
      <c r="S897" s="2"/>
      <c r="T897" s="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32"/>
      <c r="F898" s="32"/>
      <c r="G898" s="32"/>
      <c r="H898" s="73"/>
      <c r="I898" s="32"/>
      <c r="J898" s="32"/>
      <c r="K898" s="32"/>
      <c r="L898" s="32"/>
      <c r="M898" s="2"/>
      <c r="N898" s="2"/>
      <c r="O898" s="32"/>
      <c r="P898" s="32"/>
      <c r="Q898" s="32"/>
      <c r="R898" s="32"/>
      <c r="S898" s="2"/>
      <c r="T898" s="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32"/>
      <c r="F899" s="32"/>
      <c r="G899" s="32"/>
      <c r="H899" s="73"/>
      <c r="I899" s="32"/>
      <c r="J899" s="32"/>
      <c r="K899" s="32"/>
      <c r="L899" s="32"/>
      <c r="M899" s="2"/>
      <c r="N899" s="2"/>
      <c r="O899" s="32"/>
      <c r="P899" s="32"/>
      <c r="Q899" s="32"/>
      <c r="R899" s="32"/>
      <c r="S899" s="2"/>
      <c r="T899" s="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32"/>
      <c r="F900" s="32"/>
      <c r="G900" s="32"/>
      <c r="H900" s="73"/>
      <c r="I900" s="32"/>
      <c r="J900" s="32"/>
      <c r="K900" s="32"/>
      <c r="L900" s="32"/>
      <c r="M900" s="2"/>
      <c r="N900" s="2"/>
      <c r="O900" s="32"/>
      <c r="P900" s="32"/>
      <c r="Q900" s="32"/>
      <c r="R900" s="32"/>
      <c r="S900" s="2"/>
      <c r="T900" s="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32"/>
      <c r="F901" s="32"/>
      <c r="G901" s="32"/>
      <c r="H901" s="73"/>
      <c r="I901" s="32"/>
      <c r="J901" s="32"/>
      <c r="K901" s="32"/>
      <c r="L901" s="32"/>
      <c r="M901" s="2"/>
      <c r="N901" s="2"/>
      <c r="O901" s="32"/>
      <c r="P901" s="32"/>
      <c r="Q901" s="32"/>
      <c r="R901" s="32"/>
      <c r="S901" s="2"/>
      <c r="T901" s="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32"/>
      <c r="F902" s="32"/>
      <c r="G902" s="32"/>
      <c r="H902" s="73"/>
      <c r="I902" s="32"/>
      <c r="J902" s="32"/>
      <c r="K902" s="32"/>
      <c r="L902" s="32"/>
      <c r="M902" s="2"/>
      <c r="N902" s="2"/>
      <c r="O902" s="32"/>
      <c r="P902" s="32"/>
      <c r="Q902" s="32"/>
      <c r="R902" s="32"/>
      <c r="S902" s="2"/>
      <c r="T902" s="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32"/>
      <c r="F903" s="32"/>
      <c r="G903" s="32"/>
      <c r="H903" s="73"/>
      <c r="I903" s="32"/>
      <c r="J903" s="32"/>
      <c r="K903" s="32"/>
      <c r="L903" s="32"/>
      <c r="M903" s="2"/>
      <c r="N903" s="2"/>
      <c r="O903" s="32"/>
      <c r="P903" s="32"/>
      <c r="Q903" s="32"/>
      <c r="R903" s="32"/>
      <c r="S903" s="2"/>
      <c r="T903" s="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32"/>
      <c r="F904" s="32"/>
      <c r="G904" s="32"/>
      <c r="H904" s="73"/>
      <c r="I904" s="32"/>
      <c r="J904" s="32"/>
      <c r="K904" s="32"/>
      <c r="L904" s="32"/>
      <c r="M904" s="2"/>
      <c r="N904" s="2"/>
      <c r="O904" s="32"/>
      <c r="P904" s="32"/>
      <c r="Q904" s="32"/>
      <c r="R904" s="32"/>
      <c r="S904" s="2"/>
      <c r="T904" s="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32"/>
      <c r="F905" s="32"/>
      <c r="G905" s="32"/>
      <c r="H905" s="73"/>
      <c r="I905" s="32"/>
      <c r="J905" s="32"/>
      <c r="K905" s="32"/>
      <c r="L905" s="32"/>
      <c r="M905" s="2"/>
      <c r="N905" s="2"/>
      <c r="O905" s="32"/>
      <c r="P905" s="32"/>
      <c r="Q905" s="32"/>
      <c r="R905" s="32"/>
      <c r="S905" s="2"/>
      <c r="T905" s="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32"/>
      <c r="F906" s="32"/>
      <c r="G906" s="32"/>
      <c r="H906" s="73"/>
      <c r="I906" s="32"/>
      <c r="J906" s="32"/>
      <c r="K906" s="32"/>
      <c r="L906" s="32"/>
      <c r="M906" s="2"/>
      <c r="N906" s="2"/>
      <c r="O906" s="32"/>
      <c r="P906" s="32"/>
      <c r="Q906" s="32"/>
      <c r="R906" s="32"/>
      <c r="S906" s="2"/>
      <c r="T906" s="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32"/>
      <c r="F907" s="32"/>
      <c r="G907" s="32"/>
      <c r="H907" s="73"/>
      <c r="I907" s="32"/>
      <c r="J907" s="32"/>
      <c r="K907" s="32"/>
      <c r="L907" s="32"/>
      <c r="M907" s="2"/>
      <c r="N907" s="2"/>
      <c r="O907" s="32"/>
      <c r="P907" s="32"/>
      <c r="Q907" s="32"/>
      <c r="R907" s="32"/>
      <c r="S907" s="2"/>
      <c r="T907" s="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32"/>
      <c r="F908" s="32"/>
      <c r="G908" s="32"/>
      <c r="H908" s="73"/>
      <c r="I908" s="32"/>
      <c r="J908" s="32"/>
      <c r="K908" s="32"/>
      <c r="L908" s="32"/>
      <c r="M908" s="2"/>
      <c r="N908" s="2"/>
      <c r="O908" s="32"/>
      <c r="P908" s="32"/>
      <c r="Q908" s="32"/>
      <c r="R908" s="32"/>
      <c r="S908" s="2"/>
      <c r="T908" s="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32"/>
      <c r="F909" s="32"/>
      <c r="G909" s="32"/>
      <c r="H909" s="73"/>
      <c r="I909" s="32"/>
      <c r="J909" s="32"/>
      <c r="K909" s="32"/>
      <c r="L909" s="32"/>
      <c r="M909" s="2"/>
      <c r="N909" s="2"/>
      <c r="O909" s="32"/>
      <c r="P909" s="32"/>
      <c r="Q909" s="32"/>
      <c r="R909" s="32"/>
      <c r="S909" s="2"/>
      <c r="T909" s="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32"/>
      <c r="F910" s="32"/>
      <c r="G910" s="32"/>
      <c r="H910" s="73"/>
      <c r="I910" s="32"/>
      <c r="J910" s="32"/>
      <c r="K910" s="32"/>
      <c r="L910" s="32"/>
      <c r="M910" s="2"/>
      <c r="N910" s="2"/>
      <c r="O910" s="32"/>
      <c r="P910" s="32"/>
      <c r="Q910" s="32"/>
      <c r="R910" s="32"/>
      <c r="S910" s="2"/>
      <c r="T910" s="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32"/>
      <c r="F911" s="32"/>
      <c r="G911" s="32"/>
      <c r="H911" s="73"/>
      <c r="I911" s="32"/>
      <c r="J911" s="32"/>
      <c r="K911" s="32"/>
      <c r="L911" s="32"/>
      <c r="M911" s="2"/>
      <c r="N911" s="2"/>
      <c r="O911" s="32"/>
      <c r="P911" s="32"/>
      <c r="Q911" s="32"/>
      <c r="R911" s="32"/>
      <c r="S911" s="2"/>
      <c r="T911" s="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32"/>
      <c r="F912" s="32"/>
      <c r="G912" s="32"/>
      <c r="H912" s="73"/>
      <c r="I912" s="32"/>
      <c r="J912" s="32"/>
      <c r="K912" s="32"/>
      <c r="L912" s="32"/>
      <c r="M912" s="2"/>
      <c r="N912" s="2"/>
      <c r="O912" s="32"/>
      <c r="P912" s="32"/>
      <c r="Q912" s="32"/>
      <c r="R912" s="32"/>
      <c r="S912" s="2"/>
      <c r="T912" s="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32"/>
      <c r="F913" s="32"/>
      <c r="G913" s="32"/>
      <c r="H913" s="73"/>
      <c r="I913" s="32"/>
      <c r="J913" s="32"/>
      <c r="K913" s="32"/>
      <c r="L913" s="32"/>
      <c r="M913" s="2"/>
      <c r="N913" s="2"/>
      <c r="O913" s="32"/>
      <c r="P913" s="32"/>
      <c r="Q913" s="32"/>
      <c r="R913" s="32"/>
      <c r="S913" s="2"/>
      <c r="T913" s="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32"/>
      <c r="F914" s="32"/>
      <c r="G914" s="32"/>
      <c r="H914" s="73"/>
      <c r="I914" s="32"/>
      <c r="J914" s="32"/>
      <c r="K914" s="32"/>
      <c r="L914" s="32"/>
      <c r="M914" s="2"/>
      <c r="N914" s="2"/>
      <c r="O914" s="32"/>
      <c r="P914" s="32"/>
      <c r="Q914" s="32"/>
      <c r="R914" s="32"/>
      <c r="S914" s="2"/>
      <c r="T914" s="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32"/>
      <c r="F915" s="32"/>
      <c r="G915" s="32"/>
      <c r="H915" s="73"/>
      <c r="I915" s="32"/>
      <c r="J915" s="32"/>
      <c r="K915" s="32"/>
      <c r="L915" s="32"/>
      <c r="M915" s="2"/>
      <c r="N915" s="2"/>
      <c r="O915" s="32"/>
      <c r="P915" s="32"/>
      <c r="Q915" s="32"/>
      <c r="R915" s="32"/>
      <c r="S915" s="2"/>
      <c r="T915" s="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32"/>
      <c r="F916" s="32"/>
      <c r="G916" s="32"/>
      <c r="H916" s="73"/>
      <c r="I916" s="32"/>
      <c r="J916" s="32"/>
      <c r="K916" s="32"/>
      <c r="L916" s="32"/>
      <c r="M916" s="2"/>
      <c r="N916" s="2"/>
      <c r="O916" s="32"/>
      <c r="P916" s="32"/>
      <c r="Q916" s="32"/>
      <c r="R916" s="32"/>
      <c r="S916" s="2"/>
      <c r="T916" s="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32"/>
      <c r="F917" s="32"/>
      <c r="G917" s="32"/>
      <c r="H917" s="73"/>
      <c r="I917" s="32"/>
      <c r="J917" s="32"/>
      <c r="K917" s="32"/>
      <c r="L917" s="32"/>
      <c r="M917" s="2"/>
      <c r="N917" s="2"/>
      <c r="O917" s="32"/>
      <c r="P917" s="32"/>
      <c r="Q917" s="32"/>
      <c r="R917" s="32"/>
      <c r="S917" s="2"/>
      <c r="T917" s="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32"/>
      <c r="F918" s="32"/>
      <c r="G918" s="32"/>
      <c r="H918" s="73"/>
      <c r="I918" s="32"/>
      <c r="J918" s="32"/>
      <c r="K918" s="32"/>
      <c r="L918" s="32"/>
      <c r="M918" s="2"/>
      <c r="N918" s="2"/>
      <c r="O918" s="32"/>
      <c r="P918" s="32"/>
      <c r="Q918" s="32"/>
      <c r="R918" s="32"/>
      <c r="S918" s="2"/>
      <c r="T918" s="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32"/>
      <c r="F919" s="32"/>
      <c r="G919" s="32"/>
      <c r="H919" s="73"/>
      <c r="I919" s="32"/>
      <c r="J919" s="32"/>
      <c r="K919" s="32"/>
      <c r="L919" s="32"/>
      <c r="M919" s="2"/>
      <c r="N919" s="2"/>
      <c r="O919" s="32"/>
      <c r="P919" s="32"/>
      <c r="Q919" s="32"/>
      <c r="R919" s="32"/>
      <c r="S919" s="2"/>
      <c r="T919" s="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32"/>
      <c r="F920" s="32"/>
      <c r="G920" s="32"/>
      <c r="H920" s="73"/>
      <c r="I920" s="32"/>
      <c r="J920" s="32"/>
      <c r="K920" s="32"/>
      <c r="L920" s="32"/>
      <c r="M920" s="2"/>
      <c r="N920" s="2"/>
      <c r="O920" s="32"/>
      <c r="P920" s="32"/>
      <c r="Q920" s="32"/>
      <c r="R920" s="32"/>
      <c r="S920" s="2"/>
      <c r="T920" s="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32"/>
      <c r="F921" s="32"/>
      <c r="G921" s="32"/>
      <c r="H921" s="73"/>
      <c r="I921" s="32"/>
      <c r="J921" s="32"/>
      <c r="K921" s="32"/>
      <c r="L921" s="32"/>
      <c r="M921" s="2"/>
      <c r="N921" s="2"/>
      <c r="O921" s="32"/>
      <c r="P921" s="32"/>
      <c r="Q921" s="32"/>
      <c r="R921" s="32"/>
      <c r="S921" s="2"/>
      <c r="T921" s="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32"/>
      <c r="F922" s="32"/>
      <c r="G922" s="32"/>
      <c r="H922" s="73"/>
      <c r="I922" s="32"/>
      <c r="J922" s="32"/>
      <c r="K922" s="32"/>
      <c r="L922" s="32"/>
      <c r="M922" s="2"/>
      <c r="N922" s="2"/>
      <c r="O922" s="32"/>
      <c r="P922" s="32"/>
      <c r="Q922" s="32"/>
      <c r="R922" s="32"/>
      <c r="S922" s="2"/>
      <c r="T922" s="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32"/>
      <c r="F923" s="32"/>
      <c r="G923" s="32"/>
      <c r="H923" s="73"/>
      <c r="I923" s="32"/>
      <c r="J923" s="32"/>
      <c r="K923" s="32"/>
      <c r="L923" s="32"/>
      <c r="M923" s="2"/>
      <c r="N923" s="2"/>
      <c r="O923" s="32"/>
      <c r="P923" s="32"/>
      <c r="Q923" s="32"/>
      <c r="R923" s="32"/>
      <c r="S923" s="2"/>
      <c r="T923" s="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32"/>
      <c r="F924" s="32"/>
      <c r="G924" s="32"/>
      <c r="H924" s="73"/>
      <c r="I924" s="32"/>
      <c r="J924" s="32"/>
      <c r="K924" s="32"/>
      <c r="L924" s="32"/>
      <c r="M924" s="2"/>
      <c r="N924" s="2"/>
      <c r="O924" s="32"/>
      <c r="P924" s="32"/>
      <c r="Q924" s="32"/>
      <c r="R924" s="32"/>
      <c r="S924" s="2"/>
      <c r="T924" s="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32"/>
      <c r="F925" s="32"/>
      <c r="G925" s="32"/>
      <c r="H925" s="73"/>
      <c r="I925" s="32"/>
      <c r="J925" s="32"/>
      <c r="K925" s="32"/>
      <c r="L925" s="32"/>
      <c r="M925" s="2"/>
      <c r="N925" s="2"/>
      <c r="O925" s="32"/>
      <c r="P925" s="32"/>
      <c r="Q925" s="32"/>
      <c r="R925" s="32"/>
      <c r="S925" s="2"/>
      <c r="T925" s="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32"/>
      <c r="F926" s="32"/>
      <c r="G926" s="32"/>
      <c r="H926" s="73"/>
      <c r="I926" s="32"/>
      <c r="J926" s="32"/>
      <c r="K926" s="32"/>
      <c r="L926" s="32"/>
      <c r="M926" s="2"/>
      <c r="N926" s="2"/>
      <c r="O926" s="32"/>
      <c r="P926" s="32"/>
      <c r="Q926" s="32"/>
      <c r="R926" s="32"/>
      <c r="S926" s="2"/>
      <c r="T926" s="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32"/>
      <c r="F927" s="32"/>
      <c r="G927" s="32"/>
      <c r="H927" s="73"/>
      <c r="I927" s="32"/>
      <c r="J927" s="32"/>
      <c r="K927" s="32"/>
      <c r="L927" s="32"/>
      <c r="M927" s="2"/>
      <c r="N927" s="2"/>
      <c r="O927" s="32"/>
      <c r="P927" s="32"/>
      <c r="Q927" s="32"/>
      <c r="R927" s="32"/>
      <c r="S927" s="2"/>
      <c r="T927" s="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32"/>
      <c r="F928" s="32"/>
      <c r="G928" s="32"/>
      <c r="H928" s="73"/>
      <c r="I928" s="32"/>
      <c r="J928" s="32"/>
      <c r="K928" s="32"/>
      <c r="L928" s="32"/>
      <c r="M928" s="2"/>
      <c r="N928" s="2"/>
      <c r="O928" s="32"/>
      <c r="P928" s="32"/>
      <c r="Q928" s="32"/>
      <c r="R928" s="32"/>
      <c r="S928" s="2"/>
      <c r="T928" s="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32"/>
      <c r="F929" s="32"/>
      <c r="G929" s="32"/>
      <c r="H929" s="73"/>
      <c r="I929" s="32"/>
      <c r="J929" s="32"/>
      <c r="K929" s="32"/>
      <c r="L929" s="32"/>
      <c r="M929" s="2"/>
      <c r="N929" s="2"/>
      <c r="O929" s="32"/>
      <c r="P929" s="32"/>
      <c r="Q929" s="32"/>
      <c r="R929" s="32"/>
      <c r="S929" s="2"/>
      <c r="T929" s="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32"/>
      <c r="F930" s="32"/>
      <c r="G930" s="32"/>
      <c r="H930" s="73"/>
      <c r="I930" s="32"/>
      <c r="J930" s="32"/>
      <c r="K930" s="32"/>
      <c r="L930" s="32"/>
      <c r="M930" s="2"/>
      <c r="N930" s="2"/>
      <c r="O930" s="32"/>
      <c r="P930" s="32"/>
      <c r="Q930" s="32"/>
      <c r="R930" s="32"/>
      <c r="S930" s="2"/>
      <c r="T930" s="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32"/>
      <c r="F931" s="32"/>
      <c r="G931" s="32"/>
      <c r="H931" s="73"/>
      <c r="I931" s="32"/>
      <c r="J931" s="32"/>
      <c r="K931" s="32"/>
      <c r="L931" s="32"/>
      <c r="M931" s="2"/>
      <c r="N931" s="2"/>
      <c r="O931" s="32"/>
      <c r="P931" s="32"/>
      <c r="Q931" s="32"/>
      <c r="R931" s="32"/>
      <c r="S931" s="2"/>
      <c r="T931" s="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32"/>
      <c r="F932" s="32"/>
      <c r="G932" s="32"/>
      <c r="H932" s="73"/>
      <c r="I932" s="32"/>
      <c r="J932" s="32"/>
      <c r="K932" s="32"/>
      <c r="L932" s="32"/>
      <c r="M932" s="2"/>
      <c r="N932" s="2"/>
      <c r="O932" s="32"/>
      <c r="P932" s="32"/>
      <c r="Q932" s="32"/>
      <c r="R932" s="32"/>
      <c r="S932" s="2"/>
      <c r="T932" s="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32"/>
      <c r="F933" s="32"/>
      <c r="G933" s="32"/>
      <c r="H933" s="73"/>
      <c r="I933" s="32"/>
      <c r="J933" s="32"/>
      <c r="K933" s="32"/>
      <c r="L933" s="32"/>
      <c r="M933" s="2"/>
      <c r="N933" s="2"/>
      <c r="O933" s="32"/>
      <c r="P933" s="32"/>
      <c r="Q933" s="32"/>
      <c r="R933" s="32"/>
      <c r="S933" s="2"/>
      <c r="T933" s="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32"/>
      <c r="F934" s="32"/>
      <c r="G934" s="32"/>
      <c r="H934" s="73"/>
      <c r="I934" s="32"/>
      <c r="J934" s="32"/>
      <c r="K934" s="32"/>
      <c r="L934" s="32"/>
      <c r="M934" s="2"/>
      <c r="N934" s="2"/>
      <c r="O934" s="32"/>
      <c r="P934" s="32"/>
      <c r="Q934" s="32"/>
      <c r="R934" s="32"/>
      <c r="S934" s="2"/>
      <c r="T934" s="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32"/>
      <c r="F935" s="32"/>
      <c r="G935" s="32"/>
      <c r="H935" s="73"/>
      <c r="I935" s="32"/>
      <c r="J935" s="32"/>
      <c r="K935" s="32"/>
      <c r="L935" s="32"/>
      <c r="M935" s="2"/>
      <c r="N935" s="2"/>
      <c r="O935" s="32"/>
      <c r="P935" s="32"/>
      <c r="Q935" s="32"/>
      <c r="R935" s="32"/>
      <c r="S935" s="2"/>
      <c r="T935" s="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32"/>
      <c r="F936" s="32"/>
      <c r="G936" s="32"/>
      <c r="H936" s="73"/>
      <c r="I936" s="32"/>
      <c r="J936" s="32"/>
      <c r="K936" s="32"/>
      <c r="L936" s="32"/>
      <c r="M936" s="2"/>
      <c r="N936" s="2"/>
      <c r="O936" s="32"/>
      <c r="P936" s="32"/>
      <c r="Q936" s="32"/>
      <c r="R936" s="32"/>
      <c r="S936" s="2"/>
      <c r="T936" s="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32"/>
      <c r="F937" s="32"/>
      <c r="G937" s="32"/>
      <c r="H937" s="73"/>
      <c r="I937" s="32"/>
      <c r="J937" s="32"/>
      <c r="K937" s="32"/>
      <c r="L937" s="32"/>
      <c r="M937" s="2"/>
      <c r="N937" s="2"/>
      <c r="O937" s="32"/>
      <c r="P937" s="32"/>
      <c r="Q937" s="32"/>
      <c r="R937" s="32"/>
      <c r="S937" s="2"/>
      <c r="T937" s="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32"/>
      <c r="F938" s="32"/>
      <c r="G938" s="32"/>
      <c r="H938" s="73"/>
      <c r="I938" s="32"/>
      <c r="J938" s="32"/>
      <c r="K938" s="32"/>
      <c r="L938" s="32"/>
      <c r="M938" s="2"/>
      <c r="N938" s="2"/>
      <c r="O938" s="32"/>
      <c r="P938" s="32"/>
      <c r="Q938" s="32"/>
      <c r="R938" s="32"/>
      <c r="S938" s="2"/>
      <c r="T938" s="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32"/>
      <c r="F939" s="32"/>
      <c r="G939" s="32"/>
      <c r="H939" s="73"/>
      <c r="I939" s="32"/>
      <c r="J939" s="32"/>
      <c r="K939" s="32"/>
      <c r="L939" s="32"/>
      <c r="M939" s="2"/>
      <c r="N939" s="2"/>
      <c r="O939" s="32"/>
      <c r="P939" s="32"/>
      <c r="Q939" s="32"/>
      <c r="R939" s="32"/>
      <c r="S939" s="2"/>
      <c r="T939" s="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32"/>
      <c r="F940" s="32"/>
      <c r="G940" s="32"/>
      <c r="H940" s="73"/>
      <c r="I940" s="32"/>
      <c r="J940" s="32"/>
      <c r="K940" s="32"/>
      <c r="L940" s="32"/>
      <c r="M940" s="2"/>
      <c r="N940" s="2"/>
      <c r="O940" s="32"/>
      <c r="P940" s="32"/>
      <c r="Q940" s="32"/>
      <c r="R940" s="32"/>
      <c r="S940" s="2"/>
      <c r="T940" s="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32"/>
      <c r="F941" s="32"/>
      <c r="G941" s="32"/>
      <c r="H941" s="73"/>
      <c r="I941" s="32"/>
      <c r="J941" s="32"/>
      <c r="K941" s="32"/>
      <c r="L941" s="32"/>
      <c r="M941" s="2"/>
      <c r="N941" s="2"/>
      <c r="O941" s="32"/>
      <c r="P941" s="32"/>
      <c r="Q941" s="32"/>
      <c r="R941" s="32"/>
      <c r="S941" s="2"/>
      <c r="T941" s="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32"/>
      <c r="F942" s="32"/>
      <c r="G942" s="32"/>
      <c r="H942" s="73"/>
      <c r="I942" s="32"/>
      <c r="J942" s="32"/>
      <c r="K942" s="32"/>
      <c r="L942" s="32"/>
      <c r="M942" s="2"/>
      <c r="N942" s="2"/>
      <c r="O942" s="32"/>
      <c r="P942" s="32"/>
      <c r="Q942" s="32"/>
      <c r="R942" s="32"/>
      <c r="S942" s="2"/>
      <c r="T942" s="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32"/>
      <c r="F943" s="32"/>
      <c r="G943" s="32"/>
      <c r="H943" s="73"/>
      <c r="I943" s="32"/>
      <c r="J943" s="32"/>
      <c r="K943" s="32"/>
      <c r="L943" s="32"/>
      <c r="M943" s="2"/>
      <c r="N943" s="2"/>
      <c r="O943" s="32"/>
      <c r="P943" s="32"/>
      <c r="Q943" s="32"/>
      <c r="R943" s="32"/>
      <c r="S943" s="2"/>
      <c r="T943" s="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32"/>
      <c r="F944" s="32"/>
      <c r="G944" s="32"/>
      <c r="H944" s="73"/>
      <c r="I944" s="32"/>
      <c r="J944" s="32"/>
      <c r="K944" s="32"/>
      <c r="L944" s="32"/>
      <c r="M944" s="2"/>
      <c r="N944" s="2"/>
      <c r="O944" s="32"/>
      <c r="P944" s="32"/>
      <c r="Q944" s="32"/>
      <c r="R944" s="32"/>
      <c r="S944" s="2"/>
      <c r="T944" s="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32"/>
      <c r="F945" s="32"/>
      <c r="G945" s="32"/>
      <c r="H945" s="73"/>
      <c r="I945" s="32"/>
      <c r="J945" s="32"/>
      <c r="K945" s="32"/>
      <c r="L945" s="32"/>
      <c r="M945" s="2"/>
      <c r="N945" s="2"/>
      <c r="O945" s="32"/>
      <c r="P945" s="32"/>
      <c r="Q945" s="32"/>
      <c r="R945" s="32"/>
      <c r="S945" s="2"/>
      <c r="T945" s="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32"/>
      <c r="F946" s="32"/>
      <c r="G946" s="32"/>
      <c r="H946" s="73"/>
      <c r="I946" s="32"/>
      <c r="J946" s="32"/>
      <c r="K946" s="32"/>
      <c r="L946" s="32"/>
      <c r="M946" s="2"/>
      <c r="N946" s="2"/>
      <c r="O946" s="32"/>
      <c r="P946" s="32"/>
      <c r="Q946" s="32"/>
      <c r="R946" s="32"/>
      <c r="S946" s="2"/>
      <c r="T946" s="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32"/>
      <c r="F947" s="32"/>
      <c r="G947" s="32"/>
      <c r="H947" s="73"/>
      <c r="I947" s="32"/>
      <c r="J947" s="32"/>
      <c r="K947" s="32"/>
      <c r="L947" s="32"/>
      <c r="M947" s="2"/>
      <c r="N947" s="2"/>
      <c r="O947" s="32"/>
      <c r="P947" s="32"/>
      <c r="Q947" s="32"/>
      <c r="R947" s="32"/>
      <c r="S947" s="2"/>
      <c r="T947" s="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32"/>
      <c r="F948" s="32"/>
      <c r="G948" s="32"/>
      <c r="H948" s="73"/>
      <c r="I948" s="32"/>
      <c r="J948" s="32"/>
      <c r="K948" s="32"/>
      <c r="L948" s="32"/>
      <c r="M948" s="2"/>
      <c r="N948" s="2"/>
      <c r="O948" s="32"/>
      <c r="P948" s="32"/>
      <c r="Q948" s="32"/>
      <c r="R948" s="32"/>
      <c r="S948" s="2"/>
      <c r="T948" s="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32"/>
      <c r="F949" s="32"/>
      <c r="G949" s="32"/>
      <c r="H949" s="73"/>
      <c r="I949" s="32"/>
      <c r="J949" s="32"/>
      <c r="K949" s="32"/>
      <c r="L949" s="32"/>
      <c r="M949" s="2"/>
      <c r="N949" s="2"/>
      <c r="O949" s="32"/>
      <c r="P949" s="32"/>
      <c r="Q949" s="32"/>
      <c r="R949" s="32"/>
      <c r="S949" s="2"/>
      <c r="T949" s="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32"/>
      <c r="F950" s="32"/>
      <c r="G950" s="32"/>
      <c r="H950" s="73"/>
      <c r="I950" s="32"/>
      <c r="J950" s="32"/>
      <c r="K950" s="32"/>
      <c r="L950" s="32"/>
      <c r="M950" s="2"/>
      <c r="N950" s="2"/>
      <c r="O950" s="32"/>
      <c r="P950" s="32"/>
      <c r="Q950" s="32"/>
      <c r="R950" s="32"/>
      <c r="S950" s="2"/>
      <c r="T950" s="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32"/>
      <c r="F951" s="32"/>
      <c r="G951" s="32"/>
      <c r="H951" s="73"/>
      <c r="I951" s="32"/>
      <c r="J951" s="32"/>
      <c r="K951" s="32"/>
      <c r="L951" s="32"/>
      <c r="M951" s="2"/>
      <c r="N951" s="2"/>
      <c r="O951" s="32"/>
      <c r="P951" s="32"/>
      <c r="Q951" s="32"/>
      <c r="R951" s="32"/>
      <c r="S951" s="2"/>
      <c r="T951" s="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32"/>
      <c r="F952" s="32"/>
      <c r="G952" s="32"/>
      <c r="H952" s="73"/>
      <c r="I952" s="32"/>
      <c r="J952" s="32"/>
      <c r="K952" s="32"/>
      <c r="L952" s="32"/>
      <c r="M952" s="2"/>
      <c r="N952" s="2"/>
      <c r="O952" s="32"/>
      <c r="P952" s="32"/>
      <c r="Q952" s="32"/>
      <c r="R952" s="32"/>
      <c r="S952" s="2"/>
      <c r="T952" s="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32"/>
      <c r="F953" s="32"/>
      <c r="G953" s="32"/>
      <c r="H953" s="73"/>
      <c r="I953" s="32"/>
      <c r="J953" s="32"/>
      <c r="K953" s="32"/>
      <c r="L953" s="32"/>
      <c r="M953" s="2"/>
      <c r="N953" s="2"/>
      <c r="O953" s="32"/>
      <c r="P953" s="32"/>
      <c r="Q953" s="32"/>
      <c r="R953" s="32"/>
      <c r="S953" s="2"/>
      <c r="T953" s="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32"/>
      <c r="F954" s="32"/>
      <c r="G954" s="32"/>
      <c r="H954" s="73"/>
      <c r="I954" s="32"/>
      <c r="J954" s="32"/>
      <c r="K954" s="32"/>
      <c r="L954" s="32"/>
      <c r="M954" s="2"/>
      <c r="N954" s="2"/>
      <c r="O954" s="32"/>
      <c r="P954" s="32"/>
      <c r="Q954" s="32"/>
      <c r="R954" s="32"/>
      <c r="S954" s="2"/>
      <c r="T954" s="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32"/>
      <c r="F955" s="32"/>
      <c r="G955" s="32"/>
      <c r="H955" s="73"/>
      <c r="I955" s="32"/>
      <c r="J955" s="32"/>
      <c r="K955" s="32"/>
      <c r="L955" s="32"/>
      <c r="M955" s="2"/>
      <c r="N955" s="2"/>
      <c r="O955" s="32"/>
      <c r="P955" s="32"/>
      <c r="Q955" s="32"/>
      <c r="R955" s="32"/>
      <c r="S955" s="2"/>
      <c r="T955" s="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32"/>
      <c r="F956" s="32"/>
      <c r="G956" s="32"/>
      <c r="H956" s="73"/>
      <c r="I956" s="32"/>
      <c r="J956" s="32"/>
      <c r="K956" s="32"/>
      <c r="L956" s="32"/>
      <c r="M956" s="2"/>
      <c r="N956" s="2"/>
      <c r="O956" s="32"/>
      <c r="P956" s="32"/>
      <c r="Q956" s="32"/>
      <c r="R956" s="32"/>
      <c r="S956" s="2"/>
      <c r="T956" s="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32"/>
      <c r="F957" s="32"/>
      <c r="G957" s="32"/>
      <c r="H957" s="73"/>
      <c r="I957" s="32"/>
      <c r="J957" s="32"/>
      <c r="K957" s="32"/>
      <c r="L957" s="32"/>
      <c r="M957" s="2"/>
      <c r="N957" s="2"/>
      <c r="O957" s="32"/>
      <c r="P957" s="32"/>
      <c r="Q957" s="32"/>
      <c r="R957" s="32"/>
      <c r="S957" s="2"/>
      <c r="T957" s="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32"/>
      <c r="F958" s="32"/>
      <c r="G958" s="32"/>
      <c r="H958" s="73"/>
      <c r="I958" s="32"/>
      <c r="J958" s="32"/>
      <c r="K958" s="32"/>
      <c r="L958" s="32"/>
      <c r="M958" s="2"/>
      <c r="N958" s="2"/>
      <c r="O958" s="32"/>
      <c r="P958" s="32"/>
      <c r="Q958" s="32"/>
      <c r="R958" s="32"/>
      <c r="S958" s="2"/>
      <c r="T958" s="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32"/>
      <c r="F959" s="32"/>
      <c r="G959" s="32"/>
      <c r="H959" s="73"/>
      <c r="I959" s="32"/>
      <c r="J959" s="32"/>
      <c r="K959" s="32"/>
      <c r="L959" s="32"/>
      <c r="M959" s="2"/>
      <c r="N959" s="2"/>
      <c r="O959" s="32"/>
      <c r="P959" s="32"/>
      <c r="Q959" s="32"/>
      <c r="R959" s="32"/>
      <c r="S959" s="2"/>
      <c r="T959" s="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32"/>
      <c r="F960" s="32"/>
      <c r="G960" s="32"/>
      <c r="H960" s="73"/>
      <c r="I960" s="32"/>
      <c r="J960" s="32"/>
      <c r="K960" s="32"/>
      <c r="L960" s="32"/>
      <c r="M960" s="2"/>
      <c r="N960" s="2"/>
      <c r="O960" s="32"/>
      <c r="P960" s="32"/>
      <c r="Q960" s="32"/>
      <c r="R960" s="32"/>
      <c r="S960" s="2"/>
      <c r="T960" s="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32"/>
      <c r="F961" s="32"/>
      <c r="G961" s="32"/>
      <c r="H961" s="73"/>
      <c r="I961" s="32"/>
      <c r="J961" s="32"/>
      <c r="K961" s="32"/>
      <c r="L961" s="32"/>
      <c r="M961" s="2"/>
      <c r="N961" s="2"/>
      <c r="O961" s="32"/>
      <c r="P961" s="32"/>
      <c r="Q961" s="32"/>
      <c r="R961" s="32"/>
      <c r="S961" s="2"/>
      <c r="T961" s="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32"/>
      <c r="F962" s="32"/>
      <c r="G962" s="32"/>
      <c r="H962" s="73"/>
      <c r="I962" s="32"/>
      <c r="J962" s="32"/>
      <c r="K962" s="32"/>
      <c r="L962" s="32"/>
      <c r="M962" s="2"/>
      <c r="N962" s="2"/>
      <c r="O962" s="32"/>
      <c r="P962" s="32"/>
      <c r="Q962" s="32"/>
      <c r="R962" s="32"/>
      <c r="S962" s="2"/>
      <c r="T962" s="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32"/>
      <c r="F963" s="32"/>
      <c r="G963" s="32"/>
      <c r="H963" s="73"/>
      <c r="I963" s="32"/>
      <c r="J963" s="32"/>
      <c r="K963" s="32"/>
      <c r="L963" s="32"/>
      <c r="M963" s="2"/>
      <c r="N963" s="2"/>
      <c r="O963" s="32"/>
      <c r="P963" s="32"/>
      <c r="Q963" s="32"/>
      <c r="R963" s="32"/>
      <c r="S963" s="2"/>
      <c r="T963" s="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32"/>
      <c r="F964" s="32"/>
      <c r="G964" s="32"/>
      <c r="H964" s="73"/>
      <c r="I964" s="32"/>
      <c r="J964" s="32"/>
      <c r="K964" s="32"/>
      <c r="L964" s="32"/>
      <c r="M964" s="2"/>
      <c r="N964" s="2"/>
      <c r="O964" s="32"/>
      <c r="P964" s="32"/>
      <c r="Q964" s="32"/>
      <c r="R964" s="32"/>
      <c r="S964" s="2"/>
      <c r="T964" s="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32"/>
      <c r="F965" s="32"/>
      <c r="G965" s="32"/>
      <c r="H965" s="73"/>
      <c r="I965" s="32"/>
      <c r="J965" s="32"/>
      <c r="K965" s="32"/>
      <c r="L965" s="32"/>
      <c r="M965" s="2"/>
      <c r="N965" s="2"/>
      <c r="O965" s="32"/>
      <c r="P965" s="32"/>
      <c r="Q965" s="32"/>
      <c r="R965" s="32"/>
      <c r="S965" s="2"/>
      <c r="T965" s="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32"/>
      <c r="F966" s="32"/>
      <c r="G966" s="32"/>
      <c r="H966" s="73"/>
      <c r="I966" s="32"/>
      <c r="J966" s="32"/>
      <c r="K966" s="32"/>
      <c r="L966" s="32"/>
      <c r="M966" s="2"/>
      <c r="N966" s="2"/>
      <c r="O966" s="32"/>
      <c r="P966" s="32"/>
      <c r="Q966" s="32"/>
      <c r="R966" s="32"/>
      <c r="S966" s="2"/>
      <c r="T966" s="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32"/>
      <c r="F967" s="32"/>
      <c r="G967" s="32"/>
      <c r="H967" s="73"/>
      <c r="I967" s="32"/>
      <c r="J967" s="32"/>
      <c r="K967" s="32"/>
      <c r="L967" s="32"/>
      <c r="M967" s="2"/>
      <c r="N967" s="2"/>
      <c r="O967" s="32"/>
      <c r="P967" s="32"/>
      <c r="Q967" s="32"/>
      <c r="R967" s="32"/>
      <c r="S967" s="2"/>
      <c r="T967" s="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32"/>
      <c r="F968" s="32"/>
      <c r="G968" s="32"/>
      <c r="H968" s="73"/>
      <c r="I968" s="32"/>
      <c r="J968" s="32"/>
      <c r="K968" s="32"/>
      <c r="L968" s="32"/>
      <c r="M968" s="2"/>
      <c r="N968" s="2"/>
      <c r="O968" s="32"/>
      <c r="P968" s="32"/>
      <c r="Q968" s="32"/>
      <c r="R968" s="32"/>
      <c r="S968" s="2"/>
      <c r="T968" s="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32"/>
      <c r="F969" s="32"/>
      <c r="G969" s="32"/>
      <c r="H969" s="73"/>
      <c r="I969" s="32"/>
      <c r="J969" s="32"/>
      <c r="K969" s="32"/>
      <c r="L969" s="32"/>
      <c r="M969" s="2"/>
      <c r="N969" s="2"/>
      <c r="O969" s="32"/>
      <c r="P969" s="32"/>
      <c r="Q969" s="32"/>
      <c r="R969" s="32"/>
      <c r="S969" s="2"/>
      <c r="T969" s="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32"/>
      <c r="F970" s="32"/>
      <c r="G970" s="32"/>
      <c r="H970" s="73"/>
      <c r="I970" s="32"/>
      <c r="J970" s="32"/>
      <c r="K970" s="32"/>
      <c r="L970" s="32"/>
      <c r="M970" s="2"/>
      <c r="N970" s="2"/>
      <c r="O970" s="32"/>
      <c r="P970" s="32"/>
      <c r="Q970" s="32"/>
      <c r="R970" s="32"/>
      <c r="S970" s="2"/>
      <c r="T970" s="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32"/>
      <c r="F971" s="32"/>
      <c r="G971" s="32"/>
      <c r="H971" s="73"/>
      <c r="I971" s="32"/>
      <c r="J971" s="32"/>
      <c r="K971" s="32"/>
      <c r="L971" s="32"/>
      <c r="M971" s="2"/>
      <c r="N971" s="2"/>
      <c r="O971" s="32"/>
      <c r="P971" s="32"/>
      <c r="Q971" s="32"/>
      <c r="R971" s="32"/>
      <c r="S971" s="2"/>
      <c r="T971" s="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32"/>
      <c r="F972" s="32"/>
      <c r="G972" s="32"/>
      <c r="H972" s="73"/>
      <c r="I972" s="32"/>
      <c r="J972" s="32"/>
      <c r="K972" s="32"/>
      <c r="L972" s="32"/>
      <c r="M972" s="2"/>
      <c r="N972" s="2"/>
      <c r="O972" s="32"/>
      <c r="P972" s="32"/>
      <c r="Q972" s="32"/>
      <c r="R972" s="32"/>
      <c r="S972" s="2"/>
      <c r="T972" s="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32"/>
      <c r="F973" s="32"/>
      <c r="G973" s="32"/>
      <c r="H973" s="73"/>
      <c r="I973" s="32"/>
      <c r="J973" s="32"/>
      <c r="K973" s="32"/>
      <c r="L973" s="32"/>
      <c r="M973" s="2"/>
      <c r="N973" s="2"/>
      <c r="O973" s="32"/>
      <c r="P973" s="32"/>
      <c r="Q973" s="32"/>
      <c r="R973" s="32"/>
      <c r="S973" s="2"/>
      <c r="T973" s="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32"/>
      <c r="F974" s="32"/>
      <c r="G974" s="32"/>
      <c r="H974" s="73"/>
      <c r="I974" s="32"/>
      <c r="J974" s="32"/>
      <c r="K974" s="32"/>
      <c r="L974" s="32"/>
      <c r="M974" s="2"/>
      <c r="N974" s="2"/>
      <c r="O974" s="32"/>
      <c r="P974" s="32"/>
      <c r="Q974" s="32"/>
      <c r="R974" s="32"/>
      <c r="S974" s="2"/>
      <c r="T974" s="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32"/>
      <c r="F975" s="32"/>
      <c r="G975" s="32"/>
      <c r="H975" s="73"/>
      <c r="I975" s="32"/>
      <c r="J975" s="32"/>
      <c r="K975" s="32"/>
      <c r="L975" s="32"/>
      <c r="M975" s="2"/>
      <c r="N975" s="2"/>
      <c r="O975" s="32"/>
      <c r="P975" s="32"/>
      <c r="Q975" s="32"/>
      <c r="R975" s="32"/>
      <c r="S975" s="2"/>
      <c r="T975" s="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32"/>
      <c r="F976" s="32"/>
      <c r="G976" s="32"/>
      <c r="H976" s="73"/>
      <c r="I976" s="32"/>
      <c r="J976" s="32"/>
      <c r="K976" s="32"/>
      <c r="L976" s="32"/>
      <c r="M976" s="2"/>
      <c r="N976" s="2"/>
      <c r="O976" s="32"/>
      <c r="P976" s="32"/>
      <c r="Q976" s="32"/>
      <c r="R976" s="32"/>
      <c r="S976" s="2"/>
      <c r="T976" s="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32"/>
      <c r="F977" s="32"/>
      <c r="G977" s="32"/>
      <c r="H977" s="73"/>
      <c r="I977" s="32"/>
      <c r="J977" s="32"/>
      <c r="K977" s="32"/>
      <c r="L977" s="32"/>
      <c r="M977" s="2"/>
      <c r="N977" s="2"/>
      <c r="O977" s="32"/>
      <c r="P977" s="32"/>
      <c r="Q977" s="32"/>
      <c r="R977" s="32"/>
      <c r="S977" s="2"/>
      <c r="T977" s="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32"/>
      <c r="F978" s="32"/>
      <c r="G978" s="32"/>
      <c r="H978" s="73"/>
      <c r="I978" s="32"/>
      <c r="J978" s="32"/>
      <c r="K978" s="32"/>
      <c r="L978" s="32"/>
      <c r="M978" s="2"/>
      <c r="N978" s="2"/>
      <c r="O978" s="32"/>
      <c r="P978" s="32"/>
      <c r="Q978" s="32"/>
      <c r="R978" s="32"/>
      <c r="S978" s="2"/>
      <c r="T978" s="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32"/>
      <c r="F979" s="32"/>
      <c r="G979" s="32"/>
      <c r="H979" s="73"/>
      <c r="I979" s="32"/>
      <c r="J979" s="32"/>
      <c r="K979" s="32"/>
      <c r="L979" s="32"/>
      <c r="M979" s="2"/>
      <c r="N979" s="2"/>
      <c r="O979" s="32"/>
      <c r="P979" s="32"/>
      <c r="Q979" s="32"/>
      <c r="R979" s="32"/>
      <c r="S979" s="2"/>
      <c r="T979" s="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32"/>
      <c r="F980" s="32"/>
      <c r="G980" s="32"/>
      <c r="H980" s="73"/>
      <c r="I980" s="32"/>
      <c r="J980" s="32"/>
      <c r="K980" s="32"/>
      <c r="L980" s="32"/>
      <c r="M980" s="2"/>
      <c r="N980" s="2"/>
      <c r="O980" s="32"/>
      <c r="P980" s="32"/>
      <c r="Q980" s="32"/>
      <c r="R980" s="32"/>
      <c r="S980" s="2"/>
      <c r="T980" s="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32"/>
      <c r="F981" s="32"/>
      <c r="G981" s="32"/>
      <c r="H981" s="73"/>
      <c r="I981" s="32"/>
      <c r="J981" s="32"/>
      <c r="K981" s="32"/>
      <c r="L981" s="32"/>
      <c r="M981" s="2"/>
      <c r="N981" s="2"/>
      <c r="O981" s="32"/>
      <c r="P981" s="32"/>
      <c r="Q981" s="32"/>
      <c r="R981" s="32"/>
      <c r="S981" s="2"/>
      <c r="T981" s="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32"/>
      <c r="F982" s="32"/>
      <c r="G982" s="32"/>
      <c r="H982" s="73"/>
      <c r="I982" s="32"/>
      <c r="J982" s="32"/>
      <c r="K982" s="32"/>
      <c r="L982" s="32"/>
      <c r="M982" s="2"/>
      <c r="N982" s="2"/>
      <c r="O982" s="32"/>
      <c r="P982" s="32"/>
      <c r="Q982" s="32"/>
      <c r="R982" s="32"/>
      <c r="S982" s="2"/>
      <c r="T982" s="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32"/>
      <c r="F983" s="32"/>
      <c r="G983" s="32"/>
      <c r="H983" s="73"/>
      <c r="I983" s="32"/>
      <c r="J983" s="32"/>
      <c r="K983" s="32"/>
      <c r="L983" s="32"/>
      <c r="M983" s="2"/>
      <c r="N983" s="2"/>
      <c r="O983" s="32"/>
      <c r="P983" s="32"/>
      <c r="Q983" s="32"/>
      <c r="R983" s="32"/>
      <c r="S983" s="2"/>
      <c r="T983" s="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32"/>
      <c r="F984" s="32"/>
      <c r="G984" s="32"/>
      <c r="H984" s="73"/>
      <c r="I984" s="32"/>
      <c r="J984" s="32"/>
      <c r="K984" s="32"/>
      <c r="L984" s="32"/>
      <c r="M984" s="2"/>
      <c r="N984" s="2"/>
      <c r="O984" s="32"/>
      <c r="P984" s="32"/>
      <c r="Q984" s="32"/>
      <c r="R984" s="32"/>
      <c r="S984" s="2"/>
      <c r="T984" s="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32"/>
      <c r="F985" s="32"/>
      <c r="G985" s="32"/>
      <c r="H985" s="73"/>
      <c r="I985" s="32"/>
      <c r="J985" s="32"/>
      <c r="K985" s="32"/>
      <c r="L985" s="32"/>
      <c r="M985" s="2"/>
      <c r="N985" s="2"/>
      <c r="O985" s="32"/>
      <c r="P985" s="32"/>
      <c r="Q985" s="32"/>
      <c r="R985" s="32"/>
      <c r="S985" s="2"/>
      <c r="T985" s="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32"/>
      <c r="F986" s="32"/>
      <c r="G986" s="32"/>
      <c r="H986" s="73"/>
      <c r="I986" s="32"/>
      <c r="J986" s="32"/>
      <c r="K986" s="32"/>
      <c r="L986" s="32"/>
      <c r="M986" s="2"/>
      <c r="N986" s="2"/>
      <c r="O986" s="32"/>
      <c r="P986" s="32"/>
      <c r="Q986" s="32"/>
      <c r="R986" s="32"/>
      <c r="S986" s="2"/>
      <c r="T986" s="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32"/>
      <c r="F987" s="32"/>
      <c r="G987" s="32"/>
      <c r="H987" s="73"/>
      <c r="I987" s="32"/>
      <c r="J987" s="32"/>
      <c r="K987" s="32"/>
      <c r="L987" s="32"/>
      <c r="M987" s="2"/>
      <c r="N987" s="2"/>
      <c r="O987" s="32"/>
      <c r="P987" s="32"/>
      <c r="Q987" s="32"/>
      <c r="R987" s="32"/>
      <c r="S987" s="2"/>
      <c r="T987" s="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32"/>
      <c r="F988" s="32"/>
      <c r="G988" s="32"/>
      <c r="H988" s="73"/>
      <c r="I988" s="32"/>
      <c r="J988" s="32"/>
      <c r="K988" s="32"/>
      <c r="L988" s="32"/>
      <c r="M988" s="2"/>
      <c r="N988" s="2"/>
      <c r="O988" s="32"/>
      <c r="P988" s="32"/>
      <c r="Q988" s="32"/>
      <c r="R988" s="32"/>
      <c r="S988" s="2"/>
      <c r="T988" s="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32"/>
      <c r="F989" s="32"/>
      <c r="G989" s="32"/>
      <c r="H989" s="73"/>
      <c r="I989" s="32"/>
      <c r="J989" s="32"/>
      <c r="K989" s="32"/>
      <c r="L989" s="32"/>
      <c r="M989" s="2"/>
      <c r="N989" s="2"/>
      <c r="O989" s="32"/>
      <c r="P989" s="32"/>
      <c r="Q989" s="32"/>
      <c r="R989" s="32"/>
      <c r="S989" s="2"/>
      <c r="T989" s="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32"/>
      <c r="F990" s="32"/>
      <c r="G990" s="32"/>
      <c r="H990" s="73"/>
      <c r="I990" s="32"/>
      <c r="J990" s="32"/>
      <c r="K990" s="32"/>
      <c r="L990" s="32"/>
      <c r="M990" s="2"/>
      <c r="N990" s="2"/>
      <c r="O990" s="32"/>
      <c r="P990" s="32"/>
      <c r="Q990" s="32"/>
      <c r="R990" s="32"/>
      <c r="S990" s="2"/>
      <c r="T990" s="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32"/>
      <c r="F991" s="32"/>
      <c r="G991" s="32"/>
      <c r="H991" s="73"/>
      <c r="I991" s="32"/>
      <c r="J991" s="32"/>
      <c r="K991" s="32"/>
      <c r="L991" s="32"/>
      <c r="M991" s="2"/>
      <c r="N991" s="2"/>
      <c r="O991" s="32"/>
      <c r="P991" s="32"/>
      <c r="Q991" s="32"/>
      <c r="R991" s="32"/>
      <c r="S991" s="2"/>
      <c r="T991" s="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32"/>
      <c r="F992" s="32"/>
      <c r="G992" s="32"/>
      <c r="H992" s="73"/>
      <c r="I992" s="32"/>
      <c r="J992" s="32"/>
      <c r="K992" s="32"/>
      <c r="L992" s="32"/>
      <c r="M992" s="2"/>
      <c r="N992" s="2"/>
      <c r="O992" s="32"/>
      <c r="P992" s="32"/>
      <c r="Q992" s="32"/>
      <c r="R992" s="32"/>
      <c r="S992" s="2"/>
      <c r="T992" s="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32"/>
      <c r="F993" s="32"/>
      <c r="G993" s="32"/>
      <c r="H993" s="73"/>
      <c r="I993" s="32"/>
      <c r="J993" s="32"/>
      <c r="K993" s="32"/>
      <c r="L993" s="32"/>
      <c r="M993" s="2"/>
      <c r="N993" s="2"/>
      <c r="O993" s="32"/>
      <c r="P993" s="32"/>
      <c r="Q993" s="32"/>
      <c r="R993" s="32"/>
      <c r="S993" s="2"/>
      <c r="T993" s="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32"/>
      <c r="F994" s="32"/>
      <c r="G994" s="32"/>
      <c r="H994" s="73"/>
      <c r="I994" s="32"/>
      <c r="J994" s="32"/>
      <c r="K994" s="32"/>
      <c r="L994" s="32"/>
      <c r="M994" s="2"/>
      <c r="N994" s="2"/>
      <c r="O994" s="32"/>
      <c r="P994" s="32"/>
      <c r="Q994" s="32"/>
      <c r="R994" s="32"/>
      <c r="S994" s="2"/>
      <c r="T994" s="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32"/>
      <c r="F995" s="32"/>
      <c r="G995" s="32"/>
      <c r="H995" s="73"/>
      <c r="I995" s="32"/>
      <c r="J995" s="32"/>
      <c r="K995" s="32"/>
      <c r="L995" s="32"/>
      <c r="M995" s="2"/>
      <c r="N995" s="2"/>
      <c r="O995" s="32"/>
      <c r="P995" s="32"/>
      <c r="Q995" s="32"/>
      <c r="R995" s="32"/>
      <c r="S995" s="2"/>
      <c r="T995" s="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32"/>
      <c r="F996" s="32"/>
      <c r="G996" s="32"/>
      <c r="H996" s="73"/>
      <c r="I996" s="32"/>
      <c r="J996" s="32"/>
      <c r="K996" s="32"/>
      <c r="L996" s="32"/>
      <c r="M996" s="2"/>
      <c r="N996" s="2"/>
      <c r="O996" s="32"/>
      <c r="P996" s="32"/>
      <c r="Q996" s="32"/>
      <c r="R996" s="32"/>
      <c r="S996" s="2"/>
      <c r="T996" s="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32"/>
      <c r="F997" s="32"/>
      <c r="G997" s="32"/>
      <c r="H997" s="73"/>
      <c r="I997" s="32"/>
      <c r="J997" s="32"/>
      <c r="K997" s="32"/>
      <c r="L997" s="32"/>
      <c r="M997" s="2"/>
      <c r="N997" s="2"/>
      <c r="O997" s="32"/>
      <c r="P997" s="32"/>
      <c r="Q997" s="32"/>
      <c r="R997" s="32"/>
      <c r="S997" s="2"/>
      <c r="T997" s="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32"/>
      <c r="F998" s="32"/>
      <c r="G998" s="32"/>
      <c r="H998" s="73"/>
      <c r="I998" s="32"/>
      <c r="J998" s="32"/>
      <c r="K998" s="32"/>
      <c r="L998" s="32"/>
      <c r="M998" s="2"/>
      <c r="N998" s="2"/>
      <c r="O998" s="32"/>
      <c r="P998" s="32"/>
      <c r="Q998" s="32"/>
      <c r="R998" s="32"/>
      <c r="S998" s="2"/>
      <c r="T998" s="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32"/>
      <c r="F999" s="32"/>
      <c r="G999" s="32"/>
      <c r="H999" s="73"/>
      <c r="I999" s="32"/>
      <c r="J999" s="32"/>
      <c r="K999" s="32"/>
      <c r="L999" s="32"/>
      <c r="M999" s="2"/>
      <c r="N999" s="2"/>
      <c r="O999" s="32"/>
      <c r="P999" s="32"/>
      <c r="Q999" s="32"/>
      <c r="R999" s="32"/>
      <c r="S999" s="2"/>
      <c r="T999" s="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32"/>
      <c r="F1000" s="32"/>
      <c r="G1000" s="32"/>
      <c r="H1000" s="73"/>
      <c r="I1000" s="32"/>
      <c r="J1000" s="32"/>
      <c r="K1000" s="32"/>
      <c r="L1000" s="32"/>
      <c r="M1000" s="2"/>
      <c r="N1000" s="2"/>
      <c r="O1000" s="32"/>
      <c r="P1000" s="32"/>
      <c r="Q1000" s="32"/>
      <c r="R1000" s="3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9900"/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3" width="12.6640625" customWidth="1"/>
    <col min="14" max="20" width="15.77734375" customWidth="1"/>
  </cols>
  <sheetData>
    <row r="1" spans="1:26" ht="15.75" customHeight="1" x14ac:dyDescent="0.3">
      <c r="A1" s="62" t="s">
        <v>291</v>
      </c>
      <c r="B1" s="62" t="s">
        <v>1</v>
      </c>
      <c r="C1" s="63" t="s">
        <v>521</v>
      </c>
      <c r="D1" s="63" t="s">
        <v>522</v>
      </c>
      <c r="E1" s="63" t="s">
        <v>399</v>
      </c>
      <c r="F1" s="62" t="s">
        <v>400</v>
      </c>
      <c r="G1" s="62" t="s">
        <v>401</v>
      </c>
      <c r="H1" s="62" t="s">
        <v>402</v>
      </c>
      <c r="I1" s="62" t="s">
        <v>403</v>
      </c>
      <c r="J1" s="64" t="s">
        <v>404</v>
      </c>
      <c r="K1" s="62" t="s">
        <v>405</v>
      </c>
      <c r="L1" s="65" t="s">
        <v>406</v>
      </c>
      <c r="M1" s="65" t="s">
        <v>407</v>
      </c>
      <c r="N1" s="65" t="s">
        <v>408</v>
      </c>
      <c r="O1" s="66" t="s">
        <v>409</v>
      </c>
      <c r="P1" s="66" t="s">
        <v>294</v>
      </c>
      <c r="Q1" s="66" t="s">
        <v>410</v>
      </c>
      <c r="R1" s="67" t="s">
        <v>283</v>
      </c>
      <c r="S1" s="67" t="s">
        <v>284</v>
      </c>
      <c r="T1" s="68" t="s">
        <v>285</v>
      </c>
      <c r="U1" s="2"/>
      <c r="V1" s="2"/>
      <c r="W1" s="2"/>
      <c r="X1" s="2"/>
      <c r="Y1" s="2"/>
      <c r="Z1" s="2"/>
    </row>
    <row r="2" spans="1:26" ht="15.75" customHeight="1" x14ac:dyDescent="0.3">
      <c r="A2" s="2" t="s">
        <v>317</v>
      </c>
      <c r="B2" s="32" t="s">
        <v>48</v>
      </c>
      <c r="C2" s="72" t="s">
        <v>15</v>
      </c>
      <c r="D2" s="72" t="s">
        <v>15</v>
      </c>
      <c r="E2" s="72" t="s">
        <v>1038</v>
      </c>
      <c r="F2" s="95" t="s">
        <v>1039</v>
      </c>
      <c r="G2" s="69">
        <v>-52619.66</v>
      </c>
      <c r="H2" s="69">
        <v>27944.959999999999</v>
      </c>
      <c r="I2" s="69">
        <f t="shared" ref="I2:I10" si="0">H2*0</f>
        <v>0</v>
      </c>
      <c r="J2" s="70">
        <v>1</v>
      </c>
      <c r="K2" s="69">
        <f t="shared" ref="K2:K10" si="1">(G2+I2)*0</f>
        <v>0</v>
      </c>
      <c r="L2" s="61">
        <f t="shared" ref="L2:L10" si="2">G2*J2</f>
        <v>-52619.66</v>
      </c>
      <c r="M2" s="61">
        <f t="shared" ref="M2:M10" si="3">H2*J2</f>
        <v>27944.959999999999</v>
      </c>
      <c r="N2" s="58">
        <f>SUM(L:M)</f>
        <v>26079.369999999995</v>
      </c>
      <c r="O2" s="2"/>
      <c r="P2" s="2"/>
      <c r="Q2" s="32"/>
      <c r="R2" s="32">
        <f>SUM(K:K)</f>
        <v>0</v>
      </c>
      <c r="S2" s="32">
        <f>SUM(Q:Q)</f>
        <v>0</v>
      </c>
      <c r="T2" s="32">
        <f>R2+S2</f>
        <v>0</v>
      </c>
      <c r="U2" s="2"/>
      <c r="V2" s="2"/>
      <c r="W2" s="2"/>
      <c r="X2" s="2"/>
      <c r="Y2" s="2"/>
      <c r="Z2" s="2"/>
    </row>
    <row r="3" spans="1:26" ht="15.75" customHeight="1" x14ac:dyDescent="0.3">
      <c r="A3" s="2" t="s">
        <v>317</v>
      </c>
      <c r="B3" s="32" t="s">
        <v>48</v>
      </c>
      <c r="C3" s="10" t="s">
        <v>1417</v>
      </c>
      <c r="D3" s="10" t="s">
        <v>1418</v>
      </c>
      <c r="E3" s="10" t="s">
        <v>1419</v>
      </c>
      <c r="F3" s="32" t="s">
        <v>1420</v>
      </c>
      <c r="G3" s="69">
        <v>13318.39</v>
      </c>
      <c r="H3" s="69">
        <v>8501.77</v>
      </c>
      <c r="I3" s="69">
        <f t="shared" si="0"/>
        <v>0</v>
      </c>
      <c r="J3" s="70">
        <v>1</v>
      </c>
      <c r="K3" s="69">
        <f t="shared" si="1"/>
        <v>0</v>
      </c>
      <c r="L3" s="61">
        <f t="shared" si="2"/>
        <v>13318.39</v>
      </c>
      <c r="M3" s="61">
        <f t="shared" si="3"/>
        <v>8501.77</v>
      </c>
      <c r="N3" s="58"/>
      <c r="O3" s="2"/>
      <c r="P3" s="2"/>
      <c r="Q3" s="32"/>
      <c r="R3" s="32"/>
      <c r="S3" s="32"/>
      <c r="T3" s="32"/>
      <c r="U3" s="2"/>
      <c r="V3" s="2"/>
      <c r="W3" s="2"/>
      <c r="X3" s="2"/>
      <c r="Y3" s="2"/>
      <c r="Z3" s="2"/>
    </row>
    <row r="4" spans="1:26" ht="15.75" customHeight="1" x14ac:dyDescent="0.3">
      <c r="A4" s="2" t="s">
        <v>317</v>
      </c>
      <c r="B4" s="32" t="s">
        <v>48</v>
      </c>
      <c r="C4" s="10" t="s">
        <v>1421</v>
      </c>
      <c r="D4" s="10" t="s">
        <v>1422</v>
      </c>
      <c r="E4" s="10" t="s">
        <v>1423</v>
      </c>
      <c r="F4" s="32" t="s">
        <v>1424</v>
      </c>
      <c r="G4" s="69">
        <v>-25704.69</v>
      </c>
      <c r="H4" s="69">
        <v>20557.18</v>
      </c>
      <c r="I4" s="69">
        <f t="shared" si="0"/>
        <v>0</v>
      </c>
      <c r="J4" s="70">
        <v>1</v>
      </c>
      <c r="K4" s="69">
        <f t="shared" si="1"/>
        <v>0</v>
      </c>
      <c r="L4" s="61">
        <f t="shared" si="2"/>
        <v>-25704.69</v>
      </c>
      <c r="M4" s="61">
        <f t="shared" si="3"/>
        <v>20557.18</v>
      </c>
      <c r="N4" s="58"/>
      <c r="O4" s="2"/>
      <c r="P4" s="2"/>
      <c r="Q4" s="32"/>
      <c r="R4" s="32"/>
      <c r="S4" s="32"/>
      <c r="T4" s="32"/>
      <c r="U4" s="2"/>
      <c r="V4" s="2"/>
      <c r="W4" s="2"/>
      <c r="X4" s="2"/>
      <c r="Y4" s="2"/>
      <c r="Z4" s="2"/>
    </row>
    <row r="5" spans="1:26" ht="15.75" customHeight="1" x14ac:dyDescent="0.3">
      <c r="A5" s="2" t="s">
        <v>325</v>
      </c>
      <c r="B5" s="32" t="s">
        <v>48</v>
      </c>
      <c r="C5" s="72" t="s">
        <v>15</v>
      </c>
      <c r="D5" s="72" t="s">
        <v>15</v>
      </c>
      <c r="E5" s="10" t="s">
        <v>1038</v>
      </c>
      <c r="F5" s="46" t="s">
        <v>1039</v>
      </c>
      <c r="G5" s="32">
        <v>2143.64</v>
      </c>
      <c r="H5" s="32">
        <v>2492.0500000000002</v>
      </c>
      <c r="I5" s="69">
        <f t="shared" si="0"/>
        <v>0</v>
      </c>
      <c r="J5" s="70">
        <v>1</v>
      </c>
      <c r="K5" s="69">
        <f t="shared" si="1"/>
        <v>0</v>
      </c>
      <c r="L5" s="61">
        <f t="shared" si="2"/>
        <v>2143.64</v>
      </c>
      <c r="M5" s="61">
        <f t="shared" si="3"/>
        <v>2492.0500000000002</v>
      </c>
      <c r="N5" s="58"/>
      <c r="O5" s="2"/>
      <c r="P5" s="2"/>
      <c r="Q5" s="32"/>
      <c r="R5" s="32"/>
      <c r="S5" s="32"/>
      <c r="T5" s="32"/>
      <c r="U5" s="2"/>
      <c r="V5" s="2"/>
      <c r="W5" s="2"/>
      <c r="X5" s="2"/>
      <c r="Y5" s="2"/>
      <c r="Z5" s="2"/>
    </row>
    <row r="6" spans="1:26" ht="15.75" customHeight="1" x14ac:dyDescent="0.3">
      <c r="A6" s="2" t="s">
        <v>325</v>
      </c>
      <c r="B6" s="32" t="s">
        <v>48</v>
      </c>
      <c r="C6" s="10" t="s">
        <v>1417</v>
      </c>
      <c r="D6" s="10" t="s">
        <v>1418</v>
      </c>
      <c r="E6" s="10" t="s">
        <v>1419</v>
      </c>
      <c r="F6" s="10" t="s">
        <v>1420</v>
      </c>
      <c r="G6" s="32">
        <v>-14433.75</v>
      </c>
      <c r="H6" s="32">
        <v>1163.29</v>
      </c>
      <c r="I6" s="69">
        <f t="shared" si="0"/>
        <v>0</v>
      </c>
      <c r="J6" s="70">
        <v>1</v>
      </c>
      <c r="K6" s="69">
        <f t="shared" si="1"/>
        <v>0</v>
      </c>
      <c r="L6" s="61">
        <f t="shared" si="2"/>
        <v>-14433.75</v>
      </c>
      <c r="M6" s="61">
        <f t="shared" si="3"/>
        <v>1163.29</v>
      </c>
      <c r="N6" s="58"/>
      <c r="O6" s="2"/>
      <c r="P6" s="2"/>
      <c r="Q6" s="32"/>
      <c r="R6" s="32"/>
      <c r="S6" s="32"/>
      <c r="T6" s="32"/>
      <c r="U6" s="2"/>
      <c r="V6" s="2"/>
      <c r="W6" s="2"/>
      <c r="X6" s="2"/>
      <c r="Y6" s="2"/>
      <c r="Z6" s="2"/>
    </row>
    <row r="7" spans="1:26" ht="15.75" customHeight="1" x14ac:dyDescent="0.3">
      <c r="A7" s="2" t="s">
        <v>325</v>
      </c>
      <c r="B7" s="32" t="s">
        <v>48</v>
      </c>
      <c r="C7" s="10" t="s">
        <v>1417</v>
      </c>
      <c r="D7" s="10" t="s">
        <v>1418</v>
      </c>
      <c r="E7" s="10" t="s">
        <v>1425</v>
      </c>
      <c r="F7" s="32" t="s">
        <v>1426</v>
      </c>
      <c r="G7" s="69">
        <v>9242.7999999999993</v>
      </c>
      <c r="H7" s="69">
        <v>2025.33</v>
      </c>
      <c r="I7" s="69">
        <f t="shared" si="0"/>
        <v>0</v>
      </c>
      <c r="J7" s="70">
        <v>1</v>
      </c>
      <c r="K7" s="69">
        <f t="shared" si="1"/>
        <v>0</v>
      </c>
      <c r="L7" s="61">
        <f t="shared" si="2"/>
        <v>9242.7999999999993</v>
      </c>
      <c r="M7" s="61">
        <f t="shared" si="3"/>
        <v>2025.33</v>
      </c>
      <c r="N7" s="58"/>
      <c r="O7" s="2"/>
      <c r="P7" s="2"/>
      <c r="Q7" s="32"/>
      <c r="R7" s="32"/>
      <c r="S7" s="32"/>
      <c r="T7" s="32"/>
      <c r="U7" s="2"/>
      <c r="V7" s="2"/>
      <c r="W7" s="2"/>
      <c r="X7" s="2"/>
      <c r="Y7" s="2"/>
      <c r="Z7" s="2"/>
    </row>
    <row r="8" spans="1:26" ht="15.75" customHeight="1" x14ac:dyDescent="0.3">
      <c r="A8" s="32" t="s">
        <v>332</v>
      </c>
      <c r="B8" s="32" t="s">
        <v>48</v>
      </c>
      <c r="C8" s="10" t="s">
        <v>1417</v>
      </c>
      <c r="D8" s="10" t="s">
        <v>1418</v>
      </c>
      <c r="E8" s="10" t="s">
        <v>1425</v>
      </c>
      <c r="F8" s="32" t="s">
        <v>1426</v>
      </c>
      <c r="G8" s="69">
        <v>949.5</v>
      </c>
      <c r="H8" s="69">
        <v>4191.45</v>
      </c>
      <c r="I8" s="69">
        <f t="shared" si="0"/>
        <v>0</v>
      </c>
      <c r="J8" s="70">
        <v>1</v>
      </c>
      <c r="K8" s="69">
        <f t="shared" si="1"/>
        <v>0</v>
      </c>
      <c r="L8" s="61">
        <f t="shared" si="2"/>
        <v>949.5</v>
      </c>
      <c r="M8" s="61">
        <f t="shared" si="3"/>
        <v>4191.45</v>
      </c>
      <c r="N8" s="58"/>
      <c r="O8" s="2"/>
      <c r="P8" s="2"/>
      <c r="Q8" s="32"/>
      <c r="R8" s="32"/>
      <c r="S8" s="32"/>
      <c r="T8" s="32"/>
      <c r="U8" s="2"/>
      <c r="V8" s="2"/>
      <c r="W8" s="2"/>
      <c r="X8" s="2"/>
      <c r="Y8" s="2"/>
      <c r="Z8" s="2"/>
    </row>
    <row r="9" spans="1:26" ht="15.75" customHeight="1" x14ac:dyDescent="0.3">
      <c r="A9" s="32" t="s">
        <v>332</v>
      </c>
      <c r="B9" s="32" t="s">
        <v>48</v>
      </c>
      <c r="C9" s="72" t="s">
        <v>15</v>
      </c>
      <c r="D9" s="72" t="s">
        <v>15</v>
      </c>
      <c r="E9" s="10" t="s">
        <v>1038</v>
      </c>
      <c r="F9" s="46" t="s">
        <v>1039</v>
      </c>
      <c r="G9" s="32">
        <v>29566.2</v>
      </c>
      <c r="H9" s="32">
        <v>10225.719999999999</v>
      </c>
      <c r="I9" s="69">
        <f t="shared" si="0"/>
        <v>0</v>
      </c>
      <c r="J9" s="70">
        <v>1</v>
      </c>
      <c r="K9" s="69">
        <f t="shared" si="1"/>
        <v>0</v>
      </c>
      <c r="L9" s="61">
        <f t="shared" si="2"/>
        <v>29566.2</v>
      </c>
      <c r="M9" s="61">
        <f t="shared" si="3"/>
        <v>10225.719999999999</v>
      </c>
      <c r="N9" s="58"/>
      <c r="O9" s="2"/>
      <c r="P9" s="2"/>
      <c r="Q9" s="32"/>
      <c r="R9" s="32"/>
      <c r="S9" s="32"/>
      <c r="T9" s="32"/>
      <c r="U9" s="2"/>
      <c r="V9" s="2"/>
      <c r="W9" s="2"/>
      <c r="X9" s="2"/>
      <c r="Y9" s="2"/>
      <c r="Z9" s="2"/>
    </row>
    <row r="10" spans="1:26" ht="15.75" customHeight="1" x14ac:dyDescent="0.3">
      <c r="A10" s="32" t="s">
        <v>332</v>
      </c>
      <c r="B10" s="32" t="s">
        <v>48</v>
      </c>
      <c r="C10" s="10" t="s">
        <v>1417</v>
      </c>
      <c r="D10" s="10" t="s">
        <v>1418</v>
      </c>
      <c r="E10" s="10" t="s">
        <v>1419</v>
      </c>
      <c r="F10" s="10" t="s">
        <v>1420</v>
      </c>
      <c r="G10" s="32">
        <v>-20597.37</v>
      </c>
      <c r="H10" s="32">
        <v>7112.56</v>
      </c>
      <c r="I10" s="69">
        <f t="shared" si="0"/>
        <v>0</v>
      </c>
      <c r="J10" s="70">
        <v>1</v>
      </c>
      <c r="K10" s="69">
        <f t="shared" si="1"/>
        <v>0</v>
      </c>
      <c r="L10" s="61">
        <f t="shared" si="2"/>
        <v>-20597.37</v>
      </c>
      <c r="M10" s="61">
        <f t="shared" si="3"/>
        <v>7112.56</v>
      </c>
      <c r="N10" s="58"/>
      <c r="O10" s="2"/>
      <c r="P10" s="2"/>
      <c r="Q10" s="32"/>
      <c r="R10" s="32"/>
      <c r="S10" s="32"/>
      <c r="T10" s="32"/>
      <c r="U10" s="2"/>
      <c r="V10" s="2"/>
      <c r="W10" s="2"/>
      <c r="X10" s="2"/>
      <c r="Y10" s="2"/>
      <c r="Z10" s="2"/>
    </row>
    <row r="11" spans="1:26" ht="15.75" customHeight="1" x14ac:dyDescent="0.3">
      <c r="A11" s="2" t="s">
        <v>340</v>
      </c>
      <c r="B11" s="46" t="s">
        <v>468</v>
      </c>
      <c r="C11" s="10" t="s">
        <v>468</v>
      </c>
      <c r="D11" s="10" t="s">
        <v>468</v>
      </c>
      <c r="E11" s="10" t="s">
        <v>468</v>
      </c>
      <c r="F11" s="10" t="s">
        <v>468</v>
      </c>
      <c r="G11" s="46" t="s">
        <v>468</v>
      </c>
      <c r="H11" s="46" t="s">
        <v>468</v>
      </c>
      <c r="I11" s="46" t="s">
        <v>468</v>
      </c>
      <c r="J11" s="81" t="s">
        <v>468</v>
      </c>
      <c r="K11" s="46" t="s">
        <v>468</v>
      </c>
      <c r="L11" s="82" t="s">
        <v>468</v>
      </c>
      <c r="M11" s="82" t="s">
        <v>468</v>
      </c>
      <c r="N11" s="58"/>
      <c r="O11" s="2"/>
      <c r="P11" s="2"/>
      <c r="Q11" s="32"/>
      <c r="R11" s="32"/>
      <c r="S11" s="32"/>
      <c r="T11" s="32"/>
      <c r="U11" s="2"/>
      <c r="V11" s="2"/>
      <c r="W11" s="2"/>
      <c r="X11" s="2"/>
      <c r="Y11" s="2"/>
      <c r="Z11" s="2"/>
    </row>
    <row r="12" spans="1:26" ht="15.75" customHeight="1" x14ac:dyDescent="0.3">
      <c r="A12" s="2" t="s">
        <v>359</v>
      </c>
      <c r="B12" s="46" t="s">
        <v>468</v>
      </c>
      <c r="C12" s="10" t="s">
        <v>468</v>
      </c>
      <c r="D12" s="10" t="s">
        <v>468</v>
      </c>
      <c r="E12" s="10" t="s">
        <v>468</v>
      </c>
      <c r="F12" s="10" t="s">
        <v>468</v>
      </c>
      <c r="G12" s="46" t="s">
        <v>468</v>
      </c>
      <c r="H12" s="46" t="s">
        <v>468</v>
      </c>
      <c r="I12" s="46" t="s">
        <v>468</v>
      </c>
      <c r="J12" s="81" t="s">
        <v>468</v>
      </c>
      <c r="K12" s="46" t="s">
        <v>468</v>
      </c>
      <c r="L12" s="82" t="s">
        <v>468</v>
      </c>
      <c r="M12" s="82" t="s">
        <v>468</v>
      </c>
      <c r="N12" s="58"/>
      <c r="O12" s="2"/>
      <c r="P12" s="2"/>
      <c r="Q12" s="32"/>
      <c r="R12" s="32"/>
      <c r="S12" s="32"/>
      <c r="T12" s="32"/>
      <c r="U12" s="2"/>
      <c r="V12" s="2"/>
      <c r="W12" s="2"/>
      <c r="X12" s="2"/>
      <c r="Y12" s="2"/>
      <c r="Z12" s="2"/>
    </row>
    <row r="13" spans="1:26" ht="15.75" customHeight="1" x14ac:dyDescent="0.3">
      <c r="A13" s="2" t="s">
        <v>366</v>
      </c>
      <c r="B13" s="46" t="s">
        <v>468</v>
      </c>
      <c r="C13" s="10" t="s">
        <v>468</v>
      </c>
      <c r="D13" s="10" t="s">
        <v>468</v>
      </c>
      <c r="E13" s="10" t="s">
        <v>468</v>
      </c>
      <c r="F13" s="10" t="s">
        <v>468</v>
      </c>
      <c r="G13" s="46" t="s">
        <v>468</v>
      </c>
      <c r="H13" s="46" t="s">
        <v>468</v>
      </c>
      <c r="I13" s="46" t="s">
        <v>468</v>
      </c>
      <c r="J13" s="81" t="s">
        <v>468</v>
      </c>
      <c r="K13" s="46" t="s">
        <v>468</v>
      </c>
      <c r="L13" s="82" t="s">
        <v>468</v>
      </c>
      <c r="M13" s="82" t="s">
        <v>468</v>
      </c>
      <c r="N13" s="58"/>
      <c r="O13" s="2"/>
      <c r="P13" s="2"/>
      <c r="Q13" s="32"/>
      <c r="R13" s="32"/>
      <c r="S13" s="32"/>
      <c r="T13" s="32"/>
      <c r="U13" s="2"/>
      <c r="V13" s="2"/>
      <c r="W13" s="2"/>
      <c r="X13" s="2"/>
      <c r="Y13" s="2"/>
      <c r="Z13" s="2"/>
    </row>
    <row r="14" spans="1:26" ht="15.75" customHeight="1" x14ac:dyDescent="0.3">
      <c r="A14" s="2" t="s">
        <v>370</v>
      </c>
      <c r="B14" s="46" t="s">
        <v>468</v>
      </c>
      <c r="C14" s="10" t="s">
        <v>468</v>
      </c>
      <c r="D14" s="10" t="s">
        <v>468</v>
      </c>
      <c r="E14" s="10" t="s">
        <v>468</v>
      </c>
      <c r="F14" s="10" t="s">
        <v>468</v>
      </c>
      <c r="G14" s="46" t="s">
        <v>468</v>
      </c>
      <c r="H14" s="46" t="s">
        <v>468</v>
      </c>
      <c r="I14" s="46" t="s">
        <v>468</v>
      </c>
      <c r="J14" s="81" t="s">
        <v>468</v>
      </c>
      <c r="K14" s="46" t="s">
        <v>468</v>
      </c>
      <c r="L14" s="82" t="s">
        <v>468</v>
      </c>
      <c r="M14" s="82" t="s">
        <v>468</v>
      </c>
      <c r="N14" s="58"/>
      <c r="O14" s="2"/>
      <c r="P14" s="2"/>
      <c r="Q14" s="32"/>
      <c r="R14" s="32"/>
      <c r="S14" s="32"/>
      <c r="T14" s="32"/>
      <c r="U14" s="2"/>
      <c r="V14" s="2"/>
      <c r="W14" s="2"/>
      <c r="X14" s="2"/>
      <c r="Y14" s="2"/>
      <c r="Z14" s="2"/>
    </row>
    <row r="15" spans="1:26" ht="15.75" customHeight="1" x14ac:dyDescent="0.3">
      <c r="A15" s="2" t="s">
        <v>372</v>
      </c>
      <c r="B15" s="46" t="s">
        <v>468</v>
      </c>
      <c r="C15" s="10" t="s">
        <v>468</v>
      </c>
      <c r="D15" s="10" t="s">
        <v>468</v>
      </c>
      <c r="E15" s="10" t="s">
        <v>468</v>
      </c>
      <c r="F15" s="10" t="s">
        <v>468</v>
      </c>
      <c r="G15" s="46" t="s">
        <v>468</v>
      </c>
      <c r="H15" s="46" t="s">
        <v>468</v>
      </c>
      <c r="I15" s="46" t="s">
        <v>468</v>
      </c>
      <c r="J15" s="81" t="s">
        <v>468</v>
      </c>
      <c r="K15" s="46" t="s">
        <v>468</v>
      </c>
      <c r="L15" s="82" t="s">
        <v>468</v>
      </c>
      <c r="M15" s="82" t="s">
        <v>468</v>
      </c>
      <c r="N15" s="58"/>
      <c r="O15" s="2"/>
      <c r="P15" s="2"/>
      <c r="Q15" s="32"/>
      <c r="R15" s="32"/>
      <c r="S15" s="32"/>
      <c r="T15" s="32"/>
      <c r="U15" s="2"/>
      <c r="V15" s="2"/>
      <c r="W15" s="2"/>
      <c r="X15" s="2"/>
      <c r="Y15" s="2"/>
      <c r="Z15" s="2"/>
    </row>
    <row r="16" spans="1:26" ht="15.75" customHeight="1" x14ac:dyDescent="0.3">
      <c r="A16" s="2" t="s">
        <v>377</v>
      </c>
      <c r="B16" s="46" t="s">
        <v>468</v>
      </c>
      <c r="C16" s="10" t="s">
        <v>468</v>
      </c>
      <c r="D16" s="10" t="s">
        <v>468</v>
      </c>
      <c r="E16" s="10" t="s">
        <v>468</v>
      </c>
      <c r="F16" s="10" t="s">
        <v>468</v>
      </c>
      <c r="G16" s="46" t="s">
        <v>468</v>
      </c>
      <c r="H16" s="46" t="s">
        <v>468</v>
      </c>
      <c r="I16" s="46" t="s">
        <v>468</v>
      </c>
      <c r="J16" s="81" t="s">
        <v>468</v>
      </c>
      <c r="K16" s="46" t="s">
        <v>468</v>
      </c>
      <c r="L16" s="82" t="s">
        <v>468</v>
      </c>
      <c r="M16" s="82" t="s">
        <v>468</v>
      </c>
      <c r="N16" s="58"/>
      <c r="O16" s="2"/>
      <c r="P16" s="2"/>
      <c r="Q16" s="32"/>
      <c r="R16" s="32"/>
      <c r="S16" s="32"/>
      <c r="T16" s="32"/>
      <c r="U16" s="2"/>
      <c r="V16" s="2"/>
      <c r="W16" s="2"/>
      <c r="X16" s="2"/>
      <c r="Y16" s="2"/>
      <c r="Z16" s="2"/>
    </row>
    <row r="17" spans="1:26" ht="15.75" customHeight="1" x14ac:dyDescent="0.3">
      <c r="A17" s="32" t="s">
        <v>379</v>
      </c>
      <c r="B17" s="46" t="s">
        <v>468</v>
      </c>
      <c r="C17" s="10" t="s">
        <v>468</v>
      </c>
      <c r="D17" s="10" t="s">
        <v>468</v>
      </c>
      <c r="E17" s="10" t="s">
        <v>468</v>
      </c>
      <c r="F17" s="10" t="s">
        <v>468</v>
      </c>
      <c r="G17" s="46" t="s">
        <v>468</v>
      </c>
      <c r="H17" s="46" t="s">
        <v>468</v>
      </c>
      <c r="I17" s="46" t="s">
        <v>468</v>
      </c>
      <c r="J17" s="81" t="s">
        <v>468</v>
      </c>
      <c r="K17" s="46" t="s">
        <v>468</v>
      </c>
      <c r="L17" s="82" t="s">
        <v>468</v>
      </c>
      <c r="M17" s="82" t="s">
        <v>468</v>
      </c>
      <c r="N17" s="58"/>
      <c r="O17" s="2"/>
      <c r="P17" s="2"/>
      <c r="Q17" s="32"/>
      <c r="R17" s="32"/>
      <c r="S17" s="32"/>
      <c r="T17" s="32"/>
      <c r="U17" s="2"/>
      <c r="V17" s="2"/>
      <c r="W17" s="2"/>
      <c r="X17" s="2"/>
      <c r="Y17" s="2"/>
      <c r="Z17" s="2"/>
    </row>
    <row r="18" spans="1:26" ht="15.75" customHeight="1" x14ac:dyDescent="0.3">
      <c r="A18" s="32" t="s">
        <v>603</v>
      </c>
      <c r="B18" s="46" t="s">
        <v>603</v>
      </c>
      <c r="C18" s="46" t="s">
        <v>603</v>
      </c>
      <c r="D18" s="46" t="s">
        <v>603</v>
      </c>
      <c r="E18" s="46" t="s">
        <v>603</v>
      </c>
      <c r="F18" s="46" t="s">
        <v>603</v>
      </c>
      <c r="G18" s="46" t="s">
        <v>603</v>
      </c>
      <c r="H18" s="46" t="s">
        <v>603</v>
      </c>
      <c r="I18" s="46" t="s">
        <v>603</v>
      </c>
      <c r="J18" s="46" t="s">
        <v>603</v>
      </c>
      <c r="K18" s="46" t="s">
        <v>603</v>
      </c>
      <c r="L18" s="82" t="s">
        <v>603</v>
      </c>
      <c r="M18" s="82" t="s">
        <v>603</v>
      </c>
      <c r="N18" s="58"/>
      <c r="O18" s="2"/>
      <c r="P18" s="2"/>
      <c r="Q18" s="32"/>
      <c r="R18" s="32"/>
      <c r="S18" s="32"/>
      <c r="T18" s="32"/>
      <c r="U18" s="2"/>
      <c r="V18" s="2"/>
      <c r="W18" s="2"/>
      <c r="X18" s="2"/>
      <c r="Y18" s="2"/>
      <c r="Z18" s="2"/>
    </row>
    <row r="19" spans="1:26" ht="15.75" customHeight="1" x14ac:dyDescent="0.3">
      <c r="A19" s="32"/>
      <c r="B19" s="10"/>
      <c r="C19" s="10"/>
      <c r="D19" s="10"/>
      <c r="E19" s="10"/>
      <c r="F19" s="10"/>
      <c r="G19" s="32"/>
      <c r="H19" s="32"/>
      <c r="I19" s="32"/>
      <c r="J19" s="73"/>
      <c r="K19" s="32"/>
      <c r="L19" s="32"/>
      <c r="M19" s="32"/>
      <c r="N19" s="32"/>
      <c r="O19" s="2"/>
      <c r="P19" s="2"/>
      <c r="Q19" s="32"/>
      <c r="R19" s="32"/>
      <c r="S19" s="32"/>
      <c r="T19" s="32"/>
      <c r="U19" s="2"/>
      <c r="V19" s="2"/>
      <c r="W19" s="2"/>
      <c r="X19" s="2"/>
      <c r="Y19" s="2"/>
      <c r="Z19" s="2"/>
    </row>
    <row r="20" spans="1:26" ht="15.75" customHeight="1" x14ac:dyDescent="0.3">
      <c r="A20" s="2"/>
      <c r="B20" s="32"/>
      <c r="C20" s="10"/>
      <c r="D20" s="10"/>
      <c r="E20" s="10"/>
      <c r="F20" s="32"/>
      <c r="G20" s="69"/>
      <c r="H20" s="69"/>
      <c r="I20" s="32"/>
      <c r="J20" s="75"/>
      <c r="K20" s="32"/>
      <c r="L20" s="32"/>
      <c r="M20" s="32"/>
      <c r="N20" s="32"/>
      <c r="O20" s="2"/>
      <c r="P20" s="2"/>
      <c r="Q20" s="32"/>
      <c r="R20" s="32"/>
      <c r="S20" s="32"/>
      <c r="T20" s="3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32"/>
      <c r="C21" s="10"/>
      <c r="D21" s="10"/>
      <c r="E21" s="10"/>
      <c r="F21" s="32"/>
      <c r="G21" s="69"/>
      <c r="H21" s="69"/>
      <c r="I21" s="69"/>
      <c r="J21" s="75"/>
      <c r="K21" s="69"/>
      <c r="L21" s="32"/>
      <c r="M21" s="32"/>
      <c r="N21" s="32"/>
      <c r="O21" s="2"/>
      <c r="P21" s="2"/>
      <c r="Q21" s="32"/>
      <c r="R21" s="32"/>
      <c r="S21" s="32"/>
      <c r="T21" s="3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46"/>
      <c r="C22" s="10"/>
      <c r="D22" s="10"/>
      <c r="E22" s="10"/>
      <c r="F22" s="2"/>
      <c r="G22" s="32"/>
      <c r="H22" s="32"/>
      <c r="I22" s="32"/>
      <c r="J22" s="73"/>
      <c r="K22" s="32"/>
      <c r="L22" s="32"/>
      <c r="M22" s="32"/>
      <c r="N22" s="32"/>
      <c r="O22" s="2"/>
      <c r="P22" s="2"/>
      <c r="Q22" s="32"/>
      <c r="R22" s="32"/>
      <c r="S22" s="32"/>
      <c r="T22" s="3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10"/>
      <c r="C23" s="10"/>
      <c r="D23" s="10"/>
      <c r="E23" s="10"/>
      <c r="F23" s="32"/>
      <c r="G23" s="32"/>
      <c r="H23" s="32"/>
      <c r="I23" s="32"/>
      <c r="J23" s="73"/>
      <c r="K23" s="32"/>
      <c r="L23" s="32"/>
      <c r="M23" s="32"/>
      <c r="N23" s="32"/>
      <c r="O23" s="2"/>
      <c r="P23" s="2"/>
      <c r="Q23" s="32"/>
      <c r="R23" s="32"/>
      <c r="S23" s="32"/>
      <c r="T23" s="3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10"/>
      <c r="C24" s="10"/>
      <c r="D24" s="10"/>
      <c r="E24" s="10"/>
      <c r="F24" s="32"/>
      <c r="G24" s="32"/>
      <c r="H24" s="32"/>
      <c r="I24" s="32"/>
      <c r="J24" s="73"/>
      <c r="K24" s="32"/>
      <c r="L24" s="32"/>
      <c r="M24" s="32"/>
      <c r="N24" s="32"/>
      <c r="O24" s="2"/>
      <c r="P24" s="2"/>
      <c r="Q24" s="32"/>
      <c r="R24" s="32"/>
      <c r="S24" s="32"/>
      <c r="T24" s="3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10"/>
      <c r="C25" s="10"/>
      <c r="D25" s="10"/>
      <c r="E25" s="10"/>
      <c r="F25" s="10"/>
      <c r="G25" s="32"/>
      <c r="H25" s="32"/>
      <c r="I25" s="32"/>
      <c r="J25" s="73"/>
      <c r="K25" s="32"/>
      <c r="L25" s="32"/>
      <c r="M25" s="32"/>
      <c r="N25" s="32"/>
      <c r="O25" s="2"/>
      <c r="P25" s="2"/>
      <c r="Q25" s="32"/>
      <c r="R25" s="32"/>
      <c r="S25" s="32"/>
      <c r="T25" s="3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10"/>
      <c r="C26" s="10"/>
      <c r="D26" s="10"/>
      <c r="E26" s="10"/>
      <c r="F26" s="10"/>
      <c r="G26" s="32"/>
      <c r="H26" s="32"/>
      <c r="I26" s="32"/>
      <c r="J26" s="73"/>
      <c r="K26" s="32"/>
      <c r="L26" s="32"/>
      <c r="M26" s="32"/>
      <c r="N26" s="32"/>
      <c r="O26" s="2"/>
      <c r="P26" s="2"/>
      <c r="Q26" s="32"/>
      <c r="R26" s="32"/>
      <c r="S26" s="32"/>
      <c r="T26" s="32"/>
      <c r="U26" s="2"/>
      <c r="V26" s="2"/>
      <c r="W26" s="2"/>
      <c r="X26" s="2"/>
      <c r="Y26" s="2"/>
      <c r="Z26" s="2"/>
    </row>
    <row r="27" spans="1:26" ht="15.75" customHeight="1" x14ac:dyDescent="0.3">
      <c r="A27" s="32"/>
      <c r="B27" s="32"/>
      <c r="C27" s="10"/>
      <c r="D27" s="10"/>
      <c r="E27" s="10"/>
      <c r="F27" s="32"/>
      <c r="G27" s="69"/>
      <c r="H27" s="69"/>
      <c r="I27" s="69"/>
      <c r="J27" s="75"/>
      <c r="K27" s="69"/>
      <c r="L27" s="32"/>
      <c r="M27" s="32"/>
      <c r="N27" s="32"/>
      <c r="O27" s="2"/>
      <c r="P27" s="2"/>
      <c r="Q27" s="32"/>
      <c r="R27" s="32"/>
      <c r="S27" s="32"/>
      <c r="T27" s="32"/>
      <c r="U27" s="2"/>
      <c r="V27" s="2"/>
      <c r="W27" s="2"/>
      <c r="X27" s="2"/>
      <c r="Y27" s="2"/>
      <c r="Z27" s="2"/>
    </row>
    <row r="28" spans="1:26" ht="15.75" customHeight="1" x14ac:dyDescent="0.3">
      <c r="A28" s="32"/>
      <c r="B28" s="46"/>
      <c r="C28" s="10"/>
      <c r="D28" s="10"/>
      <c r="E28" s="10"/>
      <c r="F28" s="10"/>
      <c r="G28" s="32"/>
      <c r="H28" s="32"/>
      <c r="I28" s="32"/>
      <c r="J28" s="73"/>
      <c r="K28" s="32"/>
      <c r="L28" s="32"/>
      <c r="M28" s="32"/>
      <c r="N28" s="32"/>
      <c r="O28" s="2"/>
      <c r="P28" s="2"/>
      <c r="Q28" s="32"/>
      <c r="R28" s="32"/>
      <c r="S28" s="32"/>
      <c r="T28" s="32"/>
      <c r="U28" s="2"/>
      <c r="V28" s="2"/>
      <c r="W28" s="2"/>
      <c r="X28" s="2"/>
      <c r="Y28" s="2"/>
      <c r="Z28" s="2"/>
    </row>
    <row r="29" spans="1:26" ht="15.75" customHeight="1" x14ac:dyDescent="0.3">
      <c r="A29" s="32"/>
      <c r="B29" s="10"/>
      <c r="C29" s="10"/>
      <c r="D29" s="10"/>
      <c r="E29" s="10"/>
      <c r="F29" s="10"/>
      <c r="G29" s="32"/>
      <c r="H29" s="32"/>
      <c r="I29" s="32"/>
      <c r="J29" s="73"/>
      <c r="K29" s="32"/>
      <c r="L29" s="32"/>
      <c r="M29" s="32"/>
      <c r="N29" s="32"/>
      <c r="O29" s="2"/>
      <c r="P29" s="2"/>
      <c r="Q29" s="32"/>
      <c r="R29" s="32"/>
      <c r="S29" s="32"/>
      <c r="T29" s="32"/>
      <c r="U29" s="2"/>
      <c r="V29" s="2"/>
      <c r="W29" s="2"/>
      <c r="X29" s="2"/>
      <c r="Y29" s="2"/>
      <c r="Z29" s="2"/>
    </row>
    <row r="30" spans="1:26" ht="13.8" x14ac:dyDescent="0.3">
      <c r="A30" s="2"/>
      <c r="B30" s="46"/>
      <c r="C30" s="10"/>
      <c r="D30" s="10"/>
      <c r="E30" s="10"/>
      <c r="F30" s="10"/>
      <c r="G30" s="32"/>
      <c r="H30" s="32"/>
      <c r="I30" s="32"/>
      <c r="J30" s="73"/>
      <c r="K30" s="32"/>
      <c r="L30" s="32"/>
      <c r="M30" s="32"/>
      <c r="N30" s="32"/>
      <c r="O30" s="2"/>
      <c r="P30" s="2"/>
      <c r="Q30" s="32"/>
      <c r="R30" s="32"/>
      <c r="S30" s="32"/>
      <c r="T30" s="32"/>
      <c r="U30" s="2"/>
      <c r="V30" s="2"/>
      <c r="W30" s="2"/>
      <c r="X30" s="2"/>
      <c r="Y30" s="2"/>
      <c r="Z30" s="2"/>
    </row>
    <row r="31" spans="1:26" ht="13.8" x14ac:dyDescent="0.3">
      <c r="A31" s="2"/>
      <c r="B31" s="10"/>
      <c r="C31" s="10"/>
      <c r="D31" s="10"/>
      <c r="E31" s="10"/>
      <c r="F31" s="32"/>
      <c r="G31" s="32"/>
      <c r="H31" s="32"/>
      <c r="I31" s="32"/>
      <c r="J31" s="73"/>
      <c r="K31" s="32"/>
      <c r="L31" s="32"/>
      <c r="M31" s="32"/>
      <c r="N31" s="32"/>
      <c r="O31" s="2"/>
      <c r="P31" s="2"/>
      <c r="Q31" s="32"/>
      <c r="R31" s="32"/>
      <c r="S31" s="32"/>
      <c r="T31" s="32"/>
      <c r="U31" s="2"/>
      <c r="V31" s="2"/>
      <c r="W31" s="2"/>
      <c r="X31" s="2"/>
      <c r="Y31" s="2"/>
      <c r="Z31" s="2"/>
    </row>
    <row r="32" spans="1:26" ht="13.8" x14ac:dyDescent="0.3">
      <c r="A32" s="2"/>
      <c r="B32" s="10"/>
      <c r="C32" s="10"/>
      <c r="D32" s="10"/>
      <c r="E32" s="10"/>
      <c r="F32" s="32"/>
      <c r="G32" s="32"/>
      <c r="H32" s="32"/>
      <c r="I32" s="32"/>
      <c r="J32" s="73"/>
      <c r="K32" s="32"/>
      <c r="L32" s="32"/>
      <c r="M32" s="32"/>
      <c r="N32" s="32"/>
      <c r="O32" s="2"/>
      <c r="P32" s="2"/>
      <c r="Q32" s="32"/>
      <c r="R32" s="32"/>
      <c r="S32" s="32"/>
      <c r="T32" s="32"/>
      <c r="U32" s="2"/>
      <c r="V32" s="2"/>
      <c r="W32" s="2"/>
      <c r="X32" s="2"/>
      <c r="Y32" s="2"/>
      <c r="Z32" s="2"/>
    </row>
    <row r="33" spans="1:26" ht="13.8" x14ac:dyDescent="0.3">
      <c r="A33" s="32"/>
      <c r="B33" s="32"/>
      <c r="C33" s="10"/>
      <c r="D33" s="10"/>
      <c r="E33" s="10"/>
      <c r="F33" s="32"/>
      <c r="G33" s="69"/>
      <c r="H33" s="69"/>
      <c r="I33" s="69"/>
      <c r="J33" s="75"/>
      <c r="K33" s="69"/>
      <c r="L33" s="32"/>
      <c r="M33" s="32"/>
      <c r="N33" s="32"/>
      <c r="O33" s="2"/>
      <c r="P33" s="2"/>
      <c r="Q33" s="32"/>
      <c r="R33" s="32"/>
      <c r="S33" s="32"/>
      <c r="T33" s="32"/>
      <c r="U33" s="2"/>
      <c r="V33" s="2"/>
      <c r="W33" s="2"/>
      <c r="X33" s="2"/>
      <c r="Y33" s="2"/>
      <c r="Z33" s="2"/>
    </row>
    <row r="34" spans="1:26" ht="13.8" x14ac:dyDescent="0.3">
      <c r="A34" s="32"/>
      <c r="B34" s="32"/>
      <c r="C34" s="10"/>
      <c r="D34" s="10"/>
      <c r="E34" s="10"/>
      <c r="F34" s="32"/>
      <c r="G34" s="69"/>
      <c r="H34" s="69"/>
      <c r="I34" s="69"/>
      <c r="J34" s="75"/>
      <c r="K34" s="69"/>
      <c r="L34" s="32"/>
      <c r="M34" s="32"/>
      <c r="N34" s="32"/>
      <c r="O34" s="2"/>
      <c r="P34" s="2"/>
      <c r="Q34" s="32"/>
      <c r="R34" s="32"/>
      <c r="S34" s="32"/>
      <c r="T34" s="32"/>
      <c r="U34" s="2"/>
      <c r="V34" s="2"/>
      <c r="W34" s="2"/>
      <c r="X34" s="2"/>
      <c r="Y34" s="2"/>
      <c r="Z34" s="2"/>
    </row>
    <row r="35" spans="1:26" ht="13.8" x14ac:dyDescent="0.3">
      <c r="A35" s="32"/>
      <c r="B35" s="10"/>
      <c r="C35" s="10"/>
      <c r="D35" s="10"/>
      <c r="E35" s="10"/>
      <c r="F35" s="32"/>
      <c r="G35" s="32"/>
      <c r="H35" s="32"/>
      <c r="I35" s="32"/>
      <c r="J35" s="73"/>
      <c r="K35" s="32"/>
      <c r="L35" s="32"/>
      <c r="M35" s="32"/>
      <c r="N35" s="32"/>
      <c r="O35" s="2"/>
      <c r="P35" s="2"/>
      <c r="Q35" s="32"/>
      <c r="R35" s="32"/>
      <c r="S35" s="32"/>
      <c r="T35" s="32"/>
      <c r="U35" s="2"/>
      <c r="V35" s="2"/>
      <c r="W35" s="2"/>
      <c r="X35" s="2"/>
      <c r="Y35" s="2"/>
      <c r="Z35" s="2"/>
    </row>
    <row r="36" spans="1:26" ht="13.8" x14ac:dyDescent="0.3">
      <c r="A36" s="32"/>
      <c r="B36" s="10"/>
      <c r="C36" s="10"/>
      <c r="D36" s="10"/>
      <c r="E36" s="10"/>
      <c r="F36" s="32"/>
      <c r="G36" s="32"/>
      <c r="H36" s="32"/>
      <c r="I36" s="32"/>
      <c r="J36" s="73"/>
      <c r="K36" s="32"/>
      <c r="L36" s="32"/>
      <c r="M36" s="32"/>
      <c r="N36" s="32"/>
      <c r="O36" s="2"/>
      <c r="P36" s="2"/>
      <c r="Q36" s="32"/>
      <c r="R36" s="32"/>
      <c r="S36" s="32"/>
      <c r="T36" s="32"/>
      <c r="U36" s="2"/>
      <c r="V36" s="2"/>
      <c r="W36" s="2"/>
      <c r="X36" s="2"/>
      <c r="Y36" s="2"/>
      <c r="Z36" s="2"/>
    </row>
    <row r="37" spans="1:26" ht="13.8" x14ac:dyDescent="0.3">
      <c r="A37" s="32"/>
      <c r="B37" s="32"/>
      <c r="C37" s="10"/>
      <c r="D37" s="10"/>
      <c r="E37" s="10"/>
      <c r="F37" s="32"/>
      <c r="G37" s="69"/>
      <c r="H37" s="69"/>
      <c r="I37" s="69"/>
      <c r="J37" s="70"/>
      <c r="K37" s="69"/>
      <c r="L37" s="32"/>
      <c r="M37" s="32"/>
      <c r="N37" s="32"/>
      <c r="O37" s="2"/>
      <c r="P37" s="2"/>
      <c r="Q37" s="32"/>
      <c r="R37" s="32"/>
      <c r="S37" s="32"/>
      <c r="T37" s="32"/>
      <c r="U37" s="2"/>
      <c r="V37" s="2"/>
      <c r="W37" s="2"/>
      <c r="X37" s="2"/>
      <c r="Y37" s="2"/>
      <c r="Z37" s="2"/>
    </row>
    <row r="38" spans="1:26" ht="13.8" x14ac:dyDescent="0.3">
      <c r="A38" s="32"/>
      <c r="B38" s="10"/>
      <c r="C38" s="10"/>
      <c r="D38" s="10"/>
      <c r="E38" s="10"/>
      <c r="F38" s="10"/>
      <c r="G38" s="32"/>
      <c r="H38" s="32"/>
      <c r="I38" s="32"/>
      <c r="J38" s="73"/>
      <c r="K38" s="32"/>
      <c r="L38" s="32"/>
      <c r="M38" s="32"/>
      <c r="N38" s="32"/>
      <c r="O38" s="2"/>
      <c r="P38" s="2"/>
      <c r="Q38" s="32"/>
      <c r="R38" s="32"/>
      <c r="S38" s="32"/>
      <c r="T38" s="32"/>
      <c r="U38" s="2"/>
      <c r="V38" s="2"/>
      <c r="W38" s="2"/>
      <c r="X38" s="2"/>
      <c r="Y38" s="2"/>
      <c r="Z38" s="2"/>
    </row>
    <row r="39" spans="1:26" ht="13.8" x14ac:dyDescent="0.3">
      <c r="A39" s="29"/>
      <c r="B39" s="32"/>
      <c r="C39" s="2"/>
      <c r="D39" s="2"/>
      <c r="E39" s="2"/>
      <c r="F39" s="32"/>
      <c r="G39" s="69"/>
      <c r="H39" s="69"/>
      <c r="I39" s="69"/>
      <c r="J39" s="75"/>
      <c r="K39" s="69"/>
      <c r="L39" s="69"/>
      <c r="M39" s="69"/>
      <c r="N39" s="32"/>
      <c r="O39" s="2"/>
      <c r="P39" s="2"/>
      <c r="Q39" s="32"/>
      <c r="R39" s="32"/>
      <c r="S39" s="32"/>
      <c r="T39" s="32"/>
      <c r="U39" s="2"/>
      <c r="V39" s="2"/>
      <c r="W39" s="2"/>
      <c r="X39" s="2"/>
      <c r="Y39" s="2"/>
      <c r="Z39" s="2"/>
    </row>
    <row r="40" spans="1:26" ht="13.8" x14ac:dyDescent="0.3">
      <c r="A40" s="29"/>
      <c r="B40" s="32"/>
      <c r="C40" s="2"/>
      <c r="D40" s="2"/>
      <c r="E40" s="2"/>
      <c r="F40" s="32"/>
      <c r="G40" s="69"/>
      <c r="H40" s="69"/>
      <c r="I40" s="69"/>
      <c r="J40" s="75"/>
      <c r="K40" s="69"/>
      <c r="L40" s="69"/>
      <c r="M40" s="69"/>
      <c r="N40" s="32"/>
      <c r="O40" s="2"/>
      <c r="P40" s="2"/>
      <c r="Q40" s="32"/>
      <c r="R40" s="32"/>
      <c r="S40" s="32"/>
      <c r="T40" s="32"/>
      <c r="U40" s="2"/>
      <c r="V40" s="2"/>
      <c r="W40" s="2"/>
      <c r="X40" s="2"/>
      <c r="Y40" s="2"/>
      <c r="Z40" s="2"/>
    </row>
    <row r="41" spans="1:26" ht="13.8" x14ac:dyDescent="0.3">
      <c r="A41" s="29"/>
      <c r="B41" s="46"/>
      <c r="C41" s="10"/>
      <c r="D41" s="10"/>
      <c r="E41" s="10"/>
      <c r="F41" s="10"/>
      <c r="G41" s="32"/>
      <c r="H41" s="32"/>
      <c r="I41" s="32"/>
      <c r="J41" s="73"/>
      <c r="K41" s="32"/>
      <c r="L41" s="32"/>
      <c r="M41" s="32"/>
      <c r="N41" s="32"/>
      <c r="O41" s="2"/>
      <c r="P41" s="2"/>
      <c r="Q41" s="32"/>
      <c r="R41" s="32"/>
      <c r="S41" s="32"/>
      <c r="T41" s="32"/>
      <c r="U41" s="2"/>
      <c r="V41" s="2"/>
      <c r="W41" s="2"/>
      <c r="X41" s="2"/>
      <c r="Y41" s="2"/>
      <c r="Z41" s="2"/>
    </row>
    <row r="42" spans="1:26" ht="13.8" x14ac:dyDescent="0.3">
      <c r="A42" s="32"/>
      <c r="B42" s="10"/>
      <c r="C42" s="10"/>
      <c r="D42" s="10"/>
      <c r="E42" s="10"/>
      <c r="F42" s="10"/>
      <c r="G42" s="32"/>
      <c r="H42" s="32"/>
      <c r="I42" s="32"/>
      <c r="J42" s="73"/>
      <c r="K42" s="32"/>
      <c r="L42" s="32"/>
      <c r="M42" s="32"/>
      <c r="N42" s="32"/>
      <c r="O42" s="2"/>
      <c r="P42" s="2"/>
      <c r="Q42" s="32"/>
      <c r="R42" s="32"/>
      <c r="S42" s="32"/>
      <c r="T42" s="32"/>
      <c r="U42" s="2"/>
      <c r="V42" s="2"/>
      <c r="W42" s="2"/>
      <c r="X42" s="2"/>
      <c r="Y42" s="2"/>
      <c r="Z42" s="2"/>
    </row>
    <row r="43" spans="1:26" ht="13.8" x14ac:dyDescent="0.3">
      <c r="A43" s="32"/>
      <c r="B43" s="10"/>
      <c r="C43" s="10"/>
      <c r="D43" s="10"/>
      <c r="E43" s="10"/>
      <c r="F43" s="10"/>
      <c r="G43" s="32"/>
      <c r="H43" s="32"/>
      <c r="I43" s="32"/>
      <c r="J43" s="73"/>
      <c r="K43" s="32"/>
      <c r="L43" s="32"/>
      <c r="M43" s="32"/>
      <c r="N43" s="32"/>
      <c r="O43" s="2"/>
      <c r="P43" s="2"/>
      <c r="Q43" s="32"/>
      <c r="R43" s="32"/>
      <c r="S43" s="32"/>
      <c r="T43" s="32"/>
      <c r="U43" s="2"/>
      <c r="V43" s="2"/>
      <c r="W43" s="2"/>
      <c r="X43" s="2"/>
      <c r="Y43" s="2"/>
      <c r="Z43" s="2"/>
    </row>
    <row r="44" spans="1:26" ht="13.8" x14ac:dyDescent="0.3">
      <c r="A44" s="32"/>
      <c r="B44" s="32"/>
      <c r="C44" s="10"/>
      <c r="D44" s="10"/>
      <c r="E44" s="10"/>
      <c r="F44" s="32"/>
      <c r="G44" s="69"/>
      <c r="H44" s="69"/>
      <c r="I44" s="69"/>
      <c r="J44" s="70"/>
      <c r="K44" s="69"/>
      <c r="L44" s="32"/>
      <c r="M44" s="32"/>
      <c r="N44" s="32"/>
      <c r="O44" s="2"/>
      <c r="P44" s="2"/>
      <c r="Q44" s="32"/>
      <c r="R44" s="32"/>
      <c r="S44" s="32"/>
      <c r="T44" s="32"/>
      <c r="U44" s="2"/>
      <c r="V44" s="2"/>
      <c r="W44" s="2"/>
      <c r="X44" s="2"/>
      <c r="Y44" s="2"/>
      <c r="Z44" s="2"/>
    </row>
    <row r="45" spans="1:26" ht="13.8" x14ac:dyDescent="0.3">
      <c r="A45" s="2"/>
      <c r="B45" s="10"/>
      <c r="C45" s="2"/>
      <c r="D45" s="2"/>
      <c r="E45" s="2"/>
      <c r="F45" s="32"/>
      <c r="G45" s="69"/>
      <c r="H45" s="69"/>
      <c r="I45" s="69"/>
      <c r="J45" s="75"/>
      <c r="K45" s="69"/>
      <c r="L45" s="69"/>
      <c r="M45" s="69"/>
      <c r="N45" s="32"/>
      <c r="O45" s="2"/>
      <c r="P45" s="2"/>
      <c r="Q45" s="32"/>
      <c r="R45" s="32"/>
      <c r="S45" s="32"/>
      <c r="T45" s="32"/>
      <c r="U45" s="2"/>
      <c r="V45" s="2"/>
      <c r="W45" s="2"/>
      <c r="X45" s="2"/>
      <c r="Y45" s="2"/>
      <c r="Z45" s="2"/>
    </row>
    <row r="46" spans="1:26" ht="13.8" x14ac:dyDescent="0.3">
      <c r="A46" s="91"/>
      <c r="B46" s="46"/>
      <c r="C46" s="10"/>
      <c r="D46" s="10"/>
      <c r="E46" s="10"/>
      <c r="F46" s="10"/>
      <c r="G46" s="32"/>
      <c r="H46" s="32"/>
      <c r="I46" s="32"/>
      <c r="J46" s="73"/>
      <c r="K46" s="32"/>
      <c r="L46" s="32"/>
      <c r="M46" s="32"/>
      <c r="N46" s="32"/>
      <c r="O46" s="2"/>
      <c r="P46" s="2"/>
      <c r="Q46" s="32"/>
      <c r="R46" s="32"/>
      <c r="S46" s="32"/>
      <c r="T46" s="32"/>
      <c r="U46" s="2"/>
      <c r="V46" s="2"/>
      <c r="W46" s="2"/>
      <c r="X46" s="2"/>
      <c r="Y46" s="2"/>
      <c r="Z46" s="2"/>
    </row>
    <row r="47" spans="1:26" ht="13.8" x14ac:dyDescent="0.3">
      <c r="A47" s="91"/>
      <c r="B47" s="10"/>
      <c r="C47" s="10"/>
      <c r="D47" s="10"/>
      <c r="E47" s="10"/>
      <c r="F47" s="32"/>
      <c r="G47" s="32"/>
      <c r="H47" s="32"/>
      <c r="I47" s="32"/>
      <c r="J47" s="73"/>
      <c r="K47" s="32"/>
      <c r="L47" s="32"/>
      <c r="M47" s="32"/>
      <c r="N47" s="32"/>
      <c r="O47" s="2"/>
      <c r="P47" s="2"/>
      <c r="Q47" s="32"/>
      <c r="R47" s="32"/>
      <c r="S47" s="32"/>
      <c r="T47" s="32"/>
      <c r="U47" s="2"/>
      <c r="V47" s="2"/>
      <c r="W47" s="2"/>
      <c r="X47" s="2"/>
      <c r="Y47" s="2"/>
      <c r="Z47" s="2"/>
    </row>
    <row r="48" spans="1:26" ht="13.8" x14ac:dyDescent="0.3">
      <c r="A48" s="91"/>
      <c r="B48" s="10"/>
      <c r="C48" s="10"/>
      <c r="D48" s="10"/>
      <c r="E48" s="10"/>
      <c r="F48" s="10"/>
      <c r="G48" s="32"/>
      <c r="H48" s="32"/>
      <c r="I48" s="32"/>
      <c r="J48" s="73"/>
      <c r="K48" s="32"/>
      <c r="L48" s="32"/>
      <c r="M48" s="32"/>
      <c r="N48" s="32"/>
      <c r="O48" s="2"/>
      <c r="P48" s="2"/>
      <c r="Q48" s="32"/>
      <c r="R48" s="32"/>
      <c r="S48" s="32"/>
      <c r="T48" s="32"/>
      <c r="U48" s="2"/>
      <c r="V48" s="2"/>
      <c r="W48" s="2"/>
      <c r="X48" s="2"/>
      <c r="Y48" s="2"/>
      <c r="Z48" s="2"/>
    </row>
    <row r="49" spans="1:26" ht="13.8" x14ac:dyDescent="0.3">
      <c r="A49" s="91"/>
      <c r="B49" s="10"/>
      <c r="C49" s="10"/>
      <c r="D49" s="10"/>
      <c r="E49" s="10"/>
      <c r="F49" s="10"/>
      <c r="G49" s="32"/>
      <c r="H49" s="32"/>
      <c r="I49" s="32"/>
      <c r="J49" s="73"/>
      <c r="K49" s="32"/>
      <c r="L49" s="32"/>
      <c r="M49" s="32"/>
      <c r="N49" s="32"/>
      <c r="O49" s="2"/>
      <c r="P49" s="2"/>
      <c r="Q49" s="32"/>
      <c r="R49" s="32"/>
      <c r="S49" s="32"/>
      <c r="T49" s="32"/>
      <c r="U49" s="2"/>
      <c r="V49" s="2"/>
      <c r="W49" s="2"/>
      <c r="X49" s="2"/>
      <c r="Y49" s="2"/>
      <c r="Z49" s="2"/>
    </row>
    <row r="50" spans="1:26" ht="13.8" x14ac:dyDescent="0.3">
      <c r="A50" s="91"/>
      <c r="B50" s="10"/>
      <c r="C50" s="10"/>
      <c r="D50" s="10"/>
      <c r="E50" s="10"/>
      <c r="F50" s="10"/>
      <c r="G50" s="32"/>
      <c r="H50" s="32"/>
      <c r="I50" s="32"/>
      <c r="J50" s="73"/>
      <c r="K50" s="32"/>
      <c r="L50" s="32"/>
      <c r="M50" s="32"/>
      <c r="N50" s="32"/>
      <c r="O50" s="2"/>
      <c r="P50" s="2"/>
      <c r="Q50" s="32"/>
      <c r="R50" s="32"/>
      <c r="S50" s="32"/>
      <c r="T50" s="32"/>
      <c r="U50" s="2"/>
      <c r="V50" s="2"/>
      <c r="W50" s="2"/>
      <c r="X50" s="2"/>
      <c r="Y50" s="2"/>
      <c r="Z50" s="2"/>
    </row>
    <row r="51" spans="1:26" ht="13.8" x14ac:dyDescent="0.3">
      <c r="A51" s="32"/>
      <c r="B51" s="46"/>
      <c r="C51" s="10"/>
      <c r="D51" s="10"/>
      <c r="E51" s="10"/>
      <c r="F51" s="10"/>
      <c r="G51" s="32"/>
      <c r="H51" s="32"/>
      <c r="I51" s="32"/>
      <c r="J51" s="73"/>
      <c r="K51" s="32"/>
      <c r="L51" s="32"/>
      <c r="M51" s="32"/>
      <c r="N51" s="32"/>
      <c r="O51" s="2"/>
      <c r="P51" s="2"/>
      <c r="Q51" s="32"/>
      <c r="R51" s="32"/>
      <c r="S51" s="32"/>
      <c r="T51" s="32"/>
      <c r="U51" s="2"/>
      <c r="V51" s="2"/>
      <c r="W51" s="2"/>
      <c r="X51" s="2"/>
      <c r="Y51" s="2"/>
      <c r="Z51" s="2"/>
    </row>
    <row r="52" spans="1:26" ht="13.8" x14ac:dyDescent="0.3">
      <c r="A52" s="32"/>
      <c r="B52" s="10"/>
      <c r="C52" s="10"/>
      <c r="D52" s="10"/>
      <c r="E52" s="10"/>
      <c r="F52" s="32"/>
      <c r="G52" s="32"/>
      <c r="H52" s="32"/>
      <c r="I52" s="32"/>
      <c r="J52" s="73"/>
      <c r="K52" s="32"/>
      <c r="L52" s="32"/>
      <c r="M52" s="32"/>
      <c r="N52" s="32"/>
      <c r="O52" s="2"/>
      <c r="P52" s="2"/>
      <c r="Q52" s="32"/>
      <c r="R52" s="32"/>
      <c r="S52" s="32"/>
      <c r="T52" s="32"/>
      <c r="U52" s="2"/>
      <c r="V52" s="2"/>
      <c r="W52" s="2"/>
      <c r="X52" s="2"/>
      <c r="Y52" s="2"/>
      <c r="Z52" s="2"/>
    </row>
    <row r="53" spans="1:26" ht="13.8" x14ac:dyDescent="0.3">
      <c r="A53" s="32"/>
      <c r="B53" s="10"/>
      <c r="C53" s="10"/>
      <c r="D53" s="10"/>
      <c r="E53" s="10"/>
      <c r="F53" s="32"/>
      <c r="G53" s="32"/>
      <c r="H53" s="32"/>
      <c r="I53" s="32"/>
      <c r="J53" s="73"/>
      <c r="K53" s="32"/>
      <c r="L53" s="32"/>
      <c r="M53" s="32"/>
      <c r="N53" s="32"/>
      <c r="O53" s="2"/>
      <c r="P53" s="2"/>
      <c r="Q53" s="32"/>
      <c r="R53" s="32"/>
      <c r="S53" s="32"/>
      <c r="T53" s="32"/>
      <c r="U53" s="2"/>
      <c r="V53" s="2"/>
      <c r="W53" s="2"/>
      <c r="X53" s="2"/>
      <c r="Y53" s="2"/>
      <c r="Z53" s="2"/>
    </row>
    <row r="54" spans="1:26" ht="13.8" x14ac:dyDescent="0.3">
      <c r="A54" s="32"/>
      <c r="B54" s="2"/>
      <c r="C54" s="10"/>
      <c r="D54" s="10"/>
      <c r="E54" s="10"/>
      <c r="F54" s="10"/>
      <c r="G54" s="32"/>
      <c r="H54" s="32"/>
      <c r="I54" s="32"/>
      <c r="J54" s="73"/>
      <c r="K54" s="32"/>
      <c r="L54" s="32"/>
      <c r="M54" s="32"/>
      <c r="N54" s="32"/>
      <c r="O54" s="2"/>
      <c r="P54" s="2"/>
      <c r="Q54" s="32"/>
      <c r="R54" s="32"/>
      <c r="S54" s="32"/>
      <c r="T54" s="32"/>
      <c r="U54" s="2"/>
      <c r="V54" s="2"/>
      <c r="W54" s="2"/>
      <c r="X54" s="2"/>
      <c r="Y54" s="2"/>
      <c r="Z54" s="2"/>
    </row>
    <row r="55" spans="1:26" ht="13.8" x14ac:dyDescent="0.3">
      <c r="A55" s="32"/>
      <c r="B55" s="2"/>
      <c r="C55" s="10"/>
      <c r="D55" s="10"/>
      <c r="E55" s="10"/>
      <c r="F55" s="10"/>
      <c r="G55" s="32"/>
      <c r="H55" s="32"/>
      <c r="I55" s="32"/>
      <c r="J55" s="73"/>
      <c r="K55" s="32"/>
      <c r="L55" s="32"/>
      <c r="M55" s="32"/>
      <c r="N55" s="32"/>
      <c r="O55" s="2"/>
      <c r="P55" s="2"/>
      <c r="Q55" s="32"/>
      <c r="R55" s="32"/>
      <c r="S55" s="32"/>
      <c r="T55" s="32"/>
      <c r="U55" s="2"/>
      <c r="V55" s="2"/>
      <c r="W55" s="2"/>
      <c r="X55" s="2"/>
      <c r="Y55" s="2"/>
      <c r="Z55" s="2"/>
    </row>
    <row r="56" spans="1:26" ht="13.8" x14ac:dyDescent="0.3">
      <c r="A56" s="32"/>
      <c r="B56" s="10"/>
      <c r="C56" s="2"/>
      <c r="D56" s="2"/>
      <c r="E56" s="2"/>
      <c r="F56" s="32"/>
      <c r="G56" s="69"/>
      <c r="H56" s="69"/>
      <c r="I56" s="69"/>
      <c r="J56" s="75"/>
      <c r="K56" s="69"/>
      <c r="L56" s="69"/>
      <c r="M56" s="69"/>
      <c r="N56" s="32"/>
      <c r="O56" s="2"/>
      <c r="P56" s="2"/>
      <c r="Q56" s="32"/>
      <c r="R56" s="32"/>
      <c r="S56" s="32"/>
      <c r="T56" s="32"/>
      <c r="U56" s="2"/>
      <c r="V56" s="2"/>
      <c r="W56" s="2"/>
      <c r="X56" s="2"/>
      <c r="Y56" s="2"/>
      <c r="Z56" s="2"/>
    </row>
    <row r="57" spans="1:26" ht="13.8" x14ac:dyDescent="0.3">
      <c r="A57" s="32"/>
      <c r="B57" s="2"/>
      <c r="C57" s="10"/>
      <c r="D57" s="10"/>
      <c r="E57" s="10"/>
      <c r="F57" s="10"/>
      <c r="G57" s="32"/>
      <c r="H57" s="32"/>
      <c r="I57" s="69"/>
      <c r="J57" s="70"/>
      <c r="K57" s="69"/>
      <c r="L57" s="69"/>
      <c r="M57" s="69"/>
      <c r="N57" s="32"/>
      <c r="O57" s="2"/>
      <c r="P57" s="2"/>
      <c r="Q57" s="32"/>
      <c r="R57" s="32"/>
      <c r="S57" s="32"/>
      <c r="T57" s="32"/>
      <c r="U57" s="2"/>
      <c r="V57" s="2"/>
      <c r="W57" s="2"/>
      <c r="X57" s="2"/>
      <c r="Y57" s="2"/>
      <c r="Z57" s="2"/>
    </row>
    <row r="58" spans="1:26" ht="13.8" x14ac:dyDescent="0.3">
      <c r="A58" s="32"/>
      <c r="B58" s="2"/>
      <c r="C58" s="10"/>
      <c r="D58" s="10"/>
      <c r="E58" s="10"/>
      <c r="F58" s="10"/>
      <c r="G58" s="32"/>
      <c r="H58" s="32"/>
      <c r="I58" s="32"/>
      <c r="J58" s="73"/>
      <c r="K58" s="32"/>
      <c r="L58" s="32"/>
      <c r="M58" s="32"/>
      <c r="N58" s="32"/>
      <c r="O58" s="2"/>
      <c r="P58" s="2"/>
      <c r="Q58" s="32"/>
      <c r="R58" s="32"/>
      <c r="S58" s="32"/>
      <c r="T58" s="32"/>
      <c r="U58" s="2"/>
      <c r="V58" s="2"/>
      <c r="W58" s="2"/>
      <c r="X58" s="2"/>
      <c r="Y58" s="2"/>
      <c r="Z58" s="2"/>
    </row>
    <row r="59" spans="1:26" ht="13.8" x14ac:dyDescent="0.3">
      <c r="A59" s="32"/>
      <c r="B59" s="2"/>
      <c r="C59" s="10"/>
      <c r="D59" s="10"/>
      <c r="E59" s="10"/>
      <c r="F59" s="10"/>
      <c r="G59" s="32"/>
      <c r="H59" s="32"/>
      <c r="I59" s="32"/>
      <c r="J59" s="73"/>
      <c r="K59" s="32"/>
      <c r="L59" s="32"/>
      <c r="M59" s="32"/>
      <c r="N59" s="32"/>
      <c r="O59" s="2"/>
      <c r="P59" s="2"/>
      <c r="Q59" s="32"/>
      <c r="R59" s="32"/>
      <c r="S59" s="32"/>
      <c r="T59" s="32"/>
      <c r="U59" s="2"/>
      <c r="V59" s="2"/>
      <c r="W59" s="2"/>
      <c r="X59" s="2"/>
      <c r="Y59" s="2"/>
      <c r="Z59" s="2"/>
    </row>
    <row r="60" spans="1:26" ht="13.8" x14ac:dyDescent="0.3">
      <c r="A60" s="32"/>
      <c r="B60" s="32"/>
      <c r="C60" s="2"/>
      <c r="D60" s="2"/>
      <c r="E60" s="2"/>
      <c r="F60" s="32"/>
      <c r="G60" s="69"/>
      <c r="H60" s="69"/>
      <c r="I60" s="69"/>
      <c r="J60" s="75"/>
      <c r="K60" s="69"/>
      <c r="L60" s="69"/>
      <c r="M60" s="69"/>
      <c r="N60" s="32"/>
      <c r="O60" s="2"/>
      <c r="P60" s="2"/>
      <c r="Q60" s="32"/>
      <c r="R60" s="32"/>
      <c r="S60" s="32"/>
      <c r="T60" s="32"/>
      <c r="U60" s="2"/>
      <c r="V60" s="2"/>
      <c r="W60" s="2"/>
      <c r="X60" s="2"/>
      <c r="Y60" s="2"/>
      <c r="Z60" s="2"/>
    </row>
    <row r="61" spans="1:26" ht="13.8" x14ac:dyDescent="0.3">
      <c r="A61" s="32"/>
      <c r="B61" s="32"/>
      <c r="C61" s="10"/>
      <c r="D61" s="10"/>
      <c r="E61" s="10"/>
      <c r="F61" s="10"/>
      <c r="G61" s="32"/>
      <c r="H61" s="32"/>
      <c r="I61" s="69"/>
      <c r="J61" s="73"/>
      <c r="K61" s="69"/>
      <c r="L61" s="32"/>
      <c r="M61" s="32"/>
      <c r="N61" s="32"/>
      <c r="O61" s="2"/>
      <c r="P61" s="2"/>
      <c r="Q61" s="32"/>
      <c r="R61" s="32"/>
      <c r="S61" s="32"/>
      <c r="T61" s="32"/>
      <c r="U61" s="2"/>
      <c r="V61" s="2"/>
      <c r="W61" s="2"/>
      <c r="X61" s="2"/>
      <c r="Y61" s="2"/>
      <c r="Z61" s="2"/>
    </row>
    <row r="62" spans="1:26" ht="13.8" x14ac:dyDescent="0.3">
      <c r="A62" s="32"/>
      <c r="B62" s="2"/>
      <c r="C62" s="10"/>
      <c r="D62" s="10"/>
      <c r="E62" s="10"/>
      <c r="F62" s="10"/>
      <c r="G62" s="32"/>
      <c r="H62" s="32"/>
      <c r="I62" s="69"/>
      <c r="J62" s="70"/>
      <c r="K62" s="69"/>
      <c r="L62" s="69"/>
      <c r="M62" s="69"/>
      <c r="N62" s="32"/>
      <c r="O62" s="2"/>
      <c r="P62" s="2"/>
      <c r="Q62" s="32"/>
      <c r="R62" s="32"/>
      <c r="S62" s="32"/>
      <c r="T62" s="32"/>
      <c r="U62" s="2"/>
      <c r="V62" s="2"/>
      <c r="W62" s="2"/>
      <c r="X62" s="2"/>
      <c r="Y62" s="2"/>
      <c r="Z62" s="2"/>
    </row>
    <row r="63" spans="1:26" ht="13.8" x14ac:dyDescent="0.3">
      <c r="A63" s="32"/>
      <c r="B63" s="2"/>
      <c r="C63" s="10"/>
      <c r="D63" s="10"/>
      <c r="E63" s="10"/>
      <c r="F63" s="10"/>
      <c r="G63" s="32"/>
      <c r="H63" s="32"/>
      <c r="I63" s="69"/>
      <c r="J63" s="70"/>
      <c r="K63" s="69"/>
      <c r="L63" s="69"/>
      <c r="M63" s="69"/>
      <c r="N63" s="32"/>
      <c r="O63" s="2"/>
      <c r="P63" s="2"/>
      <c r="Q63" s="32"/>
      <c r="R63" s="32"/>
      <c r="S63" s="32"/>
      <c r="T63" s="32"/>
      <c r="U63" s="2"/>
      <c r="V63" s="2"/>
      <c r="W63" s="2"/>
      <c r="X63" s="2"/>
      <c r="Y63" s="2"/>
      <c r="Z63" s="2"/>
    </row>
    <row r="64" spans="1:26" ht="13.8" x14ac:dyDescent="0.3">
      <c r="A64" s="29"/>
      <c r="B64" s="10"/>
      <c r="C64" s="10"/>
      <c r="D64" s="10"/>
      <c r="E64" s="10"/>
      <c r="F64" s="10"/>
      <c r="G64" s="32"/>
      <c r="H64" s="32"/>
      <c r="I64" s="32"/>
      <c r="J64" s="73"/>
      <c r="K64" s="69"/>
      <c r="L64" s="69"/>
      <c r="M64" s="69"/>
      <c r="N64" s="32"/>
      <c r="O64" s="2"/>
      <c r="P64" s="2"/>
      <c r="Q64" s="32"/>
      <c r="R64" s="32"/>
      <c r="S64" s="32"/>
      <c r="T64" s="32"/>
      <c r="U64" s="2"/>
      <c r="V64" s="2"/>
      <c r="W64" s="2"/>
      <c r="X64" s="2"/>
      <c r="Y64" s="2"/>
      <c r="Z64" s="2"/>
    </row>
    <row r="65" spans="1:26" ht="13.8" x14ac:dyDescent="0.3">
      <c r="A65" s="29"/>
      <c r="B65" s="2"/>
      <c r="C65" s="10"/>
      <c r="D65" s="10"/>
      <c r="E65" s="10"/>
      <c r="F65" s="10"/>
      <c r="G65" s="32"/>
      <c r="H65" s="32"/>
      <c r="I65" s="32"/>
      <c r="J65" s="73"/>
      <c r="K65" s="32"/>
      <c r="L65" s="32"/>
      <c r="M65" s="32"/>
      <c r="N65" s="32"/>
      <c r="O65" s="2"/>
      <c r="P65" s="2"/>
      <c r="Q65" s="32"/>
      <c r="R65" s="32"/>
      <c r="S65" s="32"/>
      <c r="T65" s="32"/>
      <c r="U65" s="2"/>
      <c r="V65" s="2"/>
      <c r="W65" s="2"/>
      <c r="X65" s="2"/>
      <c r="Y65" s="2"/>
      <c r="Z65" s="2"/>
    </row>
    <row r="66" spans="1:26" ht="13.8" x14ac:dyDescent="0.3">
      <c r="A66" s="29"/>
      <c r="B66" s="2"/>
      <c r="C66" s="10"/>
      <c r="D66" s="10"/>
      <c r="E66" s="10"/>
      <c r="F66" s="10"/>
      <c r="G66" s="32"/>
      <c r="H66" s="32"/>
      <c r="I66" s="32"/>
      <c r="J66" s="73"/>
      <c r="K66" s="32"/>
      <c r="L66" s="32"/>
      <c r="M66" s="32"/>
      <c r="N66" s="32"/>
      <c r="O66" s="2"/>
      <c r="P66" s="2"/>
      <c r="Q66" s="32"/>
      <c r="R66" s="32"/>
      <c r="S66" s="32"/>
      <c r="T66" s="32"/>
      <c r="U66" s="2"/>
      <c r="V66" s="2"/>
      <c r="W66" s="2"/>
      <c r="X66" s="2"/>
      <c r="Y66" s="2"/>
      <c r="Z66" s="2"/>
    </row>
    <row r="67" spans="1:26" ht="13.8" x14ac:dyDescent="0.3">
      <c r="A67" s="2"/>
      <c r="B67" s="32"/>
      <c r="C67" s="2"/>
      <c r="D67" s="2"/>
      <c r="E67" s="2"/>
      <c r="F67" s="32"/>
      <c r="G67" s="69"/>
      <c r="H67" s="69"/>
      <c r="I67" s="69"/>
      <c r="J67" s="75"/>
      <c r="K67" s="69"/>
      <c r="L67" s="69"/>
      <c r="M67" s="69"/>
      <c r="N67" s="32"/>
      <c r="O67" s="2"/>
      <c r="P67" s="2"/>
      <c r="Q67" s="32"/>
      <c r="R67" s="32"/>
      <c r="S67" s="32"/>
      <c r="T67" s="32"/>
      <c r="U67" s="2"/>
      <c r="V67" s="2"/>
      <c r="W67" s="2"/>
      <c r="X67" s="2"/>
      <c r="Y67" s="2"/>
      <c r="Z67" s="2"/>
    </row>
    <row r="68" spans="1:26" ht="13.8" x14ac:dyDescent="0.3">
      <c r="A68" s="32"/>
      <c r="B68" s="2"/>
      <c r="C68" s="10"/>
      <c r="D68" s="10"/>
      <c r="E68" s="10"/>
      <c r="F68" s="10"/>
      <c r="G68" s="32"/>
      <c r="H68" s="32"/>
      <c r="I68" s="69"/>
      <c r="J68" s="70"/>
      <c r="K68" s="69"/>
      <c r="L68" s="69"/>
      <c r="M68" s="69"/>
      <c r="N68" s="32"/>
      <c r="O68" s="2"/>
      <c r="P68" s="2"/>
      <c r="Q68" s="32"/>
      <c r="R68" s="32"/>
      <c r="S68" s="32"/>
      <c r="T68" s="32"/>
      <c r="U68" s="2"/>
      <c r="V68" s="2"/>
      <c r="W68" s="2"/>
      <c r="X68" s="2"/>
      <c r="Y68" s="2"/>
      <c r="Z68" s="2"/>
    </row>
    <row r="69" spans="1:26" ht="13.8" x14ac:dyDescent="0.3">
      <c r="A69" s="32"/>
      <c r="B69" s="2"/>
      <c r="C69" s="10"/>
      <c r="D69" s="10"/>
      <c r="E69" s="10"/>
      <c r="F69" s="10"/>
      <c r="G69" s="32"/>
      <c r="H69" s="32"/>
      <c r="I69" s="69"/>
      <c r="J69" s="70"/>
      <c r="K69" s="69"/>
      <c r="L69" s="69"/>
      <c r="M69" s="69"/>
      <c r="N69" s="32"/>
      <c r="O69" s="2"/>
      <c r="P69" s="2"/>
      <c r="Q69" s="32"/>
      <c r="R69" s="32"/>
      <c r="S69" s="32"/>
      <c r="T69" s="32"/>
      <c r="U69" s="2"/>
      <c r="V69" s="2"/>
      <c r="W69" s="2"/>
      <c r="X69" s="2"/>
      <c r="Y69" s="2"/>
      <c r="Z69" s="2"/>
    </row>
    <row r="70" spans="1:26" ht="13.8" x14ac:dyDescent="0.3">
      <c r="A70" s="32"/>
      <c r="B70" s="10"/>
      <c r="C70" s="10"/>
      <c r="D70" s="10"/>
      <c r="E70" s="10"/>
      <c r="F70" s="10"/>
      <c r="G70" s="32"/>
      <c r="H70" s="32"/>
      <c r="I70" s="32"/>
      <c r="J70" s="73"/>
      <c r="K70" s="69"/>
      <c r="L70" s="69"/>
      <c r="M70" s="69"/>
      <c r="N70" s="32"/>
      <c r="O70" s="2"/>
      <c r="P70" s="2"/>
      <c r="Q70" s="32"/>
      <c r="R70" s="32"/>
      <c r="S70" s="32"/>
      <c r="T70" s="32"/>
      <c r="U70" s="2"/>
      <c r="V70" s="2"/>
      <c r="W70" s="2"/>
      <c r="X70" s="2"/>
      <c r="Y70" s="2"/>
      <c r="Z70" s="2"/>
    </row>
    <row r="71" spans="1:26" ht="13.8" x14ac:dyDescent="0.3">
      <c r="A71" s="2"/>
      <c r="B71" s="10"/>
      <c r="C71" s="10"/>
      <c r="D71" s="10"/>
      <c r="E71" s="10"/>
      <c r="F71" s="10"/>
      <c r="G71" s="32"/>
      <c r="H71" s="32"/>
      <c r="I71" s="32"/>
      <c r="J71" s="73"/>
      <c r="K71" s="32"/>
      <c r="L71" s="32"/>
      <c r="M71" s="32"/>
      <c r="N71" s="32"/>
      <c r="O71" s="2"/>
      <c r="P71" s="2"/>
      <c r="Q71" s="32"/>
      <c r="R71" s="32"/>
      <c r="S71" s="32"/>
      <c r="T71" s="32"/>
      <c r="U71" s="2"/>
      <c r="V71" s="2"/>
      <c r="W71" s="2"/>
      <c r="X71" s="2"/>
      <c r="Y71" s="2"/>
      <c r="Z71" s="2"/>
    </row>
    <row r="72" spans="1:26" ht="13.8" x14ac:dyDescent="0.3">
      <c r="A72" s="2"/>
      <c r="B72" s="10"/>
      <c r="C72" s="10"/>
      <c r="D72" s="10"/>
      <c r="E72" s="10"/>
      <c r="F72" s="10"/>
      <c r="G72" s="32"/>
      <c r="H72" s="32"/>
      <c r="I72" s="32"/>
      <c r="J72" s="73"/>
      <c r="K72" s="32"/>
      <c r="L72" s="32"/>
      <c r="M72" s="32"/>
      <c r="N72" s="32"/>
      <c r="O72" s="2"/>
      <c r="P72" s="2"/>
      <c r="Q72" s="32"/>
      <c r="R72" s="32"/>
      <c r="S72" s="32"/>
      <c r="T72" s="32"/>
      <c r="U72" s="2"/>
      <c r="V72" s="2"/>
      <c r="W72" s="2"/>
      <c r="X72" s="2"/>
      <c r="Y72" s="2"/>
      <c r="Z72" s="2"/>
    </row>
    <row r="73" spans="1:26" ht="13.8" x14ac:dyDescent="0.3">
      <c r="A73" s="32"/>
      <c r="B73" s="32"/>
      <c r="C73" s="2"/>
      <c r="D73" s="2"/>
      <c r="E73" s="2"/>
      <c r="F73" s="32"/>
      <c r="G73" s="69"/>
      <c r="H73" s="69"/>
      <c r="I73" s="69"/>
      <c r="J73" s="75"/>
      <c r="K73" s="69"/>
      <c r="L73" s="69"/>
      <c r="M73" s="69"/>
      <c r="N73" s="32"/>
      <c r="O73" s="2"/>
      <c r="P73" s="2"/>
      <c r="Q73" s="32"/>
      <c r="R73" s="32"/>
      <c r="S73" s="32"/>
      <c r="T73" s="32"/>
      <c r="U73" s="2"/>
      <c r="V73" s="2"/>
      <c r="W73" s="2"/>
      <c r="X73" s="2"/>
      <c r="Y73" s="2"/>
      <c r="Z73" s="2"/>
    </row>
    <row r="74" spans="1:26" ht="13.8" x14ac:dyDescent="0.3">
      <c r="A74" s="32"/>
      <c r="B74" s="10"/>
      <c r="C74" s="10"/>
      <c r="D74" s="10"/>
      <c r="E74" s="10"/>
      <c r="F74" s="32"/>
      <c r="G74" s="32"/>
      <c r="H74" s="32"/>
      <c r="I74" s="32"/>
      <c r="J74" s="73"/>
      <c r="K74" s="32"/>
      <c r="L74" s="32"/>
      <c r="M74" s="32"/>
      <c r="N74" s="32"/>
      <c r="O74" s="2"/>
      <c r="P74" s="2"/>
      <c r="Q74" s="32"/>
      <c r="R74" s="32"/>
      <c r="S74" s="32"/>
      <c r="T74" s="32"/>
      <c r="U74" s="2"/>
      <c r="V74" s="2"/>
      <c r="W74" s="2"/>
      <c r="X74" s="2"/>
      <c r="Y74" s="2"/>
      <c r="Z74" s="2"/>
    </row>
    <row r="75" spans="1:26" ht="13.8" x14ac:dyDescent="0.3">
      <c r="A75" s="32"/>
      <c r="B75" s="10"/>
      <c r="C75" s="10"/>
      <c r="D75" s="10"/>
      <c r="E75" s="10"/>
      <c r="F75" s="32"/>
      <c r="G75" s="32"/>
      <c r="H75" s="32"/>
      <c r="I75" s="32"/>
      <c r="J75" s="73"/>
      <c r="K75" s="32"/>
      <c r="L75" s="32"/>
      <c r="M75" s="32"/>
      <c r="N75" s="32"/>
      <c r="O75" s="2"/>
      <c r="P75" s="2"/>
      <c r="Q75" s="32"/>
      <c r="R75" s="32"/>
      <c r="S75" s="32"/>
      <c r="T75" s="32"/>
      <c r="U75" s="2"/>
      <c r="V75" s="2"/>
      <c r="W75" s="2"/>
      <c r="X75" s="2"/>
      <c r="Y75" s="2"/>
      <c r="Z75" s="2"/>
    </row>
    <row r="76" spans="1:26" ht="13.8" x14ac:dyDescent="0.3">
      <c r="A76" s="32"/>
      <c r="B76" s="10"/>
      <c r="C76" s="10"/>
      <c r="D76" s="10"/>
      <c r="E76" s="10"/>
      <c r="F76" s="32"/>
      <c r="G76" s="32"/>
      <c r="H76" s="32"/>
      <c r="I76" s="32"/>
      <c r="J76" s="73"/>
      <c r="K76" s="32"/>
      <c r="L76" s="32"/>
      <c r="M76" s="32"/>
      <c r="N76" s="32"/>
      <c r="O76" s="2"/>
      <c r="P76" s="2"/>
      <c r="Q76" s="32"/>
      <c r="R76" s="32"/>
      <c r="S76" s="32"/>
      <c r="T76" s="32"/>
      <c r="U76" s="2"/>
      <c r="V76" s="2"/>
      <c r="W76" s="2"/>
      <c r="X76" s="2"/>
      <c r="Y76" s="2"/>
      <c r="Z76" s="2"/>
    </row>
    <row r="77" spans="1:26" ht="13.8" x14ac:dyDescent="0.3">
      <c r="A77" s="32"/>
      <c r="B77" s="2"/>
      <c r="C77" s="10"/>
      <c r="D77" s="10"/>
      <c r="E77" s="10"/>
      <c r="F77" s="10"/>
      <c r="G77" s="32"/>
      <c r="H77" s="32"/>
      <c r="I77" s="69"/>
      <c r="J77" s="70"/>
      <c r="K77" s="69"/>
      <c r="L77" s="69"/>
      <c r="M77" s="69"/>
      <c r="N77" s="32"/>
      <c r="O77" s="2"/>
      <c r="P77" s="2"/>
      <c r="Q77" s="32"/>
      <c r="R77" s="32"/>
      <c r="S77" s="32"/>
      <c r="T77" s="32"/>
      <c r="U77" s="2"/>
      <c r="V77" s="2"/>
      <c r="W77" s="2"/>
      <c r="X77" s="2"/>
      <c r="Y77" s="2"/>
      <c r="Z77" s="2"/>
    </row>
    <row r="78" spans="1:26" ht="13.8" x14ac:dyDescent="0.3">
      <c r="A78" s="32"/>
      <c r="B78" s="2"/>
      <c r="C78" s="10"/>
      <c r="D78" s="10"/>
      <c r="E78" s="10"/>
      <c r="F78" s="10"/>
      <c r="G78" s="32"/>
      <c r="H78" s="32"/>
      <c r="I78" s="69"/>
      <c r="J78" s="70"/>
      <c r="K78" s="69"/>
      <c r="L78" s="69"/>
      <c r="M78" s="69"/>
      <c r="N78" s="32"/>
      <c r="O78" s="2"/>
      <c r="P78" s="2"/>
      <c r="Q78" s="32"/>
      <c r="R78" s="32"/>
      <c r="S78" s="32"/>
      <c r="T78" s="32"/>
      <c r="U78" s="2"/>
      <c r="V78" s="2"/>
      <c r="W78" s="2"/>
      <c r="X78" s="2"/>
      <c r="Y78" s="2"/>
      <c r="Z78" s="2"/>
    </row>
    <row r="79" spans="1:26" ht="13.8" x14ac:dyDescent="0.3">
      <c r="A79" s="32"/>
      <c r="B79" s="10"/>
      <c r="C79" s="10"/>
      <c r="D79" s="10"/>
      <c r="E79" s="10"/>
      <c r="F79" s="10"/>
      <c r="G79" s="32"/>
      <c r="H79" s="32"/>
      <c r="I79" s="32"/>
      <c r="J79" s="73"/>
      <c r="K79" s="32"/>
      <c r="L79" s="32"/>
      <c r="M79" s="32"/>
      <c r="N79" s="32"/>
      <c r="O79" s="2"/>
      <c r="P79" s="2"/>
      <c r="Q79" s="32"/>
      <c r="R79" s="32"/>
      <c r="S79" s="32"/>
      <c r="T79" s="32"/>
      <c r="U79" s="2"/>
      <c r="V79" s="2"/>
      <c r="W79" s="2"/>
      <c r="X79" s="2"/>
      <c r="Y79" s="2"/>
      <c r="Z79" s="2"/>
    </row>
    <row r="80" spans="1:26" ht="13.8" x14ac:dyDescent="0.3">
      <c r="A80" s="32"/>
      <c r="B80" s="10"/>
      <c r="C80" s="10"/>
      <c r="D80" s="10"/>
      <c r="E80" s="10"/>
      <c r="F80" s="10"/>
      <c r="G80" s="32"/>
      <c r="H80" s="32"/>
      <c r="I80" s="32"/>
      <c r="J80" s="73"/>
      <c r="K80" s="32"/>
      <c r="L80" s="32"/>
      <c r="M80" s="32"/>
      <c r="N80" s="32"/>
      <c r="O80" s="2"/>
      <c r="P80" s="2"/>
      <c r="Q80" s="32"/>
      <c r="R80" s="32"/>
      <c r="S80" s="32"/>
      <c r="T80" s="32"/>
      <c r="U80" s="2"/>
      <c r="V80" s="2"/>
      <c r="W80" s="2"/>
      <c r="X80" s="2"/>
      <c r="Y80" s="2"/>
      <c r="Z80" s="2"/>
    </row>
    <row r="81" spans="1:26" ht="13.8" x14ac:dyDescent="0.3">
      <c r="A81" s="2"/>
      <c r="B81" s="32"/>
      <c r="C81" s="2"/>
      <c r="D81" s="2"/>
      <c r="E81" s="2"/>
      <c r="F81" s="32"/>
      <c r="G81" s="69"/>
      <c r="H81" s="69"/>
      <c r="I81" s="69"/>
      <c r="J81" s="75"/>
      <c r="K81" s="69"/>
      <c r="L81" s="69"/>
      <c r="M81" s="69"/>
      <c r="N81" s="32"/>
      <c r="O81" s="2"/>
      <c r="P81" s="2"/>
      <c r="Q81" s="32"/>
      <c r="R81" s="32"/>
      <c r="S81" s="32"/>
      <c r="T81" s="32"/>
      <c r="U81" s="2"/>
      <c r="V81" s="2"/>
      <c r="W81" s="2"/>
      <c r="X81" s="2"/>
      <c r="Y81" s="2"/>
      <c r="Z81" s="2"/>
    </row>
    <row r="82" spans="1:26" ht="13.8" x14ac:dyDescent="0.3">
      <c r="A82" s="2"/>
      <c r="B82" s="2"/>
      <c r="C82" s="10"/>
      <c r="D82" s="10"/>
      <c r="E82" s="10"/>
      <c r="F82" s="10"/>
      <c r="G82" s="32"/>
      <c r="H82" s="32"/>
      <c r="I82" s="69"/>
      <c r="J82" s="70"/>
      <c r="K82" s="69"/>
      <c r="L82" s="69"/>
      <c r="M82" s="69"/>
      <c r="N82" s="32"/>
      <c r="O82" s="2"/>
      <c r="P82" s="2"/>
      <c r="Q82" s="32"/>
      <c r="R82" s="32"/>
      <c r="S82" s="32"/>
      <c r="T82" s="32"/>
      <c r="U82" s="2"/>
      <c r="V82" s="2"/>
      <c r="W82" s="2"/>
      <c r="X82" s="2"/>
      <c r="Y82" s="2"/>
      <c r="Z82" s="2"/>
    </row>
    <row r="83" spans="1:26" ht="13.8" x14ac:dyDescent="0.3">
      <c r="A83" s="2"/>
      <c r="B83" s="10"/>
      <c r="C83" s="10"/>
      <c r="D83" s="10"/>
      <c r="E83" s="10"/>
      <c r="F83" s="10"/>
      <c r="G83" s="32"/>
      <c r="H83" s="32"/>
      <c r="I83" s="32"/>
      <c r="J83" s="73"/>
      <c r="K83" s="32"/>
      <c r="L83" s="32"/>
      <c r="M83" s="32"/>
      <c r="N83" s="32"/>
      <c r="O83" s="2"/>
      <c r="P83" s="2"/>
      <c r="Q83" s="32"/>
      <c r="R83" s="32"/>
      <c r="S83" s="32"/>
      <c r="T83" s="32"/>
      <c r="U83" s="2"/>
      <c r="V83" s="2"/>
      <c r="W83" s="2"/>
      <c r="X83" s="2"/>
      <c r="Y83" s="2"/>
      <c r="Z83" s="2"/>
    </row>
    <row r="84" spans="1:26" ht="13.8" x14ac:dyDescent="0.3">
      <c r="A84" s="2"/>
      <c r="B84" s="10"/>
      <c r="C84" s="10"/>
      <c r="D84" s="10"/>
      <c r="E84" s="10"/>
      <c r="F84" s="10"/>
      <c r="G84" s="32"/>
      <c r="H84" s="32"/>
      <c r="I84" s="32"/>
      <c r="J84" s="73"/>
      <c r="K84" s="32"/>
      <c r="L84" s="32"/>
      <c r="M84" s="32"/>
      <c r="N84" s="32"/>
      <c r="O84" s="2"/>
      <c r="P84" s="2"/>
      <c r="Q84" s="32"/>
      <c r="R84" s="32"/>
      <c r="S84" s="32"/>
      <c r="T84" s="32"/>
      <c r="U84" s="2"/>
      <c r="V84" s="2"/>
      <c r="W84" s="2"/>
      <c r="X84" s="2"/>
      <c r="Y84" s="2"/>
      <c r="Z84" s="2"/>
    </row>
    <row r="85" spans="1:26" ht="13.8" x14ac:dyDescent="0.3">
      <c r="A85" s="2"/>
      <c r="B85" s="32"/>
      <c r="C85" s="2"/>
      <c r="D85" s="2"/>
      <c r="E85" s="2"/>
      <c r="F85" s="32"/>
      <c r="G85" s="69"/>
      <c r="H85" s="69"/>
      <c r="I85" s="69"/>
      <c r="J85" s="75"/>
      <c r="K85" s="69"/>
      <c r="L85" s="69"/>
      <c r="M85" s="69"/>
      <c r="N85" s="32"/>
      <c r="O85" s="2"/>
      <c r="P85" s="2"/>
      <c r="Q85" s="32"/>
      <c r="R85" s="32"/>
      <c r="S85" s="32"/>
      <c r="T85" s="32"/>
      <c r="U85" s="2"/>
      <c r="V85" s="2"/>
      <c r="W85" s="2"/>
      <c r="X85" s="2"/>
      <c r="Y85" s="2"/>
      <c r="Z85" s="2"/>
    </row>
    <row r="86" spans="1:26" ht="13.8" x14ac:dyDescent="0.3">
      <c r="A86" s="32"/>
      <c r="B86" s="2"/>
      <c r="C86" s="10"/>
      <c r="D86" s="10"/>
      <c r="E86" s="10"/>
      <c r="F86" s="10"/>
      <c r="G86" s="32"/>
      <c r="H86" s="32"/>
      <c r="I86" s="69"/>
      <c r="J86" s="70"/>
      <c r="K86" s="69"/>
      <c r="L86" s="69"/>
      <c r="M86" s="69"/>
      <c r="N86" s="32"/>
      <c r="O86" s="2"/>
      <c r="P86" s="2"/>
      <c r="Q86" s="32"/>
      <c r="R86" s="32"/>
      <c r="S86" s="32"/>
      <c r="T86" s="32"/>
      <c r="U86" s="2"/>
      <c r="V86" s="2"/>
      <c r="W86" s="2"/>
      <c r="X86" s="2"/>
      <c r="Y86" s="2"/>
      <c r="Z86" s="2"/>
    </row>
    <row r="87" spans="1:26" ht="13.8" x14ac:dyDescent="0.3">
      <c r="A87" s="2"/>
      <c r="B87" s="10"/>
      <c r="C87" s="10"/>
      <c r="D87" s="10"/>
      <c r="E87" s="10"/>
      <c r="F87" s="10"/>
      <c r="G87" s="32"/>
      <c r="H87" s="32"/>
      <c r="I87" s="32"/>
      <c r="J87" s="73"/>
      <c r="K87" s="32"/>
      <c r="L87" s="32"/>
      <c r="M87" s="32"/>
      <c r="N87" s="32"/>
      <c r="O87" s="2"/>
      <c r="P87" s="2"/>
      <c r="Q87" s="32"/>
      <c r="R87" s="32"/>
      <c r="S87" s="32"/>
      <c r="T87" s="32"/>
      <c r="U87" s="2"/>
      <c r="V87" s="2"/>
      <c r="W87" s="2"/>
      <c r="X87" s="2"/>
      <c r="Y87" s="2"/>
      <c r="Z87" s="2"/>
    </row>
    <row r="88" spans="1:26" ht="13.8" x14ac:dyDescent="0.3">
      <c r="A88" s="2"/>
      <c r="B88" s="10"/>
      <c r="C88" s="10"/>
      <c r="D88" s="10"/>
      <c r="E88" s="10"/>
      <c r="F88" s="10"/>
      <c r="G88" s="32"/>
      <c r="H88" s="32"/>
      <c r="I88" s="32"/>
      <c r="J88" s="73"/>
      <c r="K88" s="32"/>
      <c r="L88" s="32"/>
      <c r="M88" s="32"/>
      <c r="N88" s="32"/>
      <c r="O88" s="2"/>
      <c r="P88" s="2"/>
      <c r="Q88" s="32"/>
      <c r="R88" s="32"/>
      <c r="S88" s="32"/>
      <c r="T88" s="32"/>
      <c r="U88" s="2"/>
      <c r="V88" s="2"/>
      <c r="W88" s="2"/>
      <c r="X88" s="2"/>
      <c r="Y88" s="2"/>
      <c r="Z88" s="2"/>
    </row>
    <row r="89" spans="1:26" ht="13.8" x14ac:dyDescent="0.3">
      <c r="A89" s="2"/>
      <c r="B89" s="2"/>
      <c r="C89" s="10"/>
      <c r="D89" s="10"/>
      <c r="E89" s="10"/>
      <c r="F89" s="10"/>
      <c r="G89" s="32"/>
      <c r="H89" s="32"/>
      <c r="I89" s="69"/>
      <c r="J89" s="70"/>
      <c r="K89" s="69"/>
      <c r="L89" s="69"/>
      <c r="M89" s="69"/>
      <c r="N89" s="32"/>
      <c r="O89" s="2"/>
      <c r="P89" s="2"/>
      <c r="Q89" s="32"/>
      <c r="R89" s="32"/>
      <c r="S89" s="32"/>
      <c r="T89" s="32"/>
      <c r="U89" s="2"/>
      <c r="V89" s="2"/>
      <c r="W89" s="2"/>
      <c r="X89" s="2"/>
      <c r="Y89" s="2"/>
      <c r="Z89" s="2"/>
    </row>
    <row r="90" spans="1:26" ht="13.8" x14ac:dyDescent="0.3">
      <c r="A90" s="2"/>
      <c r="B90" s="10"/>
      <c r="C90" s="10"/>
      <c r="D90" s="10"/>
      <c r="E90" s="10"/>
      <c r="F90" s="10"/>
      <c r="G90" s="32"/>
      <c r="H90" s="32"/>
      <c r="I90" s="32"/>
      <c r="J90" s="73"/>
      <c r="K90" s="32"/>
      <c r="L90" s="32"/>
      <c r="M90" s="32"/>
      <c r="N90" s="32"/>
      <c r="O90" s="2"/>
      <c r="P90" s="2"/>
      <c r="Q90" s="32"/>
      <c r="R90" s="32"/>
      <c r="S90" s="32"/>
      <c r="T90" s="32"/>
      <c r="U90" s="2"/>
      <c r="V90" s="2"/>
      <c r="W90" s="2"/>
      <c r="X90" s="2"/>
      <c r="Y90" s="2"/>
      <c r="Z90" s="2"/>
    </row>
    <row r="91" spans="1:26" ht="13.8" x14ac:dyDescent="0.3">
      <c r="A91" s="2"/>
      <c r="B91" s="10"/>
      <c r="C91" s="10"/>
      <c r="D91" s="10"/>
      <c r="E91" s="10"/>
      <c r="F91" s="10"/>
      <c r="G91" s="32"/>
      <c r="H91" s="32"/>
      <c r="I91" s="32"/>
      <c r="J91" s="73"/>
      <c r="K91" s="32"/>
      <c r="L91" s="32"/>
      <c r="M91" s="32"/>
      <c r="N91" s="32"/>
      <c r="O91" s="2"/>
      <c r="P91" s="2"/>
      <c r="Q91" s="32"/>
      <c r="R91" s="32"/>
      <c r="S91" s="32"/>
      <c r="T91" s="32"/>
      <c r="U91" s="2"/>
      <c r="V91" s="2"/>
      <c r="W91" s="2"/>
      <c r="X91" s="2"/>
      <c r="Y91" s="2"/>
      <c r="Z91" s="2"/>
    </row>
    <row r="92" spans="1:26" ht="13.8" x14ac:dyDescent="0.3">
      <c r="A92" s="32"/>
      <c r="B92" s="32"/>
      <c r="C92" s="2"/>
      <c r="D92" s="2"/>
      <c r="E92" s="2"/>
      <c r="F92" s="32"/>
      <c r="G92" s="69"/>
      <c r="H92" s="69"/>
      <c r="I92" s="69"/>
      <c r="J92" s="75"/>
      <c r="K92" s="69"/>
      <c r="L92" s="69"/>
      <c r="M92" s="69"/>
      <c r="N92" s="32"/>
      <c r="O92" s="2"/>
      <c r="P92" s="2"/>
      <c r="Q92" s="32"/>
      <c r="R92" s="32"/>
      <c r="S92" s="32"/>
      <c r="T92" s="32"/>
      <c r="U92" s="2"/>
      <c r="V92" s="2"/>
      <c r="W92" s="2"/>
      <c r="X92" s="2"/>
      <c r="Y92" s="2"/>
      <c r="Z92" s="2"/>
    </row>
    <row r="93" spans="1:26" ht="13.8" x14ac:dyDescent="0.3">
      <c r="A93" s="32"/>
      <c r="B93" s="2"/>
      <c r="C93" s="10"/>
      <c r="D93" s="10"/>
      <c r="E93" s="10"/>
      <c r="F93" s="10"/>
      <c r="G93" s="32"/>
      <c r="H93" s="32"/>
      <c r="I93" s="69"/>
      <c r="J93" s="70"/>
      <c r="K93" s="69"/>
      <c r="L93" s="69"/>
      <c r="M93" s="69"/>
      <c r="N93" s="32"/>
      <c r="O93" s="2"/>
      <c r="P93" s="2"/>
      <c r="Q93" s="32"/>
      <c r="R93" s="32"/>
      <c r="S93" s="32"/>
      <c r="T93" s="32"/>
      <c r="U93" s="2"/>
      <c r="V93" s="2"/>
      <c r="W93" s="2"/>
      <c r="X93" s="2"/>
      <c r="Y93" s="2"/>
      <c r="Z93" s="2"/>
    </row>
    <row r="94" spans="1:26" ht="13.8" x14ac:dyDescent="0.3">
      <c r="A94" s="32"/>
      <c r="B94" s="2"/>
      <c r="C94" s="10"/>
      <c r="D94" s="10"/>
      <c r="E94" s="10"/>
      <c r="F94" s="10"/>
      <c r="G94" s="32"/>
      <c r="H94" s="32"/>
      <c r="I94" s="32"/>
      <c r="J94" s="73"/>
      <c r="K94" s="32"/>
      <c r="L94" s="32"/>
      <c r="M94" s="32"/>
      <c r="N94" s="32"/>
      <c r="O94" s="2"/>
      <c r="P94" s="2"/>
      <c r="Q94" s="32"/>
      <c r="R94" s="32"/>
      <c r="S94" s="32"/>
      <c r="T94" s="32"/>
      <c r="U94" s="2"/>
      <c r="V94" s="2"/>
      <c r="W94" s="2"/>
      <c r="X94" s="2"/>
      <c r="Y94" s="2"/>
      <c r="Z94" s="2"/>
    </row>
    <row r="95" spans="1:26" ht="13.8" x14ac:dyDescent="0.3">
      <c r="A95" s="32"/>
      <c r="B95" s="10"/>
      <c r="C95" s="10"/>
      <c r="D95" s="10"/>
      <c r="E95" s="10"/>
      <c r="F95" s="10"/>
      <c r="G95" s="32"/>
      <c r="H95" s="32"/>
      <c r="I95" s="32"/>
      <c r="J95" s="73"/>
      <c r="K95" s="32"/>
      <c r="L95" s="32"/>
      <c r="M95" s="32"/>
      <c r="N95" s="32"/>
      <c r="O95" s="2"/>
      <c r="P95" s="2"/>
      <c r="Q95" s="32"/>
      <c r="R95" s="32"/>
      <c r="S95" s="32"/>
      <c r="T95" s="32"/>
      <c r="U95" s="2"/>
      <c r="V95" s="2"/>
      <c r="W95" s="2"/>
      <c r="X95" s="2"/>
      <c r="Y95" s="2"/>
      <c r="Z95" s="2"/>
    </row>
    <row r="96" spans="1:26" ht="13.8" x14ac:dyDescent="0.3">
      <c r="A96" s="32"/>
      <c r="B96" s="10"/>
      <c r="C96" s="10"/>
      <c r="D96" s="10"/>
      <c r="E96" s="10"/>
      <c r="F96" s="10"/>
      <c r="G96" s="32"/>
      <c r="H96" s="32"/>
      <c r="I96" s="32"/>
      <c r="J96" s="73"/>
      <c r="K96" s="32"/>
      <c r="L96" s="32"/>
      <c r="M96" s="32"/>
      <c r="N96" s="32"/>
      <c r="O96" s="2"/>
      <c r="P96" s="2"/>
      <c r="Q96" s="32"/>
      <c r="R96" s="32"/>
      <c r="S96" s="32"/>
      <c r="T96" s="32"/>
      <c r="U96" s="2"/>
      <c r="V96" s="2"/>
      <c r="W96" s="2"/>
      <c r="X96" s="2"/>
      <c r="Y96" s="2"/>
      <c r="Z96" s="2"/>
    </row>
    <row r="97" spans="1:26" ht="13.8" x14ac:dyDescent="0.3">
      <c r="A97" s="2"/>
      <c r="B97" s="2"/>
      <c r="C97" s="10"/>
      <c r="D97" s="10"/>
      <c r="E97" s="10"/>
      <c r="F97" s="10"/>
      <c r="G97" s="32"/>
      <c r="H97" s="32"/>
      <c r="I97" s="69"/>
      <c r="J97" s="70"/>
      <c r="K97" s="69"/>
      <c r="L97" s="69"/>
      <c r="M97" s="69"/>
      <c r="N97" s="32"/>
      <c r="O97" s="2"/>
      <c r="P97" s="2"/>
      <c r="Q97" s="32"/>
      <c r="R97" s="32"/>
      <c r="S97" s="32"/>
      <c r="T97" s="32"/>
      <c r="U97" s="2"/>
      <c r="V97" s="2"/>
      <c r="W97" s="2"/>
      <c r="X97" s="2"/>
      <c r="Y97" s="2"/>
      <c r="Z97" s="2"/>
    </row>
    <row r="98" spans="1:26" ht="13.8" x14ac:dyDescent="0.3">
      <c r="A98" s="2"/>
      <c r="B98" s="2"/>
      <c r="C98" s="10"/>
      <c r="D98" s="10"/>
      <c r="E98" s="10"/>
      <c r="F98" s="10"/>
      <c r="G98" s="32"/>
      <c r="H98" s="32"/>
      <c r="I98" s="32"/>
      <c r="J98" s="73"/>
      <c r="K98" s="32"/>
      <c r="L98" s="32"/>
      <c r="M98" s="32"/>
      <c r="N98" s="32"/>
      <c r="O98" s="2"/>
      <c r="P98" s="2"/>
      <c r="Q98" s="32"/>
      <c r="R98" s="32"/>
      <c r="S98" s="32"/>
      <c r="T98" s="32"/>
      <c r="U98" s="2"/>
      <c r="V98" s="2"/>
      <c r="W98" s="2"/>
      <c r="X98" s="2"/>
      <c r="Y98" s="2"/>
      <c r="Z98" s="2"/>
    </row>
    <row r="99" spans="1:26" ht="13.8" x14ac:dyDescent="0.3">
      <c r="A99" s="2"/>
      <c r="B99" s="10"/>
      <c r="C99" s="10"/>
      <c r="D99" s="10"/>
      <c r="E99" s="10"/>
      <c r="F99" s="10"/>
      <c r="G99" s="32"/>
      <c r="H99" s="32"/>
      <c r="I99" s="32"/>
      <c r="J99" s="73"/>
      <c r="K99" s="32"/>
      <c r="L99" s="32"/>
      <c r="M99" s="32"/>
      <c r="N99" s="32"/>
      <c r="O99" s="2"/>
      <c r="P99" s="2"/>
      <c r="Q99" s="32"/>
      <c r="R99" s="32"/>
      <c r="S99" s="32"/>
      <c r="T99" s="32"/>
      <c r="U99" s="2"/>
      <c r="V99" s="2"/>
      <c r="W99" s="2"/>
      <c r="X99" s="2"/>
      <c r="Y99" s="2"/>
      <c r="Z99" s="2"/>
    </row>
    <row r="100" spans="1:26" ht="13.8" x14ac:dyDescent="0.3">
      <c r="A100" s="2"/>
      <c r="B100" s="32"/>
      <c r="C100" s="2"/>
      <c r="D100" s="2"/>
      <c r="E100" s="2"/>
      <c r="F100" s="32"/>
      <c r="G100" s="69"/>
      <c r="H100" s="69"/>
      <c r="I100" s="69"/>
      <c r="J100" s="75"/>
      <c r="K100" s="69"/>
      <c r="L100" s="69"/>
      <c r="M100" s="69"/>
      <c r="N100" s="32"/>
      <c r="O100" s="2"/>
      <c r="P100" s="2"/>
      <c r="Q100" s="32"/>
      <c r="R100" s="32"/>
      <c r="S100" s="32"/>
      <c r="T100" s="32"/>
      <c r="U100" s="2"/>
      <c r="V100" s="2"/>
      <c r="W100" s="2"/>
      <c r="X100" s="2"/>
      <c r="Y100" s="2"/>
      <c r="Z100" s="2"/>
    </row>
    <row r="101" spans="1:26" ht="13.8" x14ac:dyDescent="0.3">
      <c r="A101" s="2"/>
      <c r="B101" s="10"/>
      <c r="C101" s="10"/>
      <c r="D101" s="10"/>
      <c r="E101" s="10"/>
      <c r="F101" s="10"/>
      <c r="G101" s="32"/>
      <c r="H101" s="32"/>
      <c r="I101" s="32"/>
      <c r="J101" s="73"/>
      <c r="K101" s="69"/>
      <c r="L101" s="69"/>
      <c r="M101" s="69"/>
      <c r="N101" s="32"/>
      <c r="O101" s="2"/>
      <c r="P101" s="2"/>
      <c r="Q101" s="32"/>
      <c r="R101" s="32"/>
      <c r="S101" s="32"/>
      <c r="T101" s="32"/>
      <c r="U101" s="2"/>
      <c r="V101" s="2"/>
      <c r="W101" s="2"/>
      <c r="X101" s="2"/>
      <c r="Y101" s="2"/>
      <c r="Z101" s="2"/>
    </row>
    <row r="102" spans="1:26" ht="13.8" x14ac:dyDescent="0.3">
      <c r="A102" s="2"/>
      <c r="B102" s="10"/>
      <c r="C102" s="10"/>
      <c r="D102" s="10"/>
      <c r="E102" s="10"/>
      <c r="F102" s="10"/>
      <c r="G102" s="32"/>
      <c r="H102" s="32"/>
      <c r="I102" s="32"/>
      <c r="J102" s="73"/>
      <c r="K102" s="32"/>
      <c r="L102" s="32"/>
      <c r="M102" s="32"/>
      <c r="N102" s="32"/>
      <c r="O102" s="2"/>
      <c r="P102" s="2"/>
      <c r="Q102" s="32"/>
      <c r="R102" s="32"/>
      <c r="S102" s="32"/>
      <c r="T102" s="32"/>
      <c r="U102" s="2"/>
      <c r="V102" s="2"/>
      <c r="W102" s="2"/>
      <c r="X102" s="2"/>
      <c r="Y102" s="2"/>
      <c r="Z102" s="2"/>
    </row>
    <row r="103" spans="1:26" ht="13.8" x14ac:dyDescent="0.3">
      <c r="A103" s="2"/>
      <c r="B103" s="2"/>
      <c r="C103" s="10"/>
      <c r="D103" s="10"/>
      <c r="E103" s="10"/>
      <c r="F103" s="10"/>
      <c r="G103" s="32"/>
      <c r="H103" s="32"/>
      <c r="I103" s="32"/>
      <c r="J103" s="73"/>
      <c r="K103" s="32"/>
      <c r="L103" s="32"/>
      <c r="M103" s="32"/>
      <c r="N103" s="32"/>
      <c r="O103" s="2"/>
      <c r="P103" s="2"/>
      <c r="Q103" s="32"/>
      <c r="R103" s="32"/>
      <c r="S103" s="32"/>
      <c r="T103" s="32"/>
      <c r="U103" s="2"/>
      <c r="V103" s="2"/>
      <c r="W103" s="2"/>
      <c r="X103" s="2"/>
      <c r="Y103" s="2"/>
      <c r="Z103" s="2"/>
    </row>
    <row r="104" spans="1:26" ht="13.8" x14ac:dyDescent="0.3">
      <c r="A104" s="2"/>
      <c r="B104" s="10"/>
      <c r="C104" s="10"/>
      <c r="D104" s="10"/>
      <c r="E104" s="10"/>
      <c r="F104" s="10"/>
      <c r="G104" s="32"/>
      <c r="H104" s="32"/>
      <c r="I104" s="32"/>
      <c r="J104" s="73"/>
      <c r="K104" s="32"/>
      <c r="L104" s="32"/>
      <c r="M104" s="32"/>
      <c r="N104" s="32"/>
      <c r="O104" s="2"/>
      <c r="P104" s="2"/>
      <c r="Q104" s="32"/>
      <c r="R104" s="32"/>
      <c r="S104" s="32"/>
      <c r="T104" s="32"/>
      <c r="U104" s="2"/>
      <c r="V104" s="2"/>
      <c r="W104" s="2"/>
      <c r="X104" s="2"/>
      <c r="Y104" s="2"/>
      <c r="Z104" s="2"/>
    </row>
    <row r="105" spans="1:26" ht="13.8" x14ac:dyDescent="0.3">
      <c r="A105" s="2"/>
      <c r="B105" s="10"/>
      <c r="C105" s="10"/>
      <c r="D105" s="10"/>
      <c r="E105" s="10"/>
      <c r="F105" s="10"/>
      <c r="G105" s="32"/>
      <c r="H105" s="32"/>
      <c r="I105" s="32"/>
      <c r="J105" s="73"/>
      <c r="K105" s="32"/>
      <c r="L105" s="32"/>
      <c r="M105" s="32"/>
      <c r="N105" s="32"/>
      <c r="O105" s="2"/>
      <c r="P105" s="2"/>
      <c r="Q105" s="32"/>
      <c r="R105" s="32"/>
      <c r="S105" s="32"/>
      <c r="T105" s="32"/>
      <c r="U105" s="2"/>
      <c r="V105" s="2"/>
      <c r="W105" s="2"/>
      <c r="X105" s="2"/>
      <c r="Y105" s="2"/>
      <c r="Z105" s="2"/>
    </row>
    <row r="106" spans="1:26" ht="13.8" x14ac:dyDescent="0.3">
      <c r="A106" s="2"/>
      <c r="B106" s="2"/>
      <c r="C106" s="10"/>
      <c r="D106" s="10"/>
      <c r="E106" s="10"/>
      <c r="F106" s="10"/>
      <c r="G106" s="32"/>
      <c r="H106" s="32"/>
      <c r="I106" s="32"/>
      <c r="J106" s="73"/>
      <c r="K106" s="32"/>
      <c r="L106" s="32"/>
      <c r="M106" s="32"/>
      <c r="N106" s="32"/>
      <c r="O106" s="2"/>
      <c r="P106" s="2"/>
      <c r="Q106" s="32"/>
      <c r="R106" s="32"/>
      <c r="S106" s="32"/>
      <c r="T106" s="32"/>
      <c r="U106" s="2"/>
      <c r="V106" s="2"/>
      <c r="W106" s="2"/>
      <c r="X106" s="2"/>
      <c r="Y106" s="2"/>
      <c r="Z106" s="2"/>
    </row>
    <row r="107" spans="1:26" ht="13.8" x14ac:dyDescent="0.3">
      <c r="A107" s="2"/>
      <c r="B107" s="10"/>
      <c r="C107" s="10"/>
      <c r="D107" s="10"/>
      <c r="E107" s="10"/>
      <c r="F107" s="10"/>
      <c r="G107" s="32"/>
      <c r="H107" s="32"/>
      <c r="I107" s="32"/>
      <c r="J107" s="73"/>
      <c r="K107" s="32"/>
      <c r="L107" s="32"/>
      <c r="M107" s="32"/>
      <c r="N107" s="32"/>
      <c r="O107" s="2"/>
      <c r="P107" s="2"/>
      <c r="Q107" s="32"/>
      <c r="R107" s="32"/>
      <c r="S107" s="32"/>
      <c r="T107" s="32"/>
      <c r="U107" s="2"/>
      <c r="V107" s="2"/>
      <c r="W107" s="2"/>
      <c r="X107" s="2"/>
      <c r="Y107" s="2"/>
      <c r="Z107" s="2"/>
    </row>
    <row r="108" spans="1:26" ht="13.8" x14ac:dyDescent="0.3">
      <c r="A108" s="2"/>
      <c r="B108" s="10"/>
      <c r="C108" s="10"/>
      <c r="D108" s="10"/>
      <c r="E108" s="10"/>
      <c r="F108" s="10"/>
      <c r="G108" s="32"/>
      <c r="H108" s="32"/>
      <c r="I108" s="32"/>
      <c r="J108" s="70"/>
      <c r="K108" s="69"/>
      <c r="L108" s="69"/>
      <c r="M108" s="69"/>
      <c r="N108" s="32"/>
      <c r="O108" s="2"/>
      <c r="P108" s="2"/>
      <c r="Q108" s="32"/>
      <c r="R108" s="32"/>
      <c r="S108" s="32"/>
      <c r="T108" s="32"/>
      <c r="U108" s="2"/>
      <c r="V108" s="2"/>
      <c r="W108" s="2"/>
      <c r="X108" s="2"/>
      <c r="Y108" s="2"/>
      <c r="Z108" s="2"/>
    </row>
    <row r="109" spans="1:26" ht="13.8" x14ac:dyDescent="0.3">
      <c r="A109" s="2"/>
      <c r="B109" s="10"/>
      <c r="C109" s="10"/>
      <c r="D109" s="10"/>
      <c r="E109" s="10"/>
      <c r="F109" s="10"/>
      <c r="G109" s="32"/>
      <c r="H109" s="32"/>
      <c r="I109" s="32"/>
      <c r="J109" s="73"/>
      <c r="K109" s="69"/>
      <c r="L109" s="69"/>
      <c r="M109" s="69"/>
      <c r="N109" s="32"/>
      <c r="O109" s="2"/>
      <c r="P109" s="2"/>
      <c r="Q109" s="32"/>
      <c r="R109" s="32"/>
      <c r="S109" s="32"/>
      <c r="T109" s="32"/>
      <c r="U109" s="2"/>
      <c r="V109" s="2"/>
      <c r="W109" s="2"/>
      <c r="X109" s="2"/>
      <c r="Y109" s="2"/>
      <c r="Z109" s="2"/>
    </row>
    <row r="110" spans="1:26" ht="13.8" x14ac:dyDescent="0.3">
      <c r="A110" s="32"/>
      <c r="B110" s="2"/>
      <c r="C110" s="10"/>
      <c r="D110" s="10"/>
      <c r="E110" s="10"/>
      <c r="F110" s="10"/>
      <c r="G110" s="32"/>
      <c r="H110" s="32"/>
      <c r="I110" s="32"/>
      <c r="J110" s="73"/>
      <c r="K110" s="32"/>
      <c r="L110" s="32"/>
      <c r="M110" s="32"/>
      <c r="N110" s="32"/>
      <c r="O110" s="2"/>
      <c r="P110" s="2"/>
      <c r="Q110" s="32"/>
      <c r="R110" s="32"/>
      <c r="S110" s="32"/>
      <c r="T110" s="32"/>
      <c r="U110" s="2"/>
      <c r="V110" s="2"/>
      <c r="W110" s="2"/>
      <c r="X110" s="2"/>
      <c r="Y110" s="2"/>
      <c r="Z110" s="2"/>
    </row>
    <row r="111" spans="1:26" ht="13.8" x14ac:dyDescent="0.3">
      <c r="A111" s="32"/>
      <c r="B111" s="10"/>
      <c r="C111" s="10"/>
      <c r="D111" s="10"/>
      <c r="E111" s="10"/>
      <c r="F111" s="10"/>
      <c r="G111" s="32"/>
      <c r="H111" s="32"/>
      <c r="I111" s="32"/>
      <c r="J111" s="70"/>
      <c r="K111" s="69"/>
      <c r="L111" s="69"/>
      <c r="M111" s="69"/>
      <c r="N111" s="32"/>
      <c r="O111" s="2"/>
      <c r="P111" s="2"/>
      <c r="Q111" s="32"/>
      <c r="R111" s="32"/>
      <c r="S111" s="32"/>
      <c r="T111" s="32"/>
      <c r="U111" s="2"/>
      <c r="V111" s="2"/>
      <c r="W111" s="2"/>
      <c r="X111" s="2"/>
      <c r="Y111" s="2"/>
      <c r="Z111" s="2"/>
    </row>
    <row r="112" spans="1:26" ht="13.8" x14ac:dyDescent="0.3">
      <c r="A112" s="32"/>
      <c r="B112" s="10"/>
      <c r="C112" s="10"/>
      <c r="D112" s="10"/>
      <c r="E112" s="10"/>
      <c r="F112" s="10"/>
      <c r="G112" s="32"/>
      <c r="H112" s="32"/>
      <c r="I112" s="32"/>
      <c r="J112" s="73"/>
      <c r="K112" s="32"/>
      <c r="L112" s="32"/>
      <c r="M112" s="32"/>
      <c r="N112" s="32"/>
      <c r="O112" s="2"/>
      <c r="P112" s="2"/>
      <c r="Q112" s="32"/>
      <c r="R112" s="32"/>
      <c r="S112" s="32"/>
      <c r="T112" s="32"/>
      <c r="U112" s="2"/>
      <c r="V112" s="2"/>
      <c r="W112" s="2"/>
      <c r="X112" s="2"/>
      <c r="Y112" s="2"/>
      <c r="Z112" s="2"/>
    </row>
    <row r="113" spans="1:26" ht="13.8" x14ac:dyDescent="0.3">
      <c r="A113" s="32"/>
      <c r="B113" s="10"/>
      <c r="C113" s="10"/>
      <c r="D113" s="10"/>
      <c r="E113" s="10"/>
      <c r="F113" s="10"/>
      <c r="G113" s="32"/>
      <c r="H113" s="32"/>
      <c r="I113" s="32"/>
      <c r="J113" s="73"/>
      <c r="K113" s="69"/>
      <c r="L113" s="69"/>
      <c r="M113" s="69"/>
      <c r="N113" s="32"/>
      <c r="O113" s="2"/>
      <c r="P113" s="2"/>
      <c r="Q113" s="32"/>
      <c r="R113" s="32"/>
      <c r="S113" s="32"/>
      <c r="T113" s="32"/>
      <c r="U113" s="2"/>
      <c r="V113" s="2"/>
      <c r="W113" s="2"/>
      <c r="X113" s="2"/>
      <c r="Y113" s="2"/>
      <c r="Z113" s="2"/>
    </row>
    <row r="114" spans="1:26" ht="13.8" x14ac:dyDescent="0.3">
      <c r="A114" s="2"/>
      <c r="B114" s="32"/>
      <c r="C114" s="10"/>
      <c r="D114" s="10"/>
      <c r="E114" s="10"/>
      <c r="F114" s="32"/>
      <c r="G114" s="69"/>
      <c r="H114" s="69"/>
      <c r="I114" s="32"/>
      <c r="J114" s="75"/>
      <c r="K114" s="32"/>
      <c r="L114" s="32"/>
      <c r="M114" s="32"/>
      <c r="N114" s="32"/>
      <c r="O114" s="2"/>
      <c r="P114" s="2"/>
      <c r="Q114" s="32"/>
      <c r="R114" s="32"/>
      <c r="S114" s="32"/>
      <c r="T114" s="32"/>
      <c r="U114" s="2"/>
      <c r="V114" s="2"/>
      <c r="W114" s="2"/>
      <c r="X114" s="2"/>
      <c r="Y114" s="2"/>
      <c r="Z114" s="2"/>
    </row>
    <row r="115" spans="1:26" ht="13.8" x14ac:dyDescent="0.3">
      <c r="A115" s="2"/>
      <c r="B115" s="2"/>
      <c r="C115" s="10"/>
      <c r="D115" s="10"/>
      <c r="E115" s="10"/>
      <c r="F115" s="10"/>
      <c r="G115" s="32"/>
      <c r="H115" s="32"/>
      <c r="I115" s="32"/>
      <c r="J115" s="73"/>
      <c r="K115" s="32"/>
      <c r="L115" s="32"/>
      <c r="M115" s="32"/>
      <c r="N115" s="32"/>
      <c r="O115" s="2"/>
      <c r="P115" s="2"/>
      <c r="Q115" s="32"/>
      <c r="R115" s="32"/>
      <c r="S115" s="32"/>
      <c r="T115" s="32"/>
      <c r="U115" s="2"/>
      <c r="V115" s="2"/>
      <c r="W115" s="2"/>
      <c r="X115" s="2"/>
      <c r="Y115" s="2"/>
      <c r="Z115" s="2"/>
    </row>
    <row r="116" spans="1:26" ht="13.8" x14ac:dyDescent="0.3">
      <c r="A116" s="2"/>
      <c r="B116" s="10"/>
      <c r="C116" s="10"/>
      <c r="D116" s="10"/>
      <c r="E116" s="10"/>
      <c r="F116" s="32"/>
      <c r="G116" s="32"/>
      <c r="H116" s="32"/>
      <c r="I116" s="32"/>
      <c r="J116" s="70"/>
      <c r="K116" s="69"/>
      <c r="L116" s="69"/>
      <c r="M116" s="69"/>
      <c r="N116" s="32"/>
      <c r="O116" s="2"/>
      <c r="P116" s="2"/>
      <c r="Q116" s="32"/>
      <c r="R116" s="32"/>
      <c r="S116" s="32"/>
      <c r="T116" s="32"/>
      <c r="U116" s="2"/>
      <c r="V116" s="2"/>
      <c r="W116" s="2"/>
      <c r="X116" s="2"/>
      <c r="Y116" s="2"/>
      <c r="Z116" s="2"/>
    </row>
    <row r="117" spans="1:26" ht="13.8" x14ac:dyDescent="0.3">
      <c r="A117" s="2"/>
      <c r="B117" s="10"/>
      <c r="C117" s="10"/>
      <c r="D117" s="10"/>
      <c r="E117" s="10"/>
      <c r="F117" s="10"/>
      <c r="G117" s="32"/>
      <c r="H117" s="32"/>
      <c r="I117" s="32"/>
      <c r="J117" s="70"/>
      <c r="K117" s="69"/>
      <c r="L117" s="69"/>
      <c r="M117" s="69"/>
      <c r="N117" s="32"/>
      <c r="O117" s="2"/>
      <c r="P117" s="2"/>
      <c r="Q117" s="32"/>
      <c r="R117" s="32"/>
      <c r="S117" s="32"/>
      <c r="T117" s="32"/>
      <c r="U117" s="2"/>
      <c r="V117" s="2"/>
      <c r="W117" s="2"/>
      <c r="X117" s="2"/>
      <c r="Y117" s="2"/>
      <c r="Z117" s="2"/>
    </row>
    <row r="118" spans="1:26" ht="13.8" x14ac:dyDescent="0.3">
      <c r="A118" s="2"/>
      <c r="B118" s="10"/>
      <c r="C118" s="10"/>
      <c r="D118" s="10"/>
      <c r="E118" s="10"/>
      <c r="F118" s="10"/>
      <c r="G118" s="32"/>
      <c r="H118" s="32"/>
      <c r="I118" s="32"/>
      <c r="J118" s="70"/>
      <c r="K118" s="69"/>
      <c r="L118" s="69"/>
      <c r="M118" s="69"/>
      <c r="N118" s="32"/>
      <c r="O118" s="2"/>
      <c r="P118" s="2"/>
      <c r="Q118" s="32"/>
      <c r="R118" s="32"/>
      <c r="S118" s="32"/>
      <c r="T118" s="32"/>
      <c r="U118" s="2"/>
      <c r="V118" s="2"/>
      <c r="W118" s="2"/>
      <c r="X118" s="2"/>
      <c r="Y118" s="2"/>
      <c r="Z118" s="2"/>
    </row>
    <row r="119" spans="1:26" ht="13.8" x14ac:dyDescent="0.3">
      <c r="A119" s="2"/>
      <c r="B119" s="10"/>
      <c r="C119" s="10"/>
      <c r="D119" s="10"/>
      <c r="E119" s="10"/>
      <c r="F119" s="32"/>
      <c r="G119" s="32"/>
      <c r="H119" s="32"/>
      <c r="I119" s="32"/>
      <c r="J119" s="70"/>
      <c r="K119" s="69"/>
      <c r="L119" s="32"/>
      <c r="M119" s="32"/>
      <c r="N119" s="32"/>
      <c r="O119" s="2"/>
      <c r="P119" s="2"/>
      <c r="Q119" s="32"/>
      <c r="R119" s="32"/>
      <c r="S119" s="32"/>
      <c r="T119" s="32"/>
      <c r="U119" s="2"/>
      <c r="V119" s="2"/>
      <c r="W119" s="2"/>
      <c r="X119" s="2"/>
      <c r="Y119" s="2"/>
      <c r="Z119" s="2"/>
    </row>
    <row r="120" spans="1:26" ht="13.8" x14ac:dyDescent="0.3">
      <c r="A120" s="2"/>
      <c r="B120" s="10"/>
      <c r="C120" s="10"/>
      <c r="D120" s="10"/>
      <c r="E120" s="10"/>
      <c r="F120" s="10"/>
      <c r="G120" s="32"/>
      <c r="H120" s="32"/>
      <c r="I120" s="32"/>
      <c r="J120" s="70"/>
      <c r="K120" s="69"/>
      <c r="L120" s="32"/>
      <c r="M120" s="32"/>
      <c r="N120" s="32"/>
      <c r="O120" s="2"/>
      <c r="P120" s="2"/>
      <c r="Q120" s="32"/>
      <c r="R120" s="32"/>
      <c r="S120" s="32"/>
      <c r="T120" s="32"/>
      <c r="U120" s="2"/>
      <c r="V120" s="2"/>
      <c r="W120" s="2"/>
      <c r="X120" s="2"/>
      <c r="Y120" s="2"/>
      <c r="Z120" s="2"/>
    </row>
    <row r="121" spans="1:26" ht="13.8" x14ac:dyDescent="0.3">
      <c r="A121" s="2"/>
      <c r="B121" s="10"/>
      <c r="C121" s="10"/>
      <c r="D121" s="10"/>
      <c r="E121" s="10"/>
      <c r="F121" s="10"/>
      <c r="G121" s="32"/>
      <c r="H121" s="32"/>
      <c r="I121" s="32"/>
      <c r="J121" s="73"/>
      <c r="K121" s="32"/>
      <c r="L121" s="32"/>
      <c r="M121" s="32"/>
      <c r="N121" s="32"/>
      <c r="O121" s="2"/>
      <c r="P121" s="2"/>
      <c r="Q121" s="32"/>
      <c r="R121" s="32"/>
      <c r="S121" s="32"/>
      <c r="T121" s="32"/>
      <c r="U121" s="2"/>
      <c r="V121" s="2"/>
      <c r="W121" s="2"/>
      <c r="X121" s="2"/>
      <c r="Y121" s="2"/>
      <c r="Z121" s="2"/>
    </row>
    <row r="122" spans="1:26" ht="13.8" x14ac:dyDescent="0.3">
      <c r="A122" s="2"/>
      <c r="B122" s="10"/>
      <c r="C122" s="10"/>
      <c r="D122" s="10"/>
      <c r="E122" s="10"/>
      <c r="F122" s="10"/>
      <c r="G122" s="32"/>
      <c r="H122" s="32"/>
      <c r="I122" s="32"/>
      <c r="J122" s="70"/>
      <c r="K122" s="69"/>
      <c r="L122" s="69"/>
      <c r="M122" s="69"/>
      <c r="N122" s="32"/>
      <c r="O122" s="2"/>
      <c r="P122" s="2"/>
      <c r="Q122" s="32"/>
      <c r="R122" s="32"/>
      <c r="S122" s="32"/>
      <c r="T122" s="32"/>
      <c r="U122" s="2"/>
      <c r="V122" s="2"/>
      <c r="W122" s="2"/>
      <c r="X122" s="2"/>
      <c r="Y122" s="2"/>
      <c r="Z122" s="2"/>
    </row>
    <row r="123" spans="1:26" ht="13.8" x14ac:dyDescent="0.3">
      <c r="A123" s="2"/>
      <c r="B123" s="32"/>
      <c r="C123" s="10"/>
      <c r="D123" s="10"/>
      <c r="E123" s="10"/>
      <c r="F123" s="32"/>
      <c r="G123" s="32"/>
      <c r="H123" s="32"/>
      <c r="I123" s="32"/>
      <c r="J123" s="70"/>
      <c r="K123" s="69"/>
      <c r="L123" s="69"/>
      <c r="M123" s="69"/>
      <c r="N123" s="32"/>
      <c r="O123" s="2"/>
      <c r="P123" s="2"/>
      <c r="Q123" s="32"/>
      <c r="R123" s="32"/>
      <c r="S123" s="32"/>
      <c r="T123" s="32"/>
      <c r="U123" s="2"/>
      <c r="V123" s="2"/>
      <c r="W123" s="2"/>
      <c r="X123" s="2"/>
      <c r="Y123" s="2"/>
      <c r="Z123" s="2"/>
    </row>
    <row r="124" spans="1:26" ht="13.8" x14ac:dyDescent="0.3">
      <c r="A124" s="2"/>
      <c r="B124" s="32"/>
      <c r="C124" s="10"/>
      <c r="D124" s="10"/>
      <c r="E124" s="10"/>
      <c r="F124" s="10"/>
      <c r="G124" s="32"/>
      <c r="H124" s="32"/>
      <c r="I124" s="32"/>
      <c r="J124" s="70"/>
      <c r="K124" s="69"/>
      <c r="L124" s="69"/>
      <c r="M124" s="69"/>
      <c r="N124" s="32"/>
      <c r="O124" s="2"/>
      <c r="P124" s="2"/>
      <c r="Q124" s="32"/>
      <c r="R124" s="32"/>
      <c r="S124" s="32"/>
      <c r="T124" s="32"/>
      <c r="U124" s="2"/>
      <c r="V124" s="2"/>
      <c r="W124" s="2"/>
      <c r="X124" s="2"/>
      <c r="Y124" s="2"/>
      <c r="Z124" s="2"/>
    </row>
    <row r="125" spans="1:26" ht="13.8" x14ac:dyDescent="0.3">
      <c r="A125" s="2"/>
      <c r="B125" s="10"/>
      <c r="C125" s="10"/>
      <c r="D125" s="10"/>
      <c r="E125" s="10"/>
      <c r="F125" s="10"/>
      <c r="G125" s="32"/>
      <c r="H125" s="32"/>
      <c r="I125" s="32"/>
      <c r="J125" s="70"/>
      <c r="K125" s="69"/>
      <c r="L125" s="32"/>
      <c r="M125" s="32"/>
      <c r="N125" s="32"/>
      <c r="O125" s="2"/>
      <c r="P125" s="2"/>
      <c r="Q125" s="32"/>
      <c r="R125" s="32"/>
      <c r="S125" s="32"/>
      <c r="T125" s="32"/>
      <c r="U125" s="2"/>
      <c r="V125" s="2"/>
      <c r="W125" s="2"/>
      <c r="X125" s="2"/>
      <c r="Y125" s="2"/>
      <c r="Z125" s="2"/>
    </row>
    <row r="126" spans="1:26" ht="13.8" x14ac:dyDescent="0.3">
      <c r="A126" s="2"/>
      <c r="B126" s="2"/>
      <c r="C126" s="10"/>
      <c r="D126" s="10"/>
      <c r="E126" s="10"/>
      <c r="F126" s="10"/>
      <c r="G126" s="32"/>
      <c r="H126" s="32"/>
      <c r="I126" s="32"/>
      <c r="J126" s="73"/>
      <c r="K126" s="32"/>
      <c r="L126" s="32"/>
      <c r="M126" s="32"/>
      <c r="N126" s="32"/>
      <c r="O126" s="2"/>
      <c r="P126" s="2"/>
      <c r="Q126" s="32"/>
      <c r="R126" s="32"/>
      <c r="S126" s="32"/>
      <c r="T126" s="32"/>
      <c r="U126" s="2"/>
      <c r="V126" s="2"/>
      <c r="W126" s="2"/>
      <c r="X126" s="2"/>
      <c r="Y126" s="2"/>
      <c r="Z126" s="2"/>
    </row>
    <row r="127" spans="1:26" ht="13.8" x14ac:dyDescent="0.3">
      <c r="A127" s="2"/>
      <c r="B127" s="10"/>
      <c r="C127" s="10"/>
      <c r="D127" s="10"/>
      <c r="E127" s="10"/>
      <c r="F127" s="10"/>
      <c r="G127" s="32"/>
      <c r="H127" s="32"/>
      <c r="I127" s="32"/>
      <c r="J127" s="73"/>
      <c r="K127" s="32"/>
      <c r="L127" s="32"/>
      <c r="M127" s="32"/>
      <c r="N127" s="32"/>
      <c r="O127" s="2"/>
      <c r="P127" s="2"/>
      <c r="Q127" s="32"/>
      <c r="R127" s="32"/>
      <c r="S127" s="32"/>
      <c r="T127" s="32"/>
      <c r="U127" s="2"/>
      <c r="V127" s="2"/>
      <c r="W127" s="2"/>
      <c r="X127" s="2"/>
      <c r="Y127" s="2"/>
      <c r="Z127" s="2"/>
    </row>
    <row r="128" spans="1:26" ht="13.8" x14ac:dyDescent="0.3">
      <c r="A128" s="2"/>
      <c r="B128" s="2"/>
      <c r="C128" s="10"/>
      <c r="D128" s="10"/>
      <c r="E128" s="10"/>
      <c r="F128" s="10"/>
      <c r="G128" s="32"/>
      <c r="H128" s="32"/>
      <c r="I128" s="32"/>
      <c r="J128" s="73"/>
      <c r="K128" s="69"/>
      <c r="L128" s="69"/>
      <c r="M128" s="69"/>
      <c r="N128" s="32"/>
      <c r="O128" s="2"/>
      <c r="P128" s="2"/>
      <c r="Q128" s="32"/>
      <c r="R128" s="32"/>
      <c r="S128" s="32"/>
      <c r="T128" s="32"/>
      <c r="U128" s="2"/>
      <c r="V128" s="2"/>
      <c r="W128" s="2"/>
      <c r="X128" s="2"/>
      <c r="Y128" s="2"/>
      <c r="Z128" s="2"/>
    </row>
    <row r="129" spans="1:26" ht="13.8" x14ac:dyDescent="0.3">
      <c r="A129" s="32"/>
      <c r="B129" s="32"/>
      <c r="C129" s="10"/>
      <c r="D129" s="10"/>
      <c r="E129" s="10"/>
      <c r="F129" s="32"/>
      <c r="G129" s="69"/>
      <c r="H129" s="69"/>
      <c r="I129" s="32"/>
      <c r="J129" s="75"/>
      <c r="K129" s="32"/>
      <c r="L129" s="32"/>
      <c r="M129" s="32"/>
      <c r="N129" s="32"/>
      <c r="O129" s="2"/>
      <c r="P129" s="2"/>
      <c r="Q129" s="32"/>
      <c r="R129" s="32"/>
      <c r="S129" s="32"/>
      <c r="T129" s="32"/>
      <c r="U129" s="2"/>
      <c r="V129" s="2"/>
      <c r="W129" s="2"/>
      <c r="X129" s="2"/>
      <c r="Y129" s="2"/>
      <c r="Z129" s="2"/>
    </row>
    <row r="130" spans="1:26" ht="13.8" x14ac:dyDescent="0.3">
      <c r="A130" s="32"/>
      <c r="B130" s="32"/>
      <c r="C130" s="10"/>
      <c r="D130" s="10"/>
      <c r="E130" s="10"/>
      <c r="F130" s="32"/>
      <c r="G130" s="32"/>
      <c r="H130" s="32"/>
      <c r="I130" s="32"/>
      <c r="J130" s="70"/>
      <c r="K130" s="69"/>
      <c r="L130" s="69"/>
      <c r="M130" s="69"/>
      <c r="N130" s="32"/>
      <c r="O130" s="2"/>
      <c r="P130" s="2"/>
      <c r="Q130" s="32"/>
      <c r="R130" s="32"/>
      <c r="S130" s="32"/>
      <c r="T130" s="32"/>
      <c r="U130" s="2"/>
      <c r="V130" s="2"/>
      <c r="W130" s="2"/>
      <c r="X130" s="2"/>
      <c r="Y130" s="2"/>
      <c r="Z130" s="2"/>
    </row>
    <row r="131" spans="1:26" ht="13.8" x14ac:dyDescent="0.3">
      <c r="A131" s="32"/>
      <c r="B131" s="32"/>
      <c r="C131" s="10"/>
      <c r="D131" s="10"/>
      <c r="E131" s="10"/>
      <c r="F131" s="10"/>
      <c r="G131" s="32"/>
      <c r="H131" s="32"/>
      <c r="I131" s="32"/>
      <c r="J131" s="70"/>
      <c r="K131" s="69"/>
      <c r="L131" s="69"/>
      <c r="M131" s="69"/>
      <c r="N131" s="32"/>
      <c r="O131" s="2"/>
      <c r="P131" s="2"/>
      <c r="Q131" s="32"/>
      <c r="R131" s="32"/>
      <c r="S131" s="32"/>
      <c r="T131" s="32"/>
      <c r="U131" s="2"/>
      <c r="V131" s="2"/>
      <c r="W131" s="2"/>
      <c r="X131" s="2"/>
      <c r="Y131" s="2"/>
      <c r="Z131" s="2"/>
    </row>
    <row r="132" spans="1:26" ht="13.8" x14ac:dyDescent="0.3">
      <c r="A132" s="32"/>
      <c r="B132" s="10"/>
      <c r="C132" s="10"/>
      <c r="D132" s="10"/>
      <c r="E132" s="10"/>
      <c r="F132" s="10"/>
      <c r="G132" s="32"/>
      <c r="H132" s="32"/>
      <c r="I132" s="32"/>
      <c r="J132" s="73"/>
      <c r="K132" s="32"/>
      <c r="L132" s="32"/>
      <c r="M132" s="32"/>
      <c r="N132" s="32"/>
      <c r="O132" s="2"/>
      <c r="P132" s="2"/>
      <c r="Q132" s="32"/>
      <c r="R132" s="32"/>
      <c r="S132" s="32"/>
      <c r="T132" s="32"/>
      <c r="U132" s="2"/>
      <c r="V132" s="2"/>
      <c r="W132" s="2"/>
      <c r="X132" s="2"/>
      <c r="Y132" s="2"/>
      <c r="Z132" s="2"/>
    </row>
    <row r="133" spans="1:26" ht="13.8" x14ac:dyDescent="0.3">
      <c r="A133" s="32"/>
      <c r="B133" s="2"/>
      <c r="C133" s="10"/>
      <c r="D133" s="10"/>
      <c r="E133" s="10"/>
      <c r="F133" s="10"/>
      <c r="G133" s="32"/>
      <c r="H133" s="32"/>
      <c r="I133" s="32"/>
      <c r="J133" s="73"/>
      <c r="K133" s="69"/>
      <c r="L133" s="69"/>
      <c r="M133" s="69"/>
      <c r="N133" s="32"/>
      <c r="O133" s="2"/>
      <c r="P133" s="2"/>
      <c r="Q133" s="32"/>
      <c r="R133" s="32"/>
      <c r="S133" s="32"/>
      <c r="T133" s="32"/>
      <c r="U133" s="2"/>
      <c r="V133" s="2"/>
      <c r="W133" s="2"/>
      <c r="X133" s="2"/>
      <c r="Y133" s="2"/>
      <c r="Z133" s="2"/>
    </row>
    <row r="134" spans="1:26" ht="13.8" x14ac:dyDescent="0.3">
      <c r="A134" s="32"/>
      <c r="B134" s="32"/>
      <c r="C134" s="10"/>
      <c r="D134" s="10"/>
      <c r="E134" s="10"/>
      <c r="F134" s="32"/>
      <c r="G134" s="69"/>
      <c r="H134" s="69"/>
      <c r="I134" s="32"/>
      <c r="J134" s="75"/>
      <c r="K134" s="32"/>
      <c r="L134" s="32"/>
      <c r="M134" s="32"/>
      <c r="N134" s="32"/>
      <c r="O134" s="2"/>
      <c r="P134" s="2"/>
      <c r="Q134" s="32"/>
      <c r="R134" s="32"/>
      <c r="S134" s="32"/>
      <c r="T134" s="32"/>
      <c r="U134" s="2"/>
      <c r="V134" s="2"/>
      <c r="W134" s="2"/>
      <c r="X134" s="2"/>
      <c r="Y134" s="2"/>
      <c r="Z134" s="2"/>
    </row>
    <row r="135" spans="1:26" ht="13.8" x14ac:dyDescent="0.3">
      <c r="A135" s="32"/>
      <c r="B135" s="32"/>
      <c r="C135" s="2"/>
      <c r="D135" s="2"/>
      <c r="E135" s="2"/>
      <c r="F135" s="32"/>
      <c r="G135" s="69"/>
      <c r="H135" s="69"/>
      <c r="I135" s="32"/>
      <c r="J135" s="75"/>
      <c r="K135" s="32"/>
      <c r="L135" s="32"/>
      <c r="M135" s="32"/>
      <c r="N135" s="32"/>
      <c r="O135" s="2"/>
      <c r="P135" s="2"/>
      <c r="Q135" s="32"/>
      <c r="R135" s="32"/>
      <c r="S135" s="32"/>
      <c r="T135" s="32"/>
      <c r="U135" s="2"/>
      <c r="V135" s="2"/>
      <c r="W135" s="2"/>
      <c r="X135" s="2"/>
      <c r="Y135" s="2"/>
      <c r="Z135" s="2"/>
    </row>
    <row r="136" spans="1:26" ht="13.8" x14ac:dyDescent="0.3">
      <c r="A136" s="32"/>
      <c r="B136" s="32"/>
      <c r="C136" s="2"/>
      <c r="D136" s="2"/>
      <c r="E136" s="2"/>
      <c r="F136" s="32"/>
      <c r="G136" s="69"/>
      <c r="H136" s="69"/>
      <c r="I136" s="32"/>
      <c r="J136" s="75"/>
      <c r="K136" s="32"/>
      <c r="L136" s="32"/>
      <c r="M136" s="32"/>
      <c r="N136" s="32"/>
      <c r="O136" s="2"/>
      <c r="P136" s="2"/>
      <c r="Q136" s="32"/>
      <c r="R136" s="32"/>
      <c r="S136" s="32"/>
      <c r="T136" s="32"/>
      <c r="U136" s="2"/>
      <c r="V136" s="2"/>
      <c r="W136" s="2"/>
      <c r="X136" s="2"/>
      <c r="Y136" s="2"/>
      <c r="Z136" s="2"/>
    </row>
    <row r="137" spans="1:26" ht="13.8" x14ac:dyDescent="0.3">
      <c r="A137" s="32"/>
      <c r="B137" s="32"/>
      <c r="C137" s="10"/>
      <c r="D137" s="10"/>
      <c r="E137" s="10"/>
      <c r="F137" s="10"/>
      <c r="G137" s="69"/>
      <c r="H137" s="69"/>
      <c r="I137" s="32"/>
      <c r="J137" s="75"/>
      <c r="K137" s="32"/>
      <c r="L137" s="32"/>
      <c r="M137" s="32"/>
      <c r="N137" s="32"/>
      <c r="O137" s="2"/>
      <c r="P137" s="2"/>
      <c r="Q137" s="32"/>
      <c r="R137" s="32"/>
      <c r="S137" s="32"/>
      <c r="T137" s="32"/>
      <c r="U137" s="2"/>
      <c r="V137" s="2"/>
      <c r="W137" s="2"/>
      <c r="X137" s="2"/>
      <c r="Y137" s="2"/>
      <c r="Z137" s="2"/>
    </row>
    <row r="138" spans="1:26" ht="13.8" x14ac:dyDescent="0.3">
      <c r="A138" s="32"/>
      <c r="B138" s="10"/>
      <c r="C138" s="10"/>
      <c r="D138" s="10"/>
      <c r="E138" s="10"/>
      <c r="F138" s="10"/>
      <c r="G138" s="32"/>
      <c r="H138" s="32"/>
      <c r="I138" s="32"/>
      <c r="J138" s="73"/>
      <c r="K138" s="32"/>
      <c r="L138" s="32"/>
      <c r="M138" s="32"/>
      <c r="N138" s="32"/>
      <c r="O138" s="2"/>
      <c r="P138" s="2"/>
      <c r="Q138" s="32"/>
      <c r="R138" s="32"/>
      <c r="S138" s="32"/>
      <c r="T138" s="32"/>
      <c r="U138" s="2"/>
      <c r="V138" s="2"/>
      <c r="W138" s="2"/>
      <c r="X138" s="2"/>
      <c r="Y138" s="2"/>
      <c r="Z138" s="2"/>
    </row>
    <row r="139" spans="1:26" ht="13.8" x14ac:dyDescent="0.3">
      <c r="A139" s="32"/>
      <c r="B139" s="32"/>
      <c r="C139" s="10"/>
      <c r="D139" s="10"/>
      <c r="E139" s="10"/>
      <c r="F139" s="10"/>
      <c r="G139" s="69"/>
      <c r="H139" s="69"/>
      <c r="I139" s="32"/>
      <c r="J139" s="75"/>
      <c r="K139" s="32"/>
      <c r="L139" s="32"/>
      <c r="M139" s="32"/>
      <c r="N139" s="32"/>
      <c r="O139" s="2"/>
      <c r="P139" s="2"/>
      <c r="Q139" s="32"/>
      <c r="R139" s="32"/>
      <c r="S139" s="32"/>
      <c r="T139" s="32"/>
      <c r="U139" s="2"/>
      <c r="V139" s="2"/>
      <c r="W139" s="2"/>
      <c r="X139" s="2"/>
      <c r="Y139" s="2"/>
      <c r="Z139" s="2"/>
    </row>
    <row r="140" spans="1:26" ht="13.8" x14ac:dyDescent="0.3">
      <c r="A140" s="32"/>
      <c r="B140" s="10"/>
      <c r="C140" s="10"/>
      <c r="D140" s="10"/>
      <c r="E140" s="10"/>
      <c r="F140" s="10"/>
      <c r="G140" s="32"/>
      <c r="H140" s="32"/>
      <c r="I140" s="32"/>
      <c r="J140" s="73"/>
      <c r="K140" s="32"/>
      <c r="L140" s="32"/>
      <c r="M140" s="32"/>
      <c r="N140" s="32"/>
      <c r="O140" s="2"/>
      <c r="P140" s="2"/>
      <c r="Q140" s="32"/>
      <c r="R140" s="32"/>
      <c r="S140" s="32"/>
      <c r="T140" s="32"/>
      <c r="U140" s="2"/>
      <c r="V140" s="2"/>
      <c r="W140" s="2"/>
      <c r="X140" s="2"/>
      <c r="Y140" s="2"/>
      <c r="Z140" s="2"/>
    </row>
    <row r="141" spans="1:26" ht="13.8" x14ac:dyDescent="0.3">
      <c r="A141" s="32"/>
      <c r="B141" s="32"/>
      <c r="C141" s="10"/>
      <c r="D141" s="10"/>
      <c r="E141" s="10"/>
      <c r="F141" s="10"/>
      <c r="G141" s="69"/>
      <c r="H141" s="69"/>
      <c r="I141" s="32"/>
      <c r="J141" s="75"/>
      <c r="K141" s="32"/>
      <c r="L141" s="32"/>
      <c r="M141" s="32"/>
      <c r="N141" s="32"/>
      <c r="O141" s="2"/>
      <c r="P141" s="2"/>
      <c r="Q141" s="32"/>
      <c r="R141" s="32"/>
      <c r="S141" s="32"/>
      <c r="T141" s="32"/>
      <c r="U141" s="2"/>
      <c r="V141" s="2"/>
      <c r="W141" s="2"/>
      <c r="X141" s="2"/>
      <c r="Y141" s="2"/>
      <c r="Z141" s="2"/>
    </row>
    <row r="142" spans="1:26" ht="13.8" x14ac:dyDescent="0.3">
      <c r="A142" s="2"/>
      <c r="B142" s="10"/>
      <c r="C142" s="10"/>
      <c r="D142" s="10"/>
      <c r="E142" s="10"/>
      <c r="F142" s="10"/>
      <c r="G142" s="69"/>
      <c r="H142" s="69"/>
      <c r="I142" s="32"/>
      <c r="J142" s="75"/>
      <c r="K142" s="32"/>
      <c r="L142" s="32"/>
      <c r="M142" s="32"/>
      <c r="N142" s="32"/>
      <c r="O142" s="2"/>
      <c r="P142" s="2"/>
      <c r="Q142" s="32"/>
      <c r="R142" s="32"/>
      <c r="S142" s="32"/>
      <c r="T142" s="32"/>
      <c r="U142" s="2"/>
      <c r="V142" s="2"/>
      <c r="W142" s="2"/>
      <c r="X142" s="2"/>
      <c r="Y142" s="2"/>
      <c r="Z142" s="2"/>
    </row>
    <row r="143" spans="1:26" ht="13.8" x14ac:dyDescent="0.3">
      <c r="A143" s="2"/>
      <c r="B143" s="10"/>
      <c r="C143" s="10"/>
      <c r="D143" s="10"/>
      <c r="E143" s="10"/>
      <c r="F143" s="10"/>
      <c r="G143" s="32"/>
      <c r="H143" s="32"/>
      <c r="I143" s="32"/>
      <c r="J143" s="73"/>
      <c r="K143" s="32"/>
      <c r="L143" s="32"/>
      <c r="M143" s="32"/>
      <c r="N143" s="32"/>
      <c r="O143" s="2"/>
      <c r="P143" s="2"/>
      <c r="Q143" s="32"/>
      <c r="R143" s="32"/>
      <c r="S143" s="32"/>
      <c r="T143" s="32"/>
      <c r="U143" s="2"/>
      <c r="V143" s="2"/>
      <c r="W143" s="2"/>
      <c r="X143" s="2"/>
      <c r="Y143" s="2"/>
      <c r="Z143" s="2"/>
    </row>
    <row r="144" spans="1:26" ht="13.8" x14ac:dyDescent="0.3">
      <c r="A144" s="2"/>
      <c r="B144" s="2"/>
      <c r="C144" s="10"/>
      <c r="D144" s="10"/>
      <c r="E144" s="10"/>
      <c r="F144" s="10"/>
      <c r="G144" s="32"/>
      <c r="H144" s="32"/>
      <c r="I144" s="32"/>
      <c r="J144" s="73"/>
      <c r="K144" s="69"/>
      <c r="L144" s="69"/>
      <c r="M144" s="69"/>
      <c r="N144" s="32"/>
      <c r="O144" s="2"/>
      <c r="P144" s="2"/>
      <c r="Q144" s="32"/>
      <c r="R144" s="32"/>
      <c r="S144" s="32"/>
      <c r="T144" s="32"/>
      <c r="U144" s="2"/>
      <c r="V144" s="2"/>
      <c r="W144" s="2"/>
      <c r="X144" s="2"/>
      <c r="Y144" s="2"/>
      <c r="Z144" s="2"/>
    </row>
    <row r="145" spans="1:26" ht="13.8" x14ac:dyDescent="0.3">
      <c r="A145" s="32"/>
      <c r="B145" s="32"/>
      <c r="C145" s="10"/>
      <c r="D145" s="10"/>
      <c r="E145" s="10"/>
      <c r="F145" s="10"/>
      <c r="G145" s="69"/>
      <c r="H145" s="69"/>
      <c r="I145" s="32"/>
      <c r="J145" s="75"/>
      <c r="K145" s="32"/>
      <c r="L145" s="32"/>
      <c r="M145" s="32"/>
      <c r="N145" s="32"/>
      <c r="O145" s="2"/>
      <c r="P145" s="2"/>
      <c r="Q145" s="32"/>
      <c r="R145" s="32"/>
      <c r="S145" s="32"/>
      <c r="T145" s="32"/>
      <c r="U145" s="2"/>
      <c r="V145" s="2"/>
      <c r="W145" s="2"/>
      <c r="X145" s="2"/>
      <c r="Y145" s="2"/>
      <c r="Z145" s="2"/>
    </row>
    <row r="146" spans="1:26" ht="13.8" x14ac:dyDescent="0.3">
      <c r="A146" s="2"/>
      <c r="B146" s="2"/>
      <c r="C146" s="10"/>
      <c r="D146" s="10"/>
      <c r="E146" s="10"/>
      <c r="F146" s="10"/>
      <c r="G146" s="32"/>
      <c r="H146" s="32"/>
      <c r="I146" s="32"/>
      <c r="J146" s="73"/>
      <c r="K146" s="69"/>
      <c r="L146" s="69"/>
      <c r="M146" s="69"/>
      <c r="N146" s="32"/>
      <c r="O146" s="2"/>
      <c r="P146" s="2"/>
      <c r="Q146" s="32"/>
      <c r="R146" s="32"/>
      <c r="S146" s="32"/>
      <c r="T146" s="32"/>
      <c r="U146" s="2"/>
      <c r="V146" s="2"/>
      <c r="W146" s="2"/>
      <c r="X146" s="2"/>
      <c r="Y146" s="2"/>
      <c r="Z146" s="2"/>
    </row>
    <row r="147" spans="1:26" ht="13.8" x14ac:dyDescent="0.3">
      <c r="A147" s="2"/>
      <c r="B147" s="10"/>
      <c r="C147" s="10"/>
      <c r="D147" s="10"/>
      <c r="E147" s="10"/>
      <c r="F147" s="10"/>
      <c r="G147" s="69"/>
      <c r="H147" s="69"/>
      <c r="I147" s="32"/>
      <c r="J147" s="75"/>
      <c r="K147" s="32"/>
      <c r="L147" s="32"/>
      <c r="M147" s="32"/>
      <c r="N147" s="32"/>
      <c r="O147" s="2"/>
      <c r="P147" s="2"/>
      <c r="Q147" s="32"/>
      <c r="R147" s="32"/>
      <c r="S147" s="32"/>
      <c r="T147" s="32"/>
      <c r="U147" s="2"/>
      <c r="V147" s="2"/>
      <c r="W147" s="2"/>
      <c r="X147" s="2"/>
      <c r="Y147" s="2"/>
      <c r="Z147" s="2"/>
    </row>
    <row r="148" spans="1:26" ht="13.8" x14ac:dyDescent="0.3">
      <c r="A148" s="2"/>
      <c r="B148" s="10"/>
      <c r="C148" s="10"/>
      <c r="D148" s="10"/>
      <c r="E148" s="10"/>
      <c r="F148" s="10"/>
      <c r="G148" s="32"/>
      <c r="H148" s="32"/>
      <c r="I148" s="32"/>
      <c r="J148" s="70"/>
      <c r="K148" s="69"/>
      <c r="L148" s="32"/>
      <c r="M148" s="32"/>
      <c r="N148" s="32"/>
      <c r="O148" s="2"/>
      <c r="P148" s="2"/>
      <c r="Q148" s="32"/>
      <c r="R148" s="32"/>
      <c r="S148" s="32"/>
      <c r="T148" s="32"/>
      <c r="U148" s="2"/>
      <c r="V148" s="2"/>
      <c r="W148" s="2"/>
      <c r="X148" s="2"/>
      <c r="Y148" s="2"/>
      <c r="Z148" s="2"/>
    </row>
    <row r="149" spans="1:26" ht="13.8" x14ac:dyDescent="0.3">
      <c r="A149" s="2"/>
      <c r="B149" s="10"/>
      <c r="C149" s="10"/>
      <c r="D149" s="10"/>
      <c r="E149" s="10"/>
      <c r="F149" s="10"/>
      <c r="G149" s="32"/>
      <c r="H149" s="32"/>
      <c r="I149" s="32"/>
      <c r="J149" s="73"/>
      <c r="K149" s="32"/>
      <c r="L149" s="32"/>
      <c r="M149" s="32"/>
      <c r="N149" s="32"/>
      <c r="O149" s="2"/>
      <c r="P149" s="2"/>
      <c r="Q149" s="32"/>
      <c r="R149" s="32"/>
      <c r="S149" s="32"/>
      <c r="T149" s="32"/>
      <c r="U149" s="2"/>
      <c r="V149" s="2"/>
      <c r="W149" s="2"/>
      <c r="X149" s="2"/>
      <c r="Y149" s="2"/>
      <c r="Z149" s="2"/>
    </row>
    <row r="150" spans="1:26" ht="13.8" x14ac:dyDescent="0.3">
      <c r="A150" s="2"/>
      <c r="B150" s="10"/>
      <c r="C150" s="10"/>
      <c r="D150" s="10"/>
      <c r="E150" s="10"/>
      <c r="F150" s="10"/>
      <c r="G150" s="32"/>
      <c r="H150" s="32"/>
      <c r="I150" s="32"/>
      <c r="J150" s="73"/>
      <c r="K150" s="32"/>
      <c r="L150" s="32"/>
      <c r="M150" s="32"/>
      <c r="N150" s="32"/>
      <c r="O150" s="2"/>
      <c r="P150" s="2"/>
      <c r="Q150" s="32"/>
      <c r="R150" s="32"/>
      <c r="S150" s="32"/>
      <c r="T150" s="32"/>
      <c r="U150" s="2"/>
      <c r="V150" s="2"/>
      <c r="W150" s="2"/>
      <c r="X150" s="2"/>
      <c r="Y150" s="2"/>
      <c r="Z150" s="2"/>
    </row>
    <row r="151" spans="1:26" ht="13.8" x14ac:dyDescent="0.3">
      <c r="A151" s="2"/>
      <c r="B151" s="10"/>
      <c r="C151" s="10"/>
      <c r="D151" s="10"/>
      <c r="E151" s="10"/>
      <c r="F151" s="10"/>
      <c r="G151" s="32"/>
      <c r="H151" s="32"/>
      <c r="I151" s="32"/>
      <c r="J151" s="70"/>
      <c r="K151" s="69"/>
      <c r="L151" s="32"/>
      <c r="M151" s="32"/>
      <c r="N151" s="32"/>
      <c r="O151" s="2"/>
      <c r="P151" s="2"/>
      <c r="Q151" s="32"/>
      <c r="R151" s="32"/>
      <c r="S151" s="32"/>
      <c r="T151" s="32"/>
      <c r="U151" s="2"/>
      <c r="V151" s="2"/>
      <c r="W151" s="2"/>
      <c r="X151" s="2"/>
      <c r="Y151" s="2"/>
      <c r="Z151" s="2"/>
    </row>
    <row r="152" spans="1:26" ht="13.8" x14ac:dyDescent="0.3">
      <c r="A152" s="2"/>
      <c r="B152" s="32"/>
      <c r="C152" s="2"/>
      <c r="D152" s="2"/>
      <c r="E152" s="2"/>
      <c r="F152" s="32"/>
      <c r="G152" s="69"/>
      <c r="H152" s="69"/>
      <c r="I152" s="32"/>
      <c r="J152" s="75"/>
      <c r="K152" s="32"/>
      <c r="L152" s="32"/>
      <c r="M152" s="32"/>
      <c r="N152" s="32"/>
      <c r="O152" s="2"/>
      <c r="P152" s="2"/>
      <c r="Q152" s="32"/>
      <c r="R152" s="32"/>
      <c r="S152" s="32"/>
      <c r="T152" s="32"/>
      <c r="U152" s="2"/>
      <c r="V152" s="2"/>
      <c r="W152" s="2"/>
      <c r="X152" s="2"/>
      <c r="Y152" s="2"/>
      <c r="Z152" s="2"/>
    </row>
    <row r="153" spans="1:26" ht="13.8" x14ac:dyDescent="0.3">
      <c r="A153" s="2"/>
      <c r="B153" s="32"/>
      <c r="C153" s="10"/>
      <c r="D153" s="10"/>
      <c r="E153" s="10"/>
      <c r="F153" s="10"/>
      <c r="G153" s="69"/>
      <c r="H153" s="69"/>
      <c r="I153" s="32"/>
      <c r="J153" s="75"/>
      <c r="K153" s="32"/>
      <c r="L153" s="32"/>
      <c r="M153" s="32"/>
      <c r="N153" s="32"/>
      <c r="O153" s="2"/>
      <c r="P153" s="2"/>
      <c r="Q153" s="32"/>
      <c r="R153" s="32"/>
      <c r="S153" s="32"/>
      <c r="T153" s="32"/>
      <c r="U153" s="2"/>
      <c r="V153" s="2"/>
      <c r="W153" s="2"/>
      <c r="X153" s="2"/>
      <c r="Y153" s="2"/>
      <c r="Z153" s="2"/>
    </row>
    <row r="154" spans="1:26" ht="13.8" x14ac:dyDescent="0.3">
      <c r="A154" s="2"/>
      <c r="B154" s="10"/>
      <c r="C154" s="10"/>
      <c r="D154" s="10"/>
      <c r="E154" s="10"/>
      <c r="F154" s="10"/>
      <c r="G154" s="32"/>
      <c r="H154" s="32"/>
      <c r="I154" s="32"/>
      <c r="J154" s="70"/>
      <c r="K154" s="69"/>
      <c r="L154" s="69"/>
      <c r="M154" s="69"/>
      <c r="N154" s="32"/>
      <c r="O154" s="2"/>
      <c r="P154" s="2"/>
      <c r="Q154" s="32"/>
      <c r="R154" s="32"/>
      <c r="S154" s="32"/>
      <c r="T154" s="32"/>
      <c r="U154" s="2"/>
      <c r="V154" s="2"/>
      <c r="W154" s="2"/>
      <c r="X154" s="2"/>
      <c r="Y154" s="2"/>
      <c r="Z154" s="2"/>
    </row>
    <row r="155" spans="1:26" ht="13.8" x14ac:dyDescent="0.3">
      <c r="A155" s="2"/>
      <c r="B155" s="32"/>
      <c r="C155" s="10"/>
      <c r="D155" s="10"/>
      <c r="E155" s="10"/>
      <c r="F155" s="10"/>
      <c r="G155" s="32"/>
      <c r="H155" s="32"/>
      <c r="I155" s="32"/>
      <c r="J155" s="73"/>
      <c r="K155" s="32"/>
      <c r="L155" s="32"/>
      <c r="M155" s="32"/>
      <c r="N155" s="32"/>
      <c r="O155" s="2"/>
      <c r="P155" s="2"/>
      <c r="Q155" s="32"/>
      <c r="R155" s="32"/>
      <c r="S155" s="32"/>
      <c r="T155" s="32"/>
      <c r="U155" s="2"/>
      <c r="V155" s="2"/>
      <c r="W155" s="2"/>
      <c r="X155" s="2"/>
      <c r="Y155" s="2"/>
      <c r="Z155" s="2"/>
    </row>
    <row r="156" spans="1:26" ht="13.8" x14ac:dyDescent="0.3">
      <c r="A156" s="2"/>
      <c r="B156" s="32"/>
      <c r="C156" s="10"/>
      <c r="D156" s="10"/>
      <c r="E156" s="10"/>
      <c r="F156" s="10"/>
      <c r="G156" s="32"/>
      <c r="H156" s="32"/>
      <c r="I156" s="32"/>
      <c r="J156" s="73"/>
      <c r="K156" s="32"/>
      <c r="L156" s="32"/>
      <c r="M156" s="32"/>
      <c r="N156" s="32"/>
      <c r="O156" s="2"/>
      <c r="P156" s="2"/>
      <c r="Q156" s="32"/>
      <c r="R156" s="32"/>
      <c r="S156" s="32"/>
      <c r="T156" s="32"/>
      <c r="U156" s="2"/>
      <c r="V156" s="2"/>
      <c r="W156" s="2"/>
      <c r="X156" s="2"/>
      <c r="Y156" s="2"/>
      <c r="Z156" s="2"/>
    </row>
    <row r="157" spans="1:26" ht="13.8" x14ac:dyDescent="0.3">
      <c r="A157" s="2"/>
      <c r="B157" s="32"/>
      <c r="C157" s="10"/>
      <c r="D157" s="10"/>
      <c r="E157" s="10"/>
      <c r="F157" s="10"/>
      <c r="G157" s="32"/>
      <c r="H157" s="32"/>
      <c r="I157" s="32"/>
      <c r="J157" s="73"/>
      <c r="K157" s="32"/>
      <c r="L157" s="32"/>
      <c r="M157" s="32"/>
      <c r="N157" s="32"/>
      <c r="O157" s="2"/>
      <c r="P157" s="2"/>
      <c r="Q157" s="32"/>
      <c r="R157" s="32"/>
      <c r="S157" s="32"/>
      <c r="T157" s="32"/>
      <c r="U157" s="2"/>
      <c r="V157" s="2"/>
      <c r="W157" s="2"/>
      <c r="X157" s="2"/>
      <c r="Y157" s="2"/>
      <c r="Z157" s="2"/>
    </row>
    <row r="158" spans="1:26" ht="13.8" x14ac:dyDescent="0.3">
      <c r="A158" s="2"/>
      <c r="B158" s="10"/>
      <c r="C158" s="10"/>
      <c r="D158" s="10"/>
      <c r="E158" s="10"/>
      <c r="F158" s="10"/>
      <c r="G158" s="32"/>
      <c r="H158" s="32"/>
      <c r="I158" s="32"/>
      <c r="J158" s="73"/>
      <c r="K158" s="32"/>
      <c r="L158" s="32"/>
      <c r="M158" s="32"/>
      <c r="N158" s="32"/>
      <c r="O158" s="2"/>
      <c r="P158" s="2"/>
      <c r="Q158" s="32"/>
      <c r="R158" s="32"/>
      <c r="S158" s="32"/>
      <c r="T158" s="32"/>
      <c r="U158" s="2"/>
      <c r="V158" s="2"/>
      <c r="W158" s="2"/>
      <c r="X158" s="2"/>
      <c r="Y158" s="2"/>
      <c r="Z158" s="2"/>
    </row>
    <row r="159" spans="1:26" ht="13.8" x14ac:dyDescent="0.3">
      <c r="A159" s="2"/>
      <c r="B159" s="32"/>
      <c r="C159" s="2"/>
      <c r="D159" s="2"/>
      <c r="E159" s="2"/>
      <c r="F159" s="32"/>
      <c r="G159" s="69"/>
      <c r="H159" s="69"/>
      <c r="I159" s="32"/>
      <c r="J159" s="75"/>
      <c r="K159" s="32"/>
      <c r="L159" s="32"/>
      <c r="M159" s="32"/>
      <c r="N159" s="32"/>
      <c r="O159" s="2"/>
      <c r="P159" s="2"/>
      <c r="Q159" s="32"/>
      <c r="R159" s="32"/>
      <c r="S159" s="32"/>
      <c r="T159" s="32"/>
      <c r="U159" s="2"/>
      <c r="V159" s="2"/>
      <c r="W159" s="2"/>
      <c r="X159" s="2"/>
      <c r="Y159" s="2"/>
      <c r="Z159" s="2"/>
    </row>
    <row r="160" spans="1:26" ht="13.8" x14ac:dyDescent="0.3">
      <c r="A160" s="2"/>
      <c r="B160" s="32"/>
      <c r="C160" s="2"/>
      <c r="D160" s="2"/>
      <c r="E160" s="2"/>
      <c r="F160" s="32"/>
      <c r="G160" s="69"/>
      <c r="H160" s="69"/>
      <c r="I160" s="32"/>
      <c r="J160" s="75"/>
      <c r="K160" s="32"/>
      <c r="L160" s="32"/>
      <c r="M160" s="32"/>
      <c r="N160" s="32"/>
      <c r="O160" s="2"/>
      <c r="P160" s="2"/>
      <c r="Q160" s="32"/>
      <c r="R160" s="32"/>
      <c r="S160" s="32"/>
      <c r="T160" s="32"/>
      <c r="U160" s="2"/>
      <c r="V160" s="2"/>
      <c r="W160" s="2"/>
      <c r="X160" s="2"/>
      <c r="Y160" s="2"/>
      <c r="Z160" s="2"/>
    </row>
    <row r="161" spans="1:26" ht="13.8" x14ac:dyDescent="0.3">
      <c r="A161" s="2"/>
      <c r="B161" s="32"/>
      <c r="C161" s="2"/>
      <c r="D161" s="2"/>
      <c r="E161" s="2"/>
      <c r="F161" s="32"/>
      <c r="G161" s="69"/>
      <c r="H161" s="69"/>
      <c r="I161" s="32"/>
      <c r="J161" s="75"/>
      <c r="K161" s="32"/>
      <c r="L161" s="32"/>
      <c r="M161" s="32"/>
      <c r="N161" s="32"/>
      <c r="O161" s="2"/>
      <c r="P161" s="2"/>
      <c r="Q161" s="32"/>
      <c r="R161" s="32"/>
      <c r="S161" s="32"/>
      <c r="T161" s="32"/>
      <c r="U161" s="2"/>
      <c r="V161" s="2"/>
      <c r="W161" s="2"/>
      <c r="X161" s="2"/>
      <c r="Y161" s="2"/>
      <c r="Z161" s="2"/>
    </row>
    <row r="162" spans="1:26" ht="13.8" x14ac:dyDescent="0.3">
      <c r="A162" s="2"/>
      <c r="B162" s="2"/>
      <c r="C162" s="10"/>
      <c r="D162" s="10"/>
      <c r="E162" s="10"/>
      <c r="F162" s="10"/>
      <c r="G162" s="32"/>
      <c r="H162" s="32"/>
      <c r="I162" s="32"/>
      <c r="J162" s="73"/>
      <c r="K162" s="69"/>
      <c r="L162" s="69"/>
      <c r="M162" s="69"/>
      <c r="N162" s="32"/>
      <c r="O162" s="2"/>
      <c r="P162" s="2"/>
      <c r="Q162" s="32"/>
      <c r="R162" s="32"/>
      <c r="S162" s="32"/>
      <c r="T162" s="32"/>
      <c r="U162" s="2"/>
      <c r="V162" s="2"/>
      <c r="W162" s="2"/>
      <c r="X162" s="2"/>
      <c r="Y162" s="2"/>
      <c r="Z162" s="2"/>
    </row>
    <row r="163" spans="1:26" ht="13.8" x14ac:dyDescent="0.3">
      <c r="A163" s="2"/>
      <c r="B163" s="2"/>
      <c r="C163" s="10"/>
      <c r="D163" s="10"/>
      <c r="E163" s="10"/>
      <c r="F163" s="10"/>
      <c r="G163" s="32"/>
      <c r="H163" s="32"/>
      <c r="I163" s="32"/>
      <c r="J163" s="70"/>
      <c r="K163" s="69"/>
      <c r="L163" s="32"/>
      <c r="M163" s="32"/>
      <c r="N163" s="32"/>
      <c r="O163" s="2"/>
      <c r="P163" s="2"/>
      <c r="Q163" s="32"/>
      <c r="R163" s="32"/>
      <c r="S163" s="32"/>
      <c r="T163" s="32"/>
      <c r="U163" s="2"/>
      <c r="V163" s="2"/>
      <c r="W163" s="2"/>
      <c r="X163" s="2"/>
      <c r="Y163" s="2"/>
      <c r="Z163" s="2"/>
    </row>
    <row r="164" spans="1:26" ht="13.8" x14ac:dyDescent="0.3">
      <c r="A164" s="2"/>
      <c r="B164" s="32"/>
      <c r="C164" s="2"/>
      <c r="D164" s="2"/>
      <c r="E164" s="2"/>
      <c r="F164" s="32"/>
      <c r="G164" s="69"/>
      <c r="H164" s="69"/>
      <c r="I164" s="32"/>
      <c r="J164" s="75"/>
      <c r="K164" s="32"/>
      <c r="L164" s="32"/>
      <c r="M164" s="32"/>
      <c r="N164" s="32"/>
      <c r="O164" s="2"/>
      <c r="P164" s="2"/>
      <c r="Q164" s="32"/>
      <c r="R164" s="32"/>
      <c r="S164" s="32"/>
      <c r="T164" s="32"/>
      <c r="U164" s="2"/>
      <c r="V164" s="2"/>
      <c r="W164" s="2"/>
      <c r="X164" s="2"/>
      <c r="Y164" s="2"/>
      <c r="Z164" s="2"/>
    </row>
    <row r="165" spans="1:26" ht="13.8" x14ac:dyDescent="0.3">
      <c r="A165" s="2"/>
      <c r="B165" s="32"/>
      <c r="C165" s="2"/>
      <c r="D165" s="2"/>
      <c r="E165" s="2"/>
      <c r="F165" s="32"/>
      <c r="G165" s="69"/>
      <c r="H165" s="69"/>
      <c r="I165" s="32"/>
      <c r="J165" s="75"/>
      <c r="K165" s="32"/>
      <c r="L165" s="32"/>
      <c r="M165" s="32"/>
      <c r="N165" s="32"/>
      <c r="O165" s="2"/>
      <c r="P165" s="2"/>
      <c r="Q165" s="32"/>
      <c r="R165" s="32"/>
      <c r="S165" s="32"/>
      <c r="T165" s="32"/>
      <c r="U165" s="2"/>
      <c r="V165" s="2"/>
      <c r="W165" s="2"/>
      <c r="X165" s="2"/>
      <c r="Y165" s="2"/>
      <c r="Z165" s="2"/>
    </row>
    <row r="166" spans="1:26" ht="13.8" x14ac:dyDescent="0.3">
      <c r="A166" s="2"/>
      <c r="B166" s="32"/>
      <c r="C166" s="10"/>
      <c r="D166" s="10"/>
      <c r="E166" s="10"/>
      <c r="F166" s="10"/>
      <c r="G166" s="32"/>
      <c r="H166" s="32"/>
      <c r="I166" s="32"/>
      <c r="J166" s="73"/>
      <c r="K166" s="32"/>
      <c r="L166" s="32"/>
      <c r="M166" s="32"/>
      <c r="N166" s="32"/>
      <c r="O166" s="2"/>
      <c r="P166" s="2"/>
      <c r="Q166" s="32"/>
      <c r="R166" s="32"/>
      <c r="S166" s="32"/>
      <c r="T166" s="32"/>
      <c r="U166" s="2"/>
      <c r="V166" s="2"/>
      <c r="W166" s="2"/>
      <c r="X166" s="2"/>
      <c r="Y166" s="2"/>
      <c r="Z166" s="2"/>
    </row>
    <row r="167" spans="1:26" ht="13.8" x14ac:dyDescent="0.3">
      <c r="A167" s="2"/>
      <c r="B167" s="32"/>
      <c r="C167" s="10"/>
      <c r="D167" s="10"/>
      <c r="E167" s="10"/>
      <c r="F167" s="10"/>
      <c r="G167" s="32"/>
      <c r="H167" s="32"/>
      <c r="I167" s="32"/>
      <c r="J167" s="73"/>
      <c r="K167" s="32"/>
      <c r="L167" s="32"/>
      <c r="M167" s="32"/>
      <c r="N167" s="32"/>
      <c r="O167" s="2"/>
      <c r="P167" s="2"/>
      <c r="Q167" s="32"/>
      <c r="R167" s="32"/>
      <c r="S167" s="32"/>
      <c r="T167" s="32"/>
      <c r="U167" s="2"/>
      <c r="V167" s="2"/>
      <c r="W167" s="2"/>
      <c r="X167" s="2"/>
      <c r="Y167" s="2"/>
      <c r="Z167" s="2"/>
    </row>
    <row r="168" spans="1:26" ht="13.8" x14ac:dyDescent="0.3">
      <c r="A168" s="2"/>
      <c r="B168" s="32"/>
      <c r="C168" s="10"/>
      <c r="D168" s="10"/>
      <c r="E168" s="10"/>
      <c r="F168" s="10"/>
      <c r="G168" s="32"/>
      <c r="H168" s="32"/>
      <c r="I168" s="32"/>
      <c r="J168" s="73"/>
      <c r="K168" s="32"/>
      <c r="L168" s="32"/>
      <c r="M168" s="32"/>
      <c r="N168" s="32"/>
      <c r="O168" s="2"/>
      <c r="P168" s="2"/>
      <c r="Q168" s="32"/>
      <c r="R168" s="32"/>
      <c r="S168" s="32"/>
      <c r="T168" s="32"/>
      <c r="U168" s="2"/>
      <c r="V168" s="2"/>
      <c r="W168" s="2"/>
      <c r="X168" s="2"/>
      <c r="Y168" s="2"/>
      <c r="Z168" s="2"/>
    </row>
    <row r="169" spans="1:26" ht="13.8" x14ac:dyDescent="0.3">
      <c r="A169" s="32"/>
      <c r="B169" s="32"/>
      <c r="C169" s="2"/>
      <c r="D169" s="2"/>
      <c r="E169" s="2"/>
      <c r="F169" s="32"/>
      <c r="G169" s="69"/>
      <c r="H169" s="69"/>
      <c r="I169" s="32"/>
      <c r="J169" s="75"/>
      <c r="K169" s="32"/>
      <c r="L169" s="32"/>
      <c r="M169" s="32"/>
      <c r="N169" s="32"/>
      <c r="O169" s="2"/>
      <c r="P169" s="2"/>
      <c r="Q169" s="32"/>
      <c r="R169" s="32"/>
      <c r="S169" s="32"/>
      <c r="T169" s="32"/>
      <c r="U169" s="2"/>
      <c r="V169" s="2"/>
      <c r="W169" s="2"/>
      <c r="X169" s="2"/>
      <c r="Y169" s="2"/>
      <c r="Z169" s="2"/>
    </row>
    <row r="170" spans="1:26" ht="13.8" x14ac:dyDescent="0.3">
      <c r="A170" s="32"/>
      <c r="B170" s="32"/>
      <c r="C170" s="10"/>
      <c r="D170" s="10"/>
      <c r="E170" s="10"/>
      <c r="F170" s="10"/>
      <c r="G170" s="32"/>
      <c r="H170" s="32"/>
      <c r="I170" s="32"/>
      <c r="J170" s="73"/>
      <c r="K170" s="32"/>
      <c r="L170" s="32"/>
      <c r="M170" s="32"/>
      <c r="N170" s="32"/>
      <c r="O170" s="2"/>
      <c r="P170" s="2"/>
      <c r="Q170" s="32"/>
      <c r="R170" s="32"/>
      <c r="S170" s="32"/>
      <c r="T170" s="32"/>
      <c r="U170" s="2"/>
      <c r="V170" s="2"/>
      <c r="W170" s="2"/>
      <c r="X170" s="2"/>
      <c r="Y170" s="2"/>
      <c r="Z170" s="2"/>
    </row>
    <row r="171" spans="1:26" ht="13.8" x14ac:dyDescent="0.3">
      <c r="A171" s="32"/>
      <c r="B171" s="32"/>
      <c r="C171" s="10"/>
      <c r="D171" s="10"/>
      <c r="E171" s="10"/>
      <c r="F171" s="10"/>
      <c r="G171" s="32"/>
      <c r="H171" s="32"/>
      <c r="I171" s="32"/>
      <c r="J171" s="73"/>
      <c r="K171" s="32"/>
      <c r="L171" s="32"/>
      <c r="M171" s="32"/>
      <c r="N171" s="32"/>
      <c r="O171" s="2"/>
      <c r="P171" s="2"/>
      <c r="Q171" s="32"/>
      <c r="R171" s="32"/>
      <c r="S171" s="32"/>
      <c r="T171" s="32"/>
      <c r="U171" s="2"/>
      <c r="V171" s="2"/>
      <c r="W171" s="2"/>
      <c r="X171" s="2"/>
      <c r="Y171" s="2"/>
      <c r="Z171" s="2"/>
    </row>
    <row r="172" spans="1:26" ht="13.8" x14ac:dyDescent="0.3">
      <c r="A172" s="32"/>
      <c r="B172" s="32"/>
      <c r="C172" s="10"/>
      <c r="D172" s="10"/>
      <c r="E172" s="10"/>
      <c r="F172" s="10"/>
      <c r="G172" s="32"/>
      <c r="H172" s="32"/>
      <c r="I172" s="32"/>
      <c r="J172" s="73"/>
      <c r="K172" s="32"/>
      <c r="L172" s="32"/>
      <c r="M172" s="32"/>
      <c r="N172" s="32"/>
      <c r="O172" s="2"/>
      <c r="P172" s="2"/>
      <c r="Q172" s="32"/>
      <c r="R172" s="32"/>
      <c r="S172" s="32"/>
      <c r="T172" s="32"/>
      <c r="U172" s="2"/>
      <c r="V172" s="2"/>
      <c r="W172" s="2"/>
      <c r="X172" s="2"/>
      <c r="Y172" s="2"/>
      <c r="Z172" s="2"/>
    </row>
    <row r="173" spans="1:26" ht="13.8" x14ac:dyDescent="0.3">
      <c r="A173" s="2"/>
      <c r="B173" s="2"/>
      <c r="C173" s="10"/>
      <c r="D173" s="10"/>
      <c r="E173" s="10"/>
      <c r="F173" s="32"/>
      <c r="G173" s="32"/>
      <c r="H173" s="32"/>
      <c r="I173" s="32"/>
      <c r="J173" s="70"/>
      <c r="K173" s="69"/>
      <c r="L173" s="32"/>
      <c r="M173" s="32"/>
      <c r="N173" s="32"/>
      <c r="O173" s="2"/>
      <c r="P173" s="2"/>
      <c r="Q173" s="32"/>
      <c r="R173" s="32"/>
      <c r="S173" s="32"/>
      <c r="T173" s="32"/>
      <c r="U173" s="2"/>
      <c r="V173" s="2"/>
      <c r="W173" s="2"/>
      <c r="X173" s="2"/>
      <c r="Y173" s="2"/>
      <c r="Z173" s="2"/>
    </row>
    <row r="174" spans="1:26" ht="13.8" x14ac:dyDescent="0.3">
      <c r="A174" s="2"/>
      <c r="B174" s="2"/>
      <c r="C174" s="10"/>
      <c r="D174" s="10"/>
      <c r="E174" s="10"/>
      <c r="F174" s="10"/>
      <c r="G174" s="32"/>
      <c r="H174" s="32"/>
      <c r="I174" s="32"/>
      <c r="J174" s="70"/>
      <c r="K174" s="69"/>
      <c r="L174" s="32"/>
      <c r="M174" s="32"/>
      <c r="N174" s="32"/>
      <c r="O174" s="2"/>
      <c r="P174" s="2"/>
      <c r="Q174" s="32"/>
      <c r="R174" s="32"/>
      <c r="S174" s="32"/>
      <c r="T174" s="32"/>
      <c r="U174" s="2"/>
      <c r="V174" s="2"/>
      <c r="W174" s="2"/>
      <c r="X174" s="2"/>
      <c r="Y174" s="2"/>
      <c r="Z174" s="2"/>
    </row>
    <row r="175" spans="1:26" ht="13.8" x14ac:dyDescent="0.3">
      <c r="A175" s="32"/>
      <c r="B175" s="32"/>
      <c r="C175" s="2"/>
      <c r="D175" s="2"/>
      <c r="E175" s="2"/>
      <c r="F175" s="32"/>
      <c r="G175" s="69"/>
      <c r="H175" s="69"/>
      <c r="I175" s="32"/>
      <c r="J175" s="70"/>
      <c r="K175" s="69"/>
      <c r="L175" s="32"/>
      <c r="M175" s="32"/>
      <c r="N175" s="32"/>
      <c r="O175" s="2"/>
      <c r="P175" s="2"/>
      <c r="Q175" s="32"/>
      <c r="R175" s="32"/>
      <c r="S175" s="32"/>
      <c r="T175" s="32"/>
      <c r="U175" s="2"/>
      <c r="V175" s="2"/>
      <c r="W175" s="2"/>
      <c r="X175" s="2"/>
      <c r="Y175" s="2"/>
      <c r="Z175" s="2"/>
    </row>
    <row r="176" spans="1:26" ht="13.8" x14ac:dyDescent="0.3">
      <c r="A176" s="32"/>
      <c r="B176" s="32"/>
      <c r="C176" s="2"/>
      <c r="D176" s="2"/>
      <c r="E176" s="2"/>
      <c r="F176" s="32"/>
      <c r="G176" s="69"/>
      <c r="H176" s="69"/>
      <c r="I176" s="32"/>
      <c r="J176" s="75"/>
      <c r="K176" s="32"/>
      <c r="L176" s="32"/>
      <c r="M176" s="32"/>
      <c r="N176" s="32"/>
      <c r="O176" s="2"/>
      <c r="P176" s="2"/>
      <c r="Q176" s="32"/>
      <c r="R176" s="32"/>
      <c r="S176" s="32"/>
      <c r="T176" s="32"/>
      <c r="U176" s="2"/>
      <c r="V176" s="2"/>
      <c r="W176" s="2"/>
      <c r="X176" s="2"/>
      <c r="Y176" s="2"/>
      <c r="Z176" s="2"/>
    </row>
    <row r="177" spans="1:26" ht="13.8" x14ac:dyDescent="0.3">
      <c r="A177" s="32"/>
      <c r="B177" s="32"/>
      <c r="C177" s="2"/>
      <c r="D177" s="2"/>
      <c r="E177" s="2"/>
      <c r="F177" s="32"/>
      <c r="G177" s="69"/>
      <c r="H177" s="69"/>
      <c r="I177" s="32"/>
      <c r="J177" s="75"/>
      <c r="K177" s="32"/>
      <c r="L177" s="32"/>
      <c r="M177" s="32"/>
      <c r="N177" s="32"/>
      <c r="O177" s="2"/>
      <c r="P177" s="2"/>
      <c r="Q177" s="32"/>
      <c r="R177" s="32"/>
      <c r="S177" s="32"/>
      <c r="T177" s="32"/>
      <c r="U177" s="2"/>
      <c r="V177" s="2"/>
      <c r="W177" s="2"/>
      <c r="X177" s="2"/>
      <c r="Y177" s="2"/>
      <c r="Z177" s="2"/>
    </row>
    <row r="178" spans="1:26" ht="13.8" x14ac:dyDescent="0.3">
      <c r="A178" s="32"/>
      <c r="B178" s="32"/>
      <c r="C178" s="10"/>
      <c r="D178" s="10"/>
      <c r="E178" s="10"/>
      <c r="F178" s="10"/>
      <c r="G178" s="69"/>
      <c r="H178" s="69"/>
      <c r="I178" s="32"/>
      <c r="J178" s="75"/>
      <c r="K178" s="32"/>
      <c r="L178" s="32"/>
      <c r="M178" s="32"/>
      <c r="N178" s="32"/>
      <c r="O178" s="2"/>
      <c r="P178" s="2"/>
      <c r="Q178" s="32"/>
      <c r="R178" s="32"/>
      <c r="S178" s="32"/>
      <c r="T178" s="32"/>
      <c r="U178" s="2"/>
      <c r="V178" s="2"/>
      <c r="W178" s="2"/>
      <c r="X178" s="2"/>
      <c r="Y178" s="2"/>
      <c r="Z178" s="2"/>
    </row>
    <row r="179" spans="1:26" ht="13.8" x14ac:dyDescent="0.3">
      <c r="A179" s="32"/>
      <c r="B179" s="32"/>
      <c r="C179" s="10"/>
      <c r="D179" s="10"/>
      <c r="E179" s="10"/>
      <c r="F179" s="10"/>
      <c r="G179" s="32"/>
      <c r="H179" s="32"/>
      <c r="I179" s="32"/>
      <c r="J179" s="73"/>
      <c r="K179" s="32"/>
      <c r="L179" s="32"/>
      <c r="M179" s="32"/>
      <c r="N179" s="32"/>
      <c r="O179" s="2"/>
      <c r="P179" s="2"/>
      <c r="Q179" s="32"/>
      <c r="R179" s="32"/>
      <c r="S179" s="32"/>
      <c r="T179" s="32"/>
      <c r="U179" s="2"/>
      <c r="V179" s="2"/>
      <c r="W179" s="2"/>
      <c r="X179" s="2"/>
      <c r="Y179" s="2"/>
      <c r="Z179" s="2"/>
    </row>
    <row r="180" spans="1:26" ht="13.8" x14ac:dyDescent="0.3">
      <c r="A180" s="32"/>
      <c r="B180" s="32"/>
      <c r="C180" s="10"/>
      <c r="D180" s="10"/>
      <c r="E180" s="10"/>
      <c r="F180" s="10"/>
      <c r="G180" s="32"/>
      <c r="H180" s="32"/>
      <c r="I180" s="32"/>
      <c r="J180" s="73"/>
      <c r="K180" s="32"/>
      <c r="L180" s="32"/>
      <c r="M180" s="32"/>
      <c r="N180" s="32"/>
      <c r="O180" s="2"/>
      <c r="P180" s="2"/>
      <c r="Q180" s="32"/>
      <c r="R180" s="32"/>
      <c r="S180" s="32"/>
      <c r="T180" s="32"/>
      <c r="U180" s="2"/>
      <c r="V180" s="2"/>
      <c r="W180" s="2"/>
      <c r="X180" s="2"/>
      <c r="Y180" s="2"/>
      <c r="Z180" s="2"/>
    </row>
    <row r="181" spans="1:26" ht="13.8" x14ac:dyDescent="0.3">
      <c r="A181" s="32"/>
      <c r="B181" s="32"/>
      <c r="C181" s="10"/>
      <c r="D181" s="10"/>
      <c r="E181" s="10"/>
      <c r="F181" s="10"/>
      <c r="G181" s="32"/>
      <c r="H181" s="32"/>
      <c r="I181" s="32"/>
      <c r="J181" s="73"/>
      <c r="K181" s="32"/>
      <c r="L181" s="32"/>
      <c r="M181" s="32"/>
      <c r="N181" s="32"/>
      <c r="O181" s="2"/>
      <c r="P181" s="2"/>
      <c r="Q181" s="32"/>
      <c r="R181" s="32"/>
      <c r="S181" s="32"/>
      <c r="T181" s="32"/>
      <c r="U181" s="2"/>
      <c r="V181" s="2"/>
      <c r="W181" s="2"/>
      <c r="X181" s="2"/>
      <c r="Y181" s="2"/>
      <c r="Z181" s="2"/>
    </row>
    <row r="182" spans="1:26" ht="13.8" x14ac:dyDescent="0.3">
      <c r="A182" s="32"/>
      <c r="B182" s="2"/>
      <c r="C182" s="10"/>
      <c r="D182" s="10"/>
      <c r="E182" s="10"/>
      <c r="F182" s="10"/>
      <c r="G182" s="32"/>
      <c r="H182" s="32"/>
      <c r="I182" s="32"/>
      <c r="J182" s="73"/>
      <c r="K182" s="69"/>
      <c r="L182" s="69"/>
      <c r="M182" s="69"/>
      <c r="N182" s="32"/>
      <c r="O182" s="2"/>
      <c r="P182" s="2"/>
      <c r="Q182" s="32"/>
      <c r="R182" s="32"/>
      <c r="S182" s="32"/>
      <c r="T182" s="32"/>
      <c r="U182" s="2"/>
      <c r="V182" s="2"/>
      <c r="W182" s="2"/>
      <c r="X182" s="2"/>
      <c r="Y182" s="2"/>
      <c r="Z182" s="2"/>
    </row>
    <row r="183" spans="1:26" ht="13.8" x14ac:dyDescent="0.3">
      <c r="A183" s="32"/>
      <c r="B183" s="2"/>
      <c r="C183" s="10"/>
      <c r="D183" s="10"/>
      <c r="E183" s="10"/>
      <c r="F183" s="10"/>
      <c r="G183" s="32"/>
      <c r="H183" s="32"/>
      <c r="I183" s="32"/>
      <c r="J183" s="73"/>
      <c r="K183" s="69"/>
      <c r="L183" s="69"/>
      <c r="M183" s="69"/>
      <c r="N183" s="32"/>
      <c r="O183" s="2"/>
      <c r="P183" s="2"/>
      <c r="Q183" s="32"/>
      <c r="R183" s="32"/>
      <c r="S183" s="32"/>
      <c r="T183" s="32"/>
      <c r="U183" s="2"/>
      <c r="V183" s="2"/>
      <c r="W183" s="2"/>
      <c r="X183" s="2"/>
      <c r="Y183" s="2"/>
      <c r="Z183" s="2"/>
    </row>
    <row r="184" spans="1:26" ht="13.8" x14ac:dyDescent="0.3">
      <c r="A184" s="32"/>
      <c r="B184" s="10"/>
      <c r="C184" s="10"/>
      <c r="D184" s="10"/>
      <c r="E184" s="10"/>
      <c r="F184" s="10"/>
      <c r="G184" s="32"/>
      <c r="H184" s="32"/>
      <c r="I184" s="32"/>
      <c r="J184" s="73"/>
      <c r="K184" s="69"/>
      <c r="L184" s="69"/>
      <c r="M184" s="69"/>
      <c r="N184" s="32"/>
      <c r="O184" s="2"/>
      <c r="P184" s="2"/>
      <c r="Q184" s="32"/>
      <c r="R184" s="32"/>
      <c r="S184" s="32"/>
      <c r="T184" s="32"/>
      <c r="U184" s="2"/>
      <c r="V184" s="2"/>
      <c r="W184" s="2"/>
      <c r="X184" s="2"/>
      <c r="Y184" s="2"/>
      <c r="Z184" s="2"/>
    </row>
    <row r="185" spans="1:26" ht="13.8" x14ac:dyDescent="0.3">
      <c r="A185" s="32"/>
      <c r="B185" s="10"/>
      <c r="C185" s="10"/>
      <c r="D185" s="10"/>
      <c r="E185" s="10"/>
      <c r="F185" s="10"/>
      <c r="G185" s="32"/>
      <c r="H185" s="32"/>
      <c r="I185" s="32"/>
      <c r="J185" s="73"/>
      <c r="K185" s="69"/>
      <c r="L185" s="69"/>
      <c r="M185" s="69"/>
      <c r="N185" s="32"/>
      <c r="O185" s="2"/>
      <c r="P185" s="2"/>
      <c r="Q185" s="32"/>
      <c r="R185" s="32"/>
      <c r="S185" s="32"/>
      <c r="T185" s="32"/>
      <c r="U185" s="2"/>
      <c r="V185" s="2"/>
      <c r="W185" s="2"/>
      <c r="X185" s="2"/>
      <c r="Y185" s="2"/>
      <c r="Z185" s="2"/>
    </row>
    <row r="186" spans="1:26" ht="13.8" x14ac:dyDescent="0.3">
      <c r="A186" s="2"/>
      <c r="B186" s="32"/>
      <c r="C186" s="10"/>
      <c r="D186" s="10"/>
      <c r="E186" s="10"/>
      <c r="F186" s="10"/>
      <c r="G186" s="32"/>
      <c r="H186" s="32"/>
      <c r="I186" s="32"/>
      <c r="J186" s="73"/>
      <c r="K186" s="32"/>
      <c r="L186" s="32"/>
      <c r="M186" s="32"/>
      <c r="N186" s="32"/>
      <c r="O186" s="2"/>
      <c r="P186" s="2"/>
      <c r="Q186" s="32"/>
      <c r="R186" s="32"/>
      <c r="S186" s="32"/>
      <c r="T186" s="32"/>
      <c r="U186" s="2"/>
      <c r="V186" s="2"/>
      <c r="W186" s="2"/>
      <c r="X186" s="2"/>
      <c r="Y186" s="2"/>
      <c r="Z186" s="2"/>
    </row>
    <row r="187" spans="1:26" ht="13.8" x14ac:dyDescent="0.3">
      <c r="A187" s="2"/>
      <c r="B187" s="32"/>
      <c r="C187" s="10"/>
      <c r="D187" s="10"/>
      <c r="E187" s="10"/>
      <c r="F187" s="10"/>
      <c r="G187" s="32"/>
      <c r="H187" s="32"/>
      <c r="I187" s="32"/>
      <c r="J187" s="73"/>
      <c r="K187" s="32"/>
      <c r="L187" s="32"/>
      <c r="M187" s="32"/>
      <c r="N187" s="32"/>
      <c r="O187" s="2"/>
      <c r="P187" s="2"/>
      <c r="Q187" s="32"/>
      <c r="R187" s="32"/>
      <c r="S187" s="32"/>
      <c r="T187" s="32"/>
      <c r="U187" s="2"/>
      <c r="V187" s="2"/>
      <c r="W187" s="2"/>
      <c r="X187" s="2"/>
      <c r="Y187" s="2"/>
      <c r="Z187" s="2"/>
    </row>
    <row r="188" spans="1:26" ht="13.8" x14ac:dyDescent="0.3">
      <c r="A188" s="2"/>
      <c r="B188" s="32"/>
      <c r="C188" s="10"/>
      <c r="D188" s="10"/>
      <c r="E188" s="10"/>
      <c r="F188" s="10"/>
      <c r="G188" s="32"/>
      <c r="H188" s="32"/>
      <c r="I188" s="32"/>
      <c r="J188" s="73"/>
      <c r="K188" s="32"/>
      <c r="L188" s="32"/>
      <c r="M188" s="32"/>
      <c r="N188" s="32"/>
      <c r="O188" s="2"/>
      <c r="P188" s="2"/>
      <c r="Q188" s="32"/>
      <c r="R188" s="32"/>
      <c r="S188" s="32"/>
      <c r="T188" s="32"/>
      <c r="U188" s="2"/>
      <c r="V188" s="2"/>
      <c r="W188" s="2"/>
      <c r="X188" s="2"/>
      <c r="Y188" s="2"/>
      <c r="Z188" s="2"/>
    </row>
    <row r="189" spans="1:26" ht="13.8" x14ac:dyDescent="0.3">
      <c r="A189" s="32"/>
      <c r="B189" s="32"/>
      <c r="C189" s="2"/>
      <c r="D189" s="2"/>
      <c r="E189" s="2"/>
      <c r="F189" s="32"/>
      <c r="G189" s="69"/>
      <c r="H189" s="69"/>
      <c r="I189" s="32"/>
      <c r="J189" s="75"/>
      <c r="K189" s="32"/>
      <c r="L189" s="32"/>
      <c r="M189" s="32"/>
      <c r="N189" s="32"/>
      <c r="O189" s="2"/>
      <c r="P189" s="2"/>
      <c r="Q189" s="32"/>
      <c r="R189" s="32"/>
      <c r="S189" s="32"/>
      <c r="T189" s="32"/>
      <c r="U189" s="2"/>
      <c r="V189" s="2"/>
      <c r="W189" s="2"/>
      <c r="X189" s="2"/>
      <c r="Y189" s="2"/>
      <c r="Z189" s="2"/>
    </row>
    <row r="190" spans="1:26" ht="13.8" x14ac:dyDescent="0.3">
      <c r="A190" s="32"/>
      <c r="B190" s="32"/>
      <c r="C190" s="2"/>
      <c r="D190" s="2"/>
      <c r="E190" s="2"/>
      <c r="F190" s="32"/>
      <c r="G190" s="69"/>
      <c r="H190" s="69"/>
      <c r="I190" s="32"/>
      <c r="J190" s="75"/>
      <c r="K190" s="32"/>
      <c r="L190" s="32"/>
      <c r="M190" s="32"/>
      <c r="N190" s="32"/>
      <c r="O190" s="2"/>
      <c r="P190" s="2"/>
      <c r="Q190" s="32"/>
      <c r="R190" s="32"/>
      <c r="S190" s="32"/>
      <c r="T190" s="32"/>
      <c r="U190" s="2"/>
      <c r="V190" s="2"/>
      <c r="W190" s="2"/>
      <c r="X190" s="2"/>
      <c r="Y190" s="2"/>
      <c r="Z190" s="2"/>
    </row>
    <row r="191" spans="1:26" ht="13.8" x14ac:dyDescent="0.3">
      <c r="A191" s="32"/>
      <c r="B191" s="32"/>
      <c r="C191" s="10"/>
      <c r="D191" s="10"/>
      <c r="E191" s="10"/>
      <c r="F191" s="10"/>
      <c r="G191" s="69"/>
      <c r="H191" s="69"/>
      <c r="I191" s="32"/>
      <c r="J191" s="75"/>
      <c r="K191" s="32"/>
      <c r="L191" s="32"/>
      <c r="M191" s="32"/>
      <c r="N191" s="32"/>
      <c r="O191" s="2"/>
      <c r="P191" s="2"/>
      <c r="Q191" s="32"/>
      <c r="R191" s="32"/>
      <c r="S191" s="32"/>
      <c r="T191" s="32"/>
      <c r="U191" s="2"/>
      <c r="V191" s="2"/>
      <c r="W191" s="2"/>
      <c r="X191" s="2"/>
      <c r="Y191" s="2"/>
      <c r="Z191" s="2"/>
    </row>
    <row r="192" spans="1:26" ht="13.8" x14ac:dyDescent="0.3">
      <c r="A192" s="32"/>
      <c r="B192" s="2"/>
      <c r="C192" s="10"/>
      <c r="D192" s="10"/>
      <c r="E192" s="10"/>
      <c r="F192" s="10"/>
      <c r="G192" s="32"/>
      <c r="H192" s="32"/>
      <c r="I192" s="32"/>
      <c r="J192" s="73"/>
      <c r="K192" s="69"/>
      <c r="L192" s="69"/>
      <c r="M192" s="69"/>
      <c r="N192" s="32"/>
      <c r="O192" s="2"/>
      <c r="P192" s="2"/>
      <c r="Q192" s="32"/>
      <c r="R192" s="32"/>
      <c r="S192" s="32"/>
      <c r="T192" s="32"/>
      <c r="U192" s="2"/>
      <c r="V192" s="2"/>
      <c r="W192" s="2"/>
      <c r="X192" s="2"/>
      <c r="Y192" s="2"/>
      <c r="Z192" s="2"/>
    </row>
    <row r="193" spans="1:26" ht="13.8" x14ac:dyDescent="0.3">
      <c r="A193" s="32"/>
      <c r="B193" s="2"/>
      <c r="C193" s="10"/>
      <c r="D193" s="10"/>
      <c r="E193" s="10"/>
      <c r="F193" s="10"/>
      <c r="G193" s="32"/>
      <c r="H193" s="32"/>
      <c r="I193" s="32"/>
      <c r="J193" s="73"/>
      <c r="K193" s="69"/>
      <c r="L193" s="69"/>
      <c r="M193" s="69"/>
      <c r="N193" s="32"/>
      <c r="O193" s="2"/>
      <c r="P193" s="2"/>
      <c r="Q193" s="32"/>
      <c r="R193" s="32"/>
      <c r="S193" s="32"/>
      <c r="T193" s="32"/>
      <c r="U193" s="2"/>
      <c r="V193" s="2"/>
      <c r="W193" s="2"/>
      <c r="X193" s="2"/>
      <c r="Y193" s="2"/>
      <c r="Z193" s="2"/>
    </row>
    <row r="194" spans="1:26" ht="13.8" x14ac:dyDescent="0.3">
      <c r="A194" s="32"/>
      <c r="B194" s="32"/>
      <c r="C194" s="2"/>
      <c r="D194" s="2"/>
      <c r="E194" s="2"/>
      <c r="F194" s="32"/>
      <c r="G194" s="69"/>
      <c r="H194" s="69"/>
      <c r="I194" s="32"/>
      <c r="J194" s="75"/>
      <c r="K194" s="32"/>
      <c r="L194" s="32"/>
      <c r="M194" s="32"/>
      <c r="N194" s="32"/>
      <c r="O194" s="2"/>
      <c r="P194" s="2"/>
      <c r="Q194" s="32"/>
      <c r="R194" s="32"/>
      <c r="S194" s="32"/>
      <c r="T194" s="32"/>
      <c r="U194" s="2"/>
      <c r="V194" s="2"/>
      <c r="W194" s="2"/>
      <c r="X194" s="2"/>
      <c r="Y194" s="2"/>
      <c r="Z194" s="2"/>
    </row>
    <row r="195" spans="1:26" ht="13.8" x14ac:dyDescent="0.3">
      <c r="A195" s="32"/>
      <c r="B195" s="32"/>
      <c r="C195" s="2"/>
      <c r="D195" s="2"/>
      <c r="E195" s="2"/>
      <c r="F195" s="32"/>
      <c r="G195" s="69"/>
      <c r="H195" s="69"/>
      <c r="I195" s="32"/>
      <c r="J195" s="75"/>
      <c r="K195" s="32"/>
      <c r="L195" s="32"/>
      <c r="M195" s="32"/>
      <c r="N195" s="32"/>
      <c r="O195" s="2"/>
      <c r="P195" s="2"/>
      <c r="Q195" s="32"/>
      <c r="R195" s="32"/>
      <c r="S195" s="32"/>
      <c r="T195" s="32"/>
      <c r="U195" s="2"/>
      <c r="V195" s="2"/>
      <c r="W195" s="2"/>
      <c r="X195" s="2"/>
      <c r="Y195" s="2"/>
      <c r="Z195" s="2"/>
    </row>
    <row r="196" spans="1:26" ht="13.8" x14ac:dyDescent="0.3">
      <c r="A196" s="32"/>
      <c r="B196" s="32"/>
      <c r="C196" s="10"/>
      <c r="D196" s="10"/>
      <c r="E196" s="10"/>
      <c r="F196" s="10"/>
      <c r="G196" s="69"/>
      <c r="H196" s="69"/>
      <c r="I196" s="32"/>
      <c r="J196" s="75"/>
      <c r="K196" s="32"/>
      <c r="L196" s="32"/>
      <c r="M196" s="32"/>
      <c r="N196" s="32"/>
      <c r="O196" s="2"/>
      <c r="P196" s="2"/>
      <c r="Q196" s="32"/>
      <c r="R196" s="32"/>
      <c r="S196" s="32"/>
      <c r="T196" s="32"/>
      <c r="U196" s="2"/>
      <c r="V196" s="2"/>
      <c r="W196" s="2"/>
      <c r="X196" s="2"/>
      <c r="Y196" s="2"/>
      <c r="Z196" s="2"/>
    </row>
    <row r="197" spans="1:26" ht="13.8" x14ac:dyDescent="0.3">
      <c r="A197" s="32"/>
      <c r="B197" s="32"/>
      <c r="C197" s="10"/>
      <c r="D197" s="10"/>
      <c r="E197" s="10"/>
      <c r="F197" s="10"/>
      <c r="G197" s="32"/>
      <c r="H197" s="32"/>
      <c r="I197" s="32"/>
      <c r="J197" s="73"/>
      <c r="K197" s="32"/>
      <c r="L197" s="32"/>
      <c r="M197" s="32"/>
      <c r="N197" s="32"/>
      <c r="O197" s="2"/>
      <c r="P197" s="2"/>
      <c r="Q197" s="32"/>
      <c r="R197" s="32"/>
      <c r="S197" s="32"/>
      <c r="T197" s="32"/>
      <c r="U197" s="2"/>
      <c r="V197" s="2"/>
      <c r="W197" s="2"/>
      <c r="X197" s="2"/>
      <c r="Y197" s="2"/>
      <c r="Z197" s="2"/>
    </row>
    <row r="198" spans="1:26" ht="13.8" x14ac:dyDescent="0.3">
      <c r="A198" s="32"/>
      <c r="B198" s="32"/>
      <c r="C198" s="10"/>
      <c r="D198" s="10"/>
      <c r="E198" s="10"/>
      <c r="F198" s="10"/>
      <c r="G198" s="32"/>
      <c r="H198" s="32"/>
      <c r="I198" s="32"/>
      <c r="J198" s="73"/>
      <c r="K198" s="32"/>
      <c r="L198" s="32"/>
      <c r="M198" s="32"/>
      <c r="N198" s="32"/>
      <c r="O198" s="2"/>
      <c r="P198" s="2"/>
      <c r="Q198" s="32"/>
      <c r="R198" s="32"/>
      <c r="S198" s="32"/>
      <c r="T198" s="32"/>
      <c r="U198" s="2"/>
      <c r="V198" s="2"/>
      <c r="W198" s="2"/>
      <c r="X198" s="2"/>
      <c r="Y198" s="2"/>
      <c r="Z198" s="2"/>
    </row>
    <row r="199" spans="1:26" ht="13.8" x14ac:dyDescent="0.3">
      <c r="A199" s="32"/>
      <c r="B199" s="32"/>
      <c r="C199" s="10"/>
      <c r="D199" s="10"/>
      <c r="E199" s="10"/>
      <c r="F199" s="10"/>
      <c r="G199" s="32"/>
      <c r="H199" s="32"/>
      <c r="I199" s="32"/>
      <c r="J199" s="73"/>
      <c r="K199" s="32"/>
      <c r="L199" s="32"/>
      <c r="M199" s="32"/>
      <c r="N199" s="32"/>
      <c r="O199" s="2"/>
      <c r="P199" s="2"/>
      <c r="Q199" s="32"/>
      <c r="R199" s="32"/>
      <c r="S199" s="32"/>
      <c r="T199" s="32"/>
      <c r="U199" s="2"/>
      <c r="V199" s="2"/>
      <c r="W199" s="2"/>
      <c r="X199" s="2"/>
      <c r="Y199" s="2"/>
      <c r="Z199" s="2"/>
    </row>
    <row r="200" spans="1:26" ht="13.8" x14ac:dyDescent="0.3">
      <c r="A200" s="32"/>
      <c r="B200" s="2"/>
      <c r="C200" s="10"/>
      <c r="D200" s="10"/>
      <c r="E200" s="10"/>
      <c r="F200" s="10"/>
      <c r="G200" s="32"/>
      <c r="H200" s="32"/>
      <c r="I200" s="32"/>
      <c r="J200" s="73"/>
      <c r="K200" s="69"/>
      <c r="L200" s="69"/>
      <c r="M200" s="69"/>
      <c r="N200" s="32"/>
      <c r="O200" s="2"/>
      <c r="P200" s="2"/>
      <c r="Q200" s="32"/>
      <c r="R200" s="32"/>
      <c r="S200" s="32"/>
      <c r="T200" s="32"/>
      <c r="U200" s="2"/>
      <c r="V200" s="2"/>
      <c r="W200" s="2"/>
      <c r="X200" s="2"/>
      <c r="Y200" s="2"/>
      <c r="Z200" s="2"/>
    </row>
    <row r="201" spans="1:26" ht="13.8" x14ac:dyDescent="0.3">
      <c r="A201" s="32"/>
      <c r="B201" s="32"/>
      <c r="C201" s="2"/>
      <c r="D201" s="2"/>
      <c r="E201" s="2"/>
      <c r="F201" s="32"/>
      <c r="G201" s="69"/>
      <c r="H201" s="69"/>
      <c r="I201" s="32"/>
      <c r="J201" s="75"/>
      <c r="K201" s="32"/>
      <c r="L201" s="32"/>
      <c r="M201" s="32"/>
      <c r="N201" s="32"/>
      <c r="O201" s="2"/>
      <c r="P201" s="2"/>
      <c r="Q201" s="32"/>
      <c r="R201" s="32"/>
      <c r="S201" s="32"/>
      <c r="T201" s="32"/>
      <c r="U201" s="2"/>
      <c r="V201" s="2"/>
      <c r="W201" s="2"/>
      <c r="X201" s="2"/>
      <c r="Y201" s="2"/>
      <c r="Z201" s="2"/>
    </row>
    <row r="202" spans="1:26" ht="13.8" x14ac:dyDescent="0.3">
      <c r="A202" s="32"/>
      <c r="B202" s="32"/>
      <c r="C202" s="2"/>
      <c r="D202" s="2"/>
      <c r="E202" s="2"/>
      <c r="F202" s="32"/>
      <c r="G202" s="69"/>
      <c r="H202" s="69"/>
      <c r="I202" s="32"/>
      <c r="J202" s="75"/>
      <c r="K202" s="32"/>
      <c r="L202" s="32"/>
      <c r="M202" s="32"/>
      <c r="N202" s="32"/>
      <c r="O202" s="2"/>
      <c r="P202" s="2"/>
      <c r="Q202" s="32"/>
      <c r="R202" s="32"/>
      <c r="S202" s="32"/>
      <c r="T202" s="32"/>
      <c r="U202" s="2"/>
      <c r="V202" s="2"/>
      <c r="W202" s="2"/>
      <c r="X202" s="2"/>
      <c r="Y202" s="2"/>
      <c r="Z202" s="2"/>
    </row>
    <row r="203" spans="1:26" ht="13.8" x14ac:dyDescent="0.3">
      <c r="A203" s="32"/>
      <c r="B203" s="32"/>
      <c r="C203" s="10"/>
      <c r="D203" s="10"/>
      <c r="E203" s="10"/>
      <c r="F203" s="10"/>
      <c r="G203" s="69"/>
      <c r="H203" s="69"/>
      <c r="I203" s="32"/>
      <c r="J203" s="75"/>
      <c r="K203" s="32"/>
      <c r="L203" s="32"/>
      <c r="M203" s="32"/>
      <c r="N203" s="32"/>
      <c r="O203" s="2"/>
      <c r="P203" s="2"/>
      <c r="Q203" s="32"/>
      <c r="R203" s="32"/>
      <c r="S203" s="32"/>
      <c r="T203" s="32"/>
      <c r="U203" s="2"/>
      <c r="V203" s="2"/>
      <c r="W203" s="2"/>
      <c r="X203" s="2"/>
      <c r="Y203" s="2"/>
      <c r="Z203" s="2"/>
    </row>
    <row r="204" spans="1:26" ht="13.8" x14ac:dyDescent="0.3">
      <c r="A204" s="32"/>
      <c r="B204" s="10"/>
      <c r="C204" s="10"/>
      <c r="D204" s="10"/>
      <c r="E204" s="10"/>
      <c r="F204" s="10"/>
      <c r="G204" s="32"/>
      <c r="H204" s="32"/>
      <c r="I204" s="32"/>
      <c r="J204" s="75"/>
      <c r="K204" s="32"/>
      <c r="L204" s="32"/>
      <c r="M204" s="32"/>
      <c r="N204" s="32"/>
      <c r="O204" s="2"/>
      <c r="P204" s="2"/>
      <c r="Q204" s="32"/>
      <c r="R204" s="32"/>
      <c r="S204" s="32"/>
      <c r="T204" s="32"/>
      <c r="U204" s="2"/>
      <c r="V204" s="2"/>
      <c r="W204" s="2"/>
      <c r="X204" s="2"/>
      <c r="Y204" s="2"/>
      <c r="Z204" s="2"/>
    </row>
    <row r="205" spans="1:26" ht="13.8" x14ac:dyDescent="0.3">
      <c r="A205" s="32"/>
      <c r="B205" s="32"/>
      <c r="C205" s="10"/>
      <c r="D205" s="10"/>
      <c r="E205" s="10"/>
      <c r="F205" s="10"/>
      <c r="G205" s="32"/>
      <c r="H205" s="32"/>
      <c r="I205" s="32"/>
      <c r="J205" s="73"/>
      <c r="K205" s="32"/>
      <c r="L205" s="76"/>
      <c r="M205" s="32"/>
      <c r="N205" s="32"/>
      <c r="O205" s="2"/>
      <c r="P205" s="2"/>
      <c r="Q205" s="32"/>
      <c r="R205" s="32"/>
      <c r="S205" s="32"/>
      <c r="T205" s="32"/>
      <c r="U205" s="2"/>
      <c r="V205" s="2"/>
      <c r="W205" s="2"/>
      <c r="X205" s="2"/>
      <c r="Y205" s="2"/>
      <c r="Z205" s="2"/>
    </row>
    <row r="206" spans="1:26" ht="13.8" x14ac:dyDescent="0.3">
      <c r="A206" s="32"/>
      <c r="B206" s="32"/>
      <c r="C206" s="10"/>
      <c r="D206" s="10"/>
      <c r="E206" s="10"/>
      <c r="F206" s="10"/>
      <c r="G206" s="32"/>
      <c r="H206" s="32"/>
      <c r="I206" s="32"/>
      <c r="J206" s="73"/>
      <c r="K206" s="32"/>
      <c r="L206" s="76"/>
      <c r="M206" s="32"/>
      <c r="N206" s="32"/>
      <c r="O206" s="2"/>
      <c r="P206" s="2"/>
      <c r="Q206" s="32"/>
      <c r="R206" s="32"/>
      <c r="S206" s="32"/>
      <c r="T206" s="32"/>
      <c r="U206" s="2"/>
      <c r="V206" s="2"/>
      <c r="W206" s="2"/>
      <c r="X206" s="2"/>
      <c r="Y206" s="2"/>
      <c r="Z206" s="2"/>
    </row>
    <row r="207" spans="1:26" ht="13.8" x14ac:dyDescent="0.3">
      <c r="A207" s="32"/>
      <c r="B207" s="10"/>
      <c r="C207" s="10"/>
      <c r="D207" s="10"/>
      <c r="E207" s="10"/>
      <c r="F207" s="10"/>
      <c r="G207" s="32"/>
      <c r="H207" s="32"/>
      <c r="I207" s="32"/>
      <c r="J207" s="73"/>
      <c r="K207" s="32"/>
      <c r="L207" s="76"/>
      <c r="M207" s="32"/>
      <c r="N207" s="32"/>
      <c r="O207" s="2"/>
      <c r="P207" s="2"/>
      <c r="Q207" s="32"/>
      <c r="R207" s="32"/>
      <c r="S207" s="32"/>
      <c r="T207" s="32"/>
      <c r="U207" s="2"/>
      <c r="V207" s="2"/>
      <c r="W207" s="2"/>
      <c r="X207" s="2"/>
      <c r="Y207" s="2"/>
      <c r="Z207" s="2"/>
    </row>
    <row r="208" spans="1:26" ht="13.8" x14ac:dyDescent="0.3">
      <c r="A208" s="32"/>
      <c r="B208" s="32"/>
      <c r="C208" s="2"/>
      <c r="D208" s="2"/>
      <c r="E208" s="2"/>
      <c r="F208" s="32"/>
      <c r="G208" s="69"/>
      <c r="H208" s="69"/>
      <c r="I208" s="32"/>
      <c r="J208" s="75"/>
      <c r="K208" s="32"/>
      <c r="L208" s="32"/>
      <c r="M208" s="32"/>
      <c r="N208" s="32"/>
      <c r="O208" s="2"/>
      <c r="P208" s="2"/>
      <c r="Q208" s="32"/>
      <c r="R208" s="32"/>
      <c r="S208" s="32"/>
      <c r="T208" s="32"/>
      <c r="U208" s="2"/>
      <c r="V208" s="2"/>
      <c r="W208" s="2"/>
      <c r="X208" s="2"/>
      <c r="Y208" s="2"/>
      <c r="Z208" s="2"/>
    </row>
    <row r="209" spans="1:26" ht="13.8" x14ac:dyDescent="0.3">
      <c r="A209" s="32"/>
      <c r="B209" s="32"/>
      <c r="C209" s="2"/>
      <c r="D209" s="2"/>
      <c r="E209" s="2"/>
      <c r="F209" s="32"/>
      <c r="G209" s="69"/>
      <c r="H209" s="69"/>
      <c r="I209" s="32"/>
      <c r="J209" s="75"/>
      <c r="K209" s="32"/>
      <c r="L209" s="32"/>
      <c r="M209" s="32"/>
      <c r="N209" s="32"/>
      <c r="O209" s="2"/>
      <c r="P209" s="2"/>
      <c r="Q209" s="32"/>
      <c r="R209" s="32"/>
      <c r="S209" s="32"/>
      <c r="T209" s="32"/>
      <c r="U209" s="2"/>
      <c r="V209" s="2"/>
      <c r="W209" s="2"/>
      <c r="X209" s="2"/>
      <c r="Y209" s="2"/>
      <c r="Z209" s="2"/>
    </row>
    <row r="210" spans="1:26" ht="13.8" x14ac:dyDescent="0.3">
      <c r="A210" s="32"/>
      <c r="B210" s="32"/>
      <c r="C210" s="10"/>
      <c r="D210" s="10"/>
      <c r="E210" s="10"/>
      <c r="F210" s="10"/>
      <c r="G210" s="69"/>
      <c r="H210" s="69"/>
      <c r="I210" s="32"/>
      <c r="J210" s="75"/>
      <c r="K210" s="32"/>
      <c r="L210" s="32"/>
      <c r="M210" s="32"/>
      <c r="N210" s="32"/>
      <c r="O210" s="2"/>
      <c r="P210" s="2"/>
      <c r="Q210" s="32"/>
      <c r="R210" s="32"/>
      <c r="S210" s="32"/>
      <c r="T210" s="32"/>
      <c r="U210" s="2"/>
      <c r="V210" s="2"/>
      <c r="W210" s="2"/>
      <c r="X210" s="2"/>
      <c r="Y210" s="2"/>
      <c r="Z210" s="2"/>
    </row>
    <row r="211" spans="1:26" ht="13.8" x14ac:dyDescent="0.3">
      <c r="A211" s="32"/>
      <c r="B211" s="32"/>
      <c r="C211" s="10"/>
      <c r="D211" s="10"/>
      <c r="E211" s="10"/>
      <c r="F211" s="10"/>
      <c r="G211" s="32"/>
      <c r="H211" s="32"/>
      <c r="I211" s="32"/>
      <c r="J211" s="73"/>
      <c r="K211" s="32"/>
      <c r="L211" s="32"/>
      <c r="M211" s="32"/>
      <c r="N211" s="32"/>
      <c r="O211" s="2"/>
      <c r="P211" s="2"/>
      <c r="Q211" s="32"/>
      <c r="R211" s="32"/>
      <c r="S211" s="32"/>
      <c r="T211" s="32"/>
      <c r="U211" s="2"/>
      <c r="V211" s="2"/>
      <c r="W211" s="2"/>
      <c r="X211" s="2"/>
      <c r="Y211" s="2"/>
      <c r="Z211" s="2"/>
    </row>
    <row r="212" spans="1:26" ht="13.8" x14ac:dyDescent="0.3">
      <c r="A212" s="32"/>
      <c r="B212" s="32"/>
      <c r="C212" s="10"/>
      <c r="D212" s="10"/>
      <c r="E212" s="10"/>
      <c r="F212" s="10"/>
      <c r="G212" s="32"/>
      <c r="H212" s="32"/>
      <c r="I212" s="32"/>
      <c r="J212" s="73"/>
      <c r="K212" s="32"/>
      <c r="L212" s="32"/>
      <c r="M212" s="32"/>
      <c r="N212" s="32"/>
      <c r="O212" s="2"/>
      <c r="P212" s="2"/>
      <c r="Q212" s="32"/>
      <c r="R212" s="32"/>
      <c r="S212" s="32"/>
      <c r="T212" s="32"/>
      <c r="U212" s="2"/>
      <c r="V212" s="2"/>
      <c r="W212" s="2"/>
      <c r="X212" s="2"/>
      <c r="Y212" s="2"/>
      <c r="Z212" s="2"/>
    </row>
    <row r="213" spans="1:26" ht="13.8" x14ac:dyDescent="0.3">
      <c r="A213" s="2"/>
      <c r="B213" s="10"/>
      <c r="C213" s="10"/>
      <c r="D213" s="10"/>
      <c r="E213" s="10"/>
      <c r="F213" s="10"/>
      <c r="G213" s="32"/>
      <c r="H213" s="32"/>
      <c r="I213" s="32"/>
      <c r="J213" s="73"/>
      <c r="K213" s="32"/>
      <c r="L213" s="76"/>
      <c r="M213" s="32"/>
      <c r="N213" s="32"/>
      <c r="O213" s="2"/>
      <c r="P213" s="2"/>
      <c r="Q213" s="32"/>
      <c r="R213" s="32"/>
      <c r="S213" s="32"/>
      <c r="T213" s="32"/>
      <c r="U213" s="2"/>
      <c r="V213" s="2"/>
      <c r="W213" s="2"/>
      <c r="X213" s="2"/>
      <c r="Y213" s="2"/>
      <c r="Z213" s="2"/>
    </row>
    <row r="214" spans="1:26" ht="13.8" x14ac:dyDescent="0.3">
      <c r="A214" s="32"/>
      <c r="B214" s="32"/>
      <c r="C214" s="2"/>
      <c r="D214" s="2"/>
      <c r="E214" s="2"/>
      <c r="F214" s="32"/>
      <c r="G214" s="69"/>
      <c r="H214" s="69"/>
      <c r="I214" s="32"/>
      <c r="J214" s="75"/>
      <c r="K214" s="32"/>
      <c r="L214" s="32"/>
      <c r="M214" s="32"/>
      <c r="N214" s="32"/>
      <c r="O214" s="2"/>
      <c r="P214" s="2"/>
      <c r="Q214" s="32"/>
      <c r="R214" s="32"/>
      <c r="S214" s="32"/>
      <c r="T214" s="32"/>
      <c r="U214" s="2"/>
      <c r="V214" s="2"/>
      <c r="W214" s="2"/>
      <c r="X214" s="2"/>
      <c r="Y214" s="2"/>
      <c r="Z214" s="2"/>
    </row>
    <row r="215" spans="1:26" ht="13.8" x14ac:dyDescent="0.3">
      <c r="A215" s="32"/>
      <c r="B215" s="32"/>
      <c r="C215" s="2"/>
      <c r="D215" s="2"/>
      <c r="E215" s="2"/>
      <c r="F215" s="32"/>
      <c r="G215" s="69"/>
      <c r="H215" s="69"/>
      <c r="I215" s="32"/>
      <c r="J215" s="75"/>
      <c r="K215" s="32"/>
      <c r="L215" s="32"/>
      <c r="M215" s="32"/>
      <c r="N215" s="32"/>
      <c r="O215" s="2"/>
      <c r="P215" s="2"/>
      <c r="Q215" s="32"/>
      <c r="R215" s="32"/>
      <c r="S215" s="32"/>
      <c r="T215" s="32"/>
      <c r="U215" s="2"/>
      <c r="V215" s="2"/>
      <c r="W215" s="2"/>
      <c r="X215" s="2"/>
      <c r="Y215" s="2"/>
      <c r="Z215" s="2"/>
    </row>
    <row r="216" spans="1:26" ht="13.8" x14ac:dyDescent="0.3">
      <c r="A216" s="32"/>
      <c r="B216" s="32"/>
      <c r="C216" s="10"/>
      <c r="D216" s="10"/>
      <c r="E216" s="10"/>
      <c r="F216" s="10"/>
      <c r="G216" s="69"/>
      <c r="H216" s="69"/>
      <c r="I216" s="32"/>
      <c r="J216" s="75"/>
      <c r="K216" s="32"/>
      <c r="L216" s="32"/>
      <c r="M216" s="32"/>
      <c r="N216" s="32"/>
      <c r="O216" s="2"/>
      <c r="P216" s="2"/>
      <c r="Q216" s="32"/>
      <c r="R216" s="32"/>
      <c r="S216" s="32"/>
      <c r="T216" s="32"/>
      <c r="U216" s="2"/>
      <c r="V216" s="2"/>
      <c r="W216" s="2"/>
      <c r="X216" s="2"/>
      <c r="Y216" s="2"/>
      <c r="Z216" s="2"/>
    </row>
    <row r="217" spans="1:26" ht="13.8" x14ac:dyDescent="0.3">
      <c r="A217" s="32"/>
      <c r="B217" s="10"/>
      <c r="C217" s="2"/>
      <c r="D217" s="2"/>
      <c r="E217" s="2"/>
      <c r="F217" s="32"/>
      <c r="G217" s="32"/>
      <c r="H217" s="32"/>
      <c r="I217" s="32"/>
      <c r="J217" s="73"/>
      <c r="K217" s="32"/>
      <c r="L217" s="76"/>
      <c r="M217" s="32"/>
      <c r="N217" s="32"/>
      <c r="O217" s="2"/>
      <c r="P217" s="2"/>
      <c r="Q217" s="32"/>
      <c r="R217" s="32"/>
      <c r="S217" s="32"/>
      <c r="T217" s="32"/>
      <c r="U217" s="2"/>
      <c r="V217" s="2"/>
      <c r="W217" s="2"/>
      <c r="X217" s="2"/>
      <c r="Y217" s="2"/>
      <c r="Z217" s="2"/>
    </row>
    <row r="218" spans="1:26" ht="13.8" x14ac:dyDescent="0.3">
      <c r="A218" s="32"/>
      <c r="B218" s="10"/>
      <c r="C218" s="10"/>
      <c r="D218" s="10"/>
      <c r="E218" s="10"/>
      <c r="F218" s="10"/>
      <c r="G218" s="32"/>
      <c r="H218" s="32"/>
      <c r="I218" s="32"/>
      <c r="J218" s="73"/>
      <c r="K218" s="32"/>
      <c r="L218" s="76"/>
      <c r="M218" s="32"/>
      <c r="N218" s="32"/>
      <c r="O218" s="2"/>
      <c r="P218" s="2"/>
      <c r="Q218" s="32"/>
      <c r="R218" s="32"/>
      <c r="S218" s="32"/>
      <c r="T218" s="32"/>
      <c r="U218" s="2"/>
      <c r="V218" s="2"/>
      <c r="W218" s="2"/>
      <c r="X218" s="2"/>
      <c r="Y218" s="2"/>
      <c r="Z218" s="2"/>
    </row>
    <row r="219" spans="1:26" ht="13.8" x14ac:dyDescent="0.3">
      <c r="A219" s="29"/>
      <c r="B219" s="10"/>
      <c r="C219" s="10"/>
      <c r="D219" s="10"/>
      <c r="E219" s="10"/>
      <c r="F219" s="10"/>
      <c r="G219" s="32"/>
      <c r="H219" s="32"/>
      <c r="I219" s="32"/>
      <c r="J219" s="73"/>
      <c r="K219" s="32"/>
      <c r="L219" s="76"/>
      <c r="M219" s="32"/>
      <c r="N219" s="32"/>
      <c r="O219" s="2"/>
      <c r="P219" s="2"/>
      <c r="Q219" s="32"/>
      <c r="R219" s="32"/>
      <c r="S219" s="32"/>
      <c r="T219" s="32"/>
      <c r="U219" s="2"/>
      <c r="V219" s="2"/>
      <c r="W219" s="2"/>
      <c r="X219" s="2"/>
      <c r="Y219" s="2"/>
      <c r="Z219" s="2"/>
    </row>
    <row r="220" spans="1:26" ht="13.8" x14ac:dyDescent="0.3">
      <c r="A220" s="32"/>
      <c r="B220" s="32"/>
      <c r="C220" s="10"/>
      <c r="D220" s="10"/>
      <c r="E220" s="10"/>
      <c r="F220" s="10"/>
      <c r="G220" s="32"/>
      <c r="H220" s="32"/>
      <c r="I220" s="32"/>
      <c r="J220" s="73"/>
      <c r="K220" s="32"/>
      <c r="L220" s="69"/>
      <c r="M220" s="32"/>
      <c r="N220" s="32"/>
      <c r="O220" s="2"/>
      <c r="P220" s="2"/>
      <c r="Q220" s="32"/>
      <c r="R220" s="32"/>
      <c r="S220" s="32"/>
      <c r="T220" s="32"/>
      <c r="U220" s="2"/>
      <c r="V220" s="2"/>
      <c r="W220" s="2"/>
      <c r="X220" s="2"/>
      <c r="Y220" s="2"/>
      <c r="Z220" s="2"/>
    </row>
    <row r="221" spans="1:26" ht="13.8" x14ac:dyDescent="0.3">
      <c r="A221" s="32"/>
      <c r="B221" s="32"/>
      <c r="C221" s="10"/>
      <c r="D221" s="10"/>
      <c r="E221" s="10"/>
      <c r="F221" s="10"/>
      <c r="G221" s="32"/>
      <c r="H221" s="32"/>
      <c r="I221" s="32"/>
      <c r="J221" s="73"/>
      <c r="K221" s="32"/>
      <c r="L221" s="69"/>
      <c r="M221" s="32"/>
      <c r="N221" s="32"/>
      <c r="O221" s="2"/>
      <c r="P221" s="2"/>
      <c r="Q221" s="32"/>
      <c r="R221" s="32"/>
      <c r="S221" s="32"/>
      <c r="T221" s="32"/>
      <c r="U221" s="2"/>
      <c r="V221" s="2"/>
      <c r="W221" s="2"/>
      <c r="X221" s="2"/>
      <c r="Y221" s="2"/>
      <c r="Z221" s="2"/>
    </row>
    <row r="222" spans="1:26" ht="13.8" x14ac:dyDescent="0.3">
      <c r="A222" s="2"/>
      <c r="B222" s="10"/>
      <c r="C222" s="2"/>
      <c r="D222" s="2"/>
      <c r="E222" s="2"/>
      <c r="F222" s="32"/>
      <c r="G222" s="69"/>
      <c r="H222" s="69"/>
      <c r="I222" s="32"/>
      <c r="J222" s="75"/>
      <c r="K222" s="32"/>
      <c r="L222" s="32"/>
      <c r="M222" s="32"/>
      <c r="N222" s="32"/>
      <c r="O222" s="2"/>
      <c r="P222" s="2"/>
      <c r="Q222" s="32"/>
      <c r="R222" s="32"/>
      <c r="S222" s="32"/>
      <c r="T222" s="32"/>
      <c r="U222" s="2"/>
      <c r="V222" s="2"/>
      <c r="W222" s="2"/>
      <c r="X222" s="2"/>
      <c r="Y222" s="2"/>
      <c r="Z222" s="2"/>
    </row>
    <row r="223" spans="1:26" ht="13.8" x14ac:dyDescent="0.3">
      <c r="A223" s="2"/>
      <c r="B223" s="10"/>
      <c r="C223" s="2"/>
      <c r="D223" s="2"/>
      <c r="E223" s="2"/>
      <c r="F223" s="32"/>
      <c r="G223" s="69"/>
      <c r="H223" s="69"/>
      <c r="I223" s="32"/>
      <c r="J223" s="75"/>
      <c r="K223" s="32"/>
      <c r="L223" s="32"/>
      <c r="M223" s="32"/>
      <c r="N223" s="32"/>
      <c r="O223" s="2"/>
      <c r="P223" s="2"/>
      <c r="Q223" s="32"/>
      <c r="R223" s="32"/>
      <c r="S223" s="32"/>
      <c r="T223" s="32"/>
      <c r="U223" s="2"/>
      <c r="V223" s="2"/>
      <c r="W223" s="2"/>
      <c r="X223" s="2"/>
      <c r="Y223" s="2"/>
      <c r="Z223" s="2"/>
    </row>
    <row r="224" spans="1:26" ht="13.8" x14ac:dyDescent="0.3">
      <c r="A224" s="2"/>
      <c r="B224" s="10"/>
      <c r="C224" s="2"/>
      <c r="D224" s="2"/>
      <c r="E224" s="2"/>
      <c r="F224" s="32"/>
      <c r="G224" s="69"/>
      <c r="H224" s="69"/>
      <c r="I224" s="32"/>
      <c r="J224" s="75"/>
      <c r="K224" s="32"/>
      <c r="L224" s="32"/>
      <c r="M224" s="32"/>
      <c r="N224" s="32"/>
      <c r="O224" s="2"/>
      <c r="P224" s="2"/>
      <c r="Q224" s="32"/>
      <c r="R224" s="32"/>
      <c r="S224" s="32"/>
      <c r="T224" s="32"/>
      <c r="U224" s="2"/>
      <c r="V224" s="2"/>
      <c r="W224" s="2"/>
      <c r="X224" s="2"/>
      <c r="Y224" s="2"/>
      <c r="Z224" s="2"/>
    </row>
    <row r="225" spans="1:26" ht="13.8" x14ac:dyDescent="0.3">
      <c r="A225" s="2"/>
      <c r="B225" s="32"/>
      <c r="C225" s="10"/>
      <c r="D225" s="10"/>
      <c r="E225" s="10"/>
      <c r="F225" s="10"/>
      <c r="G225" s="32"/>
      <c r="H225" s="32"/>
      <c r="I225" s="32"/>
      <c r="J225" s="73"/>
      <c r="K225" s="32"/>
      <c r="L225" s="32"/>
      <c r="M225" s="32"/>
      <c r="N225" s="32"/>
      <c r="O225" s="2"/>
      <c r="P225" s="2"/>
      <c r="Q225" s="32"/>
      <c r="R225" s="32"/>
      <c r="S225" s="32"/>
      <c r="T225" s="32"/>
      <c r="U225" s="2"/>
      <c r="V225" s="2"/>
      <c r="W225" s="2"/>
      <c r="X225" s="2"/>
      <c r="Y225" s="2"/>
      <c r="Z225" s="2"/>
    </row>
    <row r="226" spans="1:26" ht="13.8" x14ac:dyDescent="0.3">
      <c r="A226" s="2"/>
      <c r="B226" s="32"/>
      <c r="C226" s="10"/>
      <c r="D226" s="10"/>
      <c r="E226" s="10"/>
      <c r="F226" s="10"/>
      <c r="G226" s="32"/>
      <c r="H226" s="32"/>
      <c r="I226" s="32"/>
      <c r="J226" s="73"/>
      <c r="K226" s="32"/>
      <c r="L226" s="32"/>
      <c r="M226" s="32"/>
      <c r="N226" s="32"/>
      <c r="O226" s="2"/>
      <c r="P226" s="2"/>
      <c r="Q226" s="32"/>
      <c r="R226" s="32"/>
      <c r="S226" s="32"/>
      <c r="T226" s="32"/>
      <c r="U226" s="2"/>
      <c r="V226" s="2"/>
      <c r="W226" s="2"/>
      <c r="X226" s="2"/>
      <c r="Y226" s="2"/>
      <c r="Z226" s="2"/>
    </row>
    <row r="227" spans="1:26" ht="13.8" x14ac:dyDescent="0.3">
      <c r="A227" s="32"/>
      <c r="B227" s="10"/>
      <c r="C227" s="10"/>
      <c r="D227" s="10"/>
      <c r="E227" s="10"/>
      <c r="F227" s="10"/>
      <c r="G227" s="32"/>
      <c r="H227" s="32"/>
      <c r="I227" s="32"/>
      <c r="J227" s="73"/>
      <c r="K227" s="32"/>
      <c r="L227" s="76"/>
      <c r="M227" s="32"/>
      <c r="N227" s="32"/>
      <c r="O227" s="2"/>
      <c r="P227" s="2"/>
      <c r="Q227" s="32"/>
      <c r="R227" s="32"/>
      <c r="S227" s="32"/>
      <c r="T227" s="32"/>
      <c r="U227" s="2"/>
      <c r="V227" s="2"/>
      <c r="W227" s="2"/>
      <c r="X227" s="2"/>
      <c r="Y227" s="2"/>
      <c r="Z227" s="2"/>
    </row>
    <row r="228" spans="1:26" ht="13.8" x14ac:dyDescent="0.3">
      <c r="A228" s="32"/>
      <c r="B228" s="32"/>
      <c r="C228" s="2"/>
      <c r="D228" s="2"/>
      <c r="E228" s="2"/>
      <c r="F228" s="32"/>
      <c r="G228" s="69"/>
      <c r="H228" s="69"/>
      <c r="I228" s="32"/>
      <c r="J228" s="75"/>
      <c r="K228" s="32"/>
      <c r="L228" s="32"/>
      <c r="M228" s="32"/>
      <c r="N228" s="32"/>
      <c r="O228" s="2"/>
      <c r="P228" s="2"/>
      <c r="Q228" s="32"/>
      <c r="R228" s="32"/>
      <c r="S228" s="32"/>
      <c r="T228" s="32"/>
      <c r="U228" s="2"/>
      <c r="V228" s="2"/>
      <c r="W228" s="2"/>
      <c r="X228" s="2"/>
      <c r="Y228" s="2"/>
      <c r="Z228" s="2"/>
    </row>
    <row r="229" spans="1:26" ht="13.8" x14ac:dyDescent="0.3">
      <c r="A229" s="32"/>
      <c r="B229" s="32"/>
      <c r="C229" s="2"/>
      <c r="D229" s="2"/>
      <c r="E229" s="2"/>
      <c r="F229" s="32"/>
      <c r="G229" s="69"/>
      <c r="H229" s="69"/>
      <c r="I229" s="32"/>
      <c r="J229" s="75"/>
      <c r="K229" s="32"/>
      <c r="L229" s="32"/>
      <c r="M229" s="32"/>
      <c r="N229" s="32"/>
      <c r="O229" s="2"/>
      <c r="P229" s="2"/>
      <c r="Q229" s="32"/>
      <c r="R229" s="32"/>
      <c r="S229" s="32"/>
      <c r="T229" s="32"/>
      <c r="U229" s="2"/>
      <c r="V229" s="2"/>
      <c r="W229" s="2"/>
      <c r="X229" s="2"/>
      <c r="Y229" s="2"/>
      <c r="Z229" s="2"/>
    </row>
    <row r="230" spans="1:26" ht="13.8" x14ac:dyDescent="0.3">
      <c r="A230" s="32"/>
      <c r="B230" s="32"/>
      <c r="C230" s="10"/>
      <c r="D230" s="10"/>
      <c r="E230" s="10"/>
      <c r="F230" s="10"/>
      <c r="G230" s="32"/>
      <c r="H230" s="32"/>
      <c r="I230" s="32"/>
      <c r="J230" s="73"/>
      <c r="K230" s="32"/>
      <c r="L230" s="69"/>
      <c r="M230" s="32"/>
      <c r="N230" s="32"/>
      <c r="O230" s="2"/>
      <c r="P230" s="2"/>
      <c r="Q230" s="32"/>
      <c r="R230" s="32"/>
      <c r="S230" s="32"/>
      <c r="T230" s="32"/>
      <c r="U230" s="2"/>
      <c r="V230" s="2"/>
      <c r="W230" s="2"/>
      <c r="X230" s="2"/>
      <c r="Y230" s="2"/>
      <c r="Z230" s="2"/>
    </row>
    <row r="231" spans="1:26" ht="13.8" x14ac:dyDescent="0.3">
      <c r="A231" s="32"/>
      <c r="B231" s="32"/>
      <c r="C231" s="10"/>
      <c r="D231" s="10"/>
      <c r="E231" s="10"/>
      <c r="F231" s="10"/>
      <c r="G231" s="32"/>
      <c r="H231" s="32"/>
      <c r="I231" s="32"/>
      <c r="J231" s="73"/>
      <c r="K231" s="32"/>
      <c r="L231" s="69"/>
      <c r="M231" s="32"/>
      <c r="N231" s="32"/>
      <c r="O231" s="2"/>
      <c r="P231" s="2"/>
      <c r="Q231" s="32"/>
      <c r="R231" s="32"/>
      <c r="S231" s="32"/>
      <c r="T231" s="32"/>
      <c r="U231" s="2"/>
      <c r="V231" s="2"/>
      <c r="W231" s="2"/>
      <c r="X231" s="2"/>
      <c r="Y231" s="2"/>
      <c r="Z231" s="2"/>
    </row>
    <row r="232" spans="1:26" ht="13.8" x14ac:dyDescent="0.3">
      <c r="A232" s="32"/>
      <c r="B232" s="32"/>
      <c r="C232" s="10"/>
      <c r="D232" s="10"/>
      <c r="E232" s="10"/>
      <c r="F232" s="10"/>
      <c r="G232" s="32"/>
      <c r="H232" s="32"/>
      <c r="I232" s="32"/>
      <c r="J232" s="73"/>
      <c r="K232" s="32"/>
      <c r="L232" s="69"/>
      <c r="M232" s="32"/>
      <c r="N232" s="32"/>
      <c r="O232" s="2"/>
      <c r="P232" s="2"/>
      <c r="Q232" s="32"/>
      <c r="R232" s="32"/>
      <c r="S232" s="32"/>
      <c r="T232" s="32"/>
      <c r="U232" s="2"/>
      <c r="V232" s="2"/>
      <c r="W232" s="2"/>
      <c r="X232" s="2"/>
      <c r="Y232" s="2"/>
      <c r="Z232" s="2"/>
    </row>
    <row r="233" spans="1:26" ht="13.8" x14ac:dyDescent="0.3">
      <c r="A233" s="2"/>
      <c r="B233" s="10"/>
      <c r="C233" s="10"/>
      <c r="D233" s="10"/>
      <c r="E233" s="10"/>
      <c r="F233" s="10"/>
      <c r="G233" s="32"/>
      <c r="H233" s="32"/>
      <c r="I233" s="32"/>
      <c r="J233" s="73"/>
      <c r="K233" s="32"/>
      <c r="L233" s="76"/>
      <c r="M233" s="32"/>
      <c r="N233" s="32"/>
      <c r="O233" s="2"/>
      <c r="P233" s="2"/>
      <c r="Q233" s="32"/>
      <c r="R233" s="32"/>
      <c r="S233" s="32"/>
      <c r="T233" s="32"/>
      <c r="U233" s="2"/>
      <c r="V233" s="2"/>
      <c r="W233" s="2"/>
      <c r="X233" s="2"/>
      <c r="Y233" s="2"/>
      <c r="Z233" s="2"/>
    </row>
    <row r="234" spans="1:26" ht="13.8" x14ac:dyDescent="0.3">
      <c r="A234" s="2"/>
      <c r="B234" s="2"/>
      <c r="C234" s="10"/>
      <c r="D234" s="10"/>
      <c r="E234" s="10"/>
      <c r="F234" s="10"/>
      <c r="G234" s="32"/>
      <c r="H234" s="32"/>
      <c r="I234" s="32"/>
      <c r="J234" s="73"/>
      <c r="K234" s="69"/>
      <c r="L234" s="69"/>
      <c r="M234" s="69"/>
      <c r="N234" s="32"/>
      <c r="O234" s="2"/>
      <c r="P234" s="2"/>
      <c r="Q234" s="32"/>
      <c r="R234" s="32"/>
      <c r="S234" s="32"/>
      <c r="T234" s="32"/>
      <c r="U234" s="2"/>
      <c r="V234" s="2"/>
      <c r="W234" s="2"/>
      <c r="X234" s="2"/>
      <c r="Y234" s="2"/>
      <c r="Z234" s="2"/>
    </row>
    <row r="235" spans="1:26" ht="13.8" x14ac:dyDescent="0.3">
      <c r="A235" s="2"/>
      <c r="B235" s="29"/>
      <c r="C235" s="2"/>
      <c r="D235" s="2"/>
      <c r="E235" s="2"/>
      <c r="F235" s="32"/>
      <c r="G235" s="69"/>
      <c r="H235" s="69"/>
      <c r="I235" s="32"/>
      <c r="J235" s="75"/>
      <c r="K235" s="32"/>
      <c r="L235" s="32"/>
      <c r="M235" s="32"/>
      <c r="N235" s="32"/>
      <c r="O235" s="2"/>
      <c r="P235" s="2"/>
      <c r="Q235" s="32"/>
      <c r="R235" s="32"/>
      <c r="S235" s="32"/>
      <c r="T235" s="32"/>
      <c r="U235" s="2"/>
      <c r="V235" s="2"/>
      <c r="W235" s="2"/>
      <c r="X235" s="2"/>
      <c r="Y235" s="2"/>
      <c r="Z235" s="2"/>
    </row>
    <row r="236" spans="1:26" ht="13.8" x14ac:dyDescent="0.3">
      <c r="A236" s="2"/>
      <c r="B236" s="32"/>
      <c r="C236" s="10"/>
      <c r="D236" s="10"/>
      <c r="E236" s="10"/>
      <c r="F236" s="10"/>
      <c r="G236" s="32"/>
      <c r="H236" s="32"/>
      <c r="I236" s="32"/>
      <c r="J236" s="73"/>
      <c r="K236" s="32"/>
      <c r="L236" s="69"/>
      <c r="M236" s="32"/>
      <c r="N236" s="32"/>
      <c r="O236" s="2"/>
      <c r="P236" s="2"/>
      <c r="Q236" s="32"/>
      <c r="R236" s="32"/>
      <c r="S236" s="32"/>
      <c r="T236" s="32"/>
      <c r="U236" s="2"/>
      <c r="V236" s="2"/>
      <c r="W236" s="2"/>
      <c r="X236" s="2"/>
      <c r="Y236" s="2"/>
      <c r="Z236" s="2"/>
    </row>
    <row r="237" spans="1:26" ht="13.8" x14ac:dyDescent="0.3">
      <c r="A237" s="2"/>
      <c r="B237" s="32"/>
      <c r="C237" s="10"/>
      <c r="D237" s="10"/>
      <c r="E237" s="10"/>
      <c r="F237" s="10"/>
      <c r="G237" s="32"/>
      <c r="H237" s="32"/>
      <c r="I237" s="32"/>
      <c r="J237" s="73"/>
      <c r="K237" s="32"/>
      <c r="L237" s="69"/>
      <c r="M237" s="32"/>
      <c r="N237" s="32"/>
      <c r="O237" s="2"/>
      <c r="P237" s="2"/>
      <c r="Q237" s="32"/>
      <c r="R237" s="32"/>
      <c r="S237" s="32"/>
      <c r="T237" s="32"/>
      <c r="U237" s="2"/>
      <c r="V237" s="2"/>
      <c r="W237" s="2"/>
      <c r="X237" s="2"/>
      <c r="Y237" s="2"/>
      <c r="Z237" s="2"/>
    </row>
    <row r="238" spans="1:26" ht="13.8" x14ac:dyDescent="0.3">
      <c r="A238" s="2"/>
      <c r="B238" s="10"/>
      <c r="C238" s="10"/>
      <c r="D238" s="10"/>
      <c r="E238" s="10"/>
      <c r="F238" s="10"/>
      <c r="G238" s="32"/>
      <c r="H238" s="32"/>
      <c r="I238" s="32"/>
      <c r="J238" s="73"/>
      <c r="K238" s="32"/>
      <c r="L238" s="76"/>
      <c r="M238" s="32"/>
      <c r="N238" s="32"/>
      <c r="O238" s="2"/>
      <c r="P238" s="2"/>
      <c r="Q238" s="32"/>
      <c r="R238" s="32"/>
      <c r="S238" s="32"/>
      <c r="T238" s="32"/>
      <c r="U238" s="2"/>
      <c r="V238" s="2"/>
      <c r="W238" s="2"/>
      <c r="X238" s="2"/>
      <c r="Y238" s="2"/>
      <c r="Z238" s="2"/>
    </row>
    <row r="239" spans="1:26" ht="13.8" x14ac:dyDescent="0.3">
      <c r="A239" s="2"/>
      <c r="B239" s="2"/>
      <c r="C239" s="10"/>
      <c r="D239" s="10"/>
      <c r="E239" s="10"/>
      <c r="F239" s="10"/>
      <c r="G239" s="32"/>
      <c r="H239" s="32"/>
      <c r="I239" s="32"/>
      <c r="J239" s="73"/>
      <c r="K239" s="69"/>
      <c r="L239" s="69"/>
      <c r="M239" s="69"/>
      <c r="N239" s="32"/>
      <c r="O239" s="2"/>
      <c r="P239" s="2"/>
      <c r="Q239" s="32"/>
      <c r="R239" s="32"/>
      <c r="S239" s="32"/>
      <c r="T239" s="32"/>
      <c r="U239" s="2"/>
      <c r="V239" s="2"/>
      <c r="W239" s="2"/>
      <c r="X239" s="2"/>
      <c r="Y239" s="2"/>
      <c r="Z239" s="2"/>
    </row>
    <row r="240" spans="1:26" ht="13.8" x14ac:dyDescent="0.3">
      <c r="A240" s="32"/>
      <c r="B240" s="32"/>
      <c r="C240" s="2"/>
      <c r="D240" s="2"/>
      <c r="E240" s="2"/>
      <c r="F240" s="32"/>
      <c r="G240" s="69"/>
      <c r="H240" s="69"/>
      <c r="I240" s="32"/>
      <c r="J240" s="75"/>
      <c r="K240" s="32"/>
      <c r="L240" s="32"/>
      <c r="M240" s="32"/>
      <c r="N240" s="32"/>
      <c r="O240" s="2"/>
      <c r="P240" s="2"/>
      <c r="Q240" s="32"/>
      <c r="R240" s="32"/>
      <c r="S240" s="32"/>
      <c r="T240" s="32"/>
      <c r="U240" s="2"/>
      <c r="V240" s="2"/>
      <c r="W240" s="2"/>
      <c r="X240" s="2"/>
      <c r="Y240" s="2"/>
      <c r="Z240" s="2"/>
    </row>
    <row r="241" spans="1:26" ht="13.8" x14ac:dyDescent="0.3">
      <c r="A241" s="32"/>
      <c r="B241" s="32"/>
      <c r="C241" s="2"/>
      <c r="D241" s="2"/>
      <c r="E241" s="2"/>
      <c r="F241" s="32"/>
      <c r="G241" s="69"/>
      <c r="H241" s="69"/>
      <c r="I241" s="32"/>
      <c r="J241" s="75"/>
      <c r="K241" s="32"/>
      <c r="L241" s="32"/>
      <c r="M241" s="32"/>
      <c r="N241" s="32"/>
      <c r="O241" s="2"/>
      <c r="P241" s="2"/>
      <c r="Q241" s="32"/>
      <c r="R241" s="32"/>
      <c r="S241" s="32"/>
      <c r="T241" s="32"/>
      <c r="U241" s="2"/>
      <c r="V241" s="2"/>
      <c r="W241" s="2"/>
      <c r="X241" s="2"/>
      <c r="Y241" s="2"/>
      <c r="Z241" s="2"/>
    </row>
    <row r="242" spans="1:26" ht="13.8" x14ac:dyDescent="0.3">
      <c r="A242" s="32"/>
      <c r="B242" s="32"/>
      <c r="C242" s="2"/>
      <c r="D242" s="2"/>
      <c r="E242" s="2"/>
      <c r="F242" s="32"/>
      <c r="G242" s="69"/>
      <c r="H242" s="69"/>
      <c r="I242" s="32"/>
      <c r="J242" s="75"/>
      <c r="K242" s="32"/>
      <c r="L242" s="32"/>
      <c r="M242" s="32"/>
      <c r="N242" s="32"/>
      <c r="O242" s="2"/>
      <c r="P242" s="2"/>
      <c r="Q242" s="32"/>
      <c r="R242" s="32"/>
      <c r="S242" s="32"/>
      <c r="T242" s="32"/>
      <c r="U242" s="2"/>
      <c r="V242" s="2"/>
      <c r="W242" s="2"/>
      <c r="X242" s="2"/>
      <c r="Y242" s="2"/>
      <c r="Z242" s="2"/>
    </row>
    <row r="243" spans="1:26" ht="13.8" x14ac:dyDescent="0.3">
      <c r="A243" s="2"/>
      <c r="B243" s="32"/>
      <c r="C243" s="10"/>
      <c r="D243" s="10"/>
      <c r="E243" s="10"/>
      <c r="F243" s="10"/>
      <c r="G243" s="32"/>
      <c r="H243" s="32"/>
      <c r="I243" s="32"/>
      <c r="J243" s="73"/>
      <c r="K243" s="32"/>
      <c r="L243" s="69"/>
      <c r="M243" s="32"/>
      <c r="N243" s="32"/>
      <c r="O243" s="2"/>
      <c r="P243" s="2"/>
      <c r="Q243" s="32"/>
      <c r="R243" s="32"/>
      <c r="S243" s="32"/>
      <c r="T243" s="32"/>
      <c r="U243" s="2"/>
      <c r="V243" s="2"/>
      <c r="W243" s="2"/>
      <c r="X243" s="2"/>
      <c r="Y243" s="2"/>
      <c r="Z243" s="2"/>
    </row>
    <row r="244" spans="1:26" ht="13.8" x14ac:dyDescent="0.3">
      <c r="A244" s="2"/>
      <c r="B244" s="32"/>
      <c r="C244" s="10"/>
      <c r="D244" s="10"/>
      <c r="E244" s="10"/>
      <c r="F244" s="10"/>
      <c r="G244" s="32"/>
      <c r="H244" s="32"/>
      <c r="I244" s="32"/>
      <c r="J244" s="73"/>
      <c r="K244" s="32"/>
      <c r="L244" s="69"/>
      <c r="M244" s="32"/>
      <c r="N244" s="32"/>
      <c r="O244" s="2"/>
      <c r="P244" s="2"/>
      <c r="Q244" s="32"/>
      <c r="R244" s="32"/>
      <c r="S244" s="32"/>
      <c r="T244" s="32"/>
      <c r="U244" s="2"/>
      <c r="V244" s="2"/>
      <c r="W244" s="2"/>
      <c r="X244" s="2"/>
      <c r="Y244" s="2"/>
      <c r="Z244" s="2"/>
    </row>
    <row r="245" spans="1:26" ht="13.8" x14ac:dyDescent="0.3">
      <c r="A245" s="2"/>
      <c r="B245" s="32"/>
      <c r="C245" s="10"/>
      <c r="D245" s="10"/>
      <c r="E245" s="10"/>
      <c r="F245" s="10"/>
      <c r="G245" s="32"/>
      <c r="H245" s="32"/>
      <c r="I245" s="32"/>
      <c r="J245" s="73"/>
      <c r="K245" s="32"/>
      <c r="L245" s="69"/>
      <c r="M245" s="32"/>
      <c r="N245" s="32"/>
      <c r="O245" s="2"/>
      <c r="P245" s="2"/>
      <c r="Q245" s="32"/>
      <c r="R245" s="32"/>
      <c r="S245" s="32"/>
      <c r="T245" s="32"/>
      <c r="U245" s="2"/>
      <c r="V245" s="2"/>
      <c r="W245" s="2"/>
      <c r="X245" s="2"/>
      <c r="Y245" s="2"/>
      <c r="Z245" s="2"/>
    </row>
    <row r="246" spans="1:26" ht="13.8" x14ac:dyDescent="0.3">
      <c r="A246" s="2"/>
      <c r="B246" s="10"/>
      <c r="C246" s="10"/>
      <c r="D246" s="10"/>
      <c r="E246" s="10"/>
      <c r="F246" s="10"/>
      <c r="G246" s="32"/>
      <c r="H246" s="32"/>
      <c r="I246" s="32"/>
      <c r="J246" s="73"/>
      <c r="K246" s="32"/>
      <c r="L246" s="76"/>
      <c r="M246" s="32"/>
      <c r="N246" s="32"/>
      <c r="O246" s="2"/>
      <c r="P246" s="2"/>
      <c r="Q246" s="32"/>
      <c r="R246" s="32"/>
      <c r="S246" s="32"/>
      <c r="T246" s="32"/>
      <c r="U246" s="2"/>
      <c r="V246" s="2"/>
      <c r="W246" s="2"/>
      <c r="X246" s="2"/>
      <c r="Y246" s="2"/>
      <c r="Z246" s="2"/>
    </row>
    <row r="247" spans="1:26" ht="13.8" x14ac:dyDescent="0.3">
      <c r="A247" s="2"/>
      <c r="B247" s="2"/>
      <c r="C247" s="10"/>
      <c r="D247" s="10"/>
      <c r="E247" s="10"/>
      <c r="F247" s="10"/>
      <c r="G247" s="32"/>
      <c r="H247" s="32"/>
      <c r="I247" s="32"/>
      <c r="J247" s="73"/>
      <c r="K247" s="69"/>
      <c r="L247" s="69"/>
      <c r="M247" s="69"/>
      <c r="N247" s="32"/>
      <c r="O247" s="2"/>
      <c r="P247" s="2"/>
      <c r="Q247" s="32"/>
      <c r="R247" s="32"/>
      <c r="S247" s="32"/>
      <c r="T247" s="32"/>
      <c r="U247" s="2"/>
      <c r="V247" s="2"/>
      <c r="W247" s="2"/>
      <c r="X247" s="2"/>
      <c r="Y247" s="2"/>
      <c r="Z247" s="2"/>
    </row>
    <row r="248" spans="1:26" ht="13.8" x14ac:dyDescent="0.3">
      <c r="A248" s="32"/>
      <c r="B248" s="32"/>
      <c r="C248" s="2"/>
      <c r="D248" s="2"/>
      <c r="E248" s="2"/>
      <c r="F248" s="32"/>
      <c r="G248" s="69"/>
      <c r="H248" s="69"/>
      <c r="I248" s="32"/>
      <c r="J248" s="75"/>
      <c r="K248" s="32"/>
      <c r="L248" s="32"/>
      <c r="M248" s="32"/>
      <c r="N248" s="32"/>
      <c r="O248" s="2"/>
      <c r="P248" s="2"/>
      <c r="Q248" s="32"/>
      <c r="R248" s="32"/>
      <c r="S248" s="32"/>
      <c r="T248" s="32"/>
      <c r="U248" s="2"/>
      <c r="V248" s="2"/>
      <c r="W248" s="2"/>
      <c r="X248" s="2"/>
      <c r="Y248" s="2"/>
      <c r="Z248" s="2"/>
    </row>
    <row r="249" spans="1:26" ht="13.8" x14ac:dyDescent="0.3">
      <c r="A249" s="32"/>
      <c r="B249" s="32"/>
      <c r="C249" s="2"/>
      <c r="D249" s="2"/>
      <c r="E249" s="2"/>
      <c r="F249" s="32"/>
      <c r="G249" s="69"/>
      <c r="H249" s="69"/>
      <c r="I249" s="32"/>
      <c r="J249" s="75"/>
      <c r="K249" s="32"/>
      <c r="L249" s="32"/>
      <c r="M249" s="32"/>
      <c r="N249" s="32"/>
      <c r="O249" s="2"/>
      <c r="P249" s="2"/>
      <c r="Q249" s="32"/>
      <c r="R249" s="32"/>
      <c r="S249" s="32"/>
      <c r="T249" s="32"/>
      <c r="U249" s="2"/>
      <c r="V249" s="2"/>
      <c r="W249" s="2"/>
      <c r="X249" s="2"/>
      <c r="Y249" s="2"/>
      <c r="Z249" s="2"/>
    </row>
    <row r="250" spans="1:26" ht="13.8" x14ac:dyDescent="0.3">
      <c r="A250" s="32"/>
      <c r="B250" s="32"/>
      <c r="C250" s="2"/>
      <c r="D250" s="2"/>
      <c r="E250" s="2"/>
      <c r="F250" s="32"/>
      <c r="G250" s="69"/>
      <c r="H250" s="69"/>
      <c r="I250" s="32"/>
      <c r="J250" s="75"/>
      <c r="K250" s="32"/>
      <c r="L250" s="32"/>
      <c r="M250" s="32"/>
      <c r="N250" s="32"/>
      <c r="O250" s="2"/>
      <c r="P250" s="2"/>
      <c r="Q250" s="32"/>
      <c r="R250" s="32"/>
      <c r="S250" s="32"/>
      <c r="T250" s="32"/>
      <c r="U250" s="2"/>
      <c r="V250" s="2"/>
      <c r="W250" s="2"/>
      <c r="X250" s="2"/>
      <c r="Y250" s="2"/>
      <c r="Z250" s="2"/>
    </row>
    <row r="251" spans="1:26" ht="13.8" x14ac:dyDescent="0.3">
      <c r="A251" s="2"/>
      <c r="B251" s="32"/>
      <c r="C251" s="2"/>
      <c r="D251" s="2"/>
      <c r="E251" s="2"/>
      <c r="F251" s="32"/>
      <c r="G251" s="69"/>
      <c r="H251" s="69"/>
      <c r="I251" s="32"/>
      <c r="J251" s="70"/>
      <c r="K251" s="32"/>
      <c r="L251" s="32"/>
      <c r="M251" s="32"/>
      <c r="N251" s="32"/>
      <c r="O251" s="2"/>
      <c r="P251" s="2"/>
      <c r="Q251" s="32"/>
      <c r="R251" s="32"/>
      <c r="S251" s="32"/>
      <c r="T251" s="32"/>
      <c r="U251" s="2"/>
      <c r="V251" s="2"/>
      <c r="W251" s="2"/>
      <c r="X251" s="2"/>
      <c r="Y251" s="2"/>
      <c r="Z251" s="2"/>
    </row>
    <row r="252" spans="1:26" ht="13.8" x14ac:dyDescent="0.3">
      <c r="A252" s="2"/>
      <c r="B252" s="2"/>
      <c r="C252" s="10"/>
      <c r="D252" s="10"/>
      <c r="E252" s="10"/>
      <c r="F252" s="10"/>
      <c r="G252" s="32"/>
      <c r="H252" s="32"/>
      <c r="I252" s="32"/>
      <c r="J252" s="73"/>
      <c r="K252" s="69"/>
      <c r="L252" s="69"/>
      <c r="M252" s="69"/>
      <c r="N252" s="32"/>
      <c r="O252" s="2"/>
      <c r="P252" s="2"/>
      <c r="Q252" s="32"/>
      <c r="R252" s="32"/>
      <c r="S252" s="32"/>
      <c r="T252" s="32"/>
      <c r="U252" s="2"/>
      <c r="V252" s="2"/>
      <c r="W252" s="2"/>
      <c r="X252" s="2"/>
      <c r="Y252" s="2"/>
      <c r="Z252" s="2"/>
    </row>
    <row r="253" spans="1:26" ht="13.8" x14ac:dyDescent="0.3">
      <c r="A253" s="32"/>
      <c r="B253" s="32"/>
      <c r="C253" s="10"/>
      <c r="D253" s="10"/>
      <c r="E253" s="10"/>
      <c r="F253" s="10"/>
      <c r="G253" s="32"/>
      <c r="H253" s="32"/>
      <c r="I253" s="32"/>
      <c r="J253" s="73"/>
      <c r="K253" s="32"/>
      <c r="L253" s="69"/>
      <c r="M253" s="32"/>
      <c r="N253" s="32"/>
      <c r="O253" s="2"/>
      <c r="P253" s="2"/>
      <c r="Q253" s="32"/>
      <c r="R253" s="32"/>
      <c r="S253" s="32"/>
      <c r="T253" s="32"/>
      <c r="U253" s="2"/>
      <c r="V253" s="2"/>
      <c r="W253" s="2"/>
      <c r="X253" s="2"/>
      <c r="Y253" s="2"/>
      <c r="Z253" s="2"/>
    </row>
    <row r="254" spans="1:26" ht="13.8" x14ac:dyDescent="0.3">
      <c r="A254" s="32"/>
      <c r="B254" s="32"/>
      <c r="C254" s="10"/>
      <c r="D254" s="10"/>
      <c r="E254" s="10"/>
      <c r="F254" s="10"/>
      <c r="G254" s="32"/>
      <c r="H254" s="32"/>
      <c r="I254" s="32"/>
      <c r="J254" s="73"/>
      <c r="K254" s="32"/>
      <c r="L254" s="69"/>
      <c r="M254" s="32"/>
      <c r="N254" s="32"/>
      <c r="O254" s="2"/>
      <c r="P254" s="2"/>
      <c r="Q254" s="32"/>
      <c r="R254" s="32"/>
      <c r="S254" s="32"/>
      <c r="T254" s="32"/>
      <c r="U254" s="2"/>
      <c r="V254" s="2"/>
      <c r="W254" s="2"/>
      <c r="X254" s="2"/>
      <c r="Y254" s="2"/>
      <c r="Z254" s="2"/>
    </row>
    <row r="255" spans="1:26" ht="13.8" x14ac:dyDescent="0.3">
      <c r="A255" s="32"/>
      <c r="B255" s="32"/>
      <c r="C255" s="10"/>
      <c r="D255" s="10"/>
      <c r="E255" s="10"/>
      <c r="F255" s="10"/>
      <c r="G255" s="32"/>
      <c r="H255" s="32"/>
      <c r="I255" s="32"/>
      <c r="J255" s="73"/>
      <c r="K255" s="32"/>
      <c r="L255" s="69"/>
      <c r="M255" s="32"/>
      <c r="N255" s="32"/>
      <c r="O255" s="2"/>
      <c r="P255" s="2"/>
      <c r="Q255" s="32"/>
      <c r="R255" s="32"/>
      <c r="S255" s="32"/>
      <c r="T255" s="32"/>
      <c r="U255" s="2"/>
      <c r="V255" s="2"/>
      <c r="W255" s="2"/>
      <c r="X255" s="2"/>
      <c r="Y255" s="2"/>
      <c r="Z255" s="2"/>
    </row>
    <row r="256" spans="1:26" ht="13.8" x14ac:dyDescent="0.3">
      <c r="A256" s="2"/>
      <c r="B256" s="32"/>
      <c r="C256" s="10"/>
      <c r="D256" s="10"/>
      <c r="E256" s="10"/>
      <c r="F256" s="10"/>
      <c r="G256" s="32"/>
      <c r="H256" s="32"/>
      <c r="I256" s="32"/>
      <c r="J256" s="73"/>
      <c r="K256" s="32"/>
      <c r="L256" s="69"/>
      <c r="M256" s="32"/>
      <c r="N256" s="32"/>
      <c r="O256" s="2"/>
      <c r="P256" s="2"/>
      <c r="Q256" s="32"/>
      <c r="R256" s="32"/>
      <c r="S256" s="32"/>
      <c r="T256" s="32"/>
      <c r="U256" s="2"/>
      <c r="V256" s="2"/>
      <c r="W256" s="2"/>
      <c r="X256" s="2"/>
      <c r="Y256" s="2"/>
      <c r="Z256" s="2"/>
    </row>
    <row r="257" spans="1:26" ht="13.8" x14ac:dyDescent="0.3">
      <c r="A257" s="2"/>
      <c r="B257" s="32"/>
      <c r="C257" s="10"/>
      <c r="D257" s="10"/>
      <c r="E257" s="10"/>
      <c r="F257" s="10"/>
      <c r="G257" s="32"/>
      <c r="H257" s="32"/>
      <c r="I257" s="32"/>
      <c r="J257" s="73"/>
      <c r="K257" s="32"/>
      <c r="L257" s="69"/>
      <c r="M257" s="32"/>
      <c r="N257" s="32"/>
      <c r="O257" s="2"/>
      <c r="P257" s="2"/>
      <c r="Q257" s="32"/>
      <c r="R257" s="32"/>
      <c r="S257" s="32"/>
      <c r="T257" s="32"/>
      <c r="U257" s="2"/>
      <c r="V257" s="2"/>
      <c r="W257" s="2"/>
      <c r="X257" s="2"/>
      <c r="Y257" s="2"/>
      <c r="Z257" s="2"/>
    </row>
    <row r="258" spans="1:26" ht="13.8" x14ac:dyDescent="0.3">
      <c r="A258" s="2"/>
      <c r="B258" s="32"/>
      <c r="C258" s="10"/>
      <c r="D258" s="10"/>
      <c r="E258" s="10"/>
      <c r="F258" s="10"/>
      <c r="G258" s="32"/>
      <c r="H258" s="32"/>
      <c r="I258" s="32"/>
      <c r="J258" s="73"/>
      <c r="K258" s="32"/>
      <c r="L258" s="69"/>
      <c r="M258" s="32"/>
      <c r="N258" s="32"/>
      <c r="O258" s="2"/>
      <c r="P258" s="2"/>
      <c r="Q258" s="32"/>
      <c r="R258" s="32"/>
      <c r="S258" s="32"/>
      <c r="T258" s="32"/>
      <c r="U258" s="2"/>
      <c r="V258" s="2"/>
      <c r="W258" s="2"/>
      <c r="X258" s="2"/>
      <c r="Y258" s="2"/>
      <c r="Z258" s="2"/>
    </row>
    <row r="259" spans="1:26" ht="13.8" x14ac:dyDescent="0.3">
      <c r="A259" s="2"/>
      <c r="B259" s="10"/>
      <c r="C259" s="10"/>
      <c r="D259" s="10"/>
      <c r="E259" s="10"/>
      <c r="F259" s="10"/>
      <c r="G259" s="32"/>
      <c r="H259" s="32"/>
      <c r="I259" s="32"/>
      <c r="J259" s="73"/>
      <c r="K259" s="32"/>
      <c r="L259" s="32"/>
      <c r="M259" s="32"/>
      <c r="N259" s="32"/>
      <c r="O259" s="2"/>
      <c r="P259" s="2"/>
      <c r="Q259" s="32"/>
      <c r="R259" s="32"/>
      <c r="S259" s="32"/>
      <c r="T259" s="32"/>
      <c r="U259" s="2"/>
      <c r="V259" s="2"/>
      <c r="W259" s="2"/>
      <c r="X259" s="2"/>
      <c r="Y259" s="2"/>
      <c r="Z259" s="2"/>
    </row>
    <row r="260" spans="1:26" ht="13.8" x14ac:dyDescent="0.3">
      <c r="A260" s="2"/>
      <c r="B260" s="10"/>
      <c r="C260" s="10"/>
      <c r="D260" s="10"/>
      <c r="E260" s="10"/>
      <c r="F260" s="10"/>
      <c r="G260" s="32"/>
      <c r="H260" s="32"/>
      <c r="I260" s="32"/>
      <c r="J260" s="73"/>
      <c r="K260" s="32"/>
      <c r="L260" s="32"/>
      <c r="M260" s="32"/>
      <c r="N260" s="32"/>
      <c r="O260" s="2"/>
      <c r="P260" s="2"/>
      <c r="Q260" s="32"/>
      <c r="R260" s="32"/>
      <c r="S260" s="32"/>
      <c r="T260" s="32"/>
      <c r="U260" s="2"/>
      <c r="V260" s="2"/>
      <c r="W260" s="2"/>
      <c r="X260" s="2"/>
      <c r="Y260" s="2"/>
      <c r="Z260" s="2"/>
    </row>
    <row r="261" spans="1:26" ht="13.8" x14ac:dyDescent="0.3">
      <c r="A261" s="2"/>
      <c r="B261" s="10"/>
      <c r="C261" s="10"/>
      <c r="D261" s="10"/>
      <c r="E261" s="10"/>
      <c r="F261" s="10"/>
      <c r="G261" s="32"/>
      <c r="H261" s="32"/>
      <c r="I261" s="32"/>
      <c r="J261" s="73"/>
      <c r="K261" s="32"/>
      <c r="L261" s="32"/>
      <c r="M261" s="32"/>
      <c r="N261" s="32"/>
      <c r="O261" s="2"/>
      <c r="P261" s="2"/>
      <c r="Q261" s="32"/>
      <c r="R261" s="32"/>
      <c r="S261" s="32"/>
      <c r="T261" s="32"/>
      <c r="U261" s="2"/>
      <c r="V261" s="2"/>
      <c r="W261" s="2"/>
      <c r="X261" s="2"/>
      <c r="Y261" s="2"/>
      <c r="Z261" s="2"/>
    </row>
    <row r="262" spans="1:26" ht="13.8" x14ac:dyDescent="0.3">
      <c r="A262" s="2"/>
      <c r="B262" s="10"/>
      <c r="C262" s="10"/>
      <c r="D262" s="10"/>
      <c r="E262" s="10"/>
      <c r="F262" s="10"/>
      <c r="G262" s="32"/>
      <c r="H262" s="32"/>
      <c r="I262" s="32"/>
      <c r="J262" s="73"/>
      <c r="K262" s="32"/>
      <c r="L262" s="32"/>
      <c r="M262" s="32"/>
      <c r="N262" s="32"/>
      <c r="O262" s="2"/>
      <c r="P262" s="2"/>
      <c r="Q262" s="32"/>
      <c r="R262" s="32"/>
      <c r="S262" s="32"/>
      <c r="T262" s="32"/>
      <c r="U262" s="2"/>
      <c r="V262" s="2"/>
      <c r="W262" s="2"/>
      <c r="X262" s="2"/>
      <c r="Y262" s="2"/>
      <c r="Z262" s="2"/>
    </row>
    <row r="263" spans="1:26" ht="13.8" x14ac:dyDescent="0.3">
      <c r="A263" s="2"/>
      <c r="B263" s="10"/>
      <c r="C263" s="10"/>
      <c r="D263" s="10"/>
      <c r="E263" s="10"/>
      <c r="F263" s="10"/>
      <c r="G263" s="32"/>
      <c r="H263" s="32"/>
      <c r="I263" s="32"/>
      <c r="J263" s="73"/>
      <c r="K263" s="32"/>
      <c r="L263" s="32"/>
      <c r="M263" s="32"/>
      <c r="N263" s="32"/>
      <c r="O263" s="2"/>
      <c r="P263" s="2"/>
      <c r="Q263" s="32"/>
      <c r="R263" s="32"/>
      <c r="S263" s="32"/>
      <c r="T263" s="32"/>
      <c r="U263" s="2"/>
      <c r="V263" s="2"/>
      <c r="W263" s="2"/>
      <c r="X263" s="2"/>
      <c r="Y263" s="2"/>
      <c r="Z263" s="2"/>
    </row>
    <row r="264" spans="1:26" ht="13.8" x14ac:dyDescent="0.3">
      <c r="A264" s="2"/>
      <c r="B264" s="10"/>
      <c r="C264" s="10"/>
      <c r="D264" s="10"/>
      <c r="E264" s="10"/>
      <c r="F264" s="10"/>
      <c r="G264" s="32"/>
      <c r="H264" s="32"/>
      <c r="I264" s="32"/>
      <c r="J264" s="73"/>
      <c r="K264" s="32"/>
      <c r="L264" s="32"/>
      <c r="M264" s="32"/>
      <c r="N264" s="32"/>
      <c r="O264" s="2"/>
      <c r="P264" s="2"/>
      <c r="Q264" s="32"/>
      <c r="R264" s="32"/>
      <c r="S264" s="32"/>
      <c r="T264" s="32"/>
      <c r="U264" s="2"/>
      <c r="V264" s="2"/>
      <c r="W264" s="2"/>
      <c r="X264" s="2"/>
      <c r="Y264" s="2"/>
      <c r="Z264" s="2"/>
    </row>
    <row r="265" spans="1:26" ht="13.8" x14ac:dyDescent="0.3">
      <c r="A265" s="2"/>
      <c r="B265" s="10"/>
      <c r="C265" s="10"/>
      <c r="D265" s="10"/>
      <c r="E265" s="10"/>
      <c r="F265" s="10"/>
      <c r="G265" s="32"/>
      <c r="H265" s="32"/>
      <c r="I265" s="32"/>
      <c r="J265" s="73"/>
      <c r="K265" s="32"/>
      <c r="L265" s="32"/>
      <c r="M265" s="32"/>
      <c r="N265" s="32"/>
      <c r="O265" s="2"/>
      <c r="P265" s="2"/>
      <c r="Q265" s="32"/>
      <c r="R265" s="32"/>
      <c r="S265" s="32"/>
      <c r="T265" s="32"/>
      <c r="U265" s="2"/>
      <c r="V265" s="2"/>
      <c r="W265" s="2"/>
      <c r="X265" s="2"/>
      <c r="Y265" s="2"/>
      <c r="Z265" s="2"/>
    </row>
    <row r="266" spans="1:26" ht="13.8" x14ac:dyDescent="0.3">
      <c r="A266" s="2"/>
      <c r="B266" s="10"/>
      <c r="C266" s="10"/>
      <c r="D266" s="10"/>
      <c r="E266" s="10"/>
      <c r="F266" s="10"/>
      <c r="G266" s="32"/>
      <c r="H266" s="32"/>
      <c r="I266" s="32"/>
      <c r="J266" s="73"/>
      <c r="K266" s="32"/>
      <c r="L266" s="32"/>
      <c r="M266" s="32"/>
      <c r="N266" s="32"/>
      <c r="O266" s="2"/>
      <c r="P266" s="2"/>
      <c r="Q266" s="32"/>
      <c r="R266" s="32"/>
      <c r="S266" s="32"/>
      <c r="T266" s="32"/>
      <c r="U266" s="2"/>
      <c r="V266" s="2"/>
      <c r="W266" s="2"/>
      <c r="X266" s="2"/>
      <c r="Y266" s="2"/>
      <c r="Z266" s="2"/>
    </row>
    <row r="267" spans="1:26" ht="13.8" x14ac:dyDescent="0.3">
      <c r="A267" s="2"/>
      <c r="B267" s="10"/>
      <c r="C267" s="10"/>
      <c r="D267" s="10"/>
      <c r="E267" s="10"/>
      <c r="F267" s="10"/>
      <c r="G267" s="32"/>
      <c r="H267" s="32"/>
      <c r="I267" s="32"/>
      <c r="J267" s="73"/>
      <c r="K267" s="32"/>
      <c r="L267" s="32"/>
      <c r="M267" s="32"/>
      <c r="N267" s="32"/>
      <c r="O267" s="2"/>
      <c r="P267" s="2"/>
      <c r="Q267" s="32"/>
      <c r="R267" s="32"/>
      <c r="S267" s="32"/>
      <c r="T267" s="32"/>
      <c r="U267" s="2"/>
      <c r="V267" s="2"/>
      <c r="W267" s="2"/>
      <c r="X267" s="2"/>
      <c r="Y267" s="2"/>
      <c r="Z267" s="2"/>
    </row>
    <row r="268" spans="1:26" ht="13.8" x14ac:dyDescent="0.3">
      <c r="A268" s="2"/>
      <c r="B268" s="10"/>
      <c r="C268" s="10"/>
      <c r="D268" s="10"/>
      <c r="E268" s="10"/>
      <c r="F268" s="10"/>
      <c r="G268" s="32"/>
      <c r="H268" s="32"/>
      <c r="I268" s="32"/>
      <c r="J268" s="73"/>
      <c r="K268" s="32"/>
      <c r="L268" s="32"/>
      <c r="M268" s="32"/>
      <c r="N268" s="32"/>
      <c r="O268" s="2"/>
      <c r="P268" s="2"/>
      <c r="Q268" s="32"/>
      <c r="R268" s="32"/>
      <c r="S268" s="32"/>
      <c r="T268" s="32"/>
      <c r="U268" s="2"/>
      <c r="V268" s="2"/>
      <c r="W268" s="2"/>
      <c r="X268" s="2"/>
      <c r="Y268" s="2"/>
      <c r="Z268" s="2"/>
    </row>
    <row r="269" spans="1:26" ht="13.8" x14ac:dyDescent="0.3">
      <c r="A269" s="2"/>
      <c r="B269" s="10"/>
      <c r="C269" s="10"/>
      <c r="D269" s="10"/>
      <c r="E269" s="10"/>
      <c r="F269" s="10"/>
      <c r="G269" s="32"/>
      <c r="H269" s="32"/>
      <c r="I269" s="32"/>
      <c r="J269" s="73"/>
      <c r="K269" s="32"/>
      <c r="L269" s="32"/>
      <c r="M269" s="32"/>
      <c r="N269" s="32"/>
      <c r="O269" s="2"/>
      <c r="P269" s="2"/>
      <c r="Q269" s="32"/>
      <c r="R269" s="32"/>
      <c r="S269" s="32"/>
      <c r="T269" s="32"/>
      <c r="U269" s="2"/>
      <c r="V269" s="2"/>
      <c r="W269" s="2"/>
      <c r="X269" s="2"/>
      <c r="Y269" s="2"/>
      <c r="Z269" s="2"/>
    </row>
    <row r="270" spans="1:26" ht="13.8" x14ac:dyDescent="0.3">
      <c r="A270" s="2"/>
      <c r="B270" s="10"/>
      <c r="C270" s="10"/>
      <c r="D270" s="10"/>
      <c r="E270" s="10"/>
      <c r="F270" s="10"/>
      <c r="G270" s="32"/>
      <c r="H270" s="32"/>
      <c r="I270" s="32"/>
      <c r="J270" s="73"/>
      <c r="K270" s="32"/>
      <c r="L270" s="32"/>
      <c r="M270" s="32"/>
      <c r="N270" s="32"/>
      <c r="O270" s="2"/>
      <c r="P270" s="2"/>
      <c r="Q270" s="32"/>
      <c r="R270" s="32"/>
      <c r="S270" s="32"/>
      <c r="T270" s="32"/>
      <c r="U270" s="2"/>
      <c r="V270" s="2"/>
      <c r="W270" s="2"/>
      <c r="X270" s="2"/>
      <c r="Y270" s="2"/>
      <c r="Z270" s="2"/>
    </row>
    <row r="271" spans="1:26" ht="13.8" x14ac:dyDescent="0.3">
      <c r="A271" s="2"/>
      <c r="B271" s="10"/>
      <c r="C271" s="10"/>
      <c r="D271" s="10"/>
      <c r="E271" s="10"/>
      <c r="F271" s="10"/>
      <c r="G271" s="32"/>
      <c r="H271" s="32"/>
      <c r="I271" s="32"/>
      <c r="J271" s="73"/>
      <c r="K271" s="32"/>
      <c r="L271" s="32"/>
      <c r="M271" s="32"/>
      <c r="N271" s="32"/>
      <c r="O271" s="2"/>
      <c r="P271" s="2"/>
      <c r="Q271" s="32"/>
      <c r="R271" s="32"/>
      <c r="S271" s="32"/>
      <c r="T271" s="32"/>
      <c r="U271" s="2"/>
      <c r="V271" s="2"/>
      <c r="W271" s="2"/>
      <c r="X271" s="2"/>
      <c r="Y271" s="2"/>
      <c r="Z271" s="2"/>
    </row>
    <row r="272" spans="1:26" ht="13.8" x14ac:dyDescent="0.3">
      <c r="A272" s="2"/>
      <c r="B272" s="10"/>
      <c r="C272" s="10"/>
      <c r="D272" s="10"/>
      <c r="E272" s="10"/>
      <c r="F272" s="10"/>
      <c r="G272" s="32"/>
      <c r="H272" s="32"/>
      <c r="I272" s="32"/>
      <c r="J272" s="73"/>
      <c r="K272" s="32"/>
      <c r="L272" s="32"/>
      <c r="M272" s="32"/>
      <c r="N272" s="32"/>
      <c r="O272" s="2"/>
      <c r="P272" s="2"/>
      <c r="Q272" s="32"/>
      <c r="R272" s="32"/>
      <c r="S272" s="32"/>
      <c r="T272" s="32"/>
      <c r="U272" s="2"/>
      <c r="V272" s="2"/>
      <c r="W272" s="2"/>
      <c r="X272" s="2"/>
      <c r="Y272" s="2"/>
      <c r="Z272" s="2"/>
    </row>
    <row r="273" spans="1:26" ht="13.8" x14ac:dyDescent="0.3">
      <c r="A273" s="2"/>
      <c r="B273" s="10"/>
      <c r="C273" s="10"/>
      <c r="D273" s="10"/>
      <c r="E273" s="10"/>
      <c r="F273" s="10"/>
      <c r="G273" s="32"/>
      <c r="H273" s="32"/>
      <c r="I273" s="32"/>
      <c r="J273" s="73"/>
      <c r="K273" s="32"/>
      <c r="L273" s="32"/>
      <c r="M273" s="32"/>
      <c r="N273" s="32"/>
      <c r="O273" s="2"/>
      <c r="P273" s="2"/>
      <c r="Q273" s="32"/>
      <c r="R273" s="32"/>
      <c r="S273" s="32"/>
      <c r="T273" s="32"/>
      <c r="U273" s="2"/>
      <c r="V273" s="2"/>
      <c r="W273" s="2"/>
      <c r="X273" s="2"/>
      <c r="Y273" s="2"/>
      <c r="Z273" s="2"/>
    </row>
    <row r="274" spans="1:26" ht="13.8" x14ac:dyDescent="0.3">
      <c r="A274" s="2"/>
      <c r="B274" s="10"/>
      <c r="C274" s="10"/>
      <c r="D274" s="10"/>
      <c r="E274" s="10"/>
      <c r="F274" s="10"/>
      <c r="G274" s="32"/>
      <c r="H274" s="32"/>
      <c r="I274" s="32"/>
      <c r="J274" s="73"/>
      <c r="K274" s="32"/>
      <c r="L274" s="32"/>
      <c r="M274" s="32"/>
      <c r="N274" s="32"/>
      <c r="O274" s="2"/>
      <c r="P274" s="2"/>
      <c r="Q274" s="32"/>
      <c r="R274" s="32"/>
      <c r="S274" s="32"/>
      <c r="T274" s="32"/>
      <c r="U274" s="2"/>
      <c r="V274" s="2"/>
      <c r="W274" s="2"/>
      <c r="X274" s="2"/>
      <c r="Y274" s="2"/>
      <c r="Z274" s="2"/>
    </row>
    <row r="275" spans="1:26" ht="13.8" x14ac:dyDescent="0.3">
      <c r="A275" s="2"/>
      <c r="B275" s="10"/>
      <c r="C275" s="10"/>
      <c r="D275" s="10"/>
      <c r="E275" s="10"/>
      <c r="F275" s="10"/>
      <c r="G275" s="32"/>
      <c r="H275" s="32"/>
      <c r="I275" s="32"/>
      <c r="J275" s="73"/>
      <c r="K275" s="32"/>
      <c r="L275" s="32"/>
      <c r="M275" s="32"/>
      <c r="N275" s="32"/>
      <c r="O275" s="2"/>
      <c r="P275" s="2"/>
      <c r="Q275" s="32"/>
      <c r="R275" s="32"/>
      <c r="S275" s="32"/>
      <c r="T275" s="32"/>
      <c r="U275" s="2"/>
      <c r="V275" s="2"/>
      <c r="W275" s="2"/>
      <c r="X275" s="2"/>
      <c r="Y275" s="2"/>
      <c r="Z275" s="2"/>
    </row>
    <row r="276" spans="1:26" ht="13.8" x14ac:dyDescent="0.3">
      <c r="A276" s="2"/>
      <c r="B276" s="10"/>
      <c r="C276" s="10"/>
      <c r="D276" s="10"/>
      <c r="E276" s="10"/>
      <c r="F276" s="10"/>
      <c r="G276" s="32"/>
      <c r="H276" s="32"/>
      <c r="I276" s="32"/>
      <c r="J276" s="73"/>
      <c r="K276" s="32"/>
      <c r="L276" s="32"/>
      <c r="M276" s="32"/>
      <c r="N276" s="32"/>
      <c r="O276" s="2"/>
      <c r="P276" s="2"/>
      <c r="Q276" s="32"/>
      <c r="R276" s="32"/>
      <c r="S276" s="32"/>
      <c r="T276" s="32"/>
      <c r="U276" s="2"/>
      <c r="V276" s="2"/>
      <c r="W276" s="2"/>
      <c r="X276" s="2"/>
      <c r="Y276" s="2"/>
      <c r="Z276" s="2"/>
    </row>
    <row r="277" spans="1:26" ht="13.8" x14ac:dyDescent="0.3">
      <c r="A277" s="2"/>
      <c r="B277" s="10"/>
      <c r="C277" s="10"/>
      <c r="D277" s="10"/>
      <c r="E277" s="10"/>
      <c r="F277" s="10"/>
      <c r="G277" s="32"/>
      <c r="H277" s="32"/>
      <c r="I277" s="32"/>
      <c r="J277" s="73"/>
      <c r="K277" s="32"/>
      <c r="L277" s="32"/>
      <c r="M277" s="32"/>
      <c r="N277" s="32"/>
      <c r="O277" s="2"/>
      <c r="P277" s="2"/>
      <c r="Q277" s="32"/>
      <c r="R277" s="32"/>
      <c r="S277" s="32"/>
      <c r="T277" s="32"/>
      <c r="U277" s="2"/>
      <c r="V277" s="2"/>
      <c r="W277" s="2"/>
      <c r="X277" s="2"/>
      <c r="Y277" s="2"/>
      <c r="Z277" s="2"/>
    </row>
    <row r="278" spans="1:26" ht="13.8" x14ac:dyDescent="0.3">
      <c r="A278" s="2"/>
      <c r="B278" s="10"/>
      <c r="C278" s="10"/>
      <c r="D278" s="10"/>
      <c r="E278" s="10"/>
      <c r="F278" s="10"/>
      <c r="G278" s="32"/>
      <c r="H278" s="32"/>
      <c r="I278" s="32"/>
      <c r="J278" s="73"/>
      <c r="K278" s="32"/>
      <c r="L278" s="32"/>
      <c r="M278" s="32"/>
      <c r="N278" s="32"/>
      <c r="O278" s="2"/>
      <c r="P278" s="2"/>
      <c r="Q278" s="32"/>
      <c r="R278" s="32"/>
      <c r="S278" s="32"/>
      <c r="T278" s="32"/>
      <c r="U278" s="2"/>
      <c r="V278" s="2"/>
      <c r="W278" s="2"/>
      <c r="X278" s="2"/>
      <c r="Y278" s="2"/>
      <c r="Z278" s="2"/>
    </row>
    <row r="279" spans="1:26" ht="13.8" x14ac:dyDescent="0.3">
      <c r="A279" s="2"/>
      <c r="B279" s="10"/>
      <c r="C279" s="10"/>
      <c r="D279" s="10"/>
      <c r="E279" s="10"/>
      <c r="F279" s="10"/>
      <c r="G279" s="32"/>
      <c r="H279" s="32"/>
      <c r="I279" s="32"/>
      <c r="J279" s="73"/>
      <c r="K279" s="32"/>
      <c r="L279" s="32"/>
      <c r="M279" s="32"/>
      <c r="N279" s="32"/>
      <c r="O279" s="2"/>
      <c r="P279" s="2"/>
      <c r="Q279" s="32"/>
      <c r="R279" s="32"/>
      <c r="S279" s="32"/>
      <c r="T279" s="32"/>
      <c r="U279" s="2"/>
      <c r="V279" s="2"/>
      <c r="W279" s="2"/>
      <c r="X279" s="2"/>
      <c r="Y279" s="2"/>
      <c r="Z279" s="2"/>
    </row>
    <row r="280" spans="1:26" ht="13.8" x14ac:dyDescent="0.3">
      <c r="A280" s="2"/>
      <c r="B280" s="10"/>
      <c r="C280" s="10"/>
      <c r="D280" s="10"/>
      <c r="E280" s="10"/>
      <c r="F280" s="10"/>
      <c r="G280" s="32"/>
      <c r="H280" s="32"/>
      <c r="I280" s="32"/>
      <c r="J280" s="73"/>
      <c r="K280" s="32"/>
      <c r="L280" s="32"/>
      <c r="M280" s="32"/>
      <c r="N280" s="32"/>
      <c r="O280" s="2"/>
      <c r="P280" s="2"/>
      <c r="Q280" s="32"/>
      <c r="R280" s="32"/>
      <c r="S280" s="32"/>
      <c r="T280" s="32"/>
      <c r="U280" s="2"/>
      <c r="V280" s="2"/>
      <c r="W280" s="2"/>
      <c r="X280" s="2"/>
      <c r="Y280" s="2"/>
      <c r="Z280" s="2"/>
    </row>
    <row r="281" spans="1:26" ht="13.8" x14ac:dyDescent="0.3">
      <c r="A281" s="2"/>
      <c r="B281" s="10"/>
      <c r="C281" s="10"/>
      <c r="D281" s="10"/>
      <c r="E281" s="10"/>
      <c r="F281" s="10"/>
      <c r="G281" s="32"/>
      <c r="H281" s="32"/>
      <c r="I281" s="32"/>
      <c r="J281" s="73"/>
      <c r="K281" s="32"/>
      <c r="L281" s="32"/>
      <c r="M281" s="32"/>
      <c r="N281" s="32"/>
      <c r="O281" s="2"/>
      <c r="P281" s="2"/>
      <c r="Q281" s="32"/>
      <c r="R281" s="32"/>
      <c r="S281" s="32"/>
      <c r="T281" s="32"/>
      <c r="U281" s="2"/>
      <c r="V281" s="2"/>
      <c r="W281" s="2"/>
      <c r="X281" s="2"/>
      <c r="Y281" s="2"/>
      <c r="Z281" s="2"/>
    </row>
    <row r="282" spans="1:26" ht="13.8" x14ac:dyDescent="0.3">
      <c r="A282" s="2"/>
      <c r="B282" s="10"/>
      <c r="C282" s="10"/>
      <c r="D282" s="10"/>
      <c r="E282" s="10"/>
      <c r="F282" s="10"/>
      <c r="G282" s="32"/>
      <c r="H282" s="32"/>
      <c r="I282" s="32"/>
      <c r="J282" s="73"/>
      <c r="K282" s="32"/>
      <c r="L282" s="32"/>
      <c r="M282" s="32"/>
      <c r="N282" s="32"/>
      <c r="O282" s="2"/>
      <c r="P282" s="2"/>
      <c r="Q282" s="32"/>
      <c r="R282" s="32"/>
      <c r="S282" s="32"/>
      <c r="T282" s="32"/>
      <c r="U282" s="2"/>
      <c r="V282" s="2"/>
      <c r="W282" s="2"/>
      <c r="X282" s="2"/>
      <c r="Y282" s="2"/>
      <c r="Z282" s="2"/>
    </row>
    <row r="283" spans="1:26" ht="13.8" x14ac:dyDescent="0.3">
      <c r="A283" s="2"/>
      <c r="B283" s="10"/>
      <c r="C283" s="10"/>
      <c r="D283" s="10"/>
      <c r="E283" s="10"/>
      <c r="F283" s="10"/>
      <c r="G283" s="32"/>
      <c r="H283" s="32"/>
      <c r="I283" s="32"/>
      <c r="J283" s="73"/>
      <c r="K283" s="32"/>
      <c r="L283" s="32"/>
      <c r="M283" s="32"/>
      <c r="N283" s="32"/>
      <c r="O283" s="2"/>
      <c r="P283" s="2"/>
      <c r="Q283" s="32"/>
      <c r="R283" s="32"/>
      <c r="S283" s="32"/>
      <c r="T283" s="32"/>
      <c r="U283" s="2"/>
      <c r="V283" s="2"/>
      <c r="W283" s="2"/>
      <c r="X283" s="2"/>
      <c r="Y283" s="2"/>
      <c r="Z283" s="2"/>
    </row>
    <row r="284" spans="1:26" ht="13.8" x14ac:dyDescent="0.3">
      <c r="A284" s="2"/>
      <c r="B284" s="10"/>
      <c r="C284" s="10"/>
      <c r="D284" s="10"/>
      <c r="E284" s="10"/>
      <c r="F284" s="10"/>
      <c r="G284" s="32"/>
      <c r="H284" s="32"/>
      <c r="I284" s="32"/>
      <c r="J284" s="73"/>
      <c r="K284" s="32"/>
      <c r="L284" s="32"/>
      <c r="M284" s="32"/>
      <c r="N284" s="32"/>
      <c r="O284" s="2"/>
      <c r="P284" s="2"/>
      <c r="Q284" s="32"/>
      <c r="R284" s="32"/>
      <c r="S284" s="32"/>
      <c r="T284" s="32"/>
      <c r="U284" s="2"/>
      <c r="V284" s="2"/>
      <c r="W284" s="2"/>
      <c r="X284" s="2"/>
      <c r="Y284" s="2"/>
      <c r="Z284" s="2"/>
    </row>
    <row r="285" spans="1:26" ht="13.8" x14ac:dyDescent="0.3">
      <c r="A285" s="2"/>
      <c r="B285" s="10"/>
      <c r="C285" s="10"/>
      <c r="D285" s="10"/>
      <c r="E285" s="10"/>
      <c r="F285" s="10"/>
      <c r="G285" s="32"/>
      <c r="H285" s="32"/>
      <c r="I285" s="32"/>
      <c r="J285" s="73"/>
      <c r="K285" s="32"/>
      <c r="L285" s="32"/>
      <c r="M285" s="32"/>
      <c r="N285" s="32"/>
      <c r="O285" s="2"/>
      <c r="P285" s="2"/>
      <c r="Q285" s="32"/>
      <c r="R285" s="32"/>
      <c r="S285" s="32"/>
      <c r="T285" s="32"/>
      <c r="U285" s="2"/>
      <c r="V285" s="2"/>
      <c r="W285" s="2"/>
      <c r="X285" s="2"/>
      <c r="Y285" s="2"/>
      <c r="Z285" s="2"/>
    </row>
    <row r="286" spans="1:26" ht="13.8" x14ac:dyDescent="0.3">
      <c r="A286" s="2"/>
      <c r="B286" s="10"/>
      <c r="C286" s="10"/>
      <c r="D286" s="10"/>
      <c r="E286" s="10"/>
      <c r="F286" s="10"/>
      <c r="G286" s="32"/>
      <c r="H286" s="32"/>
      <c r="I286" s="32"/>
      <c r="J286" s="73"/>
      <c r="K286" s="32"/>
      <c r="L286" s="32"/>
      <c r="M286" s="32"/>
      <c r="N286" s="32"/>
      <c r="O286" s="2"/>
      <c r="P286" s="2"/>
      <c r="Q286" s="32"/>
      <c r="R286" s="32"/>
      <c r="S286" s="32"/>
      <c r="T286" s="32"/>
      <c r="U286" s="2"/>
      <c r="V286" s="2"/>
      <c r="W286" s="2"/>
      <c r="X286" s="2"/>
      <c r="Y286" s="2"/>
      <c r="Z286" s="2"/>
    </row>
    <row r="287" spans="1:26" ht="13.8" x14ac:dyDescent="0.3">
      <c r="A287" s="2"/>
      <c r="B287" s="10"/>
      <c r="C287" s="10"/>
      <c r="D287" s="10"/>
      <c r="E287" s="10"/>
      <c r="F287" s="10"/>
      <c r="G287" s="32"/>
      <c r="H287" s="32"/>
      <c r="I287" s="32"/>
      <c r="J287" s="73"/>
      <c r="K287" s="32"/>
      <c r="L287" s="32"/>
      <c r="M287" s="32"/>
      <c r="N287" s="32"/>
      <c r="O287" s="2"/>
      <c r="P287" s="2"/>
      <c r="Q287" s="32"/>
      <c r="R287" s="32"/>
      <c r="S287" s="32"/>
      <c r="T287" s="32"/>
      <c r="U287" s="2"/>
      <c r="V287" s="2"/>
      <c r="W287" s="2"/>
      <c r="X287" s="2"/>
      <c r="Y287" s="2"/>
      <c r="Z287" s="2"/>
    </row>
    <row r="288" spans="1:26" ht="13.8" x14ac:dyDescent="0.3">
      <c r="A288" s="2"/>
      <c r="B288" s="10"/>
      <c r="C288" s="10"/>
      <c r="D288" s="10"/>
      <c r="E288" s="10"/>
      <c r="F288" s="10"/>
      <c r="G288" s="32"/>
      <c r="H288" s="32"/>
      <c r="I288" s="32"/>
      <c r="J288" s="73"/>
      <c r="K288" s="32"/>
      <c r="L288" s="32"/>
      <c r="M288" s="32"/>
      <c r="N288" s="32"/>
      <c r="O288" s="2"/>
      <c r="P288" s="2"/>
      <c r="Q288" s="32"/>
      <c r="R288" s="32"/>
      <c r="S288" s="32"/>
      <c r="T288" s="32"/>
      <c r="U288" s="2"/>
      <c r="V288" s="2"/>
      <c r="W288" s="2"/>
      <c r="X288" s="2"/>
      <c r="Y288" s="2"/>
      <c r="Z288" s="2"/>
    </row>
    <row r="289" spans="1:26" ht="13.8" x14ac:dyDescent="0.3">
      <c r="A289" s="2"/>
      <c r="B289" s="10"/>
      <c r="C289" s="10"/>
      <c r="D289" s="10"/>
      <c r="E289" s="10"/>
      <c r="F289" s="10"/>
      <c r="G289" s="32"/>
      <c r="H289" s="32"/>
      <c r="I289" s="32"/>
      <c r="J289" s="73"/>
      <c r="K289" s="32"/>
      <c r="L289" s="32"/>
      <c r="M289" s="32"/>
      <c r="N289" s="32"/>
      <c r="O289" s="2"/>
      <c r="P289" s="2"/>
      <c r="Q289" s="32"/>
      <c r="R289" s="32"/>
      <c r="S289" s="32"/>
      <c r="T289" s="32"/>
      <c r="U289" s="2"/>
      <c r="V289" s="2"/>
      <c r="W289" s="2"/>
      <c r="X289" s="2"/>
      <c r="Y289" s="2"/>
      <c r="Z289" s="2"/>
    </row>
    <row r="290" spans="1:26" ht="13.8" x14ac:dyDescent="0.3">
      <c r="A290" s="2"/>
      <c r="B290" s="10"/>
      <c r="C290" s="10"/>
      <c r="D290" s="10"/>
      <c r="E290" s="10"/>
      <c r="F290" s="10"/>
      <c r="G290" s="32"/>
      <c r="H290" s="32"/>
      <c r="I290" s="32"/>
      <c r="J290" s="73"/>
      <c r="K290" s="32"/>
      <c r="L290" s="32"/>
      <c r="M290" s="32"/>
      <c r="N290" s="32"/>
      <c r="O290" s="2"/>
      <c r="P290" s="2"/>
      <c r="Q290" s="32"/>
      <c r="R290" s="32"/>
      <c r="S290" s="32"/>
      <c r="T290" s="32"/>
      <c r="U290" s="2"/>
      <c r="V290" s="2"/>
      <c r="W290" s="2"/>
      <c r="X290" s="2"/>
      <c r="Y290" s="2"/>
      <c r="Z290" s="2"/>
    </row>
    <row r="291" spans="1:26" ht="13.8" x14ac:dyDescent="0.3">
      <c r="A291" s="2"/>
      <c r="B291" s="10"/>
      <c r="C291" s="10"/>
      <c r="D291" s="10"/>
      <c r="E291" s="10"/>
      <c r="F291" s="10"/>
      <c r="G291" s="32"/>
      <c r="H291" s="32"/>
      <c r="I291" s="32"/>
      <c r="J291" s="73"/>
      <c r="K291" s="32"/>
      <c r="L291" s="32"/>
      <c r="M291" s="32"/>
      <c r="N291" s="32"/>
      <c r="O291" s="2"/>
      <c r="P291" s="2"/>
      <c r="Q291" s="32"/>
      <c r="R291" s="32"/>
      <c r="S291" s="32"/>
      <c r="T291" s="32"/>
      <c r="U291" s="2"/>
      <c r="V291" s="2"/>
      <c r="W291" s="2"/>
      <c r="X291" s="2"/>
      <c r="Y291" s="2"/>
      <c r="Z291" s="2"/>
    </row>
    <row r="292" spans="1:26" ht="13.8" x14ac:dyDescent="0.3">
      <c r="A292" s="2"/>
      <c r="B292" s="10"/>
      <c r="C292" s="10"/>
      <c r="D292" s="10"/>
      <c r="E292" s="10"/>
      <c r="F292" s="10"/>
      <c r="G292" s="32"/>
      <c r="H292" s="32"/>
      <c r="I292" s="32"/>
      <c r="J292" s="73"/>
      <c r="K292" s="32"/>
      <c r="L292" s="32"/>
      <c r="M292" s="32"/>
      <c r="N292" s="32"/>
      <c r="O292" s="2"/>
      <c r="P292" s="2"/>
      <c r="Q292" s="32"/>
      <c r="R292" s="32"/>
      <c r="S292" s="32"/>
      <c r="T292" s="32"/>
      <c r="U292" s="2"/>
      <c r="V292" s="2"/>
      <c r="W292" s="2"/>
      <c r="X292" s="2"/>
      <c r="Y292" s="2"/>
      <c r="Z292" s="2"/>
    </row>
    <row r="293" spans="1:26" ht="13.8" x14ac:dyDescent="0.3">
      <c r="A293" s="2"/>
      <c r="B293" s="10"/>
      <c r="C293" s="10"/>
      <c r="D293" s="10"/>
      <c r="E293" s="10"/>
      <c r="F293" s="10"/>
      <c r="G293" s="32"/>
      <c r="H293" s="32"/>
      <c r="I293" s="32"/>
      <c r="J293" s="73"/>
      <c r="K293" s="32"/>
      <c r="L293" s="32"/>
      <c r="M293" s="32"/>
      <c r="N293" s="32"/>
      <c r="O293" s="2"/>
      <c r="P293" s="2"/>
      <c r="Q293" s="32"/>
      <c r="R293" s="32"/>
      <c r="S293" s="32"/>
      <c r="T293" s="32"/>
      <c r="U293" s="2"/>
      <c r="V293" s="2"/>
      <c r="W293" s="2"/>
      <c r="X293" s="2"/>
      <c r="Y293" s="2"/>
      <c r="Z293" s="2"/>
    </row>
    <row r="294" spans="1:26" ht="13.8" x14ac:dyDescent="0.3">
      <c r="A294" s="2"/>
      <c r="B294" s="10"/>
      <c r="C294" s="10"/>
      <c r="D294" s="10"/>
      <c r="E294" s="10"/>
      <c r="F294" s="10"/>
      <c r="G294" s="32"/>
      <c r="H294" s="32"/>
      <c r="I294" s="32"/>
      <c r="J294" s="73"/>
      <c r="K294" s="32"/>
      <c r="L294" s="32"/>
      <c r="M294" s="32"/>
      <c r="N294" s="32"/>
      <c r="O294" s="2"/>
      <c r="P294" s="2"/>
      <c r="Q294" s="32"/>
      <c r="R294" s="32"/>
      <c r="S294" s="32"/>
      <c r="T294" s="32"/>
      <c r="U294" s="2"/>
      <c r="V294" s="2"/>
      <c r="W294" s="2"/>
      <c r="X294" s="2"/>
      <c r="Y294" s="2"/>
      <c r="Z294" s="2"/>
    </row>
    <row r="295" spans="1:26" ht="13.8" x14ac:dyDescent="0.3">
      <c r="A295" s="2"/>
      <c r="B295" s="10"/>
      <c r="C295" s="10"/>
      <c r="D295" s="10"/>
      <c r="E295" s="10"/>
      <c r="F295" s="10"/>
      <c r="G295" s="32"/>
      <c r="H295" s="32"/>
      <c r="I295" s="32"/>
      <c r="J295" s="73"/>
      <c r="K295" s="32"/>
      <c r="L295" s="32"/>
      <c r="M295" s="32"/>
      <c r="N295" s="32"/>
      <c r="O295" s="2"/>
      <c r="P295" s="2"/>
      <c r="Q295" s="32"/>
      <c r="R295" s="32"/>
      <c r="S295" s="32"/>
      <c r="T295" s="32"/>
      <c r="U295" s="2"/>
      <c r="V295" s="2"/>
      <c r="W295" s="2"/>
      <c r="X295" s="2"/>
      <c r="Y295" s="2"/>
      <c r="Z295" s="2"/>
    </row>
    <row r="296" spans="1:26" ht="13.8" x14ac:dyDescent="0.3">
      <c r="A296" s="2"/>
      <c r="B296" s="10"/>
      <c r="C296" s="10"/>
      <c r="D296" s="10"/>
      <c r="E296" s="10"/>
      <c r="F296" s="10"/>
      <c r="G296" s="32"/>
      <c r="H296" s="32"/>
      <c r="I296" s="32"/>
      <c r="J296" s="73"/>
      <c r="K296" s="32"/>
      <c r="L296" s="32"/>
      <c r="M296" s="32"/>
      <c r="N296" s="32"/>
      <c r="O296" s="2"/>
      <c r="P296" s="2"/>
      <c r="Q296" s="32"/>
      <c r="R296" s="32"/>
      <c r="S296" s="32"/>
      <c r="T296" s="32"/>
      <c r="U296" s="2"/>
      <c r="V296" s="2"/>
      <c r="W296" s="2"/>
      <c r="X296" s="2"/>
      <c r="Y296" s="2"/>
      <c r="Z296" s="2"/>
    </row>
    <row r="297" spans="1:26" ht="13.8" x14ac:dyDescent="0.3">
      <c r="A297" s="2"/>
      <c r="B297" s="10"/>
      <c r="C297" s="10"/>
      <c r="D297" s="10"/>
      <c r="E297" s="10"/>
      <c r="F297" s="10"/>
      <c r="G297" s="32"/>
      <c r="H297" s="32"/>
      <c r="I297" s="32"/>
      <c r="J297" s="73"/>
      <c r="K297" s="32"/>
      <c r="L297" s="32"/>
      <c r="M297" s="32"/>
      <c r="N297" s="32"/>
      <c r="O297" s="2"/>
      <c r="P297" s="2"/>
      <c r="Q297" s="32"/>
      <c r="R297" s="32"/>
      <c r="S297" s="32"/>
      <c r="T297" s="32"/>
      <c r="U297" s="2"/>
      <c r="V297" s="2"/>
      <c r="W297" s="2"/>
      <c r="X297" s="2"/>
      <c r="Y297" s="2"/>
      <c r="Z297" s="2"/>
    </row>
    <row r="298" spans="1:26" ht="13.8" x14ac:dyDescent="0.3">
      <c r="A298" s="2"/>
      <c r="B298" s="10"/>
      <c r="C298" s="10"/>
      <c r="D298" s="10"/>
      <c r="E298" s="10"/>
      <c r="F298" s="10"/>
      <c r="G298" s="32"/>
      <c r="H298" s="32"/>
      <c r="I298" s="32"/>
      <c r="J298" s="73"/>
      <c r="K298" s="32"/>
      <c r="L298" s="32"/>
      <c r="M298" s="32"/>
      <c r="N298" s="32"/>
      <c r="O298" s="2"/>
      <c r="P298" s="2"/>
      <c r="Q298" s="32"/>
      <c r="R298" s="32"/>
      <c r="S298" s="32"/>
      <c r="T298" s="32"/>
      <c r="U298" s="2"/>
      <c r="V298" s="2"/>
      <c r="W298" s="2"/>
      <c r="X298" s="2"/>
      <c r="Y298" s="2"/>
      <c r="Z298" s="2"/>
    </row>
    <row r="299" spans="1:26" ht="13.8" x14ac:dyDescent="0.3">
      <c r="A299" s="2"/>
      <c r="B299" s="10"/>
      <c r="C299" s="10"/>
      <c r="D299" s="10"/>
      <c r="E299" s="10"/>
      <c r="F299" s="10"/>
      <c r="G299" s="32"/>
      <c r="H299" s="32"/>
      <c r="I299" s="32"/>
      <c r="J299" s="73"/>
      <c r="K299" s="32"/>
      <c r="L299" s="32"/>
      <c r="M299" s="32"/>
      <c r="N299" s="32"/>
      <c r="O299" s="2"/>
      <c r="P299" s="2"/>
      <c r="Q299" s="32"/>
      <c r="R299" s="32"/>
      <c r="S299" s="32"/>
      <c r="T299" s="32"/>
      <c r="U299" s="2"/>
      <c r="V299" s="2"/>
      <c r="W299" s="2"/>
      <c r="X299" s="2"/>
      <c r="Y299" s="2"/>
      <c r="Z299" s="2"/>
    </row>
    <row r="300" spans="1:26" ht="13.8" x14ac:dyDescent="0.3">
      <c r="A300" s="2"/>
      <c r="B300" s="10"/>
      <c r="C300" s="10"/>
      <c r="D300" s="10"/>
      <c r="E300" s="10"/>
      <c r="F300" s="10"/>
      <c r="G300" s="32"/>
      <c r="H300" s="32"/>
      <c r="I300" s="32"/>
      <c r="J300" s="73"/>
      <c r="K300" s="32"/>
      <c r="L300" s="32"/>
      <c r="M300" s="32"/>
      <c r="N300" s="32"/>
      <c r="O300" s="2"/>
      <c r="P300" s="2"/>
      <c r="Q300" s="32"/>
      <c r="R300" s="32"/>
      <c r="S300" s="32"/>
      <c r="T300" s="32"/>
      <c r="U300" s="2"/>
      <c r="V300" s="2"/>
      <c r="W300" s="2"/>
      <c r="X300" s="2"/>
      <c r="Y300" s="2"/>
      <c r="Z300" s="2"/>
    </row>
    <row r="301" spans="1:26" ht="13.8" x14ac:dyDescent="0.3">
      <c r="A301" s="2"/>
      <c r="B301" s="10"/>
      <c r="C301" s="10"/>
      <c r="D301" s="10"/>
      <c r="E301" s="10"/>
      <c r="F301" s="10"/>
      <c r="G301" s="32"/>
      <c r="H301" s="32"/>
      <c r="I301" s="32"/>
      <c r="J301" s="73"/>
      <c r="K301" s="32"/>
      <c r="L301" s="32"/>
      <c r="M301" s="32"/>
      <c r="N301" s="32"/>
      <c r="O301" s="2"/>
      <c r="P301" s="2"/>
      <c r="Q301" s="32"/>
      <c r="R301" s="32"/>
      <c r="S301" s="32"/>
      <c r="T301" s="32"/>
      <c r="U301" s="2"/>
      <c r="V301" s="2"/>
      <c r="W301" s="2"/>
      <c r="X301" s="2"/>
      <c r="Y301" s="2"/>
      <c r="Z301" s="2"/>
    </row>
    <row r="302" spans="1:26" ht="13.8" x14ac:dyDescent="0.3">
      <c r="A302" s="2"/>
      <c r="B302" s="10"/>
      <c r="C302" s="10"/>
      <c r="D302" s="10"/>
      <c r="E302" s="10"/>
      <c r="F302" s="10"/>
      <c r="G302" s="32"/>
      <c r="H302" s="32"/>
      <c r="I302" s="32"/>
      <c r="J302" s="73"/>
      <c r="K302" s="32"/>
      <c r="L302" s="32"/>
      <c r="M302" s="32"/>
      <c r="N302" s="32"/>
      <c r="O302" s="2"/>
      <c r="P302" s="2"/>
      <c r="Q302" s="32"/>
      <c r="R302" s="32"/>
      <c r="S302" s="32"/>
      <c r="T302" s="32"/>
      <c r="U302" s="2"/>
      <c r="V302" s="2"/>
      <c r="W302" s="2"/>
      <c r="X302" s="2"/>
      <c r="Y302" s="2"/>
      <c r="Z302" s="2"/>
    </row>
    <row r="303" spans="1:26" ht="13.8" x14ac:dyDescent="0.3">
      <c r="A303" s="2"/>
      <c r="B303" s="10"/>
      <c r="C303" s="10"/>
      <c r="D303" s="10"/>
      <c r="E303" s="10"/>
      <c r="F303" s="10"/>
      <c r="G303" s="32"/>
      <c r="H303" s="32"/>
      <c r="I303" s="32"/>
      <c r="J303" s="73"/>
      <c r="K303" s="32"/>
      <c r="L303" s="32"/>
      <c r="M303" s="32"/>
      <c r="N303" s="32"/>
      <c r="O303" s="2"/>
      <c r="P303" s="2"/>
      <c r="Q303" s="32"/>
      <c r="R303" s="32"/>
      <c r="S303" s="32"/>
      <c r="T303" s="32"/>
      <c r="U303" s="2"/>
      <c r="V303" s="2"/>
      <c r="W303" s="2"/>
      <c r="X303" s="2"/>
      <c r="Y303" s="2"/>
      <c r="Z303" s="2"/>
    </row>
    <row r="304" spans="1:26" ht="13.8" x14ac:dyDescent="0.3">
      <c r="A304" s="2"/>
      <c r="B304" s="10"/>
      <c r="C304" s="10"/>
      <c r="D304" s="10"/>
      <c r="E304" s="10"/>
      <c r="F304" s="10"/>
      <c r="G304" s="32"/>
      <c r="H304" s="32"/>
      <c r="I304" s="32"/>
      <c r="J304" s="73"/>
      <c r="K304" s="32"/>
      <c r="L304" s="32"/>
      <c r="M304" s="32"/>
      <c r="N304" s="32"/>
      <c r="O304" s="2"/>
      <c r="P304" s="2"/>
      <c r="Q304" s="32"/>
      <c r="R304" s="32"/>
      <c r="S304" s="32"/>
      <c r="T304" s="32"/>
      <c r="U304" s="2"/>
      <c r="V304" s="2"/>
      <c r="W304" s="2"/>
      <c r="X304" s="2"/>
      <c r="Y304" s="2"/>
      <c r="Z304" s="2"/>
    </row>
    <row r="305" spans="1:26" ht="13.8" x14ac:dyDescent="0.3">
      <c r="A305" s="2"/>
      <c r="B305" s="10"/>
      <c r="C305" s="10"/>
      <c r="D305" s="10"/>
      <c r="E305" s="10"/>
      <c r="F305" s="10"/>
      <c r="G305" s="32"/>
      <c r="H305" s="32"/>
      <c r="I305" s="32"/>
      <c r="J305" s="73"/>
      <c r="K305" s="32"/>
      <c r="L305" s="32"/>
      <c r="M305" s="32"/>
      <c r="N305" s="32"/>
      <c r="O305" s="2"/>
      <c r="P305" s="2"/>
      <c r="Q305" s="32"/>
      <c r="R305" s="32"/>
      <c r="S305" s="32"/>
      <c r="T305" s="32"/>
      <c r="U305" s="2"/>
      <c r="V305" s="2"/>
      <c r="W305" s="2"/>
      <c r="X305" s="2"/>
      <c r="Y305" s="2"/>
      <c r="Z305" s="2"/>
    </row>
    <row r="306" spans="1:26" ht="13.8" x14ac:dyDescent="0.3">
      <c r="A306" s="2"/>
      <c r="B306" s="10"/>
      <c r="C306" s="10"/>
      <c r="D306" s="10"/>
      <c r="E306" s="10"/>
      <c r="F306" s="10"/>
      <c r="G306" s="32"/>
      <c r="H306" s="32"/>
      <c r="I306" s="32"/>
      <c r="J306" s="73"/>
      <c r="K306" s="32"/>
      <c r="L306" s="32"/>
      <c r="M306" s="32"/>
      <c r="N306" s="32"/>
      <c r="O306" s="2"/>
      <c r="P306" s="2"/>
      <c r="Q306" s="32"/>
      <c r="R306" s="32"/>
      <c r="S306" s="32"/>
      <c r="T306" s="32"/>
      <c r="U306" s="2"/>
      <c r="V306" s="2"/>
      <c r="W306" s="2"/>
      <c r="X306" s="2"/>
      <c r="Y306" s="2"/>
      <c r="Z306" s="2"/>
    </row>
    <row r="307" spans="1:26" ht="13.8" x14ac:dyDescent="0.3">
      <c r="A307" s="2"/>
      <c r="B307" s="10"/>
      <c r="C307" s="10"/>
      <c r="D307" s="10"/>
      <c r="E307" s="10"/>
      <c r="F307" s="10"/>
      <c r="G307" s="32"/>
      <c r="H307" s="32"/>
      <c r="I307" s="32"/>
      <c r="J307" s="73"/>
      <c r="K307" s="32"/>
      <c r="L307" s="32"/>
      <c r="M307" s="32"/>
      <c r="N307" s="32"/>
      <c r="O307" s="2"/>
      <c r="P307" s="2"/>
      <c r="Q307" s="32"/>
      <c r="R307" s="32"/>
      <c r="S307" s="32"/>
      <c r="T307" s="32"/>
      <c r="U307" s="2"/>
      <c r="V307" s="2"/>
      <c r="W307" s="2"/>
      <c r="X307" s="2"/>
      <c r="Y307" s="2"/>
      <c r="Z307" s="2"/>
    </row>
    <row r="308" spans="1:26" ht="13.8" x14ac:dyDescent="0.3">
      <c r="A308" s="2"/>
      <c r="B308" s="10"/>
      <c r="C308" s="10"/>
      <c r="D308" s="10"/>
      <c r="E308" s="10"/>
      <c r="F308" s="10"/>
      <c r="G308" s="32"/>
      <c r="H308" s="32"/>
      <c r="I308" s="32"/>
      <c r="J308" s="73"/>
      <c r="K308" s="32"/>
      <c r="L308" s="32"/>
      <c r="M308" s="32"/>
      <c r="N308" s="32"/>
      <c r="O308" s="2"/>
      <c r="P308" s="2"/>
      <c r="Q308" s="32"/>
      <c r="R308" s="32"/>
      <c r="S308" s="32"/>
      <c r="T308" s="32"/>
      <c r="U308" s="2"/>
      <c r="V308" s="2"/>
      <c r="W308" s="2"/>
      <c r="X308" s="2"/>
      <c r="Y308" s="2"/>
      <c r="Z308" s="2"/>
    </row>
    <row r="309" spans="1:26" ht="13.8" x14ac:dyDescent="0.3">
      <c r="A309" s="2"/>
      <c r="B309" s="10"/>
      <c r="C309" s="10"/>
      <c r="D309" s="10"/>
      <c r="E309" s="10"/>
      <c r="F309" s="10"/>
      <c r="G309" s="32"/>
      <c r="H309" s="32"/>
      <c r="I309" s="32"/>
      <c r="J309" s="73"/>
      <c r="K309" s="32"/>
      <c r="L309" s="32"/>
      <c r="M309" s="32"/>
      <c r="N309" s="32"/>
      <c r="O309" s="2"/>
      <c r="P309" s="2"/>
      <c r="Q309" s="32"/>
      <c r="R309" s="32"/>
      <c r="S309" s="32"/>
      <c r="T309" s="32"/>
      <c r="U309" s="2"/>
      <c r="V309" s="2"/>
      <c r="W309" s="2"/>
      <c r="X309" s="2"/>
      <c r="Y309" s="2"/>
      <c r="Z309" s="2"/>
    </row>
    <row r="310" spans="1:26" ht="13.8" x14ac:dyDescent="0.3">
      <c r="A310" s="2"/>
      <c r="B310" s="10"/>
      <c r="C310" s="10"/>
      <c r="D310" s="10"/>
      <c r="E310" s="10"/>
      <c r="F310" s="10"/>
      <c r="G310" s="32"/>
      <c r="H310" s="32"/>
      <c r="I310" s="32"/>
      <c r="J310" s="73"/>
      <c r="K310" s="32"/>
      <c r="L310" s="32"/>
      <c r="M310" s="32"/>
      <c r="N310" s="32"/>
      <c r="O310" s="2"/>
      <c r="P310" s="2"/>
      <c r="Q310" s="32"/>
      <c r="R310" s="32"/>
      <c r="S310" s="32"/>
      <c r="T310" s="32"/>
      <c r="U310" s="2"/>
      <c r="V310" s="2"/>
      <c r="W310" s="2"/>
      <c r="X310" s="2"/>
      <c r="Y310" s="2"/>
      <c r="Z310" s="2"/>
    </row>
    <row r="311" spans="1:26" ht="13.8" x14ac:dyDescent="0.3">
      <c r="A311" s="2"/>
      <c r="B311" s="10"/>
      <c r="C311" s="10"/>
      <c r="D311" s="10"/>
      <c r="E311" s="10"/>
      <c r="F311" s="10"/>
      <c r="G311" s="32"/>
      <c r="H311" s="32"/>
      <c r="I311" s="32"/>
      <c r="J311" s="73"/>
      <c r="K311" s="32"/>
      <c r="L311" s="32"/>
      <c r="M311" s="32"/>
      <c r="N311" s="32"/>
      <c r="O311" s="2"/>
      <c r="P311" s="2"/>
      <c r="Q311" s="32"/>
      <c r="R311" s="32"/>
      <c r="S311" s="32"/>
      <c r="T311" s="32"/>
      <c r="U311" s="2"/>
      <c r="V311" s="2"/>
      <c r="W311" s="2"/>
      <c r="X311" s="2"/>
      <c r="Y311" s="2"/>
      <c r="Z311" s="2"/>
    </row>
    <row r="312" spans="1:26" ht="13.8" x14ac:dyDescent="0.3">
      <c r="A312" s="2"/>
      <c r="B312" s="10"/>
      <c r="C312" s="10"/>
      <c r="D312" s="10"/>
      <c r="E312" s="10"/>
      <c r="F312" s="10"/>
      <c r="G312" s="32"/>
      <c r="H312" s="32"/>
      <c r="I312" s="32"/>
      <c r="J312" s="73"/>
      <c r="K312" s="32"/>
      <c r="L312" s="32"/>
      <c r="M312" s="32"/>
      <c r="N312" s="32"/>
      <c r="O312" s="2"/>
      <c r="P312" s="2"/>
      <c r="Q312" s="32"/>
      <c r="R312" s="32"/>
      <c r="S312" s="32"/>
      <c r="T312" s="32"/>
      <c r="U312" s="2"/>
      <c r="V312" s="2"/>
      <c r="W312" s="2"/>
      <c r="X312" s="2"/>
      <c r="Y312" s="2"/>
      <c r="Z312" s="2"/>
    </row>
    <row r="313" spans="1:26" ht="13.8" x14ac:dyDescent="0.3">
      <c r="A313" s="2"/>
      <c r="B313" s="10"/>
      <c r="C313" s="10"/>
      <c r="D313" s="10"/>
      <c r="E313" s="10"/>
      <c r="F313" s="10"/>
      <c r="G313" s="32"/>
      <c r="H313" s="32"/>
      <c r="I313" s="32"/>
      <c r="J313" s="73"/>
      <c r="K313" s="32"/>
      <c r="L313" s="32"/>
      <c r="M313" s="32"/>
      <c r="N313" s="32"/>
      <c r="O313" s="2"/>
      <c r="P313" s="2"/>
      <c r="Q313" s="32"/>
      <c r="R313" s="32"/>
      <c r="S313" s="32"/>
      <c r="T313" s="32"/>
      <c r="U313" s="2"/>
      <c r="V313" s="2"/>
      <c r="W313" s="2"/>
      <c r="X313" s="2"/>
      <c r="Y313" s="2"/>
      <c r="Z313" s="2"/>
    </row>
    <row r="314" spans="1:26" ht="13.8" x14ac:dyDescent="0.3">
      <c r="A314" s="2"/>
      <c r="B314" s="10"/>
      <c r="C314" s="10"/>
      <c r="D314" s="10"/>
      <c r="E314" s="10"/>
      <c r="F314" s="10"/>
      <c r="G314" s="32"/>
      <c r="H314" s="32"/>
      <c r="I314" s="32"/>
      <c r="J314" s="73"/>
      <c r="K314" s="32"/>
      <c r="L314" s="32"/>
      <c r="M314" s="32"/>
      <c r="N314" s="32"/>
      <c r="O314" s="2"/>
      <c r="P314" s="2"/>
      <c r="Q314" s="32"/>
      <c r="R314" s="32"/>
      <c r="S314" s="32"/>
      <c r="T314" s="32"/>
      <c r="U314" s="2"/>
      <c r="V314" s="2"/>
      <c r="W314" s="2"/>
      <c r="X314" s="2"/>
      <c r="Y314" s="2"/>
      <c r="Z314" s="2"/>
    </row>
    <row r="315" spans="1:26" ht="13.8" x14ac:dyDescent="0.3">
      <c r="A315" s="2"/>
      <c r="B315" s="10"/>
      <c r="C315" s="10"/>
      <c r="D315" s="10"/>
      <c r="E315" s="10"/>
      <c r="F315" s="10"/>
      <c r="G315" s="32"/>
      <c r="H315" s="32"/>
      <c r="I315" s="32"/>
      <c r="J315" s="73"/>
      <c r="K315" s="32"/>
      <c r="L315" s="32"/>
      <c r="M315" s="32"/>
      <c r="N315" s="32"/>
      <c r="O315" s="2"/>
      <c r="P315" s="2"/>
      <c r="Q315" s="32"/>
      <c r="R315" s="32"/>
      <c r="S315" s="32"/>
      <c r="T315" s="32"/>
      <c r="U315" s="2"/>
      <c r="V315" s="2"/>
      <c r="W315" s="2"/>
      <c r="X315" s="2"/>
      <c r="Y315" s="2"/>
      <c r="Z315" s="2"/>
    </row>
    <row r="316" spans="1:26" ht="13.8" x14ac:dyDescent="0.3">
      <c r="A316" s="2"/>
      <c r="B316" s="10"/>
      <c r="C316" s="10"/>
      <c r="D316" s="10"/>
      <c r="E316" s="10"/>
      <c r="F316" s="10"/>
      <c r="G316" s="32"/>
      <c r="H316" s="32"/>
      <c r="I316" s="32"/>
      <c r="J316" s="73"/>
      <c r="K316" s="32"/>
      <c r="L316" s="32"/>
      <c r="M316" s="32"/>
      <c r="N316" s="32"/>
      <c r="O316" s="2"/>
      <c r="P316" s="2"/>
      <c r="Q316" s="32"/>
      <c r="R316" s="32"/>
      <c r="S316" s="32"/>
      <c r="T316" s="32"/>
      <c r="U316" s="2"/>
      <c r="V316" s="2"/>
      <c r="W316" s="2"/>
      <c r="X316" s="2"/>
      <c r="Y316" s="2"/>
      <c r="Z316" s="2"/>
    </row>
    <row r="317" spans="1:26" ht="13.8" x14ac:dyDescent="0.3">
      <c r="A317" s="2"/>
      <c r="B317" s="10"/>
      <c r="C317" s="10"/>
      <c r="D317" s="10"/>
      <c r="E317" s="10"/>
      <c r="F317" s="10"/>
      <c r="G317" s="32"/>
      <c r="H317" s="32"/>
      <c r="I317" s="32"/>
      <c r="J317" s="73"/>
      <c r="K317" s="32"/>
      <c r="L317" s="32"/>
      <c r="M317" s="32"/>
      <c r="N317" s="32"/>
      <c r="O317" s="2"/>
      <c r="P317" s="2"/>
      <c r="Q317" s="32"/>
      <c r="R317" s="32"/>
      <c r="S317" s="32"/>
      <c r="T317" s="32"/>
      <c r="U317" s="2"/>
      <c r="V317" s="2"/>
      <c r="W317" s="2"/>
      <c r="X317" s="2"/>
      <c r="Y317" s="2"/>
      <c r="Z317" s="2"/>
    </row>
    <row r="318" spans="1:26" ht="13.8" x14ac:dyDescent="0.3">
      <c r="A318" s="2"/>
      <c r="B318" s="10"/>
      <c r="C318" s="10"/>
      <c r="D318" s="10"/>
      <c r="E318" s="10"/>
      <c r="F318" s="10"/>
      <c r="G318" s="32"/>
      <c r="H318" s="32"/>
      <c r="I318" s="32"/>
      <c r="J318" s="73"/>
      <c r="K318" s="32"/>
      <c r="L318" s="32"/>
      <c r="M318" s="32"/>
      <c r="N318" s="32"/>
      <c r="O318" s="2"/>
      <c r="P318" s="2"/>
      <c r="Q318" s="32"/>
      <c r="R318" s="32"/>
      <c r="S318" s="32"/>
      <c r="T318" s="32"/>
      <c r="U318" s="2"/>
      <c r="V318" s="2"/>
      <c r="W318" s="2"/>
      <c r="X318" s="2"/>
      <c r="Y318" s="2"/>
      <c r="Z318" s="2"/>
    </row>
    <row r="319" spans="1:26" ht="13.8" x14ac:dyDescent="0.3">
      <c r="A319" s="2"/>
      <c r="B319" s="10"/>
      <c r="C319" s="10"/>
      <c r="D319" s="10"/>
      <c r="E319" s="10"/>
      <c r="F319" s="10"/>
      <c r="G319" s="32"/>
      <c r="H319" s="32"/>
      <c r="I319" s="32"/>
      <c r="J319" s="73"/>
      <c r="K319" s="32"/>
      <c r="L319" s="32"/>
      <c r="M319" s="32"/>
      <c r="N319" s="32"/>
      <c r="O319" s="2"/>
      <c r="P319" s="2"/>
      <c r="Q319" s="32"/>
      <c r="R319" s="32"/>
      <c r="S319" s="32"/>
      <c r="T319" s="32"/>
      <c r="U319" s="2"/>
      <c r="V319" s="2"/>
      <c r="W319" s="2"/>
      <c r="X319" s="2"/>
      <c r="Y319" s="2"/>
      <c r="Z319" s="2"/>
    </row>
    <row r="320" spans="1:26" ht="13.8" x14ac:dyDescent="0.3">
      <c r="A320" s="2"/>
      <c r="B320" s="10"/>
      <c r="C320" s="10"/>
      <c r="D320" s="10"/>
      <c r="E320" s="10"/>
      <c r="F320" s="10"/>
      <c r="G320" s="32"/>
      <c r="H320" s="32"/>
      <c r="I320" s="32"/>
      <c r="J320" s="73"/>
      <c r="K320" s="32"/>
      <c r="L320" s="32"/>
      <c r="M320" s="32"/>
      <c r="N320" s="32"/>
      <c r="O320" s="2"/>
      <c r="P320" s="2"/>
      <c r="Q320" s="32"/>
      <c r="R320" s="32"/>
      <c r="S320" s="32"/>
      <c r="T320" s="32"/>
      <c r="U320" s="2"/>
      <c r="V320" s="2"/>
      <c r="W320" s="2"/>
      <c r="X320" s="2"/>
      <c r="Y320" s="2"/>
      <c r="Z320" s="2"/>
    </row>
    <row r="321" spans="1:26" ht="13.8" x14ac:dyDescent="0.3">
      <c r="A321" s="2"/>
      <c r="B321" s="10"/>
      <c r="C321" s="10"/>
      <c r="D321" s="10"/>
      <c r="E321" s="10"/>
      <c r="F321" s="10"/>
      <c r="G321" s="32"/>
      <c r="H321" s="32"/>
      <c r="I321" s="32"/>
      <c r="J321" s="73"/>
      <c r="K321" s="32"/>
      <c r="L321" s="32"/>
      <c r="M321" s="32"/>
      <c r="N321" s="32"/>
      <c r="O321" s="2"/>
      <c r="P321" s="2"/>
      <c r="Q321" s="32"/>
      <c r="R321" s="32"/>
      <c r="S321" s="32"/>
      <c r="T321" s="32"/>
      <c r="U321" s="2"/>
      <c r="V321" s="2"/>
      <c r="W321" s="2"/>
      <c r="X321" s="2"/>
      <c r="Y321" s="2"/>
      <c r="Z321" s="2"/>
    </row>
    <row r="322" spans="1:26" ht="13.8" x14ac:dyDescent="0.3">
      <c r="A322" s="2"/>
      <c r="B322" s="10"/>
      <c r="C322" s="10"/>
      <c r="D322" s="10"/>
      <c r="E322" s="10"/>
      <c r="F322" s="10"/>
      <c r="G322" s="32"/>
      <c r="H322" s="32"/>
      <c r="I322" s="32"/>
      <c r="J322" s="73"/>
      <c r="K322" s="32"/>
      <c r="L322" s="32"/>
      <c r="M322" s="32"/>
      <c r="N322" s="32"/>
      <c r="O322" s="2"/>
      <c r="P322" s="2"/>
      <c r="Q322" s="32"/>
      <c r="R322" s="32"/>
      <c r="S322" s="32"/>
      <c r="T322" s="32"/>
      <c r="U322" s="2"/>
      <c r="V322" s="2"/>
      <c r="W322" s="2"/>
      <c r="X322" s="2"/>
      <c r="Y322" s="2"/>
      <c r="Z322" s="2"/>
    </row>
    <row r="323" spans="1:26" ht="13.8" x14ac:dyDescent="0.3">
      <c r="A323" s="2"/>
      <c r="B323" s="10"/>
      <c r="C323" s="10"/>
      <c r="D323" s="10"/>
      <c r="E323" s="10"/>
      <c r="F323" s="10"/>
      <c r="G323" s="32"/>
      <c r="H323" s="32"/>
      <c r="I323" s="32"/>
      <c r="J323" s="73"/>
      <c r="K323" s="32"/>
      <c r="L323" s="32"/>
      <c r="M323" s="32"/>
      <c r="N323" s="32"/>
      <c r="O323" s="2"/>
      <c r="P323" s="2"/>
      <c r="Q323" s="32"/>
      <c r="R323" s="32"/>
      <c r="S323" s="32"/>
      <c r="T323" s="32"/>
      <c r="U323" s="2"/>
      <c r="V323" s="2"/>
      <c r="W323" s="2"/>
      <c r="X323" s="2"/>
      <c r="Y323" s="2"/>
      <c r="Z323" s="2"/>
    </row>
    <row r="324" spans="1:26" ht="13.8" x14ac:dyDescent="0.3">
      <c r="A324" s="2"/>
      <c r="B324" s="10"/>
      <c r="C324" s="10"/>
      <c r="D324" s="10"/>
      <c r="E324" s="10"/>
      <c r="F324" s="10"/>
      <c r="G324" s="32"/>
      <c r="H324" s="32"/>
      <c r="I324" s="32"/>
      <c r="J324" s="73"/>
      <c r="K324" s="32"/>
      <c r="L324" s="32"/>
      <c r="M324" s="32"/>
      <c r="N324" s="32"/>
      <c r="O324" s="2"/>
      <c r="P324" s="2"/>
      <c r="Q324" s="32"/>
      <c r="R324" s="32"/>
      <c r="S324" s="32"/>
      <c r="T324" s="32"/>
      <c r="U324" s="2"/>
      <c r="V324" s="2"/>
      <c r="W324" s="2"/>
      <c r="X324" s="2"/>
      <c r="Y324" s="2"/>
      <c r="Z324" s="2"/>
    </row>
    <row r="325" spans="1:26" ht="13.8" x14ac:dyDescent="0.3">
      <c r="A325" s="2"/>
      <c r="B325" s="10"/>
      <c r="C325" s="10"/>
      <c r="D325" s="10"/>
      <c r="E325" s="10"/>
      <c r="F325" s="10"/>
      <c r="G325" s="32"/>
      <c r="H325" s="32"/>
      <c r="I325" s="32"/>
      <c r="J325" s="73"/>
      <c r="K325" s="32"/>
      <c r="L325" s="32"/>
      <c r="M325" s="32"/>
      <c r="N325" s="32"/>
      <c r="O325" s="2"/>
      <c r="P325" s="2"/>
      <c r="Q325" s="32"/>
      <c r="R325" s="32"/>
      <c r="S325" s="32"/>
      <c r="T325" s="32"/>
      <c r="U325" s="2"/>
      <c r="V325" s="2"/>
      <c r="W325" s="2"/>
      <c r="X325" s="2"/>
      <c r="Y325" s="2"/>
      <c r="Z325" s="2"/>
    </row>
    <row r="326" spans="1:26" ht="13.8" x14ac:dyDescent="0.3">
      <c r="A326" s="2"/>
      <c r="B326" s="10"/>
      <c r="C326" s="10"/>
      <c r="D326" s="10"/>
      <c r="E326" s="10"/>
      <c r="F326" s="10"/>
      <c r="G326" s="32"/>
      <c r="H326" s="32"/>
      <c r="I326" s="32"/>
      <c r="J326" s="73"/>
      <c r="K326" s="32"/>
      <c r="L326" s="32"/>
      <c r="M326" s="32"/>
      <c r="N326" s="32"/>
      <c r="O326" s="2"/>
      <c r="P326" s="2"/>
      <c r="Q326" s="32"/>
      <c r="R326" s="32"/>
      <c r="S326" s="32"/>
      <c r="T326" s="32"/>
      <c r="U326" s="2"/>
      <c r="V326" s="2"/>
      <c r="W326" s="2"/>
      <c r="X326" s="2"/>
      <c r="Y326" s="2"/>
      <c r="Z326" s="2"/>
    </row>
    <row r="327" spans="1:26" ht="13.8" x14ac:dyDescent="0.3">
      <c r="A327" s="2"/>
      <c r="B327" s="10"/>
      <c r="C327" s="10"/>
      <c r="D327" s="10"/>
      <c r="E327" s="10"/>
      <c r="F327" s="10"/>
      <c r="G327" s="32"/>
      <c r="H327" s="32"/>
      <c r="I327" s="32"/>
      <c r="J327" s="73"/>
      <c r="K327" s="32"/>
      <c r="L327" s="32"/>
      <c r="M327" s="32"/>
      <c r="N327" s="32"/>
      <c r="O327" s="2"/>
      <c r="P327" s="2"/>
      <c r="Q327" s="32"/>
      <c r="R327" s="32"/>
      <c r="S327" s="32"/>
      <c r="T327" s="32"/>
      <c r="U327" s="2"/>
      <c r="V327" s="2"/>
      <c r="W327" s="2"/>
      <c r="X327" s="2"/>
      <c r="Y327" s="2"/>
      <c r="Z327" s="2"/>
    </row>
    <row r="328" spans="1:26" ht="13.8" x14ac:dyDescent="0.3">
      <c r="A328" s="2"/>
      <c r="B328" s="10"/>
      <c r="C328" s="10"/>
      <c r="D328" s="10"/>
      <c r="E328" s="10"/>
      <c r="F328" s="10"/>
      <c r="G328" s="32"/>
      <c r="H328" s="32"/>
      <c r="I328" s="32"/>
      <c r="J328" s="73"/>
      <c r="K328" s="32"/>
      <c r="L328" s="32"/>
      <c r="M328" s="32"/>
      <c r="N328" s="32"/>
      <c r="O328" s="2"/>
      <c r="P328" s="2"/>
      <c r="Q328" s="32"/>
      <c r="R328" s="32"/>
      <c r="S328" s="32"/>
      <c r="T328" s="32"/>
      <c r="U328" s="2"/>
      <c r="V328" s="2"/>
      <c r="W328" s="2"/>
      <c r="X328" s="2"/>
      <c r="Y328" s="2"/>
      <c r="Z328" s="2"/>
    </row>
    <row r="329" spans="1:26" ht="13.8" x14ac:dyDescent="0.3">
      <c r="A329" s="2"/>
      <c r="B329" s="10"/>
      <c r="C329" s="10"/>
      <c r="D329" s="10"/>
      <c r="E329" s="10"/>
      <c r="F329" s="10"/>
      <c r="G329" s="32"/>
      <c r="H329" s="32"/>
      <c r="I329" s="32"/>
      <c r="J329" s="73"/>
      <c r="K329" s="32"/>
      <c r="L329" s="32"/>
      <c r="M329" s="32"/>
      <c r="N329" s="32"/>
      <c r="O329" s="2"/>
      <c r="P329" s="2"/>
      <c r="Q329" s="32"/>
      <c r="R329" s="32"/>
      <c r="S329" s="32"/>
      <c r="T329" s="32"/>
      <c r="U329" s="2"/>
      <c r="V329" s="2"/>
      <c r="W329" s="2"/>
      <c r="X329" s="2"/>
      <c r="Y329" s="2"/>
      <c r="Z329" s="2"/>
    </row>
    <row r="330" spans="1:26" ht="13.8" x14ac:dyDescent="0.3">
      <c r="A330" s="2"/>
      <c r="B330" s="10"/>
      <c r="C330" s="10"/>
      <c r="D330" s="10"/>
      <c r="E330" s="10"/>
      <c r="F330" s="10"/>
      <c r="G330" s="32"/>
      <c r="H330" s="32"/>
      <c r="I330" s="32"/>
      <c r="J330" s="73"/>
      <c r="K330" s="32"/>
      <c r="L330" s="32"/>
      <c r="M330" s="32"/>
      <c r="N330" s="32"/>
      <c r="O330" s="2"/>
      <c r="P330" s="2"/>
      <c r="Q330" s="32"/>
      <c r="R330" s="32"/>
      <c r="S330" s="32"/>
      <c r="T330" s="32"/>
      <c r="U330" s="2"/>
      <c r="V330" s="2"/>
      <c r="W330" s="2"/>
      <c r="X330" s="2"/>
      <c r="Y330" s="2"/>
      <c r="Z330" s="2"/>
    </row>
    <row r="331" spans="1:26" ht="13.8" x14ac:dyDescent="0.3">
      <c r="A331" s="2"/>
      <c r="B331" s="10"/>
      <c r="C331" s="10"/>
      <c r="D331" s="10"/>
      <c r="E331" s="10"/>
      <c r="F331" s="10"/>
      <c r="G331" s="32"/>
      <c r="H331" s="32"/>
      <c r="I331" s="32"/>
      <c r="J331" s="73"/>
      <c r="K331" s="32"/>
      <c r="L331" s="32"/>
      <c r="M331" s="32"/>
      <c r="N331" s="32"/>
      <c r="O331" s="2"/>
      <c r="P331" s="2"/>
      <c r="Q331" s="32"/>
      <c r="R331" s="32"/>
      <c r="S331" s="32"/>
      <c r="T331" s="32"/>
      <c r="U331" s="2"/>
      <c r="V331" s="2"/>
      <c r="W331" s="2"/>
      <c r="X331" s="2"/>
      <c r="Y331" s="2"/>
      <c r="Z331" s="2"/>
    </row>
    <row r="332" spans="1:26" ht="13.8" x14ac:dyDescent="0.3">
      <c r="A332" s="2"/>
      <c r="B332" s="10"/>
      <c r="C332" s="10"/>
      <c r="D332" s="10"/>
      <c r="E332" s="10"/>
      <c r="F332" s="10"/>
      <c r="G332" s="32"/>
      <c r="H332" s="32"/>
      <c r="I332" s="32"/>
      <c r="J332" s="73"/>
      <c r="K332" s="32"/>
      <c r="L332" s="32"/>
      <c r="M332" s="32"/>
      <c r="N332" s="32"/>
      <c r="O332" s="2"/>
      <c r="P332" s="2"/>
      <c r="Q332" s="32"/>
      <c r="R332" s="32"/>
      <c r="S332" s="32"/>
      <c r="T332" s="32"/>
      <c r="U332" s="2"/>
      <c r="V332" s="2"/>
      <c r="W332" s="2"/>
      <c r="X332" s="2"/>
      <c r="Y332" s="2"/>
      <c r="Z332" s="2"/>
    </row>
    <row r="333" spans="1:26" ht="13.8" x14ac:dyDescent="0.3">
      <c r="A333" s="2"/>
      <c r="B333" s="10"/>
      <c r="C333" s="10"/>
      <c r="D333" s="10"/>
      <c r="E333" s="10"/>
      <c r="F333" s="10"/>
      <c r="G333" s="32"/>
      <c r="H333" s="32"/>
      <c r="I333" s="32"/>
      <c r="J333" s="73"/>
      <c r="K333" s="32"/>
      <c r="L333" s="32"/>
      <c r="M333" s="32"/>
      <c r="N333" s="32"/>
      <c r="O333" s="2"/>
      <c r="P333" s="2"/>
      <c r="Q333" s="32"/>
      <c r="R333" s="32"/>
      <c r="S333" s="32"/>
      <c r="T333" s="32"/>
      <c r="U333" s="2"/>
      <c r="V333" s="2"/>
      <c r="W333" s="2"/>
      <c r="X333" s="2"/>
      <c r="Y333" s="2"/>
      <c r="Z333" s="2"/>
    </row>
    <row r="334" spans="1:26" ht="13.8" x14ac:dyDescent="0.3">
      <c r="A334" s="2"/>
      <c r="B334" s="10"/>
      <c r="C334" s="10"/>
      <c r="D334" s="10"/>
      <c r="E334" s="10"/>
      <c r="F334" s="10"/>
      <c r="G334" s="32"/>
      <c r="H334" s="32"/>
      <c r="I334" s="32"/>
      <c r="J334" s="73"/>
      <c r="K334" s="32"/>
      <c r="L334" s="32"/>
      <c r="M334" s="32"/>
      <c r="N334" s="32"/>
      <c r="O334" s="2"/>
      <c r="P334" s="2"/>
      <c r="Q334" s="32"/>
      <c r="R334" s="32"/>
      <c r="S334" s="32"/>
      <c r="T334" s="32"/>
      <c r="U334" s="2"/>
      <c r="V334" s="2"/>
      <c r="W334" s="2"/>
      <c r="X334" s="2"/>
      <c r="Y334" s="2"/>
      <c r="Z334" s="2"/>
    </row>
    <row r="335" spans="1:26" ht="13.8" x14ac:dyDescent="0.3">
      <c r="A335" s="2"/>
      <c r="B335" s="10"/>
      <c r="C335" s="10"/>
      <c r="D335" s="10"/>
      <c r="E335" s="10"/>
      <c r="F335" s="10"/>
      <c r="G335" s="32"/>
      <c r="H335" s="32"/>
      <c r="I335" s="32"/>
      <c r="J335" s="73"/>
      <c r="K335" s="32"/>
      <c r="L335" s="32"/>
      <c r="M335" s="32"/>
      <c r="N335" s="32"/>
      <c r="O335" s="2"/>
      <c r="P335" s="2"/>
      <c r="Q335" s="32"/>
      <c r="R335" s="32"/>
      <c r="S335" s="32"/>
      <c r="T335" s="32"/>
      <c r="U335" s="2"/>
      <c r="V335" s="2"/>
      <c r="W335" s="2"/>
      <c r="X335" s="2"/>
      <c r="Y335" s="2"/>
      <c r="Z335" s="2"/>
    </row>
    <row r="336" spans="1:26" ht="13.8" x14ac:dyDescent="0.3">
      <c r="A336" s="2"/>
      <c r="B336" s="10"/>
      <c r="C336" s="10"/>
      <c r="D336" s="10"/>
      <c r="E336" s="10"/>
      <c r="F336" s="10"/>
      <c r="G336" s="32"/>
      <c r="H336" s="32"/>
      <c r="I336" s="32"/>
      <c r="J336" s="73"/>
      <c r="K336" s="32"/>
      <c r="L336" s="32"/>
      <c r="M336" s="32"/>
      <c r="N336" s="32"/>
      <c r="O336" s="2"/>
      <c r="P336" s="2"/>
      <c r="Q336" s="32"/>
      <c r="R336" s="32"/>
      <c r="S336" s="32"/>
      <c r="T336" s="32"/>
      <c r="U336" s="2"/>
      <c r="V336" s="2"/>
      <c r="W336" s="2"/>
      <c r="X336" s="2"/>
      <c r="Y336" s="2"/>
      <c r="Z336" s="2"/>
    </row>
    <row r="337" spans="1:26" ht="13.8" x14ac:dyDescent="0.3">
      <c r="A337" s="2"/>
      <c r="B337" s="10"/>
      <c r="C337" s="10"/>
      <c r="D337" s="10"/>
      <c r="E337" s="10"/>
      <c r="F337" s="10"/>
      <c r="G337" s="32"/>
      <c r="H337" s="32"/>
      <c r="I337" s="32"/>
      <c r="J337" s="73"/>
      <c r="K337" s="32"/>
      <c r="L337" s="32"/>
      <c r="M337" s="32"/>
      <c r="N337" s="32"/>
      <c r="O337" s="2"/>
      <c r="P337" s="2"/>
      <c r="Q337" s="32"/>
      <c r="R337" s="32"/>
      <c r="S337" s="32"/>
      <c r="T337" s="32"/>
      <c r="U337" s="2"/>
      <c r="V337" s="2"/>
      <c r="W337" s="2"/>
      <c r="X337" s="2"/>
      <c r="Y337" s="2"/>
      <c r="Z337" s="2"/>
    </row>
    <row r="338" spans="1:26" ht="13.8" x14ac:dyDescent="0.3">
      <c r="A338" s="2"/>
      <c r="B338" s="10"/>
      <c r="C338" s="10"/>
      <c r="D338" s="10"/>
      <c r="E338" s="10"/>
      <c r="F338" s="10"/>
      <c r="G338" s="32"/>
      <c r="H338" s="32"/>
      <c r="I338" s="32"/>
      <c r="J338" s="73"/>
      <c r="K338" s="32"/>
      <c r="L338" s="32"/>
      <c r="M338" s="32"/>
      <c r="N338" s="32"/>
      <c r="O338" s="2"/>
      <c r="P338" s="2"/>
      <c r="Q338" s="32"/>
      <c r="R338" s="32"/>
      <c r="S338" s="32"/>
      <c r="T338" s="32"/>
      <c r="U338" s="2"/>
      <c r="V338" s="2"/>
      <c r="W338" s="2"/>
      <c r="X338" s="2"/>
      <c r="Y338" s="2"/>
      <c r="Z338" s="2"/>
    </row>
    <row r="339" spans="1:26" ht="13.8" x14ac:dyDescent="0.3">
      <c r="A339" s="2"/>
      <c r="B339" s="10"/>
      <c r="C339" s="10"/>
      <c r="D339" s="10"/>
      <c r="E339" s="10"/>
      <c r="F339" s="10"/>
      <c r="G339" s="32"/>
      <c r="H339" s="32"/>
      <c r="I339" s="32"/>
      <c r="J339" s="73"/>
      <c r="K339" s="32"/>
      <c r="L339" s="32"/>
      <c r="M339" s="32"/>
      <c r="N339" s="32"/>
      <c r="O339" s="2"/>
      <c r="P339" s="2"/>
      <c r="Q339" s="32"/>
      <c r="R339" s="32"/>
      <c r="S339" s="32"/>
      <c r="T339" s="32"/>
      <c r="U339" s="2"/>
      <c r="V339" s="2"/>
      <c r="W339" s="2"/>
      <c r="X339" s="2"/>
      <c r="Y339" s="2"/>
      <c r="Z339" s="2"/>
    </row>
    <row r="340" spans="1:26" ht="13.8" x14ac:dyDescent="0.3">
      <c r="A340" s="2"/>
      <c r="B340" s="10"/>
      <c r="C340" s="10"/>
      <c r="D340" s="10"/>
      <c r="E340" s="10"/>
      <c r="F340" s="10"/>
      <c r="G340" s="32"/>
      <c r="H340" s="32"/>
      <c r="I340" s="32"/>
      <c r="J340" s="73"/>
      <c r="K340" s="32"/>
      <c r="L340" s="32"/>
      <c r="M340" s="32"/>
      <c r="N340" s="32"/>
      <c r="O340" s="2"/>
      <c r="P340" s="2"/>
      <c r="Q340" s="32"/>
      <c r="R340" s="32"/>
      <c r="S340" s="32"/>
      <c r="T340" s="32"/>
      <c r="U340" s="2"/>
      <c r="V340" s="2"/>
      <c r="W340" s="2"/>
      <c r="X340" s="2"/>
      <c r="Y340" s="2"/>
      <c r="Z340" s="2"/>
    </row>
    <row r="341" spans="1:26" ht="13.8" x14ac:dyDescent="0.3">
      <c r="A341" s="2"/>
      <c r="B341" s="10"/>
      <c r="C341" s="10"/>
      <c r="D341" s="10"/>
      <c r="E341" s="10"/>
      <c r="F341" s="10"/>
      <c r="G341" s="32"/>
      <c r="H341" s="32"/>
      <c r="I341" s="32"/>
      <c r="J341" s="73"/>
      <c r="K341" s="32"/>
      <c r="L341" s="32"/>
      <c r="M341" s="32"/>
      <c r="N341" s="32"/>
      <c r="O341" s="2"/>
      <c r="P341" s="2"/>
      <c r="Q341" s="32"/>
      <c r="R341" s="32"/>
      <c r="S341" s="32"/>
      <c r="T341" s="32"/>
      <c r="U341" s="2"/>
      <c r="V341" s="2"/>
      <c r="W341" s="2"/>
      <c r="X341" s="2"/>
      <c r="Y341" s="2"/>
      <c r="Z341" s="2"/>
    </row>
    <row r="342" spans="1:26" ht="13.8" x14ac:dyDescent="0.3">
      <c r="A342" s="2"/>
      <c r="B342" s="10"/>
      <c r="C342" s="10"/>
      <c r="D342" s="10"/>
      <c r="E342" s="10"/>
      <c r="F342" s="10"/>
      <c r="G342" s="32"/>
      <c r="H342" s="32"/>
      <c r="I342" s="32"/>
      <c r="J342" s="73"/>
      <c r="K342" s="32"/>
      <c r="L342" s="32"/>
      <c r="M342" s="32"/>
      <c r="N342" s="32"/>
      <c r="O342" s="2"/>
      <c r="P342" s="2"/>
      <c r="Q342" s="32"/>
      <c r="R342" s="32"/>
      <c r="S342" s="32"/>
      <c r="T342" s="32"/>
      <c r="U342" s="2"/>
      <c r="V342" s="2"/>
      <c r="W342" s="2"/>
      <c r="X342" s="2"/>
      <c r="Y342" s="2"/>
      <c r="Z342" s="2"/>
    </row>
    <row r="343" spans="1:26" ht="13.8" x14ac:dyDescent="0.3">
      <c r="A343" s="2"/>
      <c r="B343" s="10"/>
      <c r="C343" s="10"/>
      <c r="D343" s="10"/>
      <c r="E343" s="10"/>
      <c r="F343" s="10"/>
      <c r="G343" s="32"/>
      <c r="H343" s="32"/>
      <c r="I343" s="32"/>
      <c r="J343" s="73"/>
      <c r="K343" s="32"/>
      <c r="L343" s="32"/>
      <c r="M343" s="32"/>
      <c r="N343" s="32"/>
      <c r="O343" s="2"/>
      <c r="P343" s="2"/>
      <c r="Q343" s="32"/>
      <c r="R343" s="32"/>
      <c r="S343" s="32"/>
      <c r="T343" s="32"/>
      <c r="U343" s="2"/>
      <c r="V343" s="2"/>
      <c r="W343" s="2"/>
      <c r="X343" s="2"/>
      <c r="Y343" s="2"/>
      <c r="Z343" s="2"/>
    </row>
    <row r="344" spans="1:26" ht="13.8" x14ac:dyDescent="0.3">
      <c r="A344" s="2"/>
      <c r="B344" s="10"/>
      <c r="C344" s="10"/>
      <c r="D344" s="10"/>
      <c r="E344" s="10"/>
      <c r="F344" s="10"/>
      <c r="G344" s="32"/>
      <c r="H344" s="32"/>
      <c r="I344" s="32"/>
      <c r="J344" s="73"/>
      <c r="K344" s="32"/>
      <c r="L344" s="32"/>
      <c r="M344" s="32"/>
      <c r="N344" s="32"/>
      <c r="O344" s="2"/>
      <c r="P344" s="2"/>
      <c r="Q344" s="32"/>
      <c r="R344" s="32"/>
      <c r="S344" s="32"/>
      <c r="T344" s="32"/>
      <c r="U344" s="2"/>
      <c r="V344" s="2"/>
      <c r="W344" s="2"/>
      <c r="X344" s="2"/>
      <c r="Y344" s="2"/>
      <c r="Z344" s="2"/>
    </row>
    <row r="345" spans="1:26" ht="13.8" x14ac:dyDescent="0.3">
      <c r="A345" s="2"/>
      <c r="B345" s="10"/>
      <c r="C345" s="10"/>
      <c r="D345" s="10"/>
      <c r="E345" s="10"/>
      <c r="F345" s="10"/>
      <c r="G345" s="32"/>
      <c r="H345" s="32"/>
      <c r="I345" s="32"/>
      <c r="J345" s="73"/>
      <c r="K345" s="32"/>
      <c r="L345" s="32"/>
      <c r="M345" s="32"/>
      <c r="N345" s="32"/>
      <c r="O345" s="2"/>
      <c r="P345" s="2"/>
      <c r="Q345" s="32"/>
      <c r="R345" s="32"/>
      <c r="S345" s="32"/>
      <c r="T345" s="32"/>
      <c r="U345" s="2"/>
      <c r="V345" s="2"/>
      <c r="W345" s="2"/>
      <c r="X345" s="2"/>
      <c r="Y345" s="2"/>
      <c r="Z345" s="2"/>
    </row>
    <row r="346" spans="1:26" ht="13.8" x14ac:dyDescent="0.3">
      <c r="A346" s="2"/>
      <c r="B346" s="10"/>
      <c r="C346" s="10"/>
      <c r="D346" s="10"/>
      <c r="E346" s="10"/>
      <c r="F346" s="10"/>
      <c r="G346" s="32"/>
      <c r="H346" s="32"/>
      <c r="I346" s="32"/>
      <c r="J346" s="73"/>
      <c r="K346" s="32"/>
      <c r="L346" s="32"/>
      <c r="M346" s="32"/>
      <c r="N346" s="32"/>
      <c r="O346" s="2"/>
      <c r="P346" s="2"/>
      <c r="Q346" s="32"/>
      <c r="R346" s="32"/>
      <c r="S346" s="32"/>
      <c r="T346" s="32"/>
      <c r="U346" s="2"/>
      <c r="V346" s="2"/>
      <c r="W346" s="2"/>
      <c r="X346" s="2"/>
      <c r="Y346" s="2"/>
      <c r="Z346" s="2"/>
    </row>
    <row r="347" spans="1:26" ht="13.8" x14ac:dyDescent="0.3">
      <c r="A347" s="2"/>
      <c r="B347" s="10"/>
      <c r="C347" s="10"/>
      <c r="D347" s="10"/>
      <c r="E347" s="10"/>
      <c r="F347" s="10"/>
      <c r="G347" s="32"/>
      <c r="H347" s="32"/>
      <c r="I347" s="32"/>
      <c r="J347" s="73"/>
      <c r="K347" s="32"/>
      <c r="L347" s="32"/>
      <c r="M347" s="32"/>
      <c r="N347" s="32"/>
      <c r="O347" s="2"/>
      <c r="P347" s="2"/>
      <c r="Q347" s="32"/>
      <c r="R347" s="32"/>
      <c r="S347" s="32"/>
      <c r="T347" s="32"/>
      <c r="U347" s="2"/>
      <c r="V347" s="2"/>
      <c r="W347" s="2"/>
      <c r="X347" s="2"/>
      <c r="Y347" s="2"/>
      <c r="Z347" s="2"/>
    </row>
    <row r="348" spans="1:26" ht="13.8" x14ac:dyDescent="0.3">
      <c r="A348" s="2"/>
      <c r="B348" s="10"/>
      <c r="C348" s="10"/>
      <c r="D348" s="10"/>
      <c r="E348" s="10"/>
      <c r="F348" s="10"/>
      <c r="G348" s="32"/>
      <c r="H348" s="32"/>
      <c r="I348" s="32"/>
      <c r="J348" s="73"/>
      <c r="K348" s="32"/>
      <c r="L348" s="32"/>
      <c r="M348" s="32"/>
      <c r="N348" s="32"/>
      <c r="O348" s="2"/>
      <c r="P348" s="2"/>
      <c r="Q348" s="32"/>
      <c r="R348" s="32"/>
      <c r="S348" s="32"/>
      <c r="T348" s="32"/>
      <c r="U348" s="2"/>
      <c r="V348" s="2"/>
      <c r="W348" s="2"/>
      <c r="X348" s="2"/>
      <c r="Y348" s="2"/>
      <c r="Z348" s="2"/>
    </row>
    <row r="349" spans="1:26" ht="13.8" x14ac:dyDescent="0.3">
      <c r="A349" s="2"/>
      <c r="B349" s="10"/>
      <c r="C349" s="10"/>
      <c r="D349" s="10"/>
      <c r="E349" s="10"/>
      <c r="F349" s="10"/>
      <c r="G349" s="32"/>
      <c r="H349" s="32"/>
      <c r="I349" s="32"/>
      <c r="J349" s="73"/>
      <c r="K349" s="32"/>
      <c r="L349" s="32"/>
      <c r="M349" s="32"/>
      <c r="N349" s="32"/>
      <c r="O349" s="2"/>
      <c r="P349" s="2"/>
      <c r="Q349" s="32"/>
      <c r="R349" s="32"/>
      <c r="S349" s="32"/>
      <c r="T349" s="32"/>
      <c r="U349" s="2"/>
      <c r="V349" s="2"/>
      <c r="W349" s="2"/>
      <c r="X349" s="2"/>
      <c r="Y349" s="2"/>
      <c r="Z349" s="2"/>
    </row>
    <row r="350" spans="1:26" ht="13.8" x14ac:dyDescent="0.3">
      <c r="A350" s="2"/>
      <c r="B350" s="10"/>
      <c r="C350" s="10"/>
      <c r="D350" s="10"/>
      <c r="E350" s="10"/>
      <c r="F350" s="10"/>
      <c r="G350" s="32"/>
      <c r="H350" s="32"/>
      <c r="I350" s="32"/>
      <c r="J350" s="73"/>
      <c r="K350" s="32"/>
      <c r="L350" s="32"/>
      <c r="M350" s="32"/>
      <c r="N350" s="32"/>
      <c r="O350" s="2"/>
      <c r="P350" s="2"/>
      <c r="Q350" s="32"/>
      <c r="R350" s="32"/>
      <c r="S350" s="32"/>
      <c r="T350" s="32"/>
      <c r="U350" s="2"/>
      <c r="V350" s="2"/>
      <c r="W350" s="2"/>
      <c r="X350" s="2"/>
      <c r="Y350" s="2"/>
      <c r="Z350" s="2"/>
    </row>
    <row r="351" spans="1:26" ht="13.8" x14ac:dyDescent="0.3">
      <c r="A351" s="2"/>
      <c r="B351" s="10"/>
      <c r="C351" s="10"/>
      <c r="D351" s="10"/>
      <c r="E351" s="10"/>
      <c r="F351" s="10"/>
      <c r="G351" s="32"/>
      <c r="H351" s="32"/>
      <c r="I351" s="32"/>
      <c r="J351" s="73"/>
      <c r="K351" s="32"/>
      <c r="L351" s="32"/>
      <c r="M351" s="32"/>
      <c r="N351" s="32"/>
      <c r="O351" s="2"/>
      <c r="P351" s="2"/>
      <c r="Q351" s="32"/>
      <c r="R351" s="32"/>
      <c r="S351" s="32"/>
      <c r="T351" s="32"/>
      <c r="U351" s="2"/>
      <c r="V351" s="2"/>
      <c r="W351" s="2"/>
      <c r="X351" s="2"/>
      <c r="Y351" s="2"/>
      <c r="Z351" s="2"/>
    </row>
    <row r="352" spans="1:26" ht="13.8" x14ac:dyDescent="0.3">
      <c r="A352" s="2"/>
      <c r="B352" s="10"/>
      <c r="C352" s="10"/>
      <c r="D352" s="10"/>
      <c r="E352" s="10"/>
      <c r="F352" s="10"/>
      <c r="G352" s="32"/>
      <c r="H352" s="32"/>
      <c r="I352" s="32"/>
      <c r="J352" s="73"/>
      <c r="K352" s="32"/>
      <c r="L352" s="32"/>
      <c r="M352" s="32"/>
      <c r="N352" s="32"/>
      <c r="O352" s="2"/>
      <c r="P352" s="2"/>
      <c r="Q352" s="32"/>
      <c r="R352" s="32"/>
      <c r="S352" s="32"/>
      <c r="T352" s="32"/>
      <c r="U352" s="2"/>
      <c r="V352" s="2"/>
      <c r="W352" s="2"/>
      <c r="X352" s="2"/>
      <c r="Y352" s="2"/>
      <c r="Z352" s="2"/>
    </row>
    <row r="353" spans="1:26" ht="13.8" x14ac:dyDescent="0.3">
      <c r="A353" s="2"/>
      <c r="B353" s="10"/>
      <c r="C353" s="10"/>
      <c r="D353" s="10"/>
      <c r="E353" s="10"/>
      <c r="F353" s="10"/>
      <c r="G353" s="32"/>
      <c r="H353" s="32"/>
      <c r="I353" s="32"/>
      <c r="J353" s="73"/>
      <c r="K353" s="32"/>
      <c r="L353" s="32"/>
      <c r="M353" s="32"/>
      <c r="N353" s="32"/>
      <c r="O353" s="2"/>
      <c r="P353" s="2"/>
      <c r="Q353" s="32"/>
      <c r="R353" s="32"/>
      <c r="S353" s="32"/>
      <c r="T353" s="32"/>
      <c r="U353" s="2"/>
      <c r="V353" s="2"/>
      <c r="W353" s="2"/>
      <c r="X353" s="2"/>
      <c r="Y353" s="2"/>
      <c r="Z353" s="2"/>
    </row>
    <row r="354" spans="1:26" ht="13.8" x14ac:dyDescent="0.3">
      <c r="A354" s="2"/>
      <c r="B354" s="10"/>
      <c r="C354" s="10"/>
      <c r="D354" s="10"/>
      <c r="E354" s="10"/>
      <c r="F354" s="10"/>
      <c r="G354" s="32"/>
      <c r="H354" s="32"/>
      <c r="I354" s="32"/>
      <c r="J354" s="73"/>
      <c r="K354" s="32"/>
      <c r="L354" s="32"/>
      <c r="M354" s="32"/>
      <c r="N354" s="32"/>
      <c r="O354" s="2"/>
      <c r="P354" s="2"/>
      <c r="Q354" s="32"/>
      <c r="R354" s="32"/>
      <c r="S354" s="32"/>
      <c r="T354" s="32"/>
      <c r="U354" s="2"/>
      <c r="V354" s="2"/>
      <c r="W354" s="2"/>
      <c r="X354" s="2"/>
      <c r="Y354" s="2"/>
      <c r="Z354" s="2"/>
    </row>
    <row r="355" spans="1:26" ht="13.8" x14ac:dyDescent="0.3">
      <c r="A355" s="2"/>
      <c r="B355" s="10"/>
      <c r="C355" s="10"/>
      <c r="D355" s="10"/>
      <c r="E355" s="10"/>
      <c r="F355" s="10"/>
      <c r="G355" s="32"/>
      <c r="H355" s="32"/>
      <c r="I355" s="32"/>
      <c r="J355" s="73"/>
      <c r="K355" s="32"/>
      <c r="L355" s="32"/>
      <c r="M355" s="32"/>
      <c r="N355" s="32"/>
      <c r="O355" s="2"/>
      <c r="P355" s="2"/>
      <c r="Q355" s="32"/>
      <c r="R355" s="32"/>
      <c r="S355" s="32"/>
      <c r="T355" s="32"/>
      <c r="U355" s="2"/>
      <c r="V355" s="2"/>
      <c r="W355" s="2"/>
      <c r="X355" s="2"/>
      <c r="Y355" s="2"/>
      <c r="Z355" s="2"/>
    </row>
    <row r="356" spans="1:26" ht="13.8" x14ac:dyDescent="0.3">
      <c r="A356" s="2"/>
      <c r="B356" s="10"/>
      <c r="C356" s="10"/>
      <c r="D356" s="10"/>
      <c r="E356" s="10"/>
      <c r="F356" s="10"/>
      <c r="G356" s="32"/>
      <c r="H356" s="32"/>
      <c r="I356" s="32"/>
      <c r="J356" s="73"/>
      <c r="K356" s="32"/>
      <c r="L356" s="32"/>
      <c r="M356" s="32"/>
      <c r="N356" s="32"/>
      <c r="O356" s="2"/>
      <c r="P356" s="2"/>
      <c r="Q356" s="32"/>
      <c r="R356" s="32"/>
      <c r="S356" s="32"/>
      <c r="T356" s="32"/>
      <c r="U356" s="2"/>
      <c r="V356" s="2"/>
      <c r="W356" s="2"/>
      <c r="X356" s="2"/>
      <c r="Y356" s="2"/>
      <c r="Z356" s="2"/>
    </row>
    <row r="357" spans="1:26" ht="13.8" x14ac:dyDescent="0.3">
      <c r="A357" s="2"/>
      <c r="B357" s="10"/>
      <c r="C357" s="10"/>
      <c r="D357" s="10"/>
      <c r="E357" s="10"/>
      <c r="F357" s="10"/>
      <c r="G357" s="32"/>
      <c r="H357" s="32"/>
      <c r="I357" s="32"/>
      <c r="J357" s="73"/>
      <c r="K357" s="32"/>
      <c r="L357" s="32"/>
      <c r="M357" s="32"/>
      <c r="N357" s="32"/>
      <c r="O357" s="2"/>
      <c r="P357" s="2"/>
      <c r="Q357" s="32"/>
      <c r="R357" s="32"/>
      <c r="S357" s="32"/>
      <c r="T357" s="32"/>
      <c r="U357" s="2"/>
      <c r="V357" s="2"/>
      <c r="W357" s="2"/>
      <c r="X357" s="2"/>
      <c r="Y357" s="2"/>
      <c r="Z357" s="2"/>
    </row>
    <row r="358" spans="1:26" ht="13.8" x14ac:dyDescent="0.3">
      <c r="A358" s="2"/>
      <c r="B358" s="10"/>
      <c r="C358" s="10"/>
      <c r="D358" s="10"/>
      <c r="E358" s="10"/>
      <c r="F358" s="10"/>
      <c r="G358" s="32"/>
      <c r="H358" s="32"/>
      <c r="I358" s="32"/>
      <c r="J358" s="73"/>
      <c r="K358" s="32"/>
      <c r="L358" s="32"/>
      <c r="M358" s="32"/>
      <c r="N358" s="32"/>
      <c r="O358" s="2"/>
      <c r="P358" s="2"/>
      <c r="Q358" s="32"/>
      <c r="R358" s="32"/>
      <c r="S358" s="32"/>
      <c r="T358" s="32"/>
      <c r="U358" s="2"/>
      <c r="V358" s="2"/>
      <c r="W358" s="2"/>
      <c r="X358" s="2"/>
      <c r="Y358" s="2"/>
      <c r="Z358" s="2"/>
    </row>
    <row r="359" spans="1:26" ht="13.8" x14ac:dyDescent="0.3">
      <c r="A359" s="2"/>
      <c r="B359" s="10"/>
      <c r="C359" s="10"/>
      <c r="D359" s="10"/>
      <c r="E359" s="10"/>
      <c r="F359" s="10"/>
      <c r="G359" s="32"/>
      <c r="H359" s="32"/>
      <c r="I359" s="32"/>
      <c r="J359" s="73"/>
      <c r="K359" s="32"/>
      <c r="L359" s="32"/>
      <c r="M359" s="32"/>
      <c r="N359" s="32"/>
      <c r="O359" s="2"/>
      <c r="P359" s="2"/>
      <c r="Q359" s="32"/>
      <c r="R359" s="32"/>
      <c r="S359" s="32"/>
      <c r="T359" s="32"/>
      <c r="U359" s="2"/>
      <c r="V359" s="2"/>
      <c r="W359" s="2"/>
      <c r="X359" s="2"/>
      <c r="Y359" s="2"/>
      <c r="Z359" s="2"/>
    </row>
    <row r="360" spans="1:26" ht="13.8" x14ac:dyDescent="0.3">
      <c r="A360" s="2"/>
      <c r="B360" s="10"/>
      <c r="C360" s="10"/>
      <c r="D360" s="10"/>
      <c r="E360" s="10"/>
      <c r="F360" s="10"/>
      <c r="G360" s="32"/>
      <c r="H360" s="32"/>
      <c r="I360" s="32"/>
      <c r="J360" s="73"/>
      <c r="K360" s="32"/>
      <c r="L360" s="32"/>
      <c r="M360" s="32"/>
      <c r="N360" s="32"/>
      <c r="O360" s="2"/>
      <c r="P360" s="2"/>
      <c r="Q360" s="32"/>
      <c r="R360" s="32"/>
      <c r="S360" s="32"/>
      <c r="T360" s="32"/>
      <c r="U360" s="2"/>
      <c r="V360" s="2"/>
      <c r="W360" s="2"/>
      <c r="X360" s="2"/>
      <c r="Y360" s="2"/>
      <c r="Z360" s="2"/>
    </row>
    <row r="361" spans="1:26" ht="13.8" x14ac:dyDescent="0.3">
      <c r="A361" s="2"/>
      <c r="B361" s="10"/>
      <c r="C361" s="10"/>
      <c r="D361" s="10"/>
      <c r="E361" s="10"/>
      <c r="F361" s="10"/>
      <c r="G361" s="32"/>
      <c r="H361" s="32"/>
      <c r="I361" s="32"/>
      <c r="J361" s="73"/>
      <c r="K361" s="32"/>
      <c r="L361" s="32"/>
      <c r="M361" s="32"/>
      <c r="N361" s="32"/>
      <c r="O361" s="2"/>
      <c r="P361" s="2"/>
      <c r="Q361" s="32"/>
      <c r="R361" s="32"/>
      <c r="S361" s="32"/>
      <c r="T361" s="32"/>
      <c r="U361" s="2"/>
      <c r="V361" s="2"/>
      <c r="W361" s="2"/>
      <c r="X361" s="2"/>
      <c r="Y361" s="2"/>
      <c r="Z361" s="2"/>
    </row>
    <row r="362" spans="1:26" ht="13.8" x14ac:dyDescent="0.3">
      <c r="A362" s="2"/>
      <c r="B362" s="10"/>
      <c r="C362" s="10"/>
      <c r="D362" s="10"/>
      <c r="E362" s="10"/>
      <c r="F362" s="10"/>
      <c r="G362" s="32"/>
      <c r="H362" s="32"/>
      <c r="I362" s="32"/>
      <c r="J362" s="73"/>
      <c r="K362" s="32"/>
      <c r="L362" s="32"/>
      <c r="M362" s="32"/>
      <c r="N362" s="32"/>
      <c r="O362" s="2"/>
      <c r="P362" s="2"/>
      <c r="Q362" s="32"/>
      <c r="R362" s="32"/>
      <c r="S362" s="32"/>
      <c r="T362" s="32"/>
      <c r="U362" s="2"/>
      <c r="V362" s="2"/>
      <c r="W362" s="2"/>
      <c r="X362" s="2"/>
      <c r="Y362" s="2"/>
      <c r="Z362" s="2"/>
    </row>
    <row r="363" spans="1:26" ht="13.8" x14ac:dyDescent="0.3">
      <c r="A363" s="2"/>
      <c r="B363" s="10"/>
      <c r="C363" s="10"/>
      <c r="D363" s="10"/>
      <c r="E363" s="10"/>
      <c r="F363" s="10"/>
      <c r="G363" s="32"/>
      <c r="H363" s="32"/>
      <c r="I363" s="32"/>
      <c r="J363" s="73"/>
      <c r="K363" s="32"/>
      <c r="L363" s="32"/>
      <c r="M363" s="32"/>
      <c r="N363" s="32"/>
      <c r="O363" s="2"/>
      <c r="P363" s="2"/>
      <c r="Q363" s="32"/>
      <c r="R363" s="32"/>
      <c r="S363" s="32"/>
      <c r="T363" s="32"/>
      <c r="U363" s="2"/>
      <c r="V363" s="2"/>
      <c r="W363" s="2"/>
      <c r="X363" s="2"/>
      <c r="Y363" s="2"/>
      <c r="Z363" s="2"/>
    </row>
    <row r="364" spans="1:26" ht="13.8" x14ac:dyDescent="0.3">
      <c r="A364" s="2"/>
      <c r="B364" s="10"/>
      <c r="C364" s="10"/>
      <c r="D364" s="10"/>
      <c r="E364" s="10"/>
      <c r="F364" s="10"/>
      <c r="G364" s="32"/>
      <c r="H364" s="32"/>
      <c r="I364" s="32"/>
      <c r="J364" s="73"/>
      <c r="K364" s="32"/>
      <c r="L364" s="32"/>
      <c r="M364" s="32"/>
      <c r="N364" s="32"/>
      <c r="O364" s="2"/>
      <c r="P364" s="2"/>
      <c r="Q364" s="32"/>
      <c r="R364" s="32"/>
      <c r="S364" s="32"/>
      <c r="T364" s="32"/>
      <c r="U364" s="2"/>
      <c r="V364" s="2"/>
      <c r="W364" s="2"/>
      <c r="X364" s="2"/>
      <c r="Y364" s="2"/>
      <c r="Z364" s="2"/>
    </row>
    <row r="365" spans="1:26" ht="13.8" x14ac:dyDescent="0.3">
      <c r="A365" s="2"/>
      <c r="B365" s="10"/>
      <c r="C365" s="10"/>
      <c r="D365" s="10"/>
      <c r="E365" s="10"/>
      <c r="F365" s="10"/>
      <c r="G365" s="32"/>
      <c r="H365" s="32"/>
      <c r="I365" s="32"/>
      <c r="J365" s="73"/>
      <c r="K365" s="32"/>
      <c r="L365" s="32"/>
      <c r="M365" s="32"/>
      <c r="N365" s="32"/>
      <c r="O365" s="2"/>
      <c r="P365" s="2"/>
      <c r="Q365" s="32"/>
      <c r="R365" s="32"/>
      <c r="S365" s="32"/>
      <c r="T365" s="32"/>
      <c r="U365" s="2"/>
      <c r="V365" s="2"/>
      <c r="W365" s="2"/>
      <c r="X365" s="2"/>
      <c r="Y365" s="2"/>
      <c r="Z365" s="2"/>
    </row>
    <row r="366" spans="1:26" ht="13.8" x14ac:dyDescent="0.3">
      <c r="A366" s="2"/>
      <c r="B366" s="10"/>
      <c r="C366" s="10"/>
      <c r="D366" s="10"/>
      <c r="E366" s="10"/>
      <c r="F366" s="10"/>
      <c r="G366" s="32"/>
      <c r="H366" s="32"/>
      <c r="I366" s="32"/>
      <c r="J366" s="73"/>
      <c r="K366" s="32"/>
      <c r="L366" s="32"/>
      <c r="M366" s="32"/>
      <c r="N366" s="32"/>
      <c r="O366" s="2"/>
      <c r="P366" s="2"/>
      <c r="Q366" s="32"/>
      <c r="R366" s="32"/>
      <c r="S366" s="32"/>
      <c r="T366" s="32"/>
      <c r="U366" s="2"/>
      <c r="V366" s="2"/>
      <c r="W366" s="2"/>
      <c r="X366" s="2"/>
      <c r="Y366" s="2"/>
      <c r="Z366" s="2"/>
    </row>
    <row r="367" spans="1:26" ht="13.8" x14ac:dyDescent="0.3">
      <c r="A367" s="2"/>
      <c r="B367" s="10"/>
      <c r="C367" s="10"/>
      <c r="D367" s="10"/>
      <c r="E367" s="10"/>
      <c r="F367" s="10"/>
      <c r="G367" s="32"/>
      <c r="H367" s="32"/>
      <c r="I367" s="32"/>
      <c r="J367" s="73"/>
      <c r="K367" s="32"/>
      <c r="L367" s="32"/>
      <c r="M367" s="32"/>
      <c r="N367" s="32"/>
      <c r="O367" s="2"/>
      <c r="P367" s="2"/>
      <c r="Q367" s="32"/>
      <c r="R367" s="32"/>
      <c r="S367" s="32"/>
      <c r="T367" s="32"/>
      <c r="U367" s="2"/>
      <c r="V367" s="2"/>
      <c r="W367" s="2"/>
      <c r="X367" s="2"/>
      <c r="Y367" s="2"/>
      <c r="Z367" s="2"/>
    </row>
    <row r="368" spans="1:26" ht="13.8" x14ac:dyDescent="0.3">
      <c r="A368" s="2"/>
      <c r="B368" s="10"/>
      <c r="C368" s="10"/>
      <c r="D368" s="10"/>
      <c r="E368" s="10"/>
      <c r="F368" s="10"/>
      <c r="G368" s="32"/>
      <c r="H368" s="32"/>
      <c r="I368" s="32"/>
      <c r="J368" s="73"/>
      <c r="K368" s="32"/>
      <c r="L368" s="32"/>
      <c r="M368" s="32"/>
      <c r="N368" s="32"/>
      <c r="O368" s="2"/>
      <c r="P368" s="2"/>
      <c r="Q368" s="32"/>
      <c r="R368" s="32"/>
      <c r="S368" s="32"/>
      <c r="T368" s="32"/>
      <c r="U368" s="2"/>
      <c r="V368" s="2"/>
      <c r="W368" s="2"/>
      <c r="X368" s="2"/>
      <c r="Y368" s="2"/>
      <c r="Z368" s="2"/>
    </row>
    <row r="369" spans="1:26" ht="13.8" x14ac:dyDescent="0.3">
      <c r="A369" s="2"/>
      <c r="B369" s="10"/>
      <c r="C369" s="10"/>
      <c r="D369" s="10"/>
      <c r="E369" s="10"/>
      <c r="F369" s="10"/>
      <c r="G369" s="32"/>
      <c r="H369" s="32"/>
      <c r="I369" s="32"/>
      <c r="J369" s="73"/>
      <c r="K369" s="32"/>
      <c r="L369" s="32"/>
      <c r="M369" s="32"/>
      <c r="N369" s="32"/>
      <c r="O369" s="2"/>
      <c r="P369" s="2"/>
      <c r="Q369" s="32"/>
      <c r="R369" s="32"/>
      <c r="S369" s="32"/>
      <c r="T369" s="32"/>
      <c r="U369" s="2"/>
      <c r="V369" s="2"/>
      <c r="W369" s="2"/>
      <c r="X369" s="2"/>
      <c r="Y369" s="2"/>
      <c r="Z369" s="2"/>
    </row>
    <row r="370" spans="1:26" ht="13.8" x14ac:dyDescent="0.3">
      <c r="A370" s="2"/>
      <c r="B370" s="10"/>
      <c r="C370" s="10"/>
      <c r="D370" s="10"/>
      <c r="E370" s="10"/>
      <c r="F370" s="10"/>
      <c r="G370" s="32"/>
      <c r="H370" s="32"/>
      <c r="I370" s="32"/>
      <c r="J370" s="73"/>
      <c r="K370" s="32"/>
      <c r="L370" s="32"/>
      <c r="M370" s="32"/>
      <c r="N370" s="32"/>
      <c r="O370" s="2"/>
      <c r="P370" s="2"/>
      <c r="Q370" s="32"/>
      <c r="R370" s="32"/>
      <c r="S370" s="32"/>
      <c r="T370" s="32"/>
      <c r="U370" s="2"/>
      <c r="V370" s="2"/>
      <c r="W370" s="2"/>
      <c r="X370" s="2"/>
      <c r="Y370" s="2"/>
      <c r="Z370" s="2"/>
    </row>
    <row r="371" spans="1:26" ht="13.8" x14ac:dyDescent="0.3">
      <c r="A371" s="2"/>
      <c r="B371" s="10"/>
      <c r="C371" s="10"/>
      <c r="D371" s="10"/>
      <c r="E371" s="10"/>
      <c r="F371" s="10"/>
      <c r="G371" s="32"/>
      <c r="H371" s="32"/>
      <c r="I371" s="32"/>
      <c r="J371" s="73"/>
      <c r="K371" s="32"/>
      <c r="L371" s="32"/>
      <c r="M371" s="32"/>
      <c r="N371" s="32"/>
      <c r="O371" s="2"/>
      <c r="P371" s="2"/>
      <c r="Q371" s="32"/>
      <c r="R371" s="32"/>
      <c r="S371" s="32"/>
      <c r="T371" s="32"/>
      <c r="U371" s="2"/>
      <c r="V371" s="2"/>
      <c r="W371" s="2"/>
      <c r="X371" s="2"/>
      <c r="Y371" s="2"/>
      <c r="Z371" s="2"/>
    </row>
    <row r="372" spans="1:26" ht="13.8" x14ac:dyDescent="0.3">
      <c r="A372" s="2"/>
      <c r="B372" s="10"/>
      <c r="C372" s="10"/>
      <c r="D372" s="10"/>
      <c r="E372" s="10"/>
      <c r="F372" s="10"/>
      <c r="G372" s="32"/>
      <c r="H372" s="32"/>
      <c r="I372" s="32"/>
      <c r="J372" s="73"/>
      <c r="K372" s="32"/>
      <c r="L372" s="32"/>
      <c r="M372" s="32"/>
      <c r="N372" s="32"/>
      <c r="O372" s="2"/>
      <c r="P372" s="2"/>
      <c r="Q372" s="32"/>
      <c r="R372" s="32"/>
      <c r="S372" s="32"/>
      <c r="T372" s="32"/>
      <c r="U372" s="2"/>
      <c r="V372" s="2"/>
      <c r="W372" s="2"/>
      <c r="X372" s="2"/>
      <c r="Y372" s="2"/>
      <c r="Z372" s="2"/>
    </row>
    <row r="373" spans="1:26" ht="13.8" x14ac:dyDescent="0.3">
      <c r="A373" s="2"/>
      <c r="B373" s="10"/>
      <c r="C373" s="10"/>
      <c r="D373" s="10"/>
      <c r="E373" s="10"/>
      <c r="F373" s="10"/>
      <c r="G373" s="32"/>
      <c r="H373" s="32"/>
      <c r="I373" s="32"/>
      <c r="J373" s="73"/>
      <c r="K373" s="32"/>
      <c r="L373" s="32"/>
      <c r="M373" s="32"/>
      <c r="N373" s="32"/>
      <c r="O373" s="2"/>
      <c r="P373" s="2"/>
      <c r="Q373" s="32"/>
      <c r="R373" s="32"/>
      <c r="S373" s="32"/>
      <c r="T373" s="32"/>
      <c r="U373" s="2"/>
      <c r="V373" s="2"/>
      <c r="W373" s="2"/>
      <c r="X373" s="2"/>
      <c r="Y373" s="2"/>
      <c r="Z373" s="2"/>
    </row>
    <row r="374" spans="1:26" ht="13.8" x14ac:dyDescent="0.3">
      <c r="A374" s="2"/>
      <c r="B374" s="10"/>
      <c r="C374" s="10"/>
      <c r="D374" s="10"/>
      <c r="E374" s="10"/>
      <c r="F374" s="10"/>
      <c r="G374" s="32"/>
      <c r="H374" s="32"/>
      <c r="I374" s="32"/>
      <c r="J374" s="73"/>
      <c r="K374" s="32"/>
      <c r="L374" s="32"/>
      <c r="M374" s="32"/>
      <c r="N374" s="32"/>
      <c r="O374" s="2"/>
      <c r="P374" s="2"/>
      <c r="Q374" s="32"/>
      <c r="R374" s="32"/>
      <c r="S374" s="32"/>
      <c r="T374" s="32"/>
      <c r="U374" s="2"/>
      <c r="V374" s="2"/>
      <c r="W374" s="2"/>
      <c r="X374" s="2"/>
      <c r="Y374" s="2"/>
      <c r="Z374" s="2"/>
    </row>
    <row r="375" spans="1:26" ht="13.8" x14ac:dyDescent="0.3">
      <c r="A375" s="2"/>
      <c r="B375" s="10"/>
      <c r="C375" s="10"/>
      <c r="D375" s="10"/>
      <c r="E375" s="10"/>
      <c r="F375" s="10"/>
      <c r="G375" s="32"/>
      <c r="H375" s="32"/>
      <c r="I375" s="32"/>
      <c r="J375" s="73"/>
      <c r="K375" s="32"/>
      <c r="L375" s="32"/>
      <c r="M375" s="32"/>
      <c r="N375" s="32"/>
      <c r="O375" s="2"/>
      <c r="P375" s="2"/>
      <c r="Q375" s="32"/>
      <c r="R375" s="32"/>
      <c r="S375" s="32"/>
      <c r="T375" s="32"/>
      <c r="U375" s="2"/>
      <c r="V375" s="2"/>
      <c r="W375" s="2"/>
      <c r="X375" s="2"/>
      <c r="Y375" s="2"/>
      <c r="Z375" s="2"/>
    </row>
    <row r="376" spans="1:26" ht="13.8" x14ac:dyDescent="0.3">
      <c r="A376" s="2"/>
      <c r="B376" s="10"/>
      <c r="C376" s="10"/>
      <c r="D376" s="10"/>
      <c r="E376" s="10"/>
      <c r="F376" s="10"/>
      <c r="G376" s="32"/>
      <c r="H376" s="32"/>
      <c r="I376" s="32"/>
      <c r="J376" s="73"/>
      <c r="K376" s="32"/>
      <c r="L376" s="32"/>
      <c r="M376" s="32"/>
      <c r="N376" s="32"/>
      <c r="O376" s="2"/>
      <c r="P376" s="2"/>
      <c r="Q376" s="32"/>
      <c r="R376" s="32"/>
      <c r="S376" s="32"/>
      <c r="T376" s="32"/>
      <c r="U376" s="2"/>
      <c r="V376" s="2"/>
      <c r="W376" s="2"/>
      <c r="X376" s="2"/>
      <c r="Y376" s="2"/>
      <c r="Z376" s="2"/>
    </row>
    <row r="377" spans="1:26" ht="13.8" x14ac:dyDescent="0.3">
      <c r="A377" s="2"/>
      <c r="B377" s="10"/>
      <c r="C377" s="10"/>
      <c r="D377" s="10"/>
      <c r="E377" s="10"/>
      <c r="F377" s="10"/>
      <c r="G377" s="32"/>
      <c r="H377" s="32"/>
      <c r="I377" s="32"/>
      <c r="J377" s="73"/>
      <c r="K377" s="32"/>
      <c r="L377" s="32"/>
      <c r="M377" s="32"/>
      <c r="N377" s="32"/>
      <c r="O377" s="2"/>
      <c r="P377" s="2"/>
      <c r="Q377" s="32"/>
      <c r="R377" s="32"/>
      <c r="S377" s="32"/>
      <c r="T377" s="32"/>
      <c r="U377" s="2"/>
      <c r="V377" s="2"/>
      <c r="W377" s="2"/>
      <c r="X377" s="2"/>
      <c r="Y377" s="2"/>
      <c r="Z377" s="2"/>
    </row>
    <row r="378" spans="1:26" ht="13.8" x14ac:dyDescent="0.3">
      <c r="A378" s="2"/>
      <c r="B378" s="10"/>
      <c r="C378" s="10"/>
      <c r="D378" s="10"/>
      <c r="E378" s="10"/>
      <c r="F378" s="10"/>
      <c r="G378" s="32"/>
      <c r="H378" s="32"/>
      <c r="I378" s="32"/>
      <c r="J378" s="73"/>
      <c r="K378" s="32"/>
      <c r="L378" s="32"/>
      <c r="M378" s="32"/>
      <c r="N378" s="32"/>
      <c r="O378" s="2"/>
      <c r="P378" s="2"/>
      <c r="Q378" s="32"/>
      <c r="R378" s="32"/>
      <c r="S378" s="32"/>
      <c r="T378" s="32"/>
      <c r="U378" s="2"/>
      <c r="V378" s="2"/>
      <c r="W378" s="2"/>
      <c r="X378" s="2"/>
      <c r="Y378" s="2"/>
      <c r="Z378" s="2"/>
    </row>
    <row r="379" spans="1:26" ht="13.8" x14ac:dyDescent="0.3">
      <c r="A379" s="2"/>
      <c r="B379" s="10"/>
      <c r="C379" s="10"/>
      <c r="D379" s="10"/>
      <c r="E379" s="10"/>
      <c r="F379" s="10"/>
      <c r="G379" s="32"/>
      <c r="H379" s="32"/>
      <c r="I379" s="32"/>
      <c r="J379" s="73"/>
      <c r="K379" s="32"/>
      <c r="L379" s="32"/>
      <c r="M379" s="32"/>
      <c r="N379" s="32"/>
      <c r="O379" s="2"/>
      <c r="P379" s="2"/>
      <c r="Q379" s="32"/>
      <c r="R379" s="32"/>
      <c r="S379" s="32"/>
      <c r="T379" s="32"/>
      <c r="U379" s="2"/>
      <c r="V379" s="2"/>
      <c r="W379" s="2"/>
      <c r="X379" s="2"/>
      <c r="Y379" s="2"/>
      <c r="Z379" s="2"/>
    </row>
    <row r="380" spans="1:26" ht="13.8" x14ac:dyDescent="0.3">
      <c r="A380" s="2"/>
      <c r="B380" s="10"/>
      <c r="C380" s="10"/>
      <c r="D380" s="10"/>
      <c r="E380" s="10"/>
      <c r="F380" s="10"/>
      <c r="G380" s="32"/>
      <c r="H380" s="32"/>
      <c r="I380" s="32"/>
      <c r="J380" s="73"/>
      <c r="K380" s="32"/>
      <c r="L380" s="32"/>
      <c r="M380" s="32"/>
      <c r="N380" s="32"/>
      <c r="O380" s="2"/>
      <c r="P380" s="2"/>
      <c r="Q380" s="32"/>
      <c r="R380" s="32"/>
      <c r="S380" s="32"/>
      <c r="T380" s="32"/>
      <c r="U380" s="2"/>
      <c r="V380" s="2"/>
      <c r="W380" s="2"/>
      <c r="X380" s="2"/>
      <c r="Y380" s="2"/>
      <c r="Z380" s="2"/>
    </row>
    <row r="381" spans="1:26" ht="13.8" x14ac:dyDescent="0.3">
      <c r="A381" s="2"/>
      <c r="B381" s="10"/>
      <c r="C381" s="10"/>
      <c r="D381" s="10"/>
      <c r="E381" s="10"/>
      <c r="F381" s="10"/>
      <c r="G381" s="32"/>
      <c r="H381" s="32"/>
      <c r="I381" s="32"/>
      <c r="J381" s="73"/>
      <c r="K381" s="32"/>
      <c r="L381" s="32"/>
      <c r="M381" s="32"/>
      <c r="N381" s="32"/>
      <c r="O381" s="2"/>
      <c r="P381" s="2"/>
      <c r="Q381" s="32"/>
      <c r="R381" s="32"/>
      <c r="S381" s="32"/>
      <c r="T381" s="32"/>
      <c r="U381" s="2"/>
      <c r="V381" s="2"/>
      <c r="W381" s="2"/>
      <c r="X381" s="2"/>
      <c r="Y381" s="2"/>
      <c r="Z381" s="2"/>
    </row>
    <row r="382" spans="1:26" ht="13.8" x14ac:dyDescent="0.3">
      <c r="A382" s="2"/>
      <c r="B382" s="10"/>
      <c r="C382" s="10"/>
      <c r="D382" s="10"/>
      <c r="E382" s="10"/>
      <c r="F382" s="10"/>
      <c r="G382" s="32"/>
      <c r="H382" s="32"/>
      <c r="I382" s="32"/>
      <c r="J382" s="73"/>
      <c r="K382" s="32"/>
      <c r="L382" s="32"/>
      <c r="M382" s="32"/>
      <c r="N382" s="32"/>
      <c r="O382" s="2"/>
      <c r="P382" s="2"/>
      <c r="Q382" s="32"/>
      <c r="R382" s="32"/>
      <c r="S382" s="32"/>
      <c r="T382" s="32"/>
      <c r="U382" s="2"/>
      <c r="V382" s="2"/>
      <c r="W382" s="2"/>
      <c r="X382" s="2"/>
      <c r="Y382" s="2"/>
      <c r="Z382" s="2"/>
    </row>
    <row r="383" spans="1:26" ht="13.8" x14ac:dyDescent="0.3">
      <c r="A383" s="2"/>
      <c r="B383" s="10"/>
      <c r="C383" s="10"/>
      <c r="D383" s="10"/>
      <c r="E383" s="10"/>
      <c r="F383" s="10"/>
      <c r="G383" s="32"/>
      <c r="H383" s="32"/>
      <c r="I383" s="32"/>
      <c r="J383" s="73"/>
      <c r="K383" s="32"/>
      <c r="L383" s="32"/>
      <c r="M383" s="32"/>
      <c r="N383" s="32"/>
      <c r="O383" s="2"/>
      <c r="P383" s="2"/>
      <c r="Q383" s="32"/>
      <c r="R383" s="32"/>
      <c r="S383" s="32"/>
      <c r="T383" s="32"/>
      <c r="U383" s="2"/>
      <c r="V383" s="2"/>
      <c r="W383" s="2"/>
      <c r="X383" s="2"/>
      <c r="Y383" s="2"/>
      <c r="Z383" s="2"/>
    </row>
    <row r="384" spans="1:26" ht="13.8" x14ac:dyDescent="0.3">
      <c r="A384" s="2"/>
      <c r="B384" s="10"/>
      <c r="C384" s="10"/>
      <c r="D384" s="10"/>
      <c r="E384" s="10"/>
      <c r="F384" s="10"/>
      <c r="G384" s="32"/>
      <c r="H384" s="32"/>
      <c r="I384" s="32"/>
      <c r="J384" s="73"/>
      <c r="K384" s="32"/>
      <c r="L384" s="32"/>
      <c r="M384" s="32"/>
      <c r="N384" s="32"/>
      <c r="O384" s="2"/>
      <c r="P384" s="2"/>
      <c r="Q384" s="32"/>
      <c r="R384" s="32"/>
      <c r="S384" s="32"/>
      <c r="T384" s="32"/>
      <c r="U384" s="2"/>
      <c r="V384" s="2"/>
      <c r="W384" s="2"/>
      <c r="X384" s="2"/>
      <c r="Y384" s="2"/>
      <c r="Z384" s="2"/>
    </row>
    <row r="385" spans="1:26" ht="13.8" x14ac:dyDescent="0.3">
      <c r="A385" s="2"/>
      <c r="B385" s="10"/>
      <c r="C385" s="10"/>
      <c r="D385" s="10"/>
      <c r="E385" s="10"/>
      <c r="F385" s="10"/>
      <c r="G385" s="32"/>
      <c r="H385" s="32"/>
      <c r="I385" s="32"/>
      <c r="J385" s="73"/>
      <c r="K385" s="32"/>
      <c r="L385" s="32"/>
      <c r="M385" s="32"/>
      <c r="N385" s="32"/>
      <c r="O385" s="2"/>
      <c r="P385" s="2"/>
      <c r="Q385" s="32"/>
      <c r="R385" s="32"/>
      <c r="S385" s="32"/>
      <c r="T385" s="32"/>
      <c r="U385" s="2"/>
      <c r="V385" s="2"/>
      <c r="W385" s="2"/>
      <c r="X385" s="2"/>
      <c r="Y385" s="2"/>
      <c r="Z385" s="2"/>
    </row>
    <row r="386" spans="1:26" ht="13.8" x14ac:dyDescent="0.3">
      <c r="A386" s="2"/>
      <c r="B386" s="10"/>
      <c r="C386" s="10"/>
      <c r="D386" s="10"/>
      <c r="E386" s="10"/>
      <c r="F386" s="10"/>
      <c r="G386" s="32"/>
      <c r="H386" s="32"/>
      <c r="I386" s="32"/>
      <c r="J386" s="73"/>
      <c r="K386" s="32"/>
      <c r="L386" s="32"/>
      <c r="M386" s="32"/>
      <c r="N386" s="32"/>
      <c r="O386" s="2"/>
      <c r="P386" s="2"/>
      <c r="Q386" s="32"/>
      <c r="R386" s="32"/>
      <c r="S386" s="32"/>
      <c r="T386" s="32"/>
      <c r="U386" s="2"/>
      <c r="V386" s="2"/>
      <c r="W386" s="2"/>
      <c r="X386" s="2"/>
      <c r="Y386" s="2"/>
      <c r="Z386" s="2"/>
    </row>
    <row r="387" spans="1:26" ht="13.8" x14ac:dyDescent="0.3">
      <c r="A387" s="2"/>
      <c r="B387" s="10"/>
      <c r="C387" s="10"/>
      <c r="D387" s="10"/>
      <c r="E387" s="10"/>
      <c r="F387" s="10"/>
      <c r="G387" s="32"/>
      <c r="H387" s="32"/>
      <c r="I387" s="32"/>
      <c r="J387" s="73"/>
      <c r="K387" s="32"/>
      <c r="L387" s="32"/>
      <c r="M387" s="32"/>
      <c r="N387" s="32"/>
      <c r="O387" s="2"/>
      <c r="P387" s="2"/>
      <c r="Q387" s="32"/>
      <c r="R387" s="32"/>
      <c r="S387" s="32"/>
      <c r="T387" s="32"/>
      <c r="U387" s="2"/>
      <c r="V387" s="2"/>
      <c r="W387" s="2"/>
      <c r="X387" s="2"/>
      <c r="Y387" s="2"/>
      <c r="Z387" s="2"/>
    </row>
    <row r="388" spans="1:26" ht="13.8" x14ac:dyDescent="0.3">
      <c r="A388" s="2"/>
      <c r="B388" s="10"/>
      <c r="C388" s="10"/>
      <c r="D388" s="10"/>
      <c r="E388" s="10"/>
      <c r="F388" s="10"/>
      <c r="G388" s="32"/>
      <c r="H388" s="32"/>
      <c r="I388" s="32"/>
      <c r="J388" s="73"/>
      <c r="K388" s="32"/>
      <c r="L388" s="32"/>
      <c r="M388" s="32"/>
      <c r="N388" s="32"/>
      <c r="O388" s="2"/>
      <c r="P388" s="2"/>
      <c r="Q388" s="32"/>
      <c r="R388" s="32"/>
      <c r="S388" s="32"/>
      <c r="T388" s="32"/>
      <c r="U388" s="2"/>
      <c r="V388" s="2"/>
      <c r="W388" s="2"/>
      <c r="X388" s="2"/>
      <c r="Y388" s="2"/>
      <c r="Z388" s="2"/>
    </row>
    <row r="389" spans="1:26" ht="13.8" x14ac:dyDescent="0.3">
      <c r="A389" s="2"/>
      <c r="B389" s="10"/>
      <c r="C389" s="10"/>
      <c r="D389" s="10"/>
      <c r="E389" s="10"/>
      <c r="F389" s="10"/>
      <c r="G389" s="32"/>
      <c r="H389" s="32"/>
      <c r="I389" s="32"/>
      <c r="J389" s="73"/>
      <c r="K389" s="32"/>
      <c r="L389" s="32"/>
      <c r="M389" s="32"/>
      <c r="N389" s="32"/>
      <c r="O389" s="2"/>
      <c r="P389" s="2"/>
      <c r="Q389" s="32"/>
      <c r="R389" s="32"/>
      <c r="S389" s="32"/>
      <c r="T389" s="32"/>
      <c r="U389" s="2"/>
      <c r="V389" s="2"/>
      <c r="W389" s="2"/>
      <c r="X389" s="2"/>
      <c r="Y389" s="2"/>
      <c r="Z389" s="2"/>
    </row>
    <row r="390" spans="1:26" ht="13.8" x14ac:dyDescent="0.3">
      <c r="A390" s="2"/>
      <c r="B390" s="10"/>
      <c r="C390" s="10"/>
      <c r="D390" s="10"/>
      <c r="E390" s="10"/>
      <c r="F390" s="10"/>
      <c r="G390" s="32"/>
      <c r="H390" s="32"/>
      <c r="I390" s="32"/>
      <c r="J390" s="73"/>
      <c r="K390" s="32"/>
      <c r="L390" s="32"/>
      <c r="M390" s="32"/>
      <c r="N390" s="32"/>
      <c r="O390" s="2"/>
      <c r="P390" s="2"/>
      <c r="Q390" s="32"/>
      <c r="R390" s="32"/>
      <c r="S390" s="32"/>
      <c r="T390" s="32"/>
      <c r="U390" s="2"/>
      <c r="V390" s="2"/>
      <c r="W390" s="2"/>
      <c r="X390" s="2"/>
      <c r="Y390" s="2"/>
      <c r="Z390" s="2"/>
    </row>
    <row r="391" spans="1:26" ht="13.8" x14ac:dyDescent="0.3">
      <c r="A391" s="2"/>
      <c r="B391" s="10"/>
      <c r="C391" s="10"/>
      <c r="D391" s="10"/>
      <c r="E391" s="10"/>
      <c r="F391" s="10"/>
      <c r="G391" s="32"/>
      <c r="H391" s="32"/>
      <c r="I391" s="32"/>
      <c r="J391" s="73"/>
      <c r="K391" s="32"/>
      <c r="L391" s="32"/>
      <c r="M391" s="32"/>
      <c r="N391" s="32"/>
      <c r="O391" s="2"/>
      <c r="P391" s="2"/>
      <c r="Q391" s="32"/>
      <c r="R391" s="32"/>
      <c r="S391" s="32"/>
      <c r="T391" s="32"/>
      <c r="U391" s="2"/>
      <c r="V391" s="2"/>
      <c r="W391" s="2"/>
      <c r="X391" s="2"/>
      <c r="Y391" s="2"/>
      <c r="Z391" s="2"/>
    </row>
    <row r="392" spans="1:26" ht="13.8" x14ac:dyDescent="0.3">
      <c r="A392" s="2"/>
      <c r="B392" s="10"/>
      <c r="C392" s="10"/>
      <c r="D392" s="10"/>
      <c r="E392" s="10"/>
      <c r="F392" s="10"/>
      <c r="G392" s="32"/>
      <c r="H392" s="32"/>
      <c r="I392" s="32"/>
      <c r="J392" s="73"/>
      <c r="K392" s="32"/>
      <c r="L392" s="32"/>
      <c r="M392" s="32"/>
      <c r="N392" s="32"/>
      <c r="O392" s="2"/>
      <c r="P392" s="2"/>
      <c r="Q392" s="32"/>
      <c r="R392" s="32"/>
      <c r="S392" s="32"/>
      <c r="T392" s="32"/>
      <c r="U392" s="2"/>
      <c r="V392" s="2"/>
      <c r="W392" s="2"/>
      <c r="X392" s="2"/>
      <c r="Y392" s="2"/>
      <c r="Z392" s="2"/>
    </row>
    <row r="393" spans="1:26" ht="13.8" x14ac:dyDescent="0.3">
      <c r="A393" s="2"/>
      <c r="B393" s="10"/>
      <c r="C393" s="10"/>
      <c r="D393" s="10"/>
      <c r="E393" s="10"/>
      <c r="F393" s="10"/>
      <c r="G393" s="32"/>
      <c r="H393" s="32"/>
      <c r="I393" s="32"/>
      <c r="J393" s="73"/>
      <c r="K393" s="32"/>
      <c r="L393" s="32"/>
      <c r="M393" s="32"/>
      <c r="N393" s="32"/>
      <c r="O393" s="2"/>
      <c r="P393" s="2"/>
      <c r="Q393" s="32"/>
      <c r="R393" s="32"/>
      <c r="S393" s="32"/>
      <c r="T393" s="32"/>
      <c r="U393" s="2"/>
      <c r="V393" s="2"/>
      <c r="W393" s="2"/>
      <c r="X393" s="2"/>
      <c r="Y393" s="2"/>
      <c r="Z393" s="2"/>
    </row>
    <row r="394" spans="1:26" ht="13.8" x14ac:dyDescent="0.3">
      <c r="A394" s="2"/>
      <c r="B394" s="10"/>
      <c r="C394" s="10"/>
      <c r="D394" s="10"/>
      <c r="E394" s="10"/>
      <c r="F394" s="10"/>
      <c r="G394" s="32"/>
      <c r="H394" s="32"/>
      <c r="I394" s="32"/>
      <c r="J394" s="73"/>
      <c r="K394" s="32"/>
      <c r="L394" s="32"/>
      <c r="M394" s="32"/>
      <c r="N394" s="32"/>
      <c r="O394" s="2"/>
      <c r="P394" s="2"/>
      <c r="Q394" s="32"/>
      <c r="R394" s="32"/>
      <c r="S394" s="32"/>
      <c r="T394" s="32"/>
      <c r="U394" s="2"/>
      <c r="V394" s="2"/>
      <c r="W394" s="2"/>
      <c r="X394" s="2"/>
      <c r="Y394" s="2"/>
      <c r="Z394" s="2"/>
    </row>
    <row r="395" spans="1:26" ht="13.8" x14ac:dyDescent="0.3">
      <c r="A395" s="2"/>
      <c r="B395" s="10"/>
      <c r="C395" s="10"/>
      <c r="D395" s="10"/>
      <c r="E395" s="10"/>
      <c r="F395" s="10"/>
      <c r="G395" s="32"/>
      <c r="H395" s="32"/>
      <c r="I395" s="32"/>
      <c r="J395" s="73"/>
      <c r="K395" s="32"/>
      <c r="L395" s="32"/>
      <c r="M395" s="32"/>
      <c r="N395" s="32"/>
      <c r="O395" s="2"/>
      <c r="P395" s="2"/>
      <c r="Q395" s="32"/>
      <c r="R395" s="32"/>
      <c r="S395" s="32"/>
      <c r="T395" s="32"/>
      <c r="U395" s="2"/>
      <c r="V395" s="2"/>
      <c r="W395" s="2"/>
      <c r="X395" s="2"/>
      <c r="Y395" s="2"/>
      <c r="Z395" s="2"/>
    </row>
    <row r="396" spans="1:26" ht="13.8" x14ac:dyDescent="0.3">
      <c r="A396" s="2"/>
      <c r="B396" s="10"/>
      <c r="C396" s="10"/>
      <c r="D396" s="10"/>
      <c r="E396" s="10"/>
      <c r="F396" s="10"/>
      <c r="G396" s="32"/>
      <c r="H396" s="32"/>
      <c r="I396" s="32"/>
      <c r="J396" s="73"/>
      <c r="K396" s="32"/>
      <c r="L396" s="32"/>
      <c r="M396" s="32"/>
      <c r="N396" s="32"/>
      <c r="O396" s="2"/>
      <c r="P396" s="2"/>
      <c r="Q396" s="32"/>
      <c r="R396" s="32"/>
      <c r="S396" s="32"/>
      <c r="T396" s="32"/>
      <c r="U396" s="2"/>
      <c r="V396" s="2"/>
      <c r="W396" s="2"/>
      <c r="X396" s="2"/>
      <c r="Y396" s="2"/>
      <c r="Z396" s="2"/>
    </row>
    <row r="397" spans="1:26" ht="13.8" x14ac:dyDescent="0.3">
      <c r="A397" s="2"/>
      <c r="B397" s="10"/>
      <c r="C397" s="10"/>
      <c r="D397" s="10"/>
      <c r="E397" s="10"/>
      <c r="F397" s="10"/>
      <c r="G397" s="32"/>
      <c r="H397" s="32"/>
      <c r="I397" s="32"/>
      <c r="J397" s="73"/>
      <c r="K397" s="32"/>
      <c r="L397" s="32"/>
      <c r="M397" s="32"/>
      <c r="N397" s="32"/>
      <c r="O397" s="2"/>
      <c r="P397" s="2"/>
      <c r="Q397" s="32"/>
      <c r="R397" s="32"/>
      <c r="S397" s="32"/>
      <c r="T397" s="32"/>
      <c r="U397" s="2"/>
      <c r="V397" s="2"/>
      <c r="W397" s="2"/>
      <c r="X397" s="2"/>
      <c r="Y397" s="2"/>
      <c r="Z397" s="2"/>
    </row>
    <row r="398" spans="1:26" ht="13.8" x14ac:dyDescent="0.3">
      <c r="A398" s="2"/>
      <c r="B398" s="10"/>
      <c r="C398" s="10"/>
      <c r="D398" s="10"/>
      <c r="E398" s="10"/>
      <c r="F398" s="10"/>
      <c r="G398" s="32"/>
      <c r="H398" s="32"/>
      <c r="I398" s="32"/>
      <c r="J398" s="73"/>
      <c r="K398" s="32"/>
      <c r="L398" s="32"/>
      <c r="M398" s="32"/>
      <c r="N398" s="32"/>
      <c r="O398" s="2"/>
      <c r="P398" s="2"/>
      <c r="Q398" s="32"/>
      <c r="R398" s="32"/>
      <c r="S398" s="32"/>
      <c r="T398" s="32"/>
      <c r="U398" s="2"/>
      <c r="V398" s="2"/>
      <c r="W398" s="2"/>
      <c r="X398" s="2"/>
      <c r="Y398" s="2"/>
      <c r="Z398" s="2"/>
    </row>
    <row r="399" spans="1:26" ht="13.8" x14ac:dyDescent="0.3">
      <c r="A399" s="2"/>
      <c r="B399" s="10"/>
      <c r="C399" s="10"/>
      <c r="D399" s="10"/>
      <c r="E399" s="10"/>
      <c r="F399" s="10"/>
      <c r="G399" s="32"/>
      <c r="H399" s="32"/>
      <c r="I399" s="32"/>
      <c r="J399" s="73"/>
      <c r="K399" s="32"/>
      <c r="L399" s="32"/>
      <c r="M399" s="32"/>
      <c r="N399" s="32"/>
      <c r="O399" s="2"/>
      <c r="P399" s="2"/>
      <c r="Q399" s="32"/>
      <c r="R399" s="32"/>
      <c r="S399" s="32"/>
      <c r="T399" s="32"/>
      <c r="U399" s="2"/>
      <c r="V399" s="2"/>
      <c r="W399" s="2"/>
      <c r="X399" s="2"/>
      <c r="Y399" s="2"/>
      <c r="Z399" s="2"/>
    </row>
    <row r="400" spans="1:26" ht="13.8" x14ac:dyDescent="0.3">
      <c r="A400" s="2"/>
      <c r="B400" s="10"/>
      <c r="C400" s="10"/>
      <c r="D400" s="10"/>
      <c r="E400" s="10"/>
      <c r="F400" s="10"/>
      <c r="G400" s="32"/>
      <c r="H400" s="32"/>
      <c r="I400" s="32"/>
      <c r="J400" s="73"/>
      <c r="K400" s="32"/>
      <c r="L400" s="32"/>
      <c r="M400" s="32"/>
      <c r="N400" s="32"/>
      <c r="O400" s="2"/>
      <c r="P400" s="2"/>
      <c r="Q400" s="32"/>
      <c r="R400" s="32"/>
      <c r="S400" s="32"/>
      <c r="T400" s="32"/>
      <c r="U400" s="2"/>
      <c r="V400" s="2"/>
      <c r="W400" s="2"/>
      <c r="X400" s="2"/>
      <c r="Y400" s="2"/>
      <c r="Z400" s="2"/>
    </row>
    <row r="401" spans="1:26" ht="13.8" x14ac:dyDescent="0.3">
      <c r="A401" s="2"/>
      <c r="B401" s="10"/>
      <c r="C401" s="10"/>
      <c r="D401" s="10"/>
      <c r="E401" s="10"/>
      <c r="F401" s="10"/>
      <c r="G401" s="32"/>
      <c r="H401" s="32"/>
      <c r="I401" s="32"/>
      <c r="J401" s="73"/>
      <c r="K401" s="32"/>
      <c r="L401" s="32"/>
      <c r="M401" s="32"/>
      <c r="N401" s="32"/>
      <c r="O401" s="2"/>
      <c r="P401" s="2"/>
      <c r="Q401" s="32"/>
      <c r="R401" s="32"/>
      <c r="S401" s="32"/>
      <c r="T401" s="32"/>
      <c r="U401" s="2"/>
      <c r="V401" s="2"/>
      <c r="W401" s="2"/>
      <c r="X401" s="2"/>
      <c r="Y401" s="2"/>
      <c r="Z401" s="2"/>
    </row>
    <row r="402" spans="1:26" ht="13.8" x14ac:dyDescent="0.3">
      <c r="A402" s="2"/>
      <c r="B402" s="10"/>
      <c r="C402" s="10"/>
      <c r="D402" s="10"/>
      <c r="E402" s="10"/>
      <c r="F402" s="10"/>
      <c r="G402" s="32"/>
      <c r="H402" s="32"/>
      <c r="I402" s="32"/>
      <c r="J402" s="73"/>
      <c r="K402" s="32"/>
      <c r="L402" s="32"/>
      <c r="M402" s="32"/>
      <c r="N402" s="32"/>
      <c r="O402" s="2"/>
      <c r="P402" s="2"/>
      <c r="Q402" s="32"/>
      <c r="R402" s="32"/>
      <c r="S402" s="32"/>
      <c r="T402" s="32"/>
      <c r="U402" s="2"/>
      <c r="V402" s="2"/>
      <c r="W402" s="2"/>
      <c r="X402" s="2"/>
      <c r="Y402" s="2"/>
      <c r="Z402" s="2"/>
    </row>
    <row r="403" spans="1:26" ht="13.8" x14ac:dyDescent="0.3">
      <c r="A403" s="2"/>
      <c r="B403" s="10"/>
      <c r="C403" s="10"/>
      <c r="D403" s="10"/>
      <c r="E403" s="10"/>
      <c r="F403" s="10"/>
      <c r="G403" s="32"/>
      <c r="H403" s="32"/>
      <c r="I403" s="32"/>
      <c r="J403" s="73"/>
      <c r="K403" s="32"/>
      <c r="L403" s="32"/>
      <c r="M403" s="32"/>
      <c r="N403" s="32"/>
      <c r="O403" s="2"/>
      <c r="P403" s="2"/>
      <c r="Q403" s="32"/>
      <c r="R403" s="32"/>
      <c r="S403" s="32"/>
      <c r="T403" s="32"/>
      <c r="U403" s="2"/>
      <c r="V403" s="2"/>
      <c r="W403" s="2"/>
      <c r="X403" s="2"/>
      <c r="Y403" s="2"/>
      <c r="Z403" s="2"/>
    </row>
    <row r="404" spans="1:26" ht="13.8" x14ac:dyDescent="0.3">
      <c r="A404" s="2"/>
      <c r="B404" s="10"/>
      <c r="C404" s="10"/>
      <c r="D404" s="10"/>
      <c r="E404" s="10"/>
      <c r="F404" s="10"/>
      <c r="G404" s="32"/>
      <c r="H404" s="32"/>
      <c r="I404" s="32"/>
      <c r="J404" s="73"/>
      <c r="K404" s="32"/>
      <c r="L404" s="32"/>
      <c r="M404" s="32"/>
      <c r="N404" s="32"/>
      <c r="O404" s="2"/>
      <c r="P404" s="2"/>
      <c r="Q404" s="32"/>
      <c r="R404" s="32"/>
      <c r="S404" s="32"/>
      <c r="T404" s="32"/>
      <c r="U404" s="2"/>
      <c r="V404" s="2"/>
      <c r="W404" s="2"/>
      <c r="X404" s="2"/>
      <c r="Y404" s="2"/>
      <c r="Z404" s="2"/>
    </row>
    <row r="405" spans="1:26" ht="13.8" x14ac:dyDescent="0.3">
      <c r="A405" s="2"/>
      <c r="B405" s="10"/>
      <c r="C405" s="10"/>
      <c r="D405" s="10"/>
      <c r="E405" s="10"/>
      <c r="F405" s="10"/>
      <c r="G405" s="32"/>
      <c r="H405" s="32"/>
      <c r="I405" s="32"/>
      <c r="J405" s="73"/>
      <c r="K405" s="32"/>
      <c r="L405" s="32"/>
      <c r="M405" s="32"/>
      <c r="N405" s="32"/>
      <c r="O405" s="2"/>
      <c r="P405" s="2"/>
      <c r="Q405" s="32"/>
      <c r="R405" s="32"/>
      <c r="S405" s="32"/>
      <c r="T405" s="32"/>
      <c r="U405" s="2"/>
      <c r="V405" s="2"/>
      <c r="W405" s="2"/>
      <c r="X405" s="2"/>
      <c r="Y405" s="2"/>
      <c r="Z405" s="2"/>
    </row>
    <row r="406" spans="1:26" ht="13.8" x14ac:dyDescent="0.3">
      <c r="A406" s="2"/>
      <c r="B406" s="10"/>
      <c r="C406" s="10"/>
      <c r="D406" s="10"/>
      <c r="E406" s="10"/>
      <c r="F406" s="10"/>
      <c r="G406" s="32"/>
      <c r="H406" s="32"/>
      <c r="I406" s="32"/>
      <c r="J406" s="73"/>
      <c r="K406" s="32"/>
      <c r="L406" s="32"/>
      <c r="M406" s="32"/>
      <c r="N406" s="32"/>
      <c r="O406" s="2"/>
      <c r="P406" s="2"/>
      <c r="Q406" s="32"/>
      <c r="R406" s="32"/>
      <c r="S406" s="32"/>
      <c r="T406" s="32"/>
      <c r="U406" s="2"/>
      <c r="V406" s="2"/>
      <c r="W406" s="2"/>
      <c r="X406" s="2"/>
      <c r="Y406" s="2"/>
      <c r="Z406" s="2"/>
    </row>
    <row r="407" spans="1:26" ht="13.8" x14ac:dyDescent="0.3">
      <c r="A407" s="2"/>
      <c r="B407" s="10"/>
      <c r="C407" s="10"/>
      <c r="D407" s="10"/>
      <c r="E407" s="10"/>
      <c r="F407" s="10"/>
      <c r="G407" s="32"/>
      <c r="H407" s="32"/>
      <c r="I407" s="32"/>
      <c r="J407" s="73"/>
      <c r="K407" s="32"/>
      <c r="L407" s="32"/>
      <c r="M407" s="32"/>
      <c r="N407" s="32"/>
      <c r="O407" s="2"/>
      <c r="P407" s="2"/>
      <c r="Q407" s="32"/>
      <c r="R407" s="32"/>
      <c r="S407" s="32"/>
      <c r="T407" s="32"/>
      <c r="U407" s="2"/>
      <c r="V407" s="2"/>
      <c r="W407" s="2"/>
      <c r="X407" s="2"/>
      <c r="Y407" s="2"/>
      <c r="Z407" s="2"/>
    </row>
    <row r="408" spans="1:26" ht="13.8" x14ac:dyDescent="0.3">
      <c r="A408" s="2"/>
      <c r="B408" s="10"/>
      <c r="C408" s="10"/>
      <c r="D408" s="10"/>
      <c r="E408" s="10"/>
      <c r="F408" s="10"/>
      <c r="G408" s="32"/>
      <c r="H408" s="32"/>
      <c r="I408" s="32"/>
      <c r="J408" s="73"/>
      <c r="K408" s="32"/>
      <c r="L408" s="32"/>
      <c r="M408" s="32"/>
      <c r="N408" s="32"/>
      <c r="O408" s="2"/>
      <c r="P408" s="2"/>
      <c r="Q408" s="32"/>
      <c r="R408" s="32"/>
      <c r="S408" s="32"/>
      <c r="T408" s="32"/>
      <c r="U408" s="2"/>
      <c r="V408" s="2"/>
      <c r="W408" s="2"/>
      <c r="X408" s="2"/>
      <c r="Y408" s="2"/>
      <c r="Z408" s="2"/>
    </row>
    <row r="409" spans="1:26" ht="13.8" x14ac:dyDescent="0.3">
      <c r="A409" s="2"/>
      <c r="B409" s="10"/>
      <c r="C409" s="10"/>
      <c r="D409" s="10"/>
      <c r="E409" s="10"/>
      <c r="F409" s="10"/>
      <c r="G409" s="32"/>
      <c r="H409" s="32"/>
      <c r="I409" s="32"/>
      <c r="J409" s="73"/>
      <c r="K409" s="32"/>
      <c r="L409" s="32"/>
      <c r="M409" s="32"/>
      <c r="N409" s="32"/>
      <c r="O409" s="2"/>
      <c r="P409" s="2"/>
      <c r="Q409" s="32"/>
      <c r="R409" s="32"/>
      <c r="S409" s="32"/>
      <c r="T409" s="32"/>
      <c r="U409" s="2"/>
      <c r="V409" s="2"/>
      <c r="W409" s="2"/>
      <c r="X409" s="2"/>
      <c r="Y409" s="2"/>
      <c r="Z409" s="2"/>
    </row>
    <row r="410" spans="1:26" ht="13.8" x14ac:dyDescent="0.3">
      <c r="A410" s="2"/>
      <c r="B410" s="10"/>
      <c r="C410" s="10"/>
      <c r="D410" s="10"/>
      <c r="E410" s="10"/>
      <c r="F410" s="10"/>
      <c r="G410" s="32"/>
      <c r="H410" s="32"/>
      <c r="I410" s="32"/>
      <c r="J410" s="73"/>
      <c r="K410" s="32"/>
      <c r="L410" s="32"/>
      <c r="M410" s="32"/>
      <c r="N410" s="32"/>
      <c r="O410" s="2"/>
      <c r="P410" s="2"/>
      <c r="Q410" s="32"/>
      <c r="R410" s="32"/>
      <c r="S410" s="32"/>
      <c r="T410" s="32"/>
      <c r="U410" s="2"/>
      <c r="V410" s="2"/>
      <c r="W410" s="2"/>
      <c r="X410" s="2"/>
      <c r="Y410" s="2"/>
      <c r="Z410" s="2"/>
    </row>
    <row r="411" spans="1:26" ht="13.8" x14ac:dyDescent="0.3">
      <c r="A411" s="2"/>
      <c r="B411" s="10"/>
      <c r="C411" s="10"/>
      <c r="D411" s="10"/>
      <c r="E411" s="10"/>
      <c r="F411" s="10"/>
      <c r="G411" s="32"/>
      <c r="H411" s="32"/>
      <c r="I411" s="32"/>
      <c r="J411" s="73"/>
      <c r="K411" s="32"/>
      <c r="L411" s="32"/>
      <c r="M411" s="32"/>
      <c r="N411" s="32"/>
      <c r="O411" s="2"/>
      <c r="P411" s="2"/>
      <c r="Q411" s="32"/>
      <c r="R411" s="32"/>
      <c r="S411" s="32"/>
      <c r="T411" s="32"/>
      <c r="U411" s="2"/>
      <c r="V411" s="2"/>
      <c r="W411" s="2"/>
      <c r="X411" s="2"/>
      <c r="Y411" s="2"/>
      <c r="Z411" s="2"/>
    </row>
    <row r="412" spans="1:26" ht="13.8" x14ac:dyDescent="0.3">
      <c r="A412" s="2"/>
      <c r="B412" s="10"/>
      <c r="C412" s="10"/>
      <c r="D412" s="10"/>
      <c r="E412" s="10"/>
      <c r="F412" s="10"/>
      <c r="G412" s="32"/>
      <c r="H412" s="32"/>
      <c r="I412" s="32"/>
      <c r="J412" s="73"/>
      <c r="K412" s="32"/>
      <c r="L412" s="32"/>
      <c r="M412" s="32"/>
      <c r="N412" s="32"/>
      <c r="O412" s="2"/>
      <c r="P412" s="2"/>
      <c r="Q412" s="32"/>
      <c r="R412" s="32"/>
      <c r="S412" s="32"/>
      <c r="T412" s="32"/>
      <c r="U412" s="2"/>
      <c r="V412" s="2"/>
      <c r="W412" s="2"/>
      <c r="X412" s="2"/>
      <c r="Y412" s="2"/>
      <c r="Z412" s="2"/>
    </row>
    <row r="413" spans="1:26" ht="13.8" x14ac:dyDescent="0.3">
      <c r="A413" s="2"/>
      <c r="B413" s="10"/>
      <c r="C413" s="10"/>
      <c r="D413" s="10"/>
      <c r="E413" s="10"/>
      <c r="F413" s="10"/>
      <c r="G413" s="32"/>
      <c r="H413" s="32"/>
      <c r="I413" s="32"/>
      <c r="J413" s="73"/>
      <c r="K413" s="32"/>
      <c r="L413" s="32"/>
      <c r="M413" s="32"/>
      <c r="N413" s="32"/>
      <c r="O413" s="2"/>
      <c r="P413" s="2"/>
      <c r="Q413" s="32"/>
      <c r="R413" s="32"/>
      <c r="S413" s="32"/>
      <c r="T413" s="32"/>
      <c r="U413" s="2"/>
      <c r="V413" s="2"/>
      <c r="W413" s="2"/>
      <c r="X413" s="2"/>
      <c r="Y413" s="2"/>
      <c r="Z413" s="2"/>
    </row>
    <row r="414" spans="1:26" ht="13.8" x14ac:dyDescent="0.3">
      <c r="A414" s="2"/>
      <c r="B414" s="10"/>
      <c r="C414" s="10"/>
      <c r="D414" s="10"/>
      <c r="E414" s="10"/>
      <c r="F414" s="10"/>
      <c r="G414" s="32"/>
      <c r="H414" s="32"/>
      <c r="I414" s="32"/>
      <c r="J414" s="73"/>
      <c r="K414" s="32"/>
      <c r="L414" s="32"/>
      <c r="M414" s="32"/>
      <c r="N414" s="32"/>
      <c r="O414" s="2"/>
      <c r="P414" s="2"/>
      <c r="Q414" s="32"/>
      <c r="R414" s="32"/>
      <c r="S414" s="32"/>
      <c r="T414" s="32"/>
      <c r="U414" s="2"/>
      <c r="V414" s="2"/>
      <c r="W414" s="2"/>
      <c r="X414" s="2"/>
      <c r="Y414" s="2"/>
      <c r="Z414" s="2"/>
    </row>
    <row r="415" spans="1:26" ht="13.8" x14ac:dyDescent="0.3">
      <c r="A415" s="2"/>
      <c r="B415" s="10"/>
      <c r="C415" s="10"/>
      <c r="D415" s="10"/>
      <c r="E415" s="10"/>
      <c r="F415" s="10"/>
      <c r="G415" s="32"/>
      <c r="H415" s="32"/>
      <c r="I415" s="32"/>
      <c r="J415" s="73"/>
      <c r="K415" s="32"/>
      <c r="L415" s="32"/>
      <c r="M415" s="32"/>
      <c r="N415" s="32"/>
      <c r="O415" s="2"/>
      <c r="P415" s="2"/>
      <c r="Q415" s="32"/>
      <c r="R415" s="32"/>
      <c r="S415" s="32"/>
      <c r="T415" s="32"/>
      <c r="U415" s="2"/>
      <c r="V415" s="2"/>
      <c r="W415" s="2"/>
      <c r="X415" s="2"/>
      <c r="Y415" s="2"/>
      <c r="Z415" s="2"/>
    </row>
    <row r="416" spans="1:26" ht="13.8" x14ac:dyDescent="0.3">
      <c r="A416" s="2"/>
      <c r="B416" s="10"/>
      <c r="C416" s="10"/>
      <c r="D416" s="10"/>
      <c r="E416" s="10"/>
      <c r="F416" s="10"/>
      <c r="G416" s="32"/>
      <c r="H416" s="32"/>
      <c r="I416" s="32"/>
      <c r="J416" s="73"/>
      <c r="K416" s="32"/>
      <c r="L416" s="32"/>
      <c r="M416" s="32"/>
      <c r="N416" s="32"/>
      <c r="O416" s="2"/>
      <c r="P416" s="2"/>
      <c r="Q416" s="32"/>
      <c r="R416" s="32"/>
      <c r="S416" s="32"/>
      <c r="T416" s="32"/>
      <c r="U416" s="2"/>
      <c r="V416" s="2"/>
      <c r="W416" s="2"/>
      <c r="X416" s="2"/>
      <c r="Y416" s="2"/>
      <c r="Z416" s="2"/>
    </row>
    <row r="417" spans="1:26" ht="13.8" x14ac:dyDescent="0.3">
      <c r="A417" s="2"/>
      <c r="B417" s="10"/>
      <c r="C417" s="10"/>
      <c r="D417" s="10"/>
      <c r="E417" s="10"/>
      <c r="F417" s="10"/>
      <c r="G417" s="32"/>
      <c r="H417" s="32"/>
      <c r="I417" s="32"/>
      <c r="J417" s="73"/>
      <c r="K417" s="32"/>
      <c r="L417" s="32"/>
      <c r="M417" s="32"/>
      <c r="N417" s="32"/>
      <c r="O417" s="2"/>
      <c r="P417" s="2"/>
      <c r="Q417" s="32"/>
      <c r="R417" s="32"/>
      <c r="S417" s="32"/>
      <c r="T417" s="32"/>
      <c r="U417" s="2"/>
      <c r="V417" s="2"/>
      <c r="W417" s="2"/>
      <c r="X417" s="2"/>
      <c r="Y417" s="2"/>
      <c r="Z417" s="2"/>
    </row>
    <row r="418" spans="1:26" ht="13.8" x14ac:dyDescent="0.3">
      <c r="A418" s="2"/>
      <c r="B418" s="10"/>
      <c r="C418" s="10"/>
      <c r="D418" s="10"/>
      <c r="E418" s="10"/>
      <c r="F418" s="10"/>
      <c r="G418" s="32"/>
      <c r="H418" s="32"/>
      <c r="I418" s="32"/>
      <c r="J418" s="73"/>
      <c r="K418" s="32"/>
      <c r="L418" s="32"/>
      <c r="M418" s="32"/>
      <c r="N418" s="32"/>
      <c r="O418" s="2"/>
      <c r="P418" s="2"/>
      <c r="Q418" s="32"/>
      <c r="R418" s="32"/>
      <c r="S418" s="32"/>
      <c r="T418" s="32"/>
      <c r="U418" s="2"/>
      <c r="V418" s="2"/>
      <c r="W418" s="2"/>
      <c r="X418" s="2"/>
      <c r="Y418" s="2"/>
      <c r="Z418" s="2"/>
    </row>
    <row r="419" spans="1:26" ht="13.8" x14ac:dyDescent="0.3">
      <c r="A419" s="2"/>
      <c r="B419" s="10"/>
      <c r="C419" s="10"/>
      <c r="D419" s="10"/>
      <c r="E419" s="10"/>
      <c r="F419" s="10"/>
      <c r="G419" s="32"/>
      <c r="H419" s="32"/>
      <c r="I419" s="32"/>
      <c r="J419" s="73"/>
      <c r="K419" s="32"/>
      <c r="L419" s="32"/>
      <c r="M419" s="32"/>
      <c r="N419" s="32"/>
      <c r="O419" s="2"/>
      <c r="P419" s="2"/>
      <c r="Q419" s="32"/>
      <c r="R419" s="32"/>
      <c r="S419" s="32"/>
      <c r="T419" s="32"/>
      <c r="U419" s="2"/>
      <c r="V419" s="2"/>
      <c r="W419" s="2"/>
      <c r="X419" s="2"/>
      <c r="Y419" s="2"/>
      <c r="Z419" s="2"/>
    </row>
    <row r="420" spans="1:26" ht="13.8" x14ac:dyDescent="0.3">
      <c r="A420" s="2"/>
      <c r="B420" s="10"/>
      <c r="C420" s="10"/>
      <c r="D420" s="10"/>
      <c r="E420" s="10"/>
      <c r="F420" s="10"/>
      <c r="G420" s="32"/>
      <c r="H420" s="32"/>
      <c r="I420" s="32"/>
      <c r="J420" s="73"/>
      <c r="K420" s="32"/>
      <c r="L420" s="32"/>
      <c r="M420" s="32"/>
      <c r="N420" s="32"/>
      <c r="O420" s="2"/>
      <c r="P420" s="2"/>
      <c r="Q420" s="32"/>
      <c r="R420" s="32"/>
      <c r="S420" s="32"/>
      <c r="T420" s="32"/>
      <c r="U420" s="2"/>
      <c r="V420" s="2"/>
      <c r="W420" s="2"/>
      <c r="X420" s="2"/>
      <c r="Y420" s="2"/>
      <c r="Z420" s="2"/>
    </row>
    <row r="421" spans="1:26" ht="13.8" x14ac:dyDescent="0.3">
      <c r="A421" s="2"/>
      <c r="B421" s="10"/>
      <c r="C421" s="10"/>
      <c r="D421" s="10"/>
      <c r="E421" s="10"/>
      <c r="F421" s="10"/>
      <c r="G421" s="32"/>
      <c r="H421" s="32"/>
      <c r="I421" s="32"/>
      <c r="J421" s="73"/>
      <c r="K421" s="32"/>
      <c r="L421" s="32"/>
      <c r="M421" s="32"/>
      <c r="N421" s="32"/>
      <c r="O421" s="2"/>
      <c r="P421" s="2"/>
      <c r="Q421" s="32"/>
      <c r="R421" s="32"/>
      <c r="S421" s="32"/>
      <c r="T421" s="32"/>
      <c r="U421" s="2"/>
      <c r="V421" s="2"/>
      <c r="W421" s="2"/>
      <c r="X421" s="2"/>
      <c r="Y421" s="2"/>
      <c r="Z421" s="2"/>
    </row>
    <row r="422" spans="1:26" ht="13.8" x14ac:dyDescent="0.3">
      <c r="A422" s="2"/>
      <c r="B422" s="10"/>
      <c r="C422" s="10"/>
      <c r="D422" s="10"/>
      <c r="E422" s="10"/>
      <c r="F422" s="10"/>
      <c r="G422" s="32"/>
      <c r="H422" s="32"/>
      <c r="I422" s="32"/>
      <c r="J422" s="73"/>
      <c r="K422" s="32"/>
      <c r="L422" s="32"/>
      <c r="M422" s="32"/>
      <c r="N422" s="32"/>
      <c r="O422" s="2"/>
      <c r="P422" s="2"/>
      <c r="Q422" s="32"/>
      <c r="R422" s="32"/>
      <c r="S422" s="32"/>
      <c r="T422" s="32"/>
      <c r="U422" s="2"/>
      <c r="V422" s="2"/>
      <c r="W422" s="2"/>
      <c r="X422" s="2"/>
      <c r="Y422" s="2"/>
      <c r="Z422" s="2"/>
    </row>
    <row r="423" spans="1:26" ht="13.8" x14ac:dyDescent="0.3">
      <c r="A423" s="2"/>
      <c r="B423" s="10"/>
      <c r="C423" s="10"/>
      <c r="D423" s="10"/>
      <c r="E423" s="10"/>
      <c r="F423" s="10"/>
      <c r="G423" s="32"/>
      <c r="H423" s="32"/>
      <c r="I423" s="32"/>
      <c r="J423" s="73"/>
      <c r="K423" s="32"/>
      <c r="L423" s="32"/>
      <c r="M423" s="32"/>
      <c r="N423" s="32"/>
      <c r="O423" s="2"/>
      <c r="P423" s="2"/>
      <c r="Q423" s="32"/>
      <c r="R423" s="32"/>
      <c r="S423" s="32"/>
      <c r="T423" s="32"/>
      <c r="U423" s="2"/>
      <c r="V423" s="2"/>
      <c r="W423" s="2"/>
      <c r="X423" s="2"/>
      <c r="Y423" s="2"/>
      <c r="Z423" s="2"/>
    </row>
    <row r="424" spans="1:26" ht="13.8" x14ac:dyDescent="0.3">
      <c r="A424" s="2"/>
      <c r="B424" s="10"/>
      <c r="C424" s="10"/>
      <c r="D424" s="10"/>
      <c r="E424" s="10"/>
      <c r="F424" s="10"/>
      <c r="G424" s="32"/>
      <c r="H424" s="32"/>
      <c r="I424" s="32"/>
      <c r="J424" s="73"/>
      <c r="K424" s="32"/>
      <c r="L424" s="32"/>
      <c r="M424" s="32"/>
      <c r="N424" s="32"/>
      <c r="O424" s="2"/>
      <c r="P424" s="2"/>
      <c r="Q424" s="32"/>
      <c r="R424" s="32"/>
      <c r="S424" s="32"/>
      <c r="T424" s="32"/>
      <c r="U424" s="2"/>
      <c r="V424" s="2"/>
      <c r="W424" s="2"/>
      <c r="X424" s="2"/>
      <c r="Y424" s="2"/>
      <c r="Z424" s="2"/>
    </row>
    <row r="425" spans="1:26" ht="13.8" x14ac:dyDescent="0.3">
      <c r="A425" s="2"/>
      <c r="B425" s="10"/>
      <c r="C425" s="10"/>
      <c r="D425" s="10"/>
      <c r="E425" s="10"/>
      <c r="F425" s="10"/>
      <c r="G425" s="32"/>
      <c r="H425" s="32"/>
      <c r="I425" s="32"/>
      <c r="J425" s="73"/>
      <c r="K425" s="32"/>
      <c r="L425" s="32"/>
      <c r="M425" s="32"/>
      <c r="N425" s="32"/>
      <c r="O425" s="2"/>
      <c r="P425" s="2"/>
      <c r="Q425" s="32"/>
      <c r="R425" s="32"/>
      <c r="S425" s="32"/>
      <c r="T425" s="32"/>
      <c r="U425" s="2"/>
      <c r="V425" s="2"/>
      <c r="W425" s="2"/>
      <c r="X425" s="2"/>
      <c r="Y425" s="2"/>
      <c r="Z425" s="2"/>
    </row>
    <row r="426" spans="1:26" ht="13.8" x14ac:dyDescent="0.3">
      <c r="A426" s="2"/>
      <c r="B426" s="10"/>
      <c r="C426" s="10"/>
      <c r="D426" s="10"/>
      <c r="E426" s="10"/>
      <c r="F426" s="10"/>
      <c r="G426" s="32"/>
      <c r="H426" s="32"/>
      <c r="I426" s="32"/>
      <c r="J426" s="73"/>
      <c r="K426" s="32"/>
      <c r="L426" s="32"/>
      <c r="M426" s="32"/>
      <c r="N426" s="32"/>
      <c r="O426" s="2"/>
      <c r="P426" s="2"/>
      <c r="Q426" s="32"/>
      <c r="R426" s="32"/>
      <c r="S426" s="32"/>
      <c r="T426" s="32"/>
      <c r="U426" s="2"/>
      <c r="V426" s="2"/>
      <c r="W426" s="2"/>
      <c r="X426" s="2"/>
      <c r="Y426" s="2"/>
      <c r="Z426" s="2"/>
    </row>
    <row r="427" spans="1:26" ht="13.8" x14ac:dyDescent="0.3">
      <c r="A427" s="2"/>
      <c r="B427" s="10"/>
      <c r="C427" s="10"/>
      <c r="D427" s="10"/>
      <c r="E427" s="10"/>
      <c r="F427" s="10"/>
      <c r="G427" s="32"/>
      <c r="H427" s="32"/>
      <c r="I427" s="32"/>
      <c r="J427" s="73"/>
      <c r="K427" s="32"/>
      <c r="L427" s="32"/>
      <c r="M427" s="32"/>
      <c r="N427" s="32"/>
      <c r="O427" s="2"/>
      <c r="P427" s="2"/>
      <c r="Q427" s="32"/>
      <c r="R427" s="32"/>
      <c r="S427" s="32"/>
      <c r="T427" s="32"/>
      <c r="U427" s="2"/>
      <c r="V427" s="2"/>
      <c r="W427" s="2"/>
      <c r="X427" s="2"/>
      <c r="Y427" s="2"/>
      <c r="Z427" s="2"/>
    </row>
    <row r="428" spans="1:26" ht="13.8" x14ac:dyDescent="0.3">
      <c r="A428" s="2"/>
      <c r="B428" s="10"/>
      <c r="C428" s="10"/>
      <c r="D428" s="10"/>
      <c r="E428" s="10"/>
      <c r="F428" s="10"/>
      <c r="G428" s="32"/>
      <c r="H428" s="32"/>
      <c r="I428" s="32"/>
      <c r="J428" s="73"/>
      <c r="K428" s="32"/>
      <c r="L428" s="32"/>
      <c r="M428" s="32"/>
      <c r="N428" s="32"/>
      <c r="O428" s="2"/>
      <c r="P428" s="2"/>
      <c r="Q428" s="32"/>
      <c r="R428" s="32"/>
      <c r="S428" s="32"/>
      <c r="T428" s="32"/>
      <c r="U428" s="2"/>
      <c r="V428" s="2"/>
      <c r="W428" s="2"/>
      <c r="X428" s="2"/>
      <c r="Y428" s="2"/>
      <c r="Z428" s="2"/>
    </row>
    <row r="429" spans="1:26" ht="13.8" x14ac:dyDescent="0.3">
      <c r="A429" s="2"/>
      <c r="B429" s="10"/>
      <c r="C429" s="10"/>
      <c r="D429" s="10"/>
      <c r="E429" s="10"/>
      <c r="F429" s="10"/>
      <c r="G429" s="32"/>
      <c r="H429" s="32"/>
      <c r="I429" s="32"/>
      <c r="J429" s="73"/>
      <c r="K429" s="32"/>
      <c r="L429" s="32"/>
      <c r="M429" s="32"/>
      <c r="N429" s="32"/>
      <c r="O429" s="2"/>
      <c r="P429" s="2"/>
      <c r="Q429" s="32"/>
      <c r="R429" s="32"/>
      <c r="S429" s="32"/>
      <c r="T429" s="32"/>
      <c r="U429" s="2"/>
      <c r="V429" s="2"/>
      <c r="W429" s="2"/>
      <c r="X429" s="2"/>
      <c r="Y429" s="2"/>
      <c r="Z429" s="2"/>
    </row>
    <row r="430" spans="1:26" ht="13.8" x14ac:dyDescent="0.3">
      <c r="A430" s="2"/>
      <c r="B430" s="10"/>
      <c r="C430" s="10"/>
      <c r="D430" s="10"/>
      <c r="E430" s="10"/>
      <c r="F430" s="10"/>
      <c r="G430" s="32"/>
      <c r="H430" s="32"/>
      <c r="I430" s="32"/>
      <c r="J430" s="73"/>
      <c r="K430" s="32"/>
      <c r="L430" s="32"/>
      <c r="M430" s="32"/>
      <c r="N430" s="32"/>
      <c r="O430" s="2"/>
      <c r="P430" s="2"/>
      <c r="Q430" s="32"/>
      <c r="R430" s="32"/>
      <c r="S430" s="32"/>
      <c r="T430" s="32"/>
      <c r="U430" s="2"/>
      <c r="V430" s="2"/>
      <c r="W430" s="2"/>
      <c r="X430" s="2"/>
      <c r="Y430" s="2"/>
      <c r="Z430" s="2"/>
    </row>
    <row r="431" spans="1:26" ht="13.8" x14ac:dyDescent="0.3">
      <c r="A431" s="2"/>
      <c r="B431" s="10"/>
      <c r="C431" s="10"/>
      <c r="D431" s="10"/>
      <c r="E431" s="10"/>
      <c r="F431" s="10"/>
      <c r="G431" s="32"/>
      <c r="H431" s="32"/>
      <c r="I431" s="32"/>
      <c r="J431" s="73"/>
      <c r="K431" s="32"/>
      <c r="L431" s="32"/>
      <c r="M431" s="32"/>
      <c r="N431" s="32"/>
      <c r="O431" s="2"/>
      <c r="P431" s="2"/>
      <c r="Q431" s="32"/>
      <c r="R431" s="32"/>
      <c r="S431" s="32"/>
      <c r="T431" s="32"/>
      <c r="U431" s="2"/>
      <c r="V431" s="2"/>
      <c r="W431" s="2"/>
      <c r="X431" s="2"/>
      <c r="Y431" s="2"/>
      <c r="Z431" s="2"/>
    </row>
    <row r="432" spans="1:26" ht="13.8" x14ac:dyDescent="0.3">
      <c r="A432" s="2"/>
      <c r="B432" s="10"/>
      <c r="C432" s="10"/>
      <c r="D432" s="10"/>
      <c r="E432" s="10"/>
      <c r="F432" s="10"/>
      <c r="G432" s="32"/>
      <c r="H432" s="32"/>
      <c r="I432" s="32"/>
      <c r="J432" s="73"/>
      <c r="K432" s="32"/>
      <c r="L432" s="32"/>
      <c r="M432" s="32"/>
      <c r="N432" s="32"/>
      <c r="O432" s="2"/>
      <c r="P432" s="2"/>
      <c r="Q432" s="32"/>
      <c r="R432" s="32"/>
      <c r="S432" s="32"/>
      <c r="T432" s="32"/>
      <c r="U432" s="2"/>
      <c r="V432" s="2"/>
      <c r="W432" s="2"/>
      <c r="X432" s="2"/>
      <c r="Y432" s="2"/>
      <c r="Z432" s="2"/>
    </row>
    <row r="433" spans="1:26" ht="13.8" x14ac:dyDescent="0.3">
      <c r="A433" s="2"/>
      <c r="B433" s="10"/>
      <c r="C433" s="10"/>
      <c r="D433" s="10"/>
      <c r="E433" s="10"/>
      <c r="F433" s="10"/>
      <c r="G433" s="32"/>
      <c r="H433" s="32"/>
      <c r="I433" s="32"/>
      <c r="J433" s="73"/>
      <c r="K433" s="32"/>
      <c r="L433" s="32"/>
      <c r="M433" s="32"/>
      <c r="N433" s="32"/>
      <c r="O433" s="2"/>
      <c r="P433" s="2"/>
      <c r="Q433" s="32"/>
      <c r="R433" s="32"/>
      <c r="S433" s="32"/>
      <c r="T433" s="32"/>
      <c r="U433" s="2"/>
      <c r="V433" s="2"/>
      <c r="W433" s="2"/>
      <c r="X433" s="2"/>
      <c r="Y433" s="2"/>
      <c r="Z433" s="2"/>
    </row>
    <row r="434" spans="1:26" ht="13.8" x14ac:dyDescent="0.3">
      <c r="A434" s="2"/>
      <c r="B434" s="10"/>
      <c r="C434" s="10"/>
      <c r="D434" s="10"/>
      <c r="E434" s="10"/>
      <c r="F434" s="10"/>
      <c r="G434" s="32"/>
      <c r="H434" s="32"/>
      <c r="I434" s="32"/>
      <c r="J434" s="73"/>
      <c r="K434" s="32"/>
      <c r="L434" s="32"/>
      <c r="M434" s="32"/>
      <c r="N434" s="32"/>
      <c r="O434" s="2"/>
      <c r="P434" s="2"/>
      <c r="Q434" s="32"/>
      <c r="R434" s="32"/>
      <c r="S434" s="32"/>
      <c r="T434" s="32"/>
      <c r="U434" s="2"/>
      <c r="V434" s="2"/>
      <c r="W434" s="2"/>
      <c r="X434" s="2"/>
      <c r="Y434" s="2"/>
      <c r="Z434" s="2"/>
    </row>
    <row r="435" spans="1:26" ht="13.8" x14ac:dyDescent="0.3">
      <c r="A435" s="2"/>
      <c r="B435" s="10"/>
      <c r="C435" s="10"/>
      <c r="D435" s="10"/>
      <c r="E435" s="10"/>
      <c r="F435" s="10"/>
      <c r="G435" s="32"/>
      <c r="H435" s="32"/>
      <c r="I435" s="32"/>
      <c r="J435" s="73"/>
      <c r="K435" s="32"/>
      <c r="L435" s="32"/>
      <c r="M435" s="32"/>
      <c r="N435" s="32"/>
      <c r="O435" s="2"/>
      <c r="P435" s="2"/>
      <c r="Q435" s="32"/>
      <c r="R435" s="32"/>
      <c r="S435" s="32"/>
      <c r="T435" s="32"/>
      <c r="U435" s="2"/>
      <c r="V435" s="2"/>
      <c r="W435" s="2"/>
      <c r="X435" s="2"/>
      <c r="Y435" s="2"/>
      <c r="Z435" s="2"/>
    </row>
    <row r="436" spans="1:26" ht="13.8" x14ac:dyDescent="0.3">
      <c r="A436" s="2"/>
      <c r="B436" s="10"/>
      <c r="C436" s="10"/>
      <c r="D436" s="10"/>
      <c r="E436" s="10"/>
      <c r="F436" s="10"/>
      <c r="G436" s="32"/>
      <c r="H436" s="32"/>
      <c r="I436" s="32"/>
      <c r="J436" s="73"/>
      <c r="K436" s="32"/>
      <c r="L436" s="32"/>
      <c r="M436" s="32"/>
      <c r="N436" s="32"/>
      <c r="O436" s="2"/>
      <c r="P436" s="2"/>
      <c r="Q436" s="32"/>
      <c r="R436" s="32"/>
      <c r="S436" s="32"/>
      <c r="T436" s="32"/>
      <c r="U436" s="2"/>
      <c r="V436" s="2"/>
      <c r="W436" s="2"/>
      <c r="X436" s="2"/>
      <c r="Y436" s="2"/>
      <c r="Z436" s="2"/>
    </row>
    <row r="437" spans="1:26" ht="13.8" x14ac:dyDescent="0.3">
      <c r="A437" s="2"/>
      <c r="B437" s="10"/>
      <c r="C437" s="10"/>
      <c r="D437" s="10"/>
      <c r="E437" s="10"/>
      <c r="F437" s="10"/>
      <c r="G437" s="32"/>
      <c r="H437" s="32"/>
      <c r="I437" s="32"/>
      <c r="J437" s="73"/>
      <c r="K437" s="32"/>
      <c r="L437" s="32"/>
      <c r="M437" s="32"/>
      <c r="N437" s="32"/>
      <c r="O437" s="2"/>
      <c r="P437" s="2"/>
      <c r="Q437" s="32"/>
      <c r="R437" s="32"/>
      <c r="S437" s="32"/>
      <c r="T437" s="32"/>
      <c r="U437" s="2"/>
      <c r="V437" s="2"/>
      <c r="W437" s="2"/>
      <c r="X437" s="2"/>
      <c r="Y437" s="2"/>
      <c r="Z437" s="2"/>
    </row>
    <row r="438" spans="1:26" ht="13.8" x14ac:dyDescent="0.3">
      <c r="A438" s="2"/>
      <c r="B438" s="10"/>
      <c r="C438" s="10"/>
      <c r="D438" s="10"/>
      <c r="E438" s="10"/>
      <c r="F438" s="10"/>
      <c r="G438" s="32"/>
      <c r="H438" s="32"/>
      <c r="I438" s="32"/>
      <c r="J438" s="73"/>
      <c r="K438" s="32"/>
      <c r="L438" s="32"/>
      <c r="M438" s="32"/>
      <c r="N438" s="32"/>
      <c r="O438" s="2"/>
      <c r="P438" s="2"/>
      <c r="Q438" s="32"/>
      <c r="R438" s="32"/>
      <c r="S438" s="32"/>
      <c r="T438" s="32"/>
      <c r="U438" s="2"/>
      <c r="V438" s="2"/>
      <c r="W438" s="2"/>
      <c r="X438" s="2"/>
      <c r="Y438" s="2"/>
      <c r="Z438" s="2"/>
    </row>
    <row r="439" spans="1:26" ht="13.8" x14ac:dyDescent="0.3">
      <c r="A439" s="2"/>
      <c r="B439" s="10"/>
      <c r="C439" s="10"/>
      <c r="D439" s="10"/>
      <c r="E439" s="10"/>
      <c r="F439" s="10"/>
      <c r="G439" s="32"/>
      <c r="H439" s="32"/>
      <c r="I439" s="32"/>
      <c r="J439" s="73"/>
      <c r="K439" s="32"/>
      <c r="L439" s="32"/>
      <c r="M439" s="32"/>
      <c r="N439" s="32"/>
      <c r="O439" s="2"/>
      <c r="P439" s="2"/>
      <c r="Q439" s="32"/>
      <c r="R439" s="32"/>
      <c r="S439" s="32"/>
      <c r="T439" s="32"/>
      <c r="U439" s="2"/>
      <c r="V439" s="2"/>
      <c r="W439" s="2"/>
      <c r="X439" s="2"/>
      <c r="Y439" s="2"/>
      <c r="Z439" s="2"/>
    </row>
    <row r="440" spans="1:26" ht="13.8" x14ac:dyDescent="0.3">
      <c r="A440" s="2"/>
      <c r="B440" s="10"/>
      <c r="C440" s="10"/>
      <c r="D440" s="10"/>
      <c r="E440" s="10"/>
      <c r="F440" s="10"/>
      <c r="G440" s="32"/>
      <c r="H440" s="32"/>
      <c r="I440" s="32"/>
      <c r="J440" s="73"/>
      <c r="K440" s="32"/>
      <c r="L440" s="32"/>
      <c r="M440" s="32"/>
      <c r="N440" s="32"/>
      <c r="O440" s="2"/>
      <c r="P440" s="2"/>
      <c r="Q440" s="32"/>
      <c r="R440" s="32"/>
      <c r="S440" s="32"/>
      <c r="T440" s="32"/>
      <c r="U440" s="2"/>
      <c r="V440" s="2"/>
      <c r="W440" s="2"/>
      <c r="X440" s="2"/>
      <c r="Y440" s="2"/>
      <c r="Z440" s="2"/>
    </row>
    <row r="441" spans="1:26" ht="13.8" x14ac:dyDescent="0.3">
      <c r="A441" s="2"/>
      <c r="B441" s="10"/>
      <c r="C441" s="10"/>
      <c r="D441" s="10"/>
      <c r="E441" s="10"/>
      <c r="F441" s="10"/>
      <c r="G441" s="32"/>
      <c r="H441" s="32"/>
      <c r="I441" s="32"/>
      <c r="J441" s="73"/>
      <c r="K441" s="32"/>
      <c r="L441" s="32"/>
      <c r="M441" s="32"/>
      <c r="N441" s="32"/>
      <c r="O441" s="2"/>
      <c r="P441" s="2"/>
      <c r="Q441" s="32"/>
      <c r="R441" s="32"/>
      <c r="S441" s="32"/>
      <c r="T441" s="32"/>
      <c r="U441" s="2"/>
      <c r="V441" s="2"/>
      <c r="W441" s="2"/>
      <c r="X441" s="2"/>
      <c r="Y441" s="2"/>
      <c r="Z441" s="2"/>
    </row>
    <row r="442" spans="1:26" ht="13.8" x14ac:dyDescent="0.3">
      <c r="A442" s="2"/>
      <c r="B442" s="10"/>
      <c r="C442" s="10"/>
      <c r="D442" s="10"/>
      <c r="E442" s="10"/>
      <c r="F442" s="10"/>
      <c r="G442" s="32"/>
      <c r="H442" s="32"/>
      <c r="I442" s="32"/>
      <c r="J442" s="73"/>
      <c r="K442" s="32"/>
      <c r="L442" s="32"/>
      <c r="M442" s="32"/>
      <c r="N442" s="32"/>
      <c r="O442" s="2"/>
      <c r="P442" s="2"/>
      <c r="Q442" s="32"/>
      <c r="R442" s="32"/>
      <c r="S442" s="32"/>
      <c r="T442" s="32"/>
      <c r="U442" s="2"/>
      <c r="V442" s="2"/>
      <c r="W442" s="2"/>
      <c r="X442" s="2"/>
      <c r="Y442" s="2"/>
      <c r="Z442" s="2"/>
    </row>
    <row r="443" spans="1:26" ht="13.8" x14ac:dyDescent="0.3">
      <c r="A443" s="2"/>
      <c r="B443" s="10"/>
      <c r="C443" s="10"/>
      <c r="D443" s="10"/>
      <c r="E443" s="10"/>
      <c r="F443" s="10"/>
      <c r="G443" s="32"/>
      <c r="H443" s="32"/>
      <c r="I443" s="32"/>
      <c r="J443" s="73"/>
      <c r="K443" s="32"/>
      <c r="L443" s="32"/>
      <c r="M443" s="32"/>
      <c r="N443" s="32"/>
      <c r="O443" s="2"/>
      <c r="P443" s="2"/>
      <c r="Q443" s="32"/>
      <c r="R443" s="32"/>
      <c r="S443" s="32"/>
      <c r="T443" s="32"/>
      <c r="U443" s="2"/>
      <c r="V443" s="2"/>
      <c r="W443" s="2"/>
      <c r="X443" s="2"/>
      <c r="Y443" s="2"/>
      <c r="Z443" s="2"/>
    </row>
    <row r="444" spans="1:26" ht="13.8" x14ac:dyDescent="0.3">
      <c r="A444" s="2"/>
      <c r="B444" s="10"/>
      <c r="C444" s="10"/>
      <c r="D444" s="10"/>
      <c r="E444" s="10"/>
      <c r="F444" s="10"/>
      <c r="G444" s="32"/>
      <c r="H444" s="32"/>
      <c r="I444" s="32"/>
      <c r="J444" s="73"/>
      <c r="K444" s="32"/>
      <c r="L444" s="32"/>
      <c r="M444" s="32"/>
      <c r="N444" s="32"/>
      <c r="O444" s="2"/>
      <c r="P444" s="2"/>
      <c r="Q444" s="32"/>
      <c r="R444" s="32"/>
      <c r="S444" s="32"/>
      <c r="T444" s="32"/>
      <c r="U444" s="2"/>
      <c r="V444" s="2"/>
      <c r="W444" s="2"/>
      <c r="X444" s="2"/>
      <c r="Y444" s="2"/>
      <c r="Z444" s="2"/>
    </row>
    <row r="445" spans="1:26" ht="13.8" x14ac:dyDescent="0.3">
      <c r="A445" s="2"/>
      <c r="B445" s="10"/>
      <c r="C445" s="10"/>
      <c r="D445" s="10"/>
      <c r="E445" s="10"/>
      <c r="F445" s="10"/>
      <c r="G445" s="32"/>
      <c r="H445" s="32"/>
      <c r="I445" s="32"/>
      <c r="J445" s="73"/>
      <c r="K445" s="32"/>
      <c r="L445" s="32"/>
      <c r="M445" s="32"/>
      <c r="N445" s="32"/>
      <c r="O445" s="2"/>
      <c r="P445" s="2"/>
      <c r="Q445" s="32"/>
      <c r="R445" s="32"/>
      <c r="S445" s="32"/>
      <c r="T445" s="32"/>
      <c r="U445" s="2"/>
      <c r="V445" s="2"/>
      <c r="W445" s="2"/>
      <c r="X445" s="2"/>
      <c r="Y445" s="2"/>
      <c r="Z445" s="2"/>
    </row>
    <row r="446" spans="1:26" ht="13.8" x14ac:dyDescent="0.3">
      <c r="A446" s="2"/>
      <c r="B446" s="10"/>
      <c r="C446" s="10"/>
      <c r="D446" s="10"/>
      <c r="E446" s="10"/>
      <c r="F446" s="10"/>
      <c r="G446" s="32"/>
      <c r="H446" s="32"/>
      <c r="I446" s="32"/>
      <c r="J446" s="73"/>
      <c r="K446" s="32"/>
      <c r="L446" s="32"/>
      <c r="M446" s="32"/>
      <c r="N446" s="32"/>
      <c r="O446" s="2"/>
      <c r="P446" s="2"/>
      <c r="Q446" s="32"/>
      <c r="R446" s="32"/>
      <c r="S446" s="32"/>
      <c r="T446" s="32"/>
      <c r="U446" s="2"/>
      <c r="V446" s="2"/>
      <c r="W446" s="2"/>
      <c r="X446" s="2"/>
      <c r="Y446" s="2"/>
      <c r="Z446" s="2"/>
    </row>
    <row r="447" spans="1:26" ht="13.8" x14ac:dyDescent="0.3">
      <c r="A447" s="2"/>
      <c r="B447" s="10"/>
      <c r="C447" s="10"/>
      <c r="D447" s="10"/>
      <c r="E447" s="10"/>
      <c r="F447" s="10"/>
      <c r="G447" s="32"/>
      <c r="H447" s="32"/>
      <c r="I447" s="32"/>
      <c r="J447" s="73"/>
      <c r="K447" s="32"/>
      <c r="L447" s="32"/>
      <c r="M447" s="32"/>
      <c r="N447" s="32"/>
      <c r="O447" s="2"/>
      <c r="P447" s="2"/>
      <c r="Q447" s="32"/>
      <c r="R447" s="32"/>
      <c r="S447" s="32"/>
      <c r="T447" s="32"/>
      <c r="U447" s="2"/>
      <c r="V447" s="2"/>
      <c r="W447" s="2"/>
      <c r="X447" s="2"/>
      <c r="Y447" s="2"/>
      <c r="Z447" s="2"/>
    </row>
    <row r="448" spans="1:26" ht="13.8" x14ac:dyDescent="0.3">
      <c r="A448" s="2"/>
      <c r="B448" s="10"/>
      <c r="C448" s="10"/>
      <c r="D448" s="10"/>
      <c r="E448" s="10"/>
      <c r="F448" s="10"/>
      <c r="G448" s="32"/>
      <c r="H448" s="32"/>
      <c r="I448" s="32"/>
      <c r="J448" s="73"/>
      <c r="K448" s="32"/>
      <c r="L448" s="32"/>
      <c r="M448" s="32"/>
      <c r="N448" s="32"/>
      <c r="O448" s="2"/>
      <c r="P448" s="2"/>
      <c r="Q448" s="32"/>
      <c r="R448" s="32"/>
      <c r="S448" s="32"/>
      <c r="T448" s="32"/>
      <c r="U448" s="2"/>
      <c r="V448" s="2"/>
      <c r="W448" s="2"/>
      <c r="X448" s="2"/>
      <c r="Y448" s="2"/>
      <c r="Z448" s="2"/>
    </row>
    <row r="449" spans="1:26" ht="13.8" x14ac:dyDescent="0.3">
      <c r="A449" s="2"/>
      <c r="B449" s="10"/>
      <c r="C449" s="10"/>
      <c r="D449" s="10"/>
      <c r="E449" s="10"/>
      <c r="F449" s="10"/>
      <c r="G449" s="32"/>
      <c r="H449" s="32"/>
      <c r="I449" s="32"/>
      <c r="J449" s="73"/>
      <c r="K449" s="32"/>
      <c r="L449" s="32"/>
      <c r="M449" s="32"/>
      <c r="N449" s="32"/>
      <c r="O449" s="2"/>
      <c r="P449" s="2"/>
      <c r="Q449" s="32"/>
      <c r="R449" s="32"/>
      <c r="S449" s="32"/>
      <c r="T449" s="32"/>
      <c r="U449" s="2"/>
      <c r="V449" s="2"/>
      <c r="W449" s="2"/>
      <c r="X449" s="2"/>
      <c r="Y449" s="2"/>
      <c r="Z449" s="2"/>
    </row>
    <row r="450" spans="1:26" ht="13.8" x14ac:dyDescent="0.3">
      <c r="A450" s="2"/>
      <c r="B450" s="10"/>
      <c r="C450" s="10"/>
      <c r="D450" s="10"/>
      <c r="E450" s="10"/>
      <c r="F450" s="10"/>
      <c r="G450" s="32"/>
      <c r="H450" s="32"/>
      <c r="I450" s="32"/>
      <c r="J450" s="73"/>
      <c r="K450" s="32"/>
      <c r="L450" s="32"/>
      <c r="M450" s="32"/>
      <c r="N450" s="32"/>
      <c r="O450" s="2"/>
      <c r="P450" s="2"/>
      <c r="Q450" s="32"/>
      <c r="R450" s="32"/>
      <c r="S450" s="32"/>
      <c r="T450" s="32"/>
      <c r="U450" s="2"/>
      <c r="V450" s="2"/>
      <c r="W450" s="2"/>
      <c r="X450" s="2"/>
      <c r="Y450" s="2"/>
      <c r="Z450" s="2"/>
    </row>
    <row r="451" spans="1:26" ht="13.8" x14ac:dyDescent="0.3">
      <c r="A451" s="2"/>
      <c r="B451" s="10"/>
      <c r="C451" s="10"/>
      <c r="D451" s="10"/>
      <c r="E451" s="10"/>
      <c r="F451" s="10"/>
      <c r="G451" s="32"/>
      <c r="H451" s="32"/>
      <c r="I451" s="32"/>
      <c r="J451" s="73"/>
      <c r="K451" s="32"/>
      <c r="L451" s="32"/>
      <c r="M451" s="32"/>
      <c r="N451" s="32"/>
      <c r="O451" s="2"/>
      <c r="P451" s="2"/>
      <c r="Q451" s="32"/>
      <c r="R451" s="32"/>
      <c r="S451" s="32"/>
      <c r="T451" s="32"/>
      <c r="U451" s="2"/>
      <c r="V451" s="2"/>
      <c r="W451" s="2"/>
      <c r="X451" s="2"/>
      <c r="Y451" s="2"/>
      <c r="Z451" s="2"/>
    </row>
    <row r="452" spans="1:26" ht="13.8" x14ac:dyDescent="0.3">
      <c r="A452" s="2"/>
      <c r="B452" s="10"/>
      <c r="C452" s="10"/>
      <c r="D452" s="10"/>
      <c r="E452" s="10"/>
      <c r="F452" s="10"/>
      <c r="G452" s="32"/>
      <c r="H452" s="32"/>
      <c r="I452" s="32"/>
      <c r="J452" s="73"/>
      <c r="K452" s="32"/>
      <c r="L452" s="32"/>
      <c r="M452" s="32"/>
      <c r="N452" s="32"/>
      <c r="O452" s="2"/>
      <c r="P452" s="2"/>
      <c r="Q452" s="32"/>
      <c r="R452" s="32"/>
      <c r="S452" s="32"/>
      <c r="T452" s="32"/>
      <c r="U452" s="2"/>
      <c r="V452" s="2"/>
      <c r="W452" s="2"/>
      <c r="X452" s="2"/>
      <c r="Y452" s="2"/>
      <c r="Z452" s="2"/>
    </row>
    <row r="453" spans="1:26" ht="13.8" x14ac:dyDescent="0.3">
      <c r="A453" s="2"/>
      <c r="B453" s="10"/>
      <c r="C453" s="10"/>
      <c r="D453" s="10"/>
      <c r="E453" s="10"/>
      <c r="F453" s="10"/>
      <c r="G453" s="32"/>
      <c r="H453" s="32"/>
      <c r="I453" s="32"/>
      <c r="J453" s="73"/>
      <c r="K453" s="32"/>
      <c r="L453" s="32"/>
      <c r="M453" s="32"/>
      <c r="N453" s="32"/>
      <c r="O453" s="2"/>
      <c r="P453" s="2"/>
      <c r="Q453" s="32"/>
      <c r="R453" s="32"/>
      <c r="S453" s="32"/>
      <c r="T453" s="32"/>
      <c r="U453" s="2"/>
      <c r="V453" s="2"/>
      <c r="W453" s="2"/>
      <c r="X453" s="2"/>
      <c r="Y453" s="2"/>
      <c r="Z453" s="2"/>
    </row>
    <row r="454" spans="1:26" ht="13.8" x14ac:dyDescent="0.3">
      <c r="A454" s="2"/>
      <c r="B454" s="10"/>
      <c r="C454" s="10"/>
      <c r="D454" s="10"/>
      <c r="E454" s="10"/>
      <c r="F454" s="10"/>
      <c r="G454" s="32"/>
      <c r="H454" s="32"/>
      <c r="I454" s="32"/>
      <c r="J454" s="73"/>
      <c r="K454" s="32"/>
      <c r="L454" s="32"/>
      <c r="M454" s="32"/>
      <c r="N454" s="32"/>
      <c r="O454" s="2"/>
      <c r="P454" s="2"/>
      <c r="Q454" s="32"/>
      <c r="R454" s="32"/>
      <c r="S454" s="32"/>
      <c r="T454" s="32"/>
      <c r="U454" s="2"/>
      <c r="V454" s="2"/>
      <c r="W454" s="2"/>
      <c r="X454" s="2"/>
      <c r="Y454" s="2"/>
      <c r="Z454" s="2"/>
    </row>
    <row r="455" spans="1:26" ht="13.8" x14ac:dyDescent="0.3">
      <c r="A455" s="2"/>
      <c r="B455" s="10"/>
      <c r="C455" s="10"/>
      <c r="D455" s="10"/>
      <c r="E455" s="10"/>
      <c r="F455" s="10"/>
      <c r="G455" s="32"/>
      <c r="H455" s="32"/>
      <c r="I455" s="32"/>
      <c r="J455" s="73"/>
      <c r="K455" s="32"/>
      <c r="L455" s="32"/>
      <c r="M455" s="32"/>
      <c r="N455" s="32"/>
      <c r="O455" s="2"/>
      <c r="P455" s="2"/>
      <c r="Q455" s="32"/>
      <c r="R455" s="32"/>
      <c r="S455" s="32"/>
      <c r="T455" s="32"/>
      <c r="U455" s="2"/>
      <c r="V455" s="2"/>
      <c r="W455" s="2"/>
      <c r="X455" s="2"/>
      <c r="Y455" s="2"/>
      <c r="Z455" s="2"/>
    </row>
    <row r="456" spans="1:26" ht="13.8" x14ac:dyDescent="0.3">
      <c r="A456" s="2"/>
      <c r="B456" s="10"/>
      <c r="C456" s="10"/>
      <c r="D456" s="10"/>
      <c r="E456" s="10"/>
      <c r="F456" s="10"/>
      <c r="G456" s="32"/>
      <c r="H456" s="32"/>
      <c r="I456" s="32"/>
      <c r="J456" s="73"/>
      <c r="K456" s="32"/>
      <c r="L456" s="32"/>
      <c r="M456" s="32"/>
      <c r="N456" s="32"/>
      <c r="O456" s="2"/>
      <c r="P456" s="2"/>
      <c r="Q456" s="32"/>
      <c r="R456" s="32"/>
      <c r="S456" s="32"/>
      <c r="T456" s="32"/>
      <c r="U456" s="2"/>
      <c r="V456" s="2"/>
      <c r="W456" s="2"/>
      <c r="X456" s="2"/>
      <c r="Y456" s="2"/>
      <c r="Z456" s="2"/>
    </row>
    <row r="457" spans="1:26" ht="13.8" x14ac:dyDescent="0.3">
      <c r="A457" s="2"/>
      <c r="B457" s="10"/>
      <c r="C457" s="10"/>
      <c r="D457" s="10"/>
      <c r="E457" s="10"/>
      <c r="F457" s="10"/>
      <c r="G457" s="32"/>
      <c r="H457" s="32"/>
      <c r="I457" s="32"/>
      <c r="J457" s="73"/>
      <c r="K457" s="32"/>
      <c r="L457" s="32"/>
      <c r="M457" s="32"/>
      <c r="N457" s="32"/>
      <c r="O457" s="2"/>
      <c r="P457" s="2"/>
      <c r="Q457" s="32"/>
      <c r="R457" s="32"/>
      <c r="S457" s="32"/>
      <c r="T457" s="32"/>
      <c r="U457" s="2"/>
      <c r="V457" s="2"/>
      <c r="W457" s="2"/>
      <c r="X457" s="2"/>
      <c r="Y457" s="2"/>
      <c r="Z457" s="2"/>
    </row>
    <row r="458" spans="1:26" ht="13.8" x14ac:dyDescent="0.3">
      <c r="A458" s="2"/>
      <c r="B458" s="10"/>
      <c r="C458" s="10"/>
      <c r="D458" s="10"/>
      <c r="E458" s="10"/>
      <c r="F458" s="10"/>
      <c r="G458" s="32"/>
      <c r="H458" s="32"/>
      <c r="I458" s="32"/>
      <c r="J458" s="73"/>
      <c r="K458" s="32"/>
      <c r="L458" s="32"/>
      <c r="M458" s="32"/>
      <c r="N458" s="32"/>
      <c r="O458" s="2"/>
      <c r="P458" s="2"/>
      <c r="Q458" s="32"/>
      <c r="R458" s="32"/>
      <c r="S458" s="32"/>
      <c r="T458" s="32"/>
      <c r="U458" s="2"/>
      <c r="V458" s="2"/>
      <c r="W458" s="2"/>
      <c r="X458" s="2"/>
      <c r="Y458" s="2"/>
      <c r="Z458" s="2"/>
    </row>
    <row r="459" spans="1:26" ht="13.8" x14ac:dyDescent="0.3">
      <c r="A459" s="2"/>
      <c r="B459" s="10"/>
      <c r="C459" s="10"/>
      <c r="D459" s="10"/>
      <c r="E459" s="10"/>
      <c r="F459" s="10"/>
      <c r="G459" s="32"/>
      <c r="H459" s="32"/>
      <c r="I459" s="32"/>
      <c r="J459" s="73"/>
      <c r="K459" s="32"/>
      <c r="L459" s="32"/>
      <c r="M459" s="32"/>
      <c r="N459" s="32"/>
      <c r="O459" s="2"/>
      <c r="P459" s="2"/>
      <c r="Q459" s="32"/>
      <c r="R459" s="32"/>
      <c r="S459" s="32"/>
      <c r="T459" s="32"/>
      <c r="U459" s="2"/>
      <c r="V459" s="2"/>
      <c r="W459" s="2"/>
      <c r="X459" s="2"/>
      <c r="Y459" s="2"/>
      <c r="Z459" s="2"/>
    </row>
    <row r="460" spans="1:26" ht="13.8" x14ac:dyDescent="0.3">
      <c r="A460" s="2"/>
      <c r="B460" s="10"/>
      <c r="C460" s="10"/>
      <c r="D460" s="10"/>
      <c r="E460" s="10"/>
      <c r="F460" s="10"/>
      <c r="G460" s="32"/>
      <c r="H460" s="32"/>
      <c r="I460" s="32"/>
      <c r="J460" s="73"/>
      <c r="K460" s="32"/>
      <c r="L460" s="32"/>
      <c r="M460" s="32"/>
      <c r="N460" s="32"/>
      <c r="O460" s="2"/>
      <c r="P460" s="2"/>
      <c r="Q460" s="32"/>
      <c r="R460" s="32"/>
      <c r="S460" s="32"/>
      <c r="T460" s="32"/>
      <c r="U460" s="2"/>
      <c r="V460" s="2"/>
      <c r="W460" s="2"/>
      <c r="X460" s="2"/>
      <c r="Y460" s="2"/>
      <c r="Z460" s="2"/>
    </row>
    <row r="461" spans="1:26" ht="13.8" x14ac:dyDescent="0.3">
      <c r="A461" s="2"/>
      <c r="B461" s="10"/>
      <c r="C461" s="10"/>
      <c r="D461" s="10"/>
      <c r="E461" s="10"/>
      <c r="F461" s="10"/>
      <c r="G461" s="32"/>
      <c r="H461" s="32"/>
      <c r="I461" s="32"/>
      <c r="J461" s="73"/>
      <c r="K461" s="32"/>
      <c r="L461" s="32"/>
      <c r="M461" s="32"/>
      <c r="N461" s="32"/>
      <c r="O461" s="2"/>
      <c r="P461" s="2"/>
      <c r="Q461" s="32"/>
      <c r="R461" s="32"/>
      <c r="S461" s="32"/>
      <c r="T461" s="32"/>
      <c r="U461" s="2"/>
      <c r="V461" s="2"/>
      <c r="W461" s="2"/>
      <c r="X461" s="2"/>
      <c r="Y461" s="2"/>
      <c r="Z461" s="2"/>
    </row>
    <row r="462" spans="1:26" ht="13.8" x14ac:dyDescent="0.3">
      <c r="A462" s="2"/>
      <c r="B462" s="10"/>
      <c r="C462" s="10"/>
      <c r="D462" s="10"/>
      <c r="E462" s="10"/>
      <c r="F462" s="10"/>
      <c r="G462" s="32"/>
      <c r="H462" s="32"/>
      <c r="I462" s="32"/>
      <c r="J462" s="73"/>
      <c r="K462" s="32"/>
      <c r="L462" s="32"/>
      <c r="M462" s="32"/>
      <c r="N462" s="32"/>
      <c r="O462" s="2"/>
      <c r="P462" s="2"/>
      <c r="Q462" s="32"/>
      <c r="R462" s="32"/>
      <c r="S462" s="32"/>
      <c r="T462" s="32"/>
      <c r="U462" s="2"/>
      <c r="V462" s="2"/>
      <c r="W462" s="2"/>
      <c r="X462" s="2"/>
      <c r="Y462" s="2"/>
      <c r="Z462" s="2"/>
    </row>
    <row r="463" spans="1:26" ht="13.8" x14ac:dyDescent="0.3">
      <c r="A463" s="2"/>
      <c r="B463" s="10"/>
      <c r="C463" s="10"/>
      <c r="D463" s="10"/>
      <c r="E463" s="10"/>
      <c r="F463" s="10"/>
      <c r="G463" s="32"/>
      <c r="H463" s="32"/>
      <c r="I463" s="32"/>
      <c r="J463" s="73"/>
      <c r="K463" s="32"/>
      <c r="L463" s="32"/>
      <c r="M463" s="32"/>
      <c r="N463" s="32"/>
      <c r="O463" s="2"/>
      <c r="P463" s="2"/>
      <c r="Q463" s="32"/>
      <c r="R463" s="32"/>
      <c r="S463" s="32"/>
      <c r="T463" s="32"/>
      <c r="U463" s="2"/>
      <c r="V463" s="2"/>
      <c r="W463" s="2"/>
      <c r="X463" s="2"/>
      <c r="Y463" s="2"/>
      <c r="Z463" s="2"/>
    </row>
    <row r="464" spans="1:26" ht="13.8" x14ac:dyDescent="0.3">
      <c r="A464" s="2"/>
      <c r="B464" s="10"/>
      <c r="C464" s="10"/>
      <c r="D464" s="10"/>
      <c r="E464" s="10"/>
      <c r="F464" s="10"/>
      <c r="G464" s="32"/>
      <c r="H464" s="32"/>
      <c r="I464" s="32"/>
      <c r="J464" s="73"/>
      <c r="K464" s="32"/>
      <c r="L464" s="32"/>
      <c r="M464" s="32"/>
      <c r="N464" s="32"/>
      <c r="O464" s="2"/>
      <c r="P464" s="2"/>
      <c r="Q464" s="32"/>
      <c r="R464" s="32"/>
      <c r="S464" s="32"/>
      <c r="T464" s="32"/>
      <c r="U464" s="2"/>
      <c r="V464" s="2"/>
      <c r="W464" s="2"/>
      <c r="X464" s="2"/>
      <c r="Y464" s="2"/>
      <c r="Z464" s="2"/>
    </row>
    <row r="465" spans="1:26" ht="13.8" x14ac:dyDescent="0.3">
      <c r="A465" s="2"/>
      <c r="B465" s="10"/>
      <c r="C465" s="10"/>
      <c r="D465" s="10"/>
      <c r="E465" s="10"/>
      <c r="F465" s="10"/>
      <c r="G465" s="32"/>
      <c r="H465" s="32"/>
      <c r="I465" s="32"/>
      <c r="J465" s="73"/>
      <c r="K465" s="32"/>
      <c r="L465" s="32"/>
      <c r="M465" s="32"/>
      <c r="N465" s="32"/>
      <c r="O465" s="2"/>
      <c r="P465" s="2"/>
      <c r="Q465" s="32"/>
      <c r="R465" s="32"/>
      <c r="S465" s="32"/>
      <c r="T465" s="32"/>
      <c r="U465" s="2"/>
      <c r="V465" s="2"/>
      <c r="W465" s="2"/>
      <c r="X465" s="2"/>
      <c r="Y465" s="2"/>
      <c r="Z465" s="2"/>
    </row>
    <row r="466" spans="1:26" ht="13.8" x14ac:dyDescent="0.3">
      <c r="A466" s="2"/>
      <c r="B466" s="10"/>
      <c r="C466" s="10"/>
      <c r="D466" s="10"/>
      <c r="E466" s="10"/>
      <c r="F466" s="10"/>
      <c r="G466" s="32"/>
      <c r="H466" s="32"/>
      <c r="I466" s="32"/>
      <c r="J466" s="73"/>
      <c r="K466" s="32"/>
      <c r="L466" s="32"/>
      <c r="M466" s="32"/>
      <c r="N466" s="32"/>
      <c r="O466" s="2"/>
      <c r="P466" s="2"/>
      <c r="Q466" s="32"/>
      <c r="R466" s="32"/>
      <c r="S466" s="32"/>
      <c r="T466" s="32"/>
      <c r="U466" s="2"/>
      <c r="V466" s="2"/>
      <c r="W466" s="2"/>
      <c r="X466" s="2"/>
      <c r="Y466" s="2"/>
      <c r="Z466" s="2"/>
    </row>
    <row r="467" spans="1:26" ht="13.8" x14ac:dyDescent="0.3">
      <c r="A467" s="2"/>
      <c r="B467" s="10"/>
      <c r="C467" s="10"/>
      <c r="D467" s="10"/>
      <c r="E467" s="10"/>
      <c r="F467" s="10"/>
      <c r="G467" s="32"/>
      <c r="H467" s="32"/>
      <c r="I467" s="32"/>
      <c r="J467" s="73"/>
      <c r="K467" s="32"/>
      <c r="L467" s="32"/>
      <c r="M467" s="32"/>
      <c r="N467" s="32"/>
      <c r="O467" s="2"/>
      <c r="P467" s="2"/>
      <c r="Q467" s="32"/>
      <c r="R467" s="32"/>
      <c r="S467" s="32"/>
      <c r="T467" s="32"/>
      <c r="U467" s="2"/>
      <c r="V467" s="2"/>
      <c r="W467" s="2"/>
      <c r="X467" s="2"/>
      <c r="Y467" s="2"/>
      <c r="Z467" s="2"/>
    </row>
    <row r="468" spans="1:26" ht="13.8" x14ac:dyDescent="0.3">
      <c r="A468" s="2"/>
      <c r="B468" s="10"/>
      <c r="C468" s="10"/>
      <c r="D468" s="10"/>
      <c r="E468" s="10"/>
      <c r="F468" s="10"/>
      <c r="G468" s="32"/>
      <c r="H468" s="32"/>
      <c r="I468" s="32"/>
      <c r="J468" s="73"/>
      <c r="K468" s="32"/>
      <c r="L468" s="32"/>
      <c r="M468" s="32"/>
      <c r="N468" s="32"/>
      <c r="O468" s="2"/>
      <c r="P468" s="2"/>
      <c r="Q468" s="32"/>
      <c r="R468" s="32"/>
      <c r="S468" s="32"/>
      <c r="T468" s="32"/>
      <c r="U468" s="2"/>
      <c r="V468" s="2"/>
      <c r="W468" s="2"/>
      <c r="X468" s="2"/>
      <c r="Y468" s="2"/>
      <c r="Z468" s="2"/>
    </row>
    <row r="469" spans="1:26" ht="13.8" x14ac:dyDescent="0.3">
      <c r="A469" s="2"/>
      <c r="B469" s="10"/>
      <c r="C469" s="10"/>
      <c r="D469" s="10"/>
      <c r="E469" s="10"/>
      <c r="F469" s="10"/>
      <c r="G469" s="32"/>
      <c r="H469" s="32"/>
      <c r="I469" s="32"/>
      <c r="J469" s="73"/>
      <c r="K469" s="32"/>
      <c r="L469" s="32"/>
      <c r="M469" s="32"/>
      <c r="N469" s="32"/>
      <c r="O469" s="2"/>
      <c r="P469" s="2"/>
      <c r="Q469" s="32"/>
      <c r="R469" s="32"/>
      <c r="S469" s="32"/>
      <c r="T469" s="32"/>
      <c r="U469" s="2"/>
      <c r="V469" s="2"/>
      <c r="W469" s="2"/>
      <c r="X469" s="2"/>
      <c r="Y469" s="2"/>
      <c r="Z469" s="2"/>
    </row>
    <row r="470" spans="1:26" ht="13.8" x14ac:dyDescent="0.3">
      <c r="A470" s="2"/>
      <c r="B470" s="10"/>
      <c r="C470" s="10"/>
      <c r="D470" s="10"/>
      <c r="E470" s="10"/>
      <c r="F470" s="10"/>
      <c r="G470" s="32"/>
      <c r="H470" s="32"/>
      <c r="I470" s="32"/>
      <c r="J470" s="73"/>
      <c r="K470" s="32"/>
      <c r="L470" s="32"/>
      <c r="M470" s="32"/>
      <c r="N470" s="32"/>
      <c r="O470" s="2"/>
      <c r="P470" s="2"/>
      <c r="Q470" s="32"/>
      <c r="R470" s="32"/>
      <c r="S470" s="32"/>
      <c r="T470" s="32"/>
      <c r="U470" s="2"/>
      <c r="V470" s="2"/>
      <c r="W470" s="2"/>
      <c r="X470" s="2"/>
      <c r="Y470" s="2"/>
      <c r="Z470" s="2"/>
    </row>
    <row r="471" spans="1:26" ht="13.8" x14ac:dyDescent="0.3">
      <c r="A471" s="2"/>
      <c r="B471" s="10"/>
      <c r="C471" s="10"/>
      <c r="D471" s="10"/>
      <c r="E471" s="10"/>
      <c r="F471" s="10"/>
      <c r="G471" s="32"/>
      <c r="H471" s="32"/>
      <c r="I471" s="32"/>
      <c r="J471" s="73"/>
      <c r="K471" s="32"/>
      <c r="L471" s="32"/>
      <c r="M471" s="32"/>
      <c r="N471" s="32"/>
      <c r="O471" s="2"/>
      <c r="P471" s="2"/>
      <c r="Q471" s="32"/>
      <c r="R471" s="32"/>
      <c r="S471" s="32"/>
      <c r="T471" s="32"/>
      <c r="U471" s="2"/>
      <c r="V471" s="2"/>
      <c r="W471" s="2"/>
      <c r="X471" s="2"/>
      <c r="Y471" s="2"/>
      <c r="Z471" s="2"/>
    </row>
    <row r="472" spans="1:26" ht="13.8" x14ac:dyDescent="0.3">
      <c r="A472" s="2"/>
      <c r="B472" s="10"/>
      <c r="C472" s="10"/>
      <c r="D472" s="10"/>
      <c r="E472" s="10"/>
      <c r="F472" s="10"/>
      <c r="G472" s="32"/>
      <c r="H472" s="32"/>
      <c r="I472" s="32"/>
      <c r="J472" s="73"/>
      <c r="K472" s="32"/>
      <c r="L472" s="32"/>
      <c r="M472" s="32"/>
      <c r="N472" s="32"/>
      <c r="O472" s="2"/>
      <c r="P472" s="2"/>
      <c r="Q472" s="32"/>
      <c r="R472" s="32"/>
      <c r="S472" s="32"/>
      <c r="T472" s="32"/>
      <c r="U472" s="2"/>
      <c r="V472" s="2"/>
      <c r="W472" s="2"/>
      <c r="X472" s="2"/>
      <c r="Y472" s="2"/>
      <c r="Z472" s="2"/>
    </row>
    <row r="473" spans="1:26" ht="13.8" x14ac:dyDescent="0.3">
      <c r="A473" s="2"/>
      <c r="B473" s="10"/>
      <c r="C473" s="10"/>
      <c r="D473" s="10"/>
      <c r="E473" s="10"/>
      <c r="F473" s="10"/>
      <c r="G473" s="32"/>
      <c r="H473" s="32"/>
      <c r="I473" s="32"/>
      <c r="J473" s="73"/>
      <c r="K473" s="32"/>
      <c r="L473" s="32"/>
      <c r="M473" s="32"/>
      <c r="N473" s="32"/>
      <c r="O473" s="2"/>
      <c r="P473" s="2"/>
      <c r="Q473" s="32"/>
      <c r="R473" s="32"/>
      <c r="S473" s="32"/>
      <c r="T473" s="32"/>
      <c r="U473" s="2"/>
      <c r="V473" s="2"/>
      <c r="W473" s="2"/>
      <c r="X473" s="2"/>
      <c r="Y473" s="2"/>
      <c r="Z473" s="2"/>
    </row>
    <row r="474" spans="1:26" ht="13.8" x14ac:dyDescent="0.3">
      <c r="A474" s="2"/>
      <c r="B474" s="10"/>
      <c r="C474" s="10"/>
      <c r="D474" s="10"/>
      <c r="E474" s="10"/>
      <c r="F474" s="10"/>
      <c r="G474" s="32"/>
      <c r="H474" s="32"/>
      <c r="I474" s="32"/>
      <c r="J474" s="73"/>
      <c r="K474" s="32"/>
      <c r="L474" s="32"/>
      <c r="M474" s="32"/>
      <c r="N474" s="32"/>
      <c r="O474" s="2"/>
      <c r="P474" s="2"/>
      <c r="Q474" s="32"/>
      <c r="R474" s="32"/>
      <c r="S474" s="32"/>
      <c r="T474" s="32"/>
      <c r="U474" s="2"/>
      <c r="V474" s="2"/>
      <c r="W474" s="2"/>
      <c r="X474" s="2"/>
      <c r="Y474" s="2"/>
      <c r="Z474" s="2"/>
    </row>
    <row r="475" spans="1:26" ht="13.8" x14ac:dyDescent="0.3">
      <c r="A475" s="2"/>
      <c r="B475" s="10"/>
      <c r="C475" s="10"/>
      <c r="D475" s="10"/>
      <c r="E475" s="10"/>
      <c r="F475" s="10"/>
      <c r="G475" s="32"/>
      <c r="H475" s="32"/>
      <c r="I475" s="32"/>
      <c r="J475" s="73"/>
      <c r="K475" s="32"/>
      <c r="L475" s="32"/>
      <c r="M475" s="32"/>
      <c r="N475" s="32"/>
      <c r="O475" s="2"/>
      <c r="P475" s="2"/>
      <c r="Q475" s="32"/>
      <c r="R475" s="32"/>
      <c r="S475" s="32"/>
      <c r="T475" s="32"/>
      <c r="U475" s="2"/>
      <c r="V475" s="2"/>
      <c r="W475" s="2"/>
      <c r="X475" s="2"/>
      <c r="Y475" s="2"/>
      <c r="Z475" s="2"/>
    </row>
    <row r="476" spans="1:26" ht="13.8" x14ac:dyDescent="0.3">
      <c r="A476" s="2"/>
      <c r="B476" s="10"/>
      <c r="C476" s="10"/>
      <c r="D476" s="10"/>
      <c r="E476" s="10"/>
      <c r="F476" s="10"/>
      <c r="G476" s="32"/>
      <c r="H476" s="32"/>
      <c r="I476" s="32"/>
      <c r="J476" s="73"/>
      <c r="K476" s="32"/>
      <c r="L476" s="32"/>
      <c r="M476" s="32"/>
      <c r="N476" s="32"/>
      <c r="O476" s="2"/>
      <c r="P476" s="2"/>
      <c r="Q476" s="32"/>
      <c r="R476" s="32"/>
      <c r="S476" s="32"/>
      <c r="T476" s="32"/>
      <c r="U476" s="2"/>
      <c r="V476" s="2"/>
      <c r="W476" s="2"/>
      <c r="X476" s="2"/>
      <c r="Y476" s="2"/>
      <c r="Z476" s="2"/>
    </row>
    <row r="477" spans="1:26" ht="13.8" x14ac:dyDescent="0.3">
      <c r="A477" s="2"/>
      <c r="B477" s="10"/>
      <c r="C477" s="10"/>
      <c r="D477" s="10"/>
      <c r="E477" s="10"/>
      <c r="F477" s="10"/>
      <c r="G477" s="32"/>
      <c r="H477" s="32"/>
      <c r="I477" s="32"/>
      <c r="J477" s="73"/>
      <c r="K477" s="32"/>
      <c r="L477" s="32"/>
      <c r="M477" s="32"/>
      <c r="N477" s="32"/>
      <c r="O477" s="2"/>
      <c r="P477" s="2"/>
      <c r="Q477" s="32"/>
      <c r="R477" s="32"/>
      <c r="S477" s="32"/>
      <c r="T477" s="32"/>
      <c r="U477" s="2"/>
      <c r="V477" s="2"/>
      <c r="W477" s="2"/>
      <c r="X477" s="2"/>
      <c r="Y477" s="2"/>
      <c r="Z477" s="2"/>
    </row>
    <row r="478" spans="1:26" ht="13.8" x14ac:dyDescent="0.3">
      <c r="A478" s="2"/>
      <c r="B478" s="10"/>
      <c r="C478" s="10"/>
      <c r="D478" s="10"/>
      <c r="E478" s="10"/>
      <c r="F478" s="10"/>
      <c r="G478" s="32"/>
      <c r="H478" s="32"/>
      <c r="I478" s="32"/>
      <c r="J478" s="73"/>
      <c r="K478" s="32"/>
      <c r="L478" s="32"/>
      <c r="M478" s="32"/>
      <c r="N478" s="32"/>
      <c r="O478" s="2"/>
      <c r="P478" s="2"/>
      <c r="Q478" s="32"/>
      <c r="R478" s="32"/>
      <c r="S478" s="32"/>
      <c r="T478" s="32"/>
      <c r="U478" s="2"/>
      <c r="V478" s="2"/>
      <c r="W478" s="2"/>
      <c r="X478" s="2"/>
      <c r="Y478" s="2"/>
      <c r="Z478" s="2"/>
    </row>
    <row r="479" spans="1:26" ht="13.8" x14ac:dyDescent="0.3">
      <c r="A479" s="2"/>
      <c r="B479" s="10"/>
      <c r="C479" s="10"/>
      <c r="D479" s="10"/>
      <c r="E479" s="10"/>
      <c r="F479" s="10"/>
      <c r="G479" s="32"/>
      <c r="H479" s="32"/>
      <c r="I479" s="32"/>
      <c r="J479" s="73"/>
      <c r="K479" s="32"/>
      <c r="L479" s="32"/>
      <c r="M479" s="32"/>
      <c r="N479" s="32"/>
      <c r="O479" s="2"/>
      <c r="P479" s="2"/>
      <c r="Q479" s="32"/>
      <c r="R479" s="32"/>
      <c r="S479" s="32"/>
      <c r="T479" s="32"/>
      <c r="U479" s="2"/>
      <c r="V479" s="2"/>
      <c r="W479" s="2"/>
      <c r="X479" s="2"/>
      <c r="Y479" s="2"/>
      <c r="Z479" s="2"/>
    </row>
    <row r="480" spans="1:26" ht="13.8" x14ac:dyDescent="0.3">
      <c r="A480" s="2"/>
      <c r="B480" s="10"/>
      <c r="C480" s="10"/>
      <c r="D480" s="10"/>
      <c r="E480" s="10"/>
      <c r="F480" s="10"/>
      <c r="G480" s="32"/>
      <c r="H480" s="32"/>
      <c r="I480" s="32"/>
      <c r="J480" s="73"/>
      <c r="K480" s="32"/>
      <c r="L480" s="32"/>
      <c r="M480" s="32"/>
      <c r="N480" s="32"/>
      <c r="O480" s="2"/>
      <c r="P480" s="2"/>
      <c r="Q480" s="32"/>
      <c r="R480" s="32"/>
      <c r="S480" s="32"/>
      <c r="T480" s="32"/>
      <c r="U480" s="2"/>
      <c r="V480" s="2"/>
      <c r="W480" s="2"/>
      <c r="X480" s="2"/>
      <c r="Y480" s="2"/>
      <c r="Z480" s="2"/>
    </row>
    <row r="481" spans="1:26" ht="13.8" x14ac:dyDescent="0.3">
      <c r="A481" s="2"/>
      <c r="B481" s="10"/>
      <c r="C481" s="10"/>
      <c r="D481" s="10"/>
      <c r="E481" s="10"/>
      <c r="F481" s="10"/>
      <c r="G481" s="32"/>
      <c r="H481" s="32"/>
      <c r="I481" s="32"/>
      <c r="J481" s="73"/>
      <c r="K481" s="32"/>
      <c r="L481" s="32"/>
      <c r="M481" s="32"/>
      <c r="N481" s="32"/>
      <c r="O481" s="2"/>
      <c r="P481" s="2"/>
      <c r="Q481" s="32"/>
      <c r="R481" s="32"/>
      <c r="S481" s="32"/>
      <c r="T481" s="32"/>
      <c r="U481" s="2"/>
      <c r="V481" s="2"/>
      <c r="W481" s="2"/>
      <c r="X481" s="2"/>
      <c r="Y481" s="2"/>
      <c r="Z481" s="2"/>
    </row>
    <row r="482" spans="1:26" ht="13.8" x14ac:dyDescent="0.3">
      <c r="A482" s="2"/>
      <c r="B482" s="10"/>
      <c r="C482" s="10"/>
      <c r="D482" s="10"/>
      <c r="E482" s="10"/>
      <c r="F482" s="10"/>
      <c r="G482" s="32"/>
      <c r="H482" s="32"/>
      <c r="I482" s="32"/>
      <c r="J482" s="73"/>
      <c r="K482" s="32"/>
      <c r="L482" s="32"/>
      <c r="M482" s="32"/>
      <c r="N482" s="32"/>
      <c r="O482" s="2"/>
      <c r="P482" s="2"/>
      <c r="Q482" s="32"/>
      <c r="R482" s="32"/>
      <c r="S482" s="32"/>
      <c r="T482" s="32"/>
      <c r="U482" s="2"/>
      <c r="V482" s="2"/>
      <c r="W482" s="2"/>
      <c r="X482" s="2"/>
      <c r="Y482" s="2"/>
      <c r="Z482" s="2"/>
    </row>
    <row r="483" spans="1:26" ht="13.8" x14ac:dyDescent="0.3">
      <c r="A483" s="2"/>
      <c r="B483" s="10"/>
      <c r="C483" s="10"/>
      <c r="D483" s="10"/>
      <c r="E483" s="10"/>
      <c r="F483" s="10"/>
      <c r="G483" s="32"/>
      <c r="H483" s="32"/>
      <c r="I483" s="32"/>
      <c r="J483" s="73"/>
      <c r="K483" s="32"/>
      <c r="L483" s="32"/>
      <c r="M483" s="32"/>
      <c r="N483" s="32"/>
      <c r="O483" s="2"/>
      <c r="P483" s="2"/>
      <c r="Q483" s="32"/>
      <c r="R483" s="32"/>
      <c r="S483" s="32"/>
      <c r="T483" s="32"/>
      <c r="U483" s="2"/>
      <c r="V483" s="2"/>
      <c r="W483" s="2"/>
      <c r="X483" s="2"/>
      <c r="Y483" s="2"/>
      <c r="Z483" s="2"/>
    </row>
    <row r="484" spans="1:26" ht="13.8" x14ac:dyDescent="0.3">
      <c r="A484" s="2"/>
      <c r="B484" s="10"/>
      <c r="C484" s="10"/>
      <c r="D484" s="10"/>
      <c r="E484" s="10"/>
      <c r="F484" s="10"/>
      <c r="G484" s="32"/>
      <c r="H484" s="32"/>
      <c r="I484" s="32"/>
      <c r="J484" s="73"/>
      <c r="K484" s="32"/>
      <c r="L484" s="32"/>
      <c r="M484" s="32"/>
      <c r="N484" s="32"/>
      <c r="O484" s="2"/>
      <c r="P484" s="2"/>
      <c r="Q484" s="32"/>
      <c r="R484" s="32"/>
      <c r="S484" s="32"/>
      <c r="T484" s="32"/>
      <c r="U484" s="2"/>
      <c r="V484" s="2"/>
      <c r="W484" s="2"/>
      <c r="X484" s="2"/>
      <c r="Y484" s="2"/>
      <c r="Z484" s="2"/>
    </row>
    <row r="485" spans="1:26" ht="13.8" x14ac:dyDescent="0.3">
      <c r="A485" s="2"/>
      <c r="B485" s="10"/>
      <c r="C485" s="10"/>
      <c r="D485" s="10"/>
      <c r="E485" s="10"/>
      <c r="F485" s="10"/>
      <c r="G485" s="32"/>
      <c r="H485" s="32"/>
      <c r="I485" s="32"/>
      <c r="J485" s="73"/>
      <c r="K485" s="32"/>
      <c r="L485" s="32"/>
      <c r="M485" s="32"/>
      <c r="N485" s="32"/>
      <c r="O485" s="2"/>
      <c r="P485" s="2"/>
      <c r="Q485" s="32"/>
      <c r="R485" s="32"/>
      <c r="S485" s="32"/>
      <c r="T485" s="32"/>
      <c r="U485" s="2"/>
      <c r="V485" s="2"/>
      <c r="W485" s="2"/>
      <c r="X485" s="2"/>
      <c r="Y485" s="2"/>
      <c r="Z485" s="2"/>
    </row>
    <row r="486" spans="1:26" ht="13.8" x14ac:dyDescent="0.3">
      <c r="A486" s="2"/>
      <c r="B486" s="10"/>
      <c r="C486" s="10"/>
      <c r="D486" s="10"/>
      <c r="E486" s="10"/>
      <c r="F486" s="10"/>
      <c r="G486" s="32"/>
      <c r="H486" s="32"/>
      <c r="I486" s="32"/>
      <c r="J486" s="73"/>
      <c r="K486" s="32"/>
      <c r="L486" s="32"/>
      <c r="M486" s="32"/>
      <c r="N486" s="32"/>
      <c r="O486" s="2"/>
      <c r="P486" s="2"/>
      <c r="Q486" s="32"/>
      <c r="R486" s="32"/>
      <c r="S486" s="32"/>
      <c r="T486" s="32"/>
      <c r="U486" s="2"/>
      <c r="V486" s="2"/>
      <c r="W486" s="2"/>
      <c r="X486" s="2"/>
      <c r="Y486" s="2"/>
      <c r="Z486" s="2"/>
    </row>
    <row r="487" spans="1:26" ht="13.8" x14ac:dyDescent="0.3">
      <c r="A487" s="2"/>
      <c r="B487" s="10"/>
      <c r="C487" s="10"/>
      <c r="D487" s="10"/>
      <c r="E487" s="10"/>
      <c r="F487" s="10"/>
      <c r="G487" s="32"/>
      <c r="H487" s="32"/>
      <c r="I487" s="32"/>
      <c r="J487" s="73"/>
      <c r="K487" s="32"/>
      <c r="L487" s="32"/>
      <c r="M487" s="32"/>
      <c r="N487" s="32"/>
      <c r="O487" s="2"/>
      <c r="P487" s="2"/>
      <c r="Q487" s="32"/>
      <c r="R487" s="32"/>
      <c r="S487" s="32"/>
      <c r="T487" s="32"/>
      <c r="U487" s="2"/>
      <c r="V487" s="2"/>
      <c r="W487" s="2"/>
      <c r="X487" s="2"/>
      <c r="Y487" s="2"/>
      <c r="Z487" s="2"/>
    </row>
    <row r="488" spans="1:26" ht="13.8" x14ac:dyDescent="0.3">
      <c r="A488" s="2"/>
      <c r="B488" s="10"/>
      <c r="C488" s="10"/>
      <c r="D488" s="10"/>
      <c r="E488" s="10"/>
      <c r="F488" s="10"/>
      <c r="G488" s="32"/>
      <c r="H488" s="32"/>
      <c r="I488" s="32"/>
      <c r="J488" s="73"/>
      <c r="K488" s="32"/>
      <c r="L488" s="32"/>
      <c r="M488" s="32"/>
      <c r="N488" s="32"/>
      <c r="O488" s="2"/>
      <c r="P488" s="2"/>
      <c r="Q488" s="32"/>
      <c r="R488" s="32"/>
      <c r="S488" s="32"/>
      <c r="T488" s="32"/>
      <c r="U488" s="2"/>
      <c r="V488" s="2"/>
      <c r="W488" s="2"/>
      <c r="X488" s="2"/>
      <c r="Y488" s="2"/>
      <c r="Z488" s="2"/>
    </row>
    <row r="489" spans="1:26" ht="13.8" x14ac:dyDescent="0.3">
      <c r="A489" s="2"/>
      <c r="B489" s="10"/>
      <c r="C489" s="10"/>
      <c r="D489" s="10"/>
      <c r="E489" s="10"/>
      <c r="F489" s="10"/>
      <c r="G489" s="32"/>
      <c r="H489" s="32"/>
      <c r="I489" s="32"/>
      <c r="J489" s="73"/>
      <c r="K489" s="32"/>
      <c r="L489" s="32"/>
      <c r="M489" s="32"/>
      <c r="N489" s="32"/>
      <c r="O489" s="2"/>
      <c r="P489" s="2"/>
      <c r="Q489" s="32"/>
      <c r="R489" s="32"/>
      <c r="S489" s="32"/>
      <c r="T489" s="32"/>
      <c r="U489" s="2"/>
      <c r="V489" s="2"/>
      <c r="W489" s="2"/>
      <c r="X489" s="2"/>
      <c r="Y489" s="2"/>
      <c r="Z489" s="2"/>
    </row>
    <row r="490" spans="1:26" ht="13.8" x14ac:dyDescent="0.3">
      <c r="A490" s="2"/>
      <c r="B490" s="10"/>
      <c r="C490" s="10"/>
      <c r="D490" s="10"/>
      <c r="E490" s="10"/>
      <c r="F490" s="10"/>
      <c r="G490" s="32"/>
      <c r="H490" s="32"/>
      <c r="I490" s="32"/>
      <c r="J490" s="73"/>
      <c r="K490" s="32"/>
      <c r="L490" s="32"/>
      <c r="M490" s="32"/>
      <c r="N490" s="32"/>
      <c r="O490" s="2"/>
      <c r="P490" s="2"/>
      <c r="Q490" s="32"/>
      <c r="R490" s="32"/>
      <c r="S490" s="32"/>
      <c r="T490" s="32"/>
      <c r="U490" s="2"/>
      <c r="V490" s="2"/>
      <c r="W490" s="2"/>
      <c r="X490" s="2"/>
      <c r="Y490" s="2"/>
      <c r="Z490" s="2"/>
    </row>
    <row r="491" spans="1:26" ht="13.8" x14ac:dyDescent="0.3">
      <c r="A491" s="2"/>
      <c r="B491" s="10"/>
      <c r="C491" s="10"/>
      <c r="D491" s="10"/>
      <c r="E491" s="10"/>
      <c r="F491" s="10"/>
      <c r="G491" s="32"/>
      <c r="H491" s="32"/>
      <c r="I491" s="32"/>
      <c r="J491" s="73"/>
      <c r="K491" s="32"/>
      <c r="L491" s="32"/>
      <c r="M491" s="32"/>
      <c r="N491" s="32"/>
      <c r="O491" s="2"/>
      <c r="P491" s="2"/>
      <c r="Q491" s="32"/>
      <c r="R491" s="32"/>
      <c r="S491" s="32"/>
      <c r="T491" s="32"/>
      <c r="U491" s="2"/>
      <c r="V491" s="2"/>
      <c r="W491" s="2"/>
      <c r="X491" s="2"/>
      <c r="Y491" s="2"/>
      <c r="Z491" s="2"/>
    </row>
    <row r="492" spans="1:26" ht="13.8" x14ac:dyDescent="0.3">
      <c r="A492" s="2"/>
      <c r="B492" s="10"/>
      <c r="C492" s="10"/>
      <c r="D492" s="10"/>
      <c r="E492" s="10"/>
      <c r="F492" s="10"/>
      <c r="G492" s="32"/>
      <c r="H492" s="32"/>
      <c r="I492" s="32"/>
      <c r="J492" s="73"/>
      <c r="K492" s="32"/>
      <c r="L492" s="32"/>
      <c r="M492" s="32"/>
      <c r="N492" s="32"/>
      <c r="O492" s="2"/>
      <c r="P492" s="2"/>
      <c r="Q492" s="32"/>
      <c r="R492" s="32"/>
      <c r="S492" s="32"/>
      <c r="T492" s="32"/>
      <c r="U492" s="2"/>
      <c r="V492" s="2"/>
      <c r="W492" s="2"/>
      <c r="X492" s="2"/>
      <c r="Y492" s="2"/>
      <c r="Z492" s="2"/>
    </row>
    <row r="493" spans="1:26" ht="13.8" x14ac:dyDescent="0.3">
      <c r="A493" s="2"/>
      <c r="B493" s="10"/>
      <c r="C493" s="10"/>
      <c r="D493" s="10"/>
      <c r="E493" s="10"/>
      <c r="F493" s="10"/>
      <c r="G493" s="32"/>
      <c r="H493" s="32"/>
      <c r="I493" s="32"/>
      <c r="J493" s="73"/>
      <c r="K493" s="32"/>
      <c r="L493" s="32"/>
      <c r="M493" s="32"/>
      <c r="N493" s="32"/>
      <c r="O493" s="2"/>
      <c r="P493" s="2"/>
      <c r="Q493" s="32"/>
      <c r="R493" s="32"/>
      <c r="S493" s="32"/>
      <c r="T493" s="32"/>
      <c r="U493" s="2"/>
      <c r="V493" s="2"/>
      <c r="W493" s="2"/>
      <c r="X493" s="2"/>
      <c r="Y493" s="2"/>
      <c r="Z493" s="2"/>
    </row>
    <row r="494" spans="1:26" ht="13.8" x14ac:dyDescent="0.3">
      <c r="A494" s="2"/>
      <c r="B494" s="10"/>
      <c r="C494" s="10"/>
      <c r="D494" s="10"/>
      <c r="E494" s="10"/>
      <c r="F494" s="10"/>
      <c r="G494" s="32"/>
      <c r="H494" s="32"/>
      <c r="I494" s="32"/>
      <c r="J494" s="73"/>
      <c r="K494" s="32"/>
      <c r="L494" s="32"/>
      <c r="M494" s="32"/>
      <c r="N494" s="32"/>
      <c r="O494" s="2"/>
      <c r="P494" s="2"/>
      <c r="Q494" s="32"/>
      <c r="R494" s="32"/>
      <c r="S494" s="32"/>
      <c r="T494" s="32"/>
      <c r="U494" s="2"/>
      <c r="V494" s="2"/>
      <c r="W494" s="2"/>
      <c r="X494" s="2"/>
      <c r="Y494" s="2"/>
      <c r="Z494" s="2"/>
    </row>
    <row r="495" spans="1:26" ht="13.8" x14ac:dyDescent="0.3">
      <c r="A495" s="2"/>
      <c r="B495" s="10"/>
      <c r="C495" s="10"/>
      <c r="D495" s="10"/>
      <c r="E495" s="10"/>
      <c r="F495" s="10"/>
      <c r="G495" s="32"/>
      <c r="H495" s="32"/>
      <c r="I495" s="32"/>
      <c r="J495" s="73"/>
      <c r="K495" s="32"/>
      <c r="L495" s="32"/>
      <c r="M495" s="32"/>
      <c r="N495" s="32"/>
      <c r="O495" s="2"/>
      <c r="P495" s="2"/>
      <c r="Q495" s="32"/>
      <c r="R495" s="32"/>
      <c r="S495" s="32"/>
      <c r="T495" s="32"/>
      <c r="U495" s="2"/>
      <c r="V495" s="2"/>
      <c r="W495" s="2"/>
      <c r="X495" s="2"/>
      <c r="Y495" s="2"/>
      <c r="Z495" s="2"/>
    </row>
    <row r="496" spans="1:26" ht="13.8" x14ac:dyDescent="0.3">
      <c r="A496" s="2"/>
      <c r="B496" s="10"/>
      <c r="C496" s="10"/>
      <c r="D496" s="10"/>
      <c r="E496" s="10"/>
      <c r="F496" s="10"/>
      <c r="G496" s="32"/>
      <c r="H496" s="32"/>
      <c r="I496" s="32"/>
      <c r="J496" s="73"/>
      <c r="K496" s="32"/>
      <c r="L496" s="32"/>
      <c r="M496" s="32"/>
      <c r="N496" s="32"/>
      <c r="O496" s="2"/>
      <c r="P496" s="2"/>
      <c r="Q496" s="32"/>
      <c r="R496" s="32"/>
      <c r="S496" s="32"/>
      <c r="T496" s="32"/>
      <c r="U496" s="2"/>
      <c r="V496" s="2"/>
      <c r="W496" s="2"/>
      <c r="X496" s="2"/>
      <c r="Y496" s="2"/>
      <c r="Z496" s="2"/>
    </row>
    <row r="497" spans="1:26" ht="13.8" x14ac:dyDescent="0.3">
      <c r="A497" s="2"/>
      <c r="B497" s="10"/>
      <c r="C497" s="10"/>
      <c r="D497" s="10"/>
      <c r="E497" s="10"/>
      <c r="F497" s="10"/>
      <c r="G497" s="32"/>
      <c r="H497" s="32"/>
      <c r="I497" s="32"/>
      <c r="J497" s="73"/>
      <c r="K497" s="32"/>
      <c r="L497" s="32"/>
      <c r="M497" s="32"/>
      <c r="N497" s="32"/>
      <c r="O497" s="2"/>
      <c r="P497" s="2"/>
      <c r="Q497" s="32"/>
      <c r="R497" s="32"/>
      <c r="S497" s="32"/>
      <c r="T497" s="32"/>
      <c r="U497" s="2"/>
      <c r="V497" s="2"/>
      <c r="W497" s="2"/>
      <c r="X497" s="2"/>
      <c r="Y497" s="2"/>
      <c r="Z497" s="2"/>
    </row>
    <row r="498" spans="1:26" ht="13.8" x14ac:dyDescent="0.3">
      <c r="A498" s="2"/>
      <c r="B498" s="10"/>
      <c r="C498" s="10"/>
      <c r="D498" s="10"/>
      <c r="E498" s="10"/>
      <c r="F498" s="10"/>
      <c r="G498" s="32"/>
      <c r="H498" s="32"/>
      <c r="I498" s="32"/>
      <c r="J498" s="73"/>
      <c r="K498" s="32"/>
      <c r="L498" s="32"/>
      <c r="M498" s="32"/>
      <c r="N498" s="32"/>
      <c r="O498" s="2"/>
      <c r="P498" s="2"/>
      <c r="Q498" s="32"/>
      <c r="R498" s="32"/>
      <c r="S498" s="32"/>
      <c r="T498" s="32"/>
      <c r="U498" s="2"/>
      <c r="V498" s="2"/>
      <c r="W498" s="2"/>
      <c r="X498" s="2"/>
      <c r="Y498" s="2"/>
      <c r="Z498" s="2"/>
    </row>
    <row r="499" spans="1:26" ht="13.8" x14ac:dyDescent="0.3">
      <c r="A499" s="2"/>
      <c r="B499" s="10"/>
      <c r="C499" s="10"/>
      <c r="D499" s="10"/>
      <c r="E499" s="10"/>
      <c r="F499" s="10"/>
      <c r="G499" s="32"/>
      <c r="H499" s="32"/>
      <c r="I499" s="32"/>
      <c r="J499" s="73"/>
      <c r="K499" s="32"/>
      <c r="L499" s="32"/>
      <c r="M499" s="32"/>
      <c r="N499" s="32"/>
      <c r="O499" s="2"/>
      <c r="P499" s="2"/>
      <c r="Q499" s="32"/>
      <c r="R499" s="32"/>
      <c r="S499" s="32"/>
      <c r="T499" s="32"/>
      <c r="U499" s="2"/>
      <c r="V499" s="2"/>
      <c r="W499" s="2"/>
      <c r="X499" s="2"/>
      <c r="Y499" s="2"/>
      <c r="Z499" s="2"/>
    </row>
    <row r="500" spans="1:26" ht="13.8" x14ac:dyDescent="0.3">
      <c r="A500" s="2"/>
      <c r="B500" s="10"/>
      <c r="C500" s="10"/>
      <c r="D500" s="10"/>
      <c r="E500" s="10"/>
      <c r="F500" s="10"/>
      <c r="G500" s="32"/>
      <c r="H500" s="32"/>
      <c r="I500" s="32"/>
      <c r="J500" s="73"/>
      <c r="K500" s="32"/>
      <c r="L500" s="32"/>
      <c r="M500" s="32"/>
      <c r="N500" s="32"/>
      <c r="O500" s="2"/>
      <c r="P500" s="2"/>
      <c r="Q500" s="32"/>
      <c r="R500" s="32"/>
      <c r="S500" s="32"/>
      <c r="T500" s="32"/>
      <c r="U500" s="2"/>
      <c r="V500" s="2"/>
      <c r="W500" s="2"/>
      <c r="X500" s="2"/>
      <c r="Y500" s="2"/>
      <c r="Z500" s="2"/>
    </row>
    <row r="501" spans="1:26" ht="13.8" x14ac:dyDescent="0.3">
      <c r="A501" s="2"/>
      <c r="B501" s="10"/>
      <c r="C501" s="10"/>
      <c r="D501" s="10"/>
      <c r="E501" s="10"/>
      <c r="F501" s="10"/>
      <c r="G501" s="32"/>
      <c r="H501" s="32"/>
      <c r="I501" s="32"/>
      <c r="J501" s="73"/>
      <c r="K501" s="32"/>
      <c r="L501" s="32"/>
      <c r="M501" s="32"/>
      <c r="N501" s="32"/>
      <c r="O501" s="2"/>
      <c r="P501" s="2"/>
      <c r="Q501" s="32"/>
      <c r="R501" s="32"/>
      <c r="S501" s="32"/>
      <c r="T501" s="32"/>
      <c r="U501" s="2"/>
      <c r="V501" s="2"/>
      <c r="W501" s="2"/>
      <c r="X501" s="2"/>
      <c r="Y501" s="2"/>
      <c r="Z501" s="2"/>
    </row>
    <row r="502" spans="1:26" ht="13.8" x14ac:dyDescent="0.3">
      <c r="A502" s="2"/>
      <c r="B502" s="10"/>
      <c r="C502" s="10"/>
      <c r="D502" s="10"/>
      <c r="E502" s="10"/>
      <c r="F502" s="10"/>
      <c r="G502" s="32"/>
      <c r="H502" s="32"/>
      <c r="I502" s="32"/>
      <c r="J502" s="73"/>
      <c r="K502" s="32"/>
      <c r="L502" s="32"/>
      <c r="M502" s="32"/>
      <c r="N502" s="32"/>
      <c r="O502" s="2"/>
      <c r="P502" s="2"/>
      <c r="Q502" s="32"/>
      <c r="R502" s="32"/>
      <c r="S502" s="32"/>
      <c r="T502" s="32"/>
      <c r="U502" s="2"/>
      <c r="V502" s="2"/>
      <c r="W502" s="2"/>
      <c r="X502" s="2"/>
      <c r="Y502" s="2"/>
      <c r="Z502" s="2"/>
    </row>
    <row r="503" spans="1:26" ht="13.8" x14ac:dyDescent="0.3">
      <c r="A503" s="2"/>
      <c r="B503" s="10"/>
      <c r="C503" s="10"/>
      <c r="D503" s="10"/>
      <c r="E503" s="10"/>
      <c r="F503" s="10"/>
      <c r="G503" s="32"/>
      <c r="H503" s="32"/>
      <c r="I503" s="32"/>
      <c r="J503" s="73"/>
      <c r="K503" s="32"/>
      <c r="L503" s="32"/>
      <c r="M503" s="32"/>
      <c r="N503" s="32"/>
      <c r="O503" s="2"/>
      <c r="P503" s="2"/>
      <c r="Q503" s="32"/>
      <c r="R503" s="32"/>
      <c r="S503" s="32"/>
      <c r="T503" s="32"/>
      <c r="U503" s="2"/>
      <c r="V503" s="2"/>
      <c r="W503" s="2"/>
      <c r="X503" s="2"/>
      <c r="Y503" s="2"/>
      <c r="Z503" s="2"/>
    </row>
    <row r="504" spans="1:26" ht="13.8" x14ac:dyDescent="0.3">
      <c r="A504" s="2"/>
      <c r="B504" s="10"/>
      <c r="C504" s="10"/>
      <c r="D504" s="10"/>
      <c r="E504" s="10"/>
      <c r="F504" s="10"/>
      <c r="G504" s="32"/>
      <c r="H504" s="32"/>
      <c r="I504" s="32"/>
      <c r="J504" s="73"/>
      <c r="K504" s="32"/>
      <c r="L504" s="32"/>
      <c r="M504" s="32"/>
      <c r="N504" s="32"/>
      <c r="O504" s="2"/>
      <c r="P504" s="2"/>
      <c r="Q504" s="32"/>
      <c r="R504" s="32"/>
      <c r="S504" s="32"/>
      <c r="T504" s="32"/>
      <c r="U504" s="2"/>
      <c r="V504" s="2"/>
      <c r="W504" s="2"/>
      <c r="X504" s="2"/>
      <c r="Y504" s="2"/>
      <c r="Z504" s="2"/>
    </row>
    <row r="505" spans="1:26" ht="13.8" x14ac:dyDescent="0.3">
      <c r="A505" s="2"/>
      <c r="B505" s="10"/>
      <c r="C505" s="10"/>
      <c r="D505" s="10"/>
      <c r="E505" s="10"/>
      <c r="F505" s="10"/>
      <c r="G505" s="32"/>
      <c r="H505" s="32"/>
      <c r="I505" s="32"/>
      <c r="J505" s="73"/>
      <c r="K505" s="32"/>
      <c r="L505" s="32"/>
      <c r="M505" s="32"/>
      <c r="N505" s="32"/>
      <c r="O505" s="2"/>
      <c r="P505" s="2"/>
      <c r="Q505" s="32"/>
      <c r="R505" s="32"/>
      <c r="S505" s="32"/>
      <c r="T505" s="32"/>
      <c r="U505" s="2"/>
      <c r="V505" s="2"/>
      <c r="W505" s="2"/>
      <c r="X505" s="2"/>
      <c r="Y505" s="2"/>
      <c r="Z505" s="2"/>
    </row>
    <row r="506" spans="1:26" ht="13.8" x14ac:dyDescent="0.3">
      <c r="A506" s="2"/>
      <c r="B506" s="10"/>
      <c r="C506" s="10"/>
      <c r="D506" s="10"/>
      <c r="E506" s="10"/>
      <c r="F506" s="10"/>
      <c r="G506" s="32"/>
      <c r="H506" s="32"/>
      <c r="I506" s="32"/>
      <c r="J506" s="73"/>
      <c r="K506" s="32"/>
      <c r="L506" s="32"/>
      <c r="M506" s="32"/>
      <c r="N506" s="32"/>
      <c r="O506" s="2"/>
      <c r="P506" s="2"/>
      <c r="Q506" s="32"/>
      <c r="R506" s="32"/>
      <c r="S506" s="32"/>
      <c r="T506" s="32"/>
      <c r="U506" s="2"/>
      <c r="V506" s="2"/>
      <c r="W506" s="2"/>
      <c r="X506" s="2"/>
      <c r="Y506" s="2"/>
      <c r="Z506" s="2"/>
    </row>
    <row r="507" spans="1:26" ht="13.8" x14ac:dyDescent="0.3">
      <c r="A507" s="2"/>
      <c r="B507" s="10"/>
      <c r="C507" s="10"/>
      <c r="D507" s="10"/>
      <c r="E507" s="10"/>
      <c r="F507" s="10"/>
      <c r="G507" s="32"/>
      <c r="H507" s="32"/>
      <c r="I507" s="32"/>
      <c r="J507" s="73"/>
      <c r="K507" s="32"/>
      <c r="L507" s="32"/>
      <c r="M507" s="32"/>
      <c r="N507" s="32"/>
      <c r="O507" s="2"/>
      <c r="P507" s="2"/>
      <c r="Q507" s="32"/>
      <c r="R507" s="32"/>
      <c r="S507" s="32"/>
      <c r="T507" s="32"/>
      <c r="U507" s="2"/>
      <c r="V507" s="2"/>
      <c r="W507" s="2"/>
      <c r="X507" s="2"/>
      <c r="Y507" s="2"/>
      <c r="Z507" s="2"/>
    </row>
    <row r="508" spans="1:26" ht="13.8" x14ac:dyDescent="0.3">
      <c r="A508" s="2"/>
      <c r="B508" s="10"/>
      <c r="C508" s="10"/>
      <c r="D508" s="10"/>
      <c r="E508" s="10"/>
      <c r="F508" s="10"/>
      <c r="G508" s="32"/>
      <c r="H508" s="32"/>
      <c r="I508" s="32"/>
      <c r="J508" s="73"/>
      <c r="K508" s="32"/>
      <c r="L508" s="32"/>
      <c r="M508" s="32"/>
      <c r="N508" s="32"/>
      <c r="O508" s="2"/>
      <c r="P508" s="2"/>
      <c r="Q508" s="32"/>
      <c r="R508" s="32"/>
      <c r="S508" s="32"/>
      <c r="T508" s="32"/>
      <c r="U508" s="2"/>
      <c r="V508" s="2"/>
      <c r="W508" s="2"/>
      <c r="X508" s="2"/>
      <c r="Y508" s="2"/>
      <c r="Z508" s="2"/>
    </row>
    <row r="509" spans="1:26" ht="13.8" x14ac:dyDescent="0.3">
      <c r="A509" s="2"/>
      <c r="B509" s="10"/>
      <c r="C509" s="10"/>
      <c r="D509" s="10"/>
      <c r="E509" s="10"/>
      <c r="F509" s="10"/>
      <c r="G509" s="32"/>
      <c r="H509" s="32"/>
      <c r="I509" s="32"/>
      <c r="J509" s="73"/>
      <c r="K509" s="32"/>
      <c r="L509" s="32"/>
      <c r="M509" s="32"/>
      <c r="N509" s="32"/>
      <c r="O509" s="2"/>
      <c r="P509" s="2"/>
      <c r="Q509" s="32"/>
      <c r="R509" s="32"/>
      <c r="S509" s="32"/>
      <c r="T509" s="32"/>
      <c r="U509" s="2"/>
      <c r="V509" s="2"/>
      <c r="W509" s="2"/>
      <c r="X509" s="2"/>
      <c r="Y509" s="2"/>
      <c r="Z509" s="2"/>
    </row>
    <row r="510" spans="1:26" ht="13.8" x14ac:dyDescent="0.3">
      <c r="A510" s="2"/>
      <c r="B510" s="10"/>
      <c r="C510" s="10"/>
      <c r="D510" s="10"/>
      <c r="E510" s="10"/>
      <c r="F510" s="10"/>
      <c r="G510" s="32"/>
      <c r="H510" s="32"/>
      <c r="I510" s="32"/>
      <c r="J510" s="73"/>
      <c r="K510" s="32"/>
      <c r="L510" s="32"/>
      <c r="M510" s="32"/>
      <c r="N510" s="32"/>
      <c r="O510" s="2"/>
      <c r="P510" s="2"/>
      <c r="Q510" s="32"/>
      <c r="R510" s="32"/>
      <c r="S510" s="32"/>
      <c r="T510" s="32"/>
      <c r="U510" s="2"/>
      <c r="V510" s="2"/>
      <c r="W510" s="2"/>
      <c r="X510" s="2"/>
      <c r="Y510" s="2"/>
      <c r="Z510" s="2"/>
    </row>
    <row r="511" spans="1:26" ht="13.8" x14ac:dyDescent="0.3">
      <c r="A511" s="2"/>
      <c r="B511" s="10"/>
      <c r="C511" s="10"/>
      <c r="D511" s="10"/>
      <c r="E511" s="10"/>
      <c r="F511" s="10"/>
      <c r="G511" s="32"/>
      <c r="H511" s="32"/>
      <c r="I511" s="32"/>
      <c r="J511" s="73"/>
      <c r="K511" s="32"/>
      <c r="L511" s="32"/>
      <c r="M511" s="32"/>
      <c r="N511" s="32"/>
      <c r="O511" s="2"/>
      <c r="P511" s="2"/>
      <c r="Q511" s="32"/>
      <c r="R511" s="32"/>
      <c r="S511" s="32"/>
      <c r="T511" s="32"/>
      <c r="U511" s="2"/>
      <c r="V511" s="2"/>
      <c r="W511" s="2"/>
      <c r="X511" s="2"/>
      <c r="Y511" s="2"/>
      <c r="Z511" s="2"/>
    </row>
    <row r="512" spans="1:26" ht="13.8" x14ac:dyDescent="0.3">
      <c r="A512" s="2"/>
      <c r="B512" s="10"/>
      <c r="C512" s="10"/>
      <c r="D512" s="10"/>
      <c r="E512" s="10"/>
      <c r="F512" s="10"/>
      <c r="G512" s="32"/>
      <c r="H512" s="32"/>
      <c r="I512" s="32"/>
      <c r="J512" s="73"/>
      <c r="K512" s="32"/>
      <c r="L512" s="32"/>
      <c r="M512" s="32"/>
      <c r="N512" s="32"/>
      <c r="O512" s="2"/>
      <c r="P512" s="2"/>
      <c r="Q512" s="32"/>
      <c r="R512" s="32"/>
      <c r="S512" s="32"/>
      <c r="T512" s="32"/>
      <c r="U512" s="2"/>
      <c r="V512" s="2"/>
      <c r="W512" s="2"/>
      <c r="X512" s="2"/>
      <c r="Y512" s="2"/>
      <c r="Z512" s="2"/>
    </row>
    <row r="513" spans="1:26" ht="13.8" x14ac:dyDescent="0.3">
      <c r="A513" s="2"/>
      <c r="B513" s="10"/>
      <c r="C513" s="10"/>
      <c r="D513" s="10"/>
      <c r="E513" s="10"/>
      <c r="F513" s="10"/>
      <c r="G513" s="32"/>
      <c r="H513" s="32"/>
      <c r="I513" s="32"/>
      <c r="J513" s="73"/>
      <c r="K513" s="32"/>
      <c r="L513" s="32"/>
      <c r="M513" s="32"/>
      <c r="N513" s="32"/>
      <c r="O513" s="2"/>
      <c r="P513" s="2"/>
      <c r="Q513" s="32"/>
      <c r="R513" s="32"/>
      <c r="S513" s="32"/>
      <c r="T513" s="32"/>
      <c r="U513" s="2"/>
      <c r="V513" s="2"/>
      <c r="W513" s="2"/>
      <c r="X513" s="2"/>
      <c r="Y513" s="2"/>
      <c r="Z513" s="2"/>
    </row>
    <row r="514" spans="1:26" ht="13.8" x14ac:dyDescent="0.3">
      <c r="A514" s="2"/>
      <c r="B514" s="10"/>
      <c r="C514" s="10"/>
      <c r="D514" s="10"/>
      <c r="E514" s="10"/>
      <c r="F514" s="10"/>
      <c r="G514" s="32"/>
      <c r="H514" s="32"/>
      <c r="I514" s="32"/>
      <c r="J514" s="73"/>
      <c r="K514" s="32"/>
      <c r="L514" s="32"/>
      <c r="M514" s="32"/>
      <c r="N514" s="32"/>
      <c r="O514" s="2"/>
      <c r="P514" s="2"/>
      <c r="Q514" s="32"/>
      <c r="R514" s="32"/>
      <c r="S514" s="32"/>
      <c r="T514" s="32"/>
      <c r="U514" s="2"/>
      <c r="V514" s="2"/>
      <c r="W514" s="2"/>
      <c r="X514" s="2"/>
      <c r="Y514" s="2"/>
      <c r="Z514" s="2"/>
    </row>
    <row r="515" spans="1:26" ht="13.8" x14ac:dyDescent="0.3">
      <c r="A515" s="2"/>
      <c r="B515" s="10"/>
      <c r="C515" s="10"/>
      <c r="D515" s="10"/>
      <c r="E515" s="10"/>
      <c r="F515" s="10"/>
      <c r="G515" s="32"/>
      <c r="H515" s="32"/>
      <c r="I515" s="32"/>
      <c r="J515" s="73"/>
      <c r="K515" s="32"/>
      <c r="L515" s="32"/>
      <c r="M515" s="32"/>
      <c r="N515" s="32"/>
      <c r="O515" s="2"/>
      <c r="P515" s="2"/>
      <c r="Q515" s="32"/>
      <c r="R515" s="32"/>
      <c r="S515" s="32"/>
      <c r="T515" s="32"/>
      <c r="U515" s="2"/>
      <c r="V515" s="2"/>
      <c r="W515" s="2"/>
      <c r="X515" s="2"/>
      <c r="Y515" s="2"/>
      <c r="Z515" s="2"/>
    </row>
    <row r="516" spans="1:26" ht="13.8" x14ac:dyDescent="0.3">
      <c r="A516" s="2"/>
      <c r="B516" s="10"/>
      <c r="C516" s="10"/>
      <c r="D516" s="10"/>
      <c r="E516" s="10"/>
      <c r="F516" s="10"/>
      <c r="G516" s="32"/>
      <c r="H516" s="32"/>
      <c r="I516" s="32"/>
      <c r="J516" s="73"/>
      <c r="K516" s="32"/>
      <c r="L516" s="32"/>
      <c r="M516" s="32"/>
      <c r="N516" s="32"/>
      <c r="O516" s="2"/>
      <c r="P516" s="2"/>
      <c r="Q516" s="32"/>
      <c r="R516" s="32"/>
      <c r="S516" s="32"/>
      <c r="T516" s="32"/>
      <c r="U516" s="2"/>
      <c r="V516" s="2"/>
      <c r="W516" s="2"/>
      <c r="X516" s="2"/>
      <c r="Y516" s="2"/>
      <c r="Z516" s="2"/>
    </row>
    <row r="517" spans="1:26" ht="13.8" x14ac:dyDescent="0.3">
      <c r="A517" s="2"/>
      <c r="B517" s="10"/>
      <c r="C517" s="10"/>
      <c r="D517" s="10"/>
      <c r="E517" s="10"/>
      <c r="F517" s="10"/>
      <c r="G517" s="32"/>
      <c r="H517" s="32"/>
      <c r="I517" s="32"/>
      <c r="J517" s="73"/>
      <c r="K517" s="32"/>
      <c r="L517" s="32"/>
      <c r="M517" s="32"/>
      <c r="N517" s="32"/>
      <c r="O517" s="2"/>
      <c r="P517" s="2"/>
      <c r="Q517" s="32"/>
      <c r="R517" s="32"/>
      <c r="S517" s="32"/>
      <c r="T517" s="32"/>
      <c r="U517" s="2"/>
      <c r="V517" s="2"/>
      <c r="W517" s="2"/>
      <c r="X517" s="2"/>
      <c r="Y517" s="2"/>
      <c r="Z517" s="2"/>
    </row>
    <row r="518" spans="1:26" ht="13.8" x14ac:dyDescent="0.3">
      <c r="A518" s="2"/>
      <c r="B518" s="10"/>
      <c r="C518" s="10"/>
      <c r="D518" s="10"/>
      <c r="E518" s="10"/>
      <c r="F518" s="10"/>
      <c r="G518" s="32"/>
      <c r="H518" s="32"/>
      <c r="I518" s="32"/>
      <c r="J518" s="73"/>
      <c r="K518" s="32"/>
      <c r="L518" s="32"/>
      <c r="M518" s="32"/>
      <c r="N518" s="32"/>
      <c r="O518" s="2"/>
      <c r="P518" s="2"/>
      <c r="Q518" s="32"/>
      <c r="R518" s="32"/>
      <c r="S518" s="32"/>
      <c r="T518" s="32"/>
      <c r="U518" s="2"/>
      <c r="V518" s="2"/>
      <c r="W518" s="2"/>
      <c r="X518" s="2"/>
      <c r="Y518" s="2"/>
      <c r="Z518" s="2"/>
    </row>
    <row r="519" spans="1:26" ht="13.8" x14ac:dyDescent="0.3">
      <c r="A519" s="2"/>
      <c r="B519" s="10"/>
      <c r="C519" s="10"/>
      <c r="D519" s="10"/>
      <c r="E519" s="10"/>
      <c r="F519" s="10"/>
      <c r="G519" s="32"/>
      <c r="H519" s="32"/>
      <c r="I519" s="32"/>
      <c r="J519" s="73"/>
      <c r="K519" s="32"/>
      <c r="L519" s="32"/>
      <c r="M519" s="32"/>
      <c r="N519" s="32"/>
      <c r="O519" s="2"/>
      <c r="P519" s="2"/>
      <c r="Q519" s="32"/>
      <c r="R519" s="32"/>
      <c r="S519" s="32"/>
      <c r="T519" s="32"/>
      <c r="U519" s="2"/>
      <c r="V519" s="2"/>
      <c r="W519" s="2"/>
      <c r="X519" s="2"/>
      <c r="Y519" s="2"/>
      <c r="Z519" s="2"/>
    </row>
    <row r="520" spans="1:26" ht="13.8" x14ac:dyDescent="0.3">
      <c r="A520" s="2"/>
      <c r="B520" s="10"/>
      <c r="C520" s="10"/>
      <c r="D520" s="10"/>
      <c r="E520" s="10"/>
      <c r="F520" s="10"/>
      <c r="G520" s="32"/>
      <c r="H520" s="32"/>
      <c r="I520" s="32"/>
      <c r="J520" s="73"/>
      <c r="K520" s="32"/>
      <c r="L520" s="32"/>
      <c r="M520" s="32"/>
      <c r="N520" s="32"/>
      <c r="O520" s="2"/>
      <c r="P520" s="2"/>
      <c r="Q520" s="32"/>
      <c r="R520" s="32"/>
      <c r="S520" s="32"/>
      <c r="T520" s="32"/>
      <c r="U520" s="2"/>
      <c r="V520" s="2"/>
      <c r="W520" s="2"/>
      <c r="X520" s="2"/>
      <c r="Y520" s="2"/>
      <c r="Z520" s="2"/>
    </row>
    <row r="521" spans="1:26" ht="13.8" x14ac:dyDescent="0.3">
      <c r="A521" s="2"/>
      <c r="B521" s="10"/>
      <c r="C521" s="10"/>
      <c r="D521" s="10"/>
      <c r="E521" s="10"/>
      <c r="F521" s="10"/>
      <c r="G521" s="32"/>
      <c r="H521" s="32"/>
      <c r="I521" s="32"/>
      <c r="J521" s="73"/>
      <c r="K521" s="32"/>
      <c r="L521" s="32"/>
      <c r="M521" s="32"/>
      <c r="N521" s="32"/>
      <c r="O521" s="2"/>
      <c r="P521" s="2"/>
      <c r="Q521" s="32"/>
      <c r="R521" s="32"/>
      <c r="S521" s="32"/>
      <c r="T521" s="32"/>
      <c r="U521" s="2"/>
      <c r="V521" s="2"/>
      <c r="W521" s="2"/>
      <c r="X521" s="2"/>
      <c r="Y521" s="2"/>
      <c r="Z521" s="2"/>
    </row>
    <row r="522" spans="1:26" ht="13.8" x14ac:dyDescent="0.3">
      <c r="A522" s="2"/>
      <c r="B522" s="10"/>
      <c r="C522" s="10"/>
      <c r="D522" s="10"/>
      <c r="E522" s="10"/>
      <c r="F522" s="10"/>
      <c r="G522" s="32"/>
      <c r="H522" s="32"/>
      <c r="I522" s="32"/>
      <c r="J522" s="73"/>
      <c r="K522" s="32"/>
      <c r="L522" s="32"/>
      <c r="M522" s="32"/>
      <c r="N522" s="32"/>
      <c r="O522" s="2"/>
      <c r="P522" s="2"/>
      <c r="Q522" s="32"/>
      <c r="R522" s="32"/>
      <c r="S522" s="32"/>
      <c r="T522" s="32"/>
      <c r="U522" s="2"/>
      <c r="V522" s="2"/>
      <c r="W522" s="2"/>
      <c r="X522" s="2"/>
      <c r="Y522" s="2"/>
      <c r="Z522" s="2"/>
    </row>
    <row r="523" spans="1:26" ht="13.8" x14ac:dyDescent="0.3">
      <c r="A523" s="2"/>
      <c r="B523" s="10"/>
      <c r="C523" s="10"/>
      <c r="D523" s="10"/>
      <c r="E523" s="10"/>
      <c r="F523" s="10"/>
      <c r="G523" s="32"/>
      <c r="H523" s="32"/>
      <c r="I523" s="32"/>
      <c r="J523" s="73"/>
      <c r="K523" s="32"/>
      <c r="L523" s="32"/>
      <c r="M523" s="32"/>
      <c r="N523" s="32"/>
      <c r="O523" s="2"/>
      <c r="P523" s="2"/>
      <c r="Q523" s="32"/>
      <c r="R523" s="32"/>
      <c r="S523" s="32"/>
      <c r="T523" s="32"/>
      <c r="U523" s="2"/>
      <c r="V523" s="2"/>
      <c r="W523" s="2"/>
      <c r="X523" s="2"/>
      <c r="Y523" s="2"/>
      <c r="Z523" s="2"/>
    </row>
    <row r="524" spans="1:26" ht="13.8" x14ac:dyDescent="0.3">
      <c r="A524" s="2"/>
      <c r="B524" s="10"/>
      <c r="C524" s="10"/>
      <c r="D524" s="10"/>
      <c r="E524" s="10"/>
      <c r="F524" s="10"/>
      <c r="G524" s="32"/>
      <c r="H524" s="32"/>
      <c r="I524" s="32"/>
      <c r="J524" s="73"/>
      <c r="K524" s="32"/>
      <c r="L524" s="32"/>
      <c r="M524" s="32"/>
      <c r="N524" s="32"/>
      <c r="O524" s="2"/>
      <c r="P524" s="2"/>
      <c r="Q524" s="32"/>
      <c r="R524" s="32"/>
      <c r="S524" s="32"/>
      <c r="T524" s="32"/>
      <c r="U524" s="2"/>
      <c r="V524" s="2"/>
      <c r="W524" s="2"/>
      <c r="X524" s="2"/>
      <c r="Y524" s="2"/>
      <c r="Z524" s="2"/>
    </row>
    <row r="525" spans="1:26" ht="13.8" x14ac:dyDescent="0.3">
      <c r="A525" s="2"/>
      <c r="B525" s="10"/>
      <c r="C525" s="10"/>
      <c r="D525" s="10"/>
      <c r="E525" s="10"/>
      <c r="F525" s="10"/>
      <c r="G525" s="32"/>
      <c r="H525" s="32"/>
      <c r="I525" s="32"/>
      <c r="J525" s="73"/>
      <c r="K525" s="32"/>
      <c r="L525" s="32"/>
      <c r="M525" s="32"/>
      <c r="N525" s="32"/>
      <c r="O525" s="2"/>
      <c r="P525" s="2"/>
      <c r="Q525" s="32"/>
      <c r="R525" s="32"/>
      <c r="S525" s="32"/>
      <c r="T525" s="32"/>
      <c r="U525" s="2"/>
      <c r="V525" s="2"/>
      <c r="W525" s="2"/>
      <c r="X525" s="2"/>
      <c r="Y525" s="2"/>
      <c r="Z525" s="2"/>
    </row>
    <row r="526" spans="1:26" ht="13.8" x14ac:dyDescent="0.3">
      <c r="A526" s="2"/>
      <c r="B526" s="10"/>
      <c r="C526" s="10"/>
      <c r="D526" s="10"/>
      <c r="E526" s="10"/>
      <c r="F526" s="10"/>
      <c r="G526" s="32"/>
      <c r="H526" s="32"/>
      <c r="I526" s="32"/>
      <c r="J526" s="73"/>
      <c r="K526" s="32"/>
      <c r="L526" s="32"/>
      <c r="M526" s="32"/>
      <c r="N526" s="32"/>
      <c r="O526" s="2"/>
      <c r="P526" s="2"/>
      <c r="Q526" s="32"/>
      <c r="R526" s="32"/>
      <c r="S526" s="32"/>
      <c r="T526" s="32"/>
      <c r="U526" s="2"/>
      <c r="V526" s="2"/>
      <c r="W526" s="2"/>
      <c r="X526" s="2"/>
      <c r="Y526" s="2"/>
      <c r="Z526" s="2"/>
    </row>
    <row r="527" spans="1:26" ht="13.8" x14ac:dyDescent="0.3">
      <c r="A527" s="2"/>
      <c r="B527" s="10"/>
      <c r="C527" s="10"/>
      <c r="D527" s="10"/>
      <c r="E527" s="10"/>
      <c r="F527" s="10"/>
      <c r="G527" s="32"/>
      <c r="H527" s="32"/>
      <c r="I527" s="32"/>
      <c r="J527" s="73"/>
      <c r="K527" s="32"/>
      <c r="L527" s="32"/>
      <c r="M527" s="32"/>
      <c r="N527" s="32"/>
      <c r="O527" s="2"/>
      <c r="P527" s="2"/>
      <c r="Q527" s="32"/>
      <c r="R527" s="32"/>
      <c r="S527" s="32"/>
      <c r="T527" s="32"/>
      <c r="U527" s="2"/>
      <c r="V527" s="2"/>
      <c r="W527" s="2"/>
      <c r="X527" s="2"/>
      <c r="Y527" s="2"/>
      <c r="Z527" s="2"/>
    </row>
    <row r="528" spans="1:26" ht="13.8" x14ac:dyDescent="0.3">
      <c r="A528" s="2"/>
      <c r="B528" s="10"/>
      <c r="C528" s="10"/>
      <c r="D528" s="10"/>
      <c r="E528" s="10"/>
      <c r="F528" s="10"/>
      <c r="G528" s="32"/>
      <c r="H528" s="32"/>
      <c r="I528" s="32"/>
      <c r="J528" s="73"/>
      <c r="K528" s="32"/>
      <c r="L528" s="32"/>
      <c r="M528" s="32"/>
      <c r="N528" s="32"/>
      <c r="O528" s="2"/>
      <c r="P528" s="2"/>
      <c r="Q528" s="32"/>
      <c r="R528" s="32"/>
      <c r="S528" s="32"/>
      <c r="T528" s="32"/>
      <c r="U528" s="2"/>
      <c r="V528" s="2"/>
      <c r="W528" s="2"/>
      <c r="X528" s="2"/>
      <c r="Y528" s="2"/>
      <c r="Z528" s="2"/>
    </row>
    <row r="529" spans="1:26" ht="13.8" x14ac:dyDescent="0.3">
      <c r="A529" s="2"/>
      <c r="B529" s="10"/>
      <c r="C529" s="10"/>
      <c r="D529" s="10"/>
      <c r="E529" s="10"/>
      <c r="F529" s="10"/>
      <c r="G529" s="32"/>
      <c r="H529" s="32"/>
      <c r="I529" s="32"/>
      <c r="J529" s="73"/>
      <c r="K529" s="32"/>
      <c r="L529" s="32"/>
      <c r="M529" s="32"/>
      <c r="N529" s="32"/>
      <c r="O529" s="2"/>
      <c r="P529" s="2"/>
      <c r="Q529" s="32"/>
      <c r="R529" s="32"/>
      <c r="S529" s="32"/>
      <c r="T529" s="32"/>
      <c r="U529" s="2"/>
      <c r="V529" s="2"/>
      <c r="W529" s="2"/>
      <c r="X529" s="2"/>
      <c r="Y529" s="2"/>
      <c r="Z529" s="2"/>
    </row>
    <row r="530" spans="1:26" ht="13.8" x14ac:dyDescent="0.3">
      <c r="A530" s="2"/>
      <c r="B530" s="10"/>
      <c r="C530" s="10"/>
      <c r="D530" s="10"/>
      <c r="E530" s="10"/>
      <c r="F530" s="10"/>
      <c r="G530" s="32"/>
      <c r="H530" s="32"/>
      <c r="I530" s="32"/>
      <c r="J530" s="73"/>
      <c r="K530" s="32"/>
      <c r="L530" s="32"/>
      <c r="M530" s="32"/>
      <c r="N530" s="32"/>
      <c r="O530" s="2"/>
      <c r="P530" s="2"/>
      <c r="Q530" s="32"/>
      <c r="R530" s="32"/>
      <c r="S530" s="32"/>
      <c r="T530" s="32"/>
      <c r="U530" s="2"/>
      <c r="V530" s="2"/>
      <c r="W530" s="2"/>
      <c r="X530" s="2"/>
      <c r="Y530" s="2"/>
      <c r="Z530" s="2"/>
    </row>
    <row r="531" spans="1:26" ht="13.8" x14ac:dyDescent="0.3">
      <c r="A531" s="2"/>
      <c r="B531" s="10"/>
      <c r="C531" s="10"/>
      <c r="D531" s="10"/>
      <c r="E531" s="10"/>
      <c r="F531" s="10"/>
      <c r="G531" s="32"/>
      <c r="H531" s="32"/>
      <c r="I531" s="32"/>
      <c r="J531" s="73"/>
      <c r="K531" s="32"/>
      <c r="L531" s="32"/>
      <c r="M531" s="32"/>
      <c r="N531" s="32"/>
      <c r="O531" s="2"/>
      <c r="P531" s="2"/>
      <c r="Q531" s="32"/>
      <c r="R531" s="32"/>
      <c r="S531" s="32"/>
      <c r="T531" s="32"/>
      <c r="U531" s="2"/>
      <c r="V531" s="2"/>
      <c r="W531" s="2"/>
      <c r="X531" s="2"/>
      <c r="Y531" s="2"/>
      <c r="Z531" s="2"/>
    </row>
    <row r="532" spans="1:26" ht="13.8" x14ac:dyDescent="0.3">
      <c r="A532" s="2"/>
      <c r="B532" s="10"/>
      <c r="C532" s="10"/>
      <c r="D532" s="10"/>
      <c r="E532" s="10"/>
      <c r="F532" s="10"/>
      <c r="G532" s="32"/>
      <c r="H532" s="32"/>
      <c r="I532" s="32"/>
      <c r="J532" s="73"/>
      <c r="K532" s="32"/>
      <c r="L532" s="32"/>
      <c r="M532" s="32"/>
      <c r="N532" s="32"/>
      <c r="O532" s="2"/>
      <c r="P532" s="2"/>
      <c r="Q532" s="32"/>
      <c r="R532" s="32"/>
      <c r="S532" s="32"/>
      <c r="T532" s="32"/>
      <c r="U532" s="2"/>
      <c r="V532" s="2"/>
      <c r="W532" s="2"/>
      <c r="X532" s="2"/>
      <c r="Y532" s="2"/>
      <c r="Z532" s="2"/>
    </row>
    <row r="533" spans="1:26" ht="13.8" x14ac:dyDescent="0.3">
      <c r="A533" s="2"/>
      <c r="B533" s="10"/>
      <c r="C533" s="10"/>
      <c r="D533" s="10"/>
      <c r="E533" s="10"/>
      <c r="F533" s="10"/>
      <c r="G533" s="32"/>
      <c r="H533" s="32"/>
      <c r="I533" s="32"/>
      <c r="J533" s="73"/>
      <c r="K533" s="32"/>
      <c r="L533" s="32"/>
      <c r="M533" s="32"/>
      <c r="N533" s="32"/>
      <c r="O533" s="2"/>
      <c r="P533" s="2"/>
      <c r="Q533" s="32"/>
      <c r="R533" s="32"/>
      <c r="S533" s="32"/>
      <c r="T533" s="32"/>
      <c r="U533" s="2"/>
      <c r="V533" s="2"/>
      <c r="W533" s="2"/>
      <c r="X533" s="2"/>
      <c r="Y533" s="2"/>
      <c r="Z533" s="2"/>
    </row>
    <row r="534" spans="1:26" ht="13.8" x14ac:dyDescent="0.3">
      <c r="A534" s="2"/>
      <c r="B534" s="10"/>
      <c r="C534" s="10"/>
      <c r="D534" s="10"/>
      <c r="E534" s="10"/>
      <c r="F534" s="10"/>
      <c r="G534" s="32"/>
      <c r="H534" s="32"/>
      <c r="I534" s="32"/>
      <c r="J534" s="73"/>
      <c r="K534" s="32"/>
      <c r="L534" s="32"/>
      <c r="M534" s="32"/>
      <c r="N534" s="32"/>
      <c r="O534" s="2"/>
      <c r="P534" s="2"/>
      <c r="Q534" s="32"/>
      <c r="R534" s="32"/>
      <c r="S534" s="32"/>
      <c r="T534" s="32"/>
      <c r="U534" s="2"/>
      <c r="V534" s="2"/>
      <c r="W534" s="2"/>
      <c r="X534" s="2"/>
      <c r="Y534" s="2"/>
      <c r="Z534" s="2"/>
    </row>
    <row r="535" spans="1:26" ht="13.8" x14ac:dyDescent="0.3">
      <c r="A535" s="2"/>
      <c r="B535" s="10"/>
      <c r="C535" s="10"/>
      <c r="D535" s="10"/>
      <c r="E535" s="10"/>
      <c r="F535" s="10"/>
      <c r="G535" s="32"/>
      <c r="H535" s="32"/>
      <c r="I535" s="32"/>
      <c r="J535" s="73"/>
      <c r="K535" s="32"/>
      <c r="L535" s="32"/>
      <c r="M535" s="32"/>
      <c r="N535" s="32"/>
      <c r="O535" s="2"/>
      <c r="P535" s="2"/>
      <c r="Q535" s="32"/>
      <c r="R535" s="32"/>
      <c r="S535" s="32"/>
      <c r="T535" s="32"/>
      <c r="U535" s="2"/>
      <c r="V535" s="2"/>
      <c r="W535" s="2"/>
      <c r="X535" s="2"/>
      <c r="Y535" s="2"/>
      <c r="Z535" s="2"/>
    </row>
    <row r="536" spans="1:26" ht="13.8" x14ac:dyDescent="0.3">
      <c r="A536" s="2"/>
      <c r="B536" s="10"/>
      <c r="C536" s="10"/>
      <c r="D536" s="10"/>
      <c r="E536" s="10"/>
      <c r="F536" s="10"/>
      <c r="G536" s="32"/>
      <c r="H536" s="32"/>
      <c r="I536" s="32"/>
      <c r="J536" s="73"/>
      <c r="K536" s="32"/>
      <c r="L536" s="32"/>
      <c r="M536" s="32"/>
      <c r="N536" s="32"/>
      <c r="O536" s="2"/>
      <c r="P536" s="2"/>
      <c r="Q536" s="32"/>
      <c r="R536" s="32"/>
      <c r="S536" s="32"/>
      <c r="T536" s="32"/>
      <c r="U536" s="2"/>
      <c r="V536" s="2"/>
      <c r="W536" s="2"/>
      <c r="X536" s="2"/>
      <c r="Y536" s="2"/>
      <c r="Z536" s="2"/>
    </row>
    <row r="537" spans="1:26" ht="13.8" x14ac:dyDescent="0.3">
      <c r="A537" s="2"/>
      <c r="B537" s="10"/>
      <c r="C537" s="10"/>
      <c r="D537" s="10"/>
      <c r="E537" s="10"/>
      <c r="F537" s="10"/>
      <c r="G537" s="32"/>
      <c r="H537" s="32"/>
      <c r="I537" s="32"/>
      <c r="J537" s="73"/>
      <c r="K537" s="32"/>
      <c r="L537" s="32"/>
      <c r="M537" s="32"/>
      <c r="N537" s="32"/>
      <c r="O537" s="2"/>
      <c r="P537" s="2"/>
      <c r="Q537" s="32"/>
      <c r="R537" s="32"/>
      <c r="S537" s="32"/>
      <c r="T537" s="32"/>
      <c r="U537" s="2"/>
      <c r="V537" s="2"/>
      <c r="W537" s="2"/>
      <c r="X537" s="2"/>
      <c r="Y537" s="2"/>
      <c r="Z537" s="2"/>
    </row>
    <row r="538" spans="1:26" ht="13.8" x14ac:dyDescent="0.3">
      <c r="A538" s="2"/>
      <c r="B538" s="10"/>
      <c r="C538" s="10"/>
      <c r="D538" s="10"/>
      <c r="E538" s="10"/>
      <c r="F538" s="10"/>
      <c r="G538" s="32"/>
      <c r="H538" s="32"/>
      <c r="I538" s="32"/>
      <c r="J538" s="73"/>
      <c r="K538" s="32"/>
      <c r="L538" s="32"/>
      <c r="M538" s="32"/>
      <c r="N538" s="32"/>
      <c r="O538" s="2"/>
      <c r="P538" s="2"/>
      <c r="Q538" s="32"/>
      <c r="R538" s="32"/>
      <c r="S538" s="32"/>
      <c r="T538" s="32"/>
      <c r="U538" s="2"/>
      <c r="V538" s="2"/>
      <c r="W538" s="2"/>
      <c r="X538" s="2"/>
      <c r="Y538" s="2"/>
      <c r="Z538" s="2"/>
    </row>
    <row r="539" spans="1:26" ht="13.8" x14ac:dyDescent="0.3">
      <c r="A539" s="2"/>
      <c r="B539" s="10"/>
      <c r="C539" s="10"/>
      <c r="D539" s="10"/>
      <c r="E539" s="10"/>
      <c r="F539" s="10"/>
      <c r="G539" s="32"/>
      <c r="H539" s="32"/>
      <c r="I539" s="32"/>
      <c r="J539" s="73"/>
      <c r="K539" s="32"/>
      <c r="L539" s="32"/>
      <c r="M539" s="32"/>
      <c r="N539" s="32"/>
      <c r="O539" s="2"/>
      <c r="P539" s="2"/>
      <c r="Q539" s="32"/>
      <c r="R539" s="32"/>
      <c r="S539" s="32"/>
      <c r="T539" s="32"/>
      <c r="U539" s="2"/>
      <c r="V539" s="2"/>
      <c r="W539" s="2"/>
      <c r="X539" s="2"/>
      <c r="Y539" s="2"/>
      <c r="Z539" s="2"/>
    </row>
    <row r="540" spans="1:26" ht="13.8" x14ac:dyDescent="0.3">
      <c r="A540" s="2"/>
      <c r="B540" s="10"/>
      <c r="C540" s="10"/>
      <c r="D540" s="10"/>
      <c r="E540" s="10"/>
      <c r="F540" s="10"/>
      <c r="G540" s="32"/>
      <c r="H540" s="32"/>
      <c r="I540" s="32"/>
      <c r="J540" s="73"/>
      <c r="K540" s="32"/>
      <c r="L540" s="32"/>
      <c r="M540" s="32"/>
      <c r="N540" s="32"/>
      <c r="O540" s="2"/>
      <c r="P540" s="2"/>
      <c r="Q540" s="32"/>
      <c r="R540" s="32"/>
      <c r="S540" s="32"/>
      <c r="T540" s="32"/>
      <c r="U540" s="2"/>
      <c r="V540" s="2"/>
      <c r="W540" s="2"/>
      <c r="X540" s="2"/>
      <c r="Y540" s="2"/>
      <c r="Z540" s="2"/>
    </row>
    <row r="541" spans="1:26" ht="13.8" x14ac:dyDescent="0.3">
      <c r="A541" s="2"/>
      <c r="B541" s="10"/>
      <c r="C541" s="10"/>
      <c r="D541" s="10"/>
      <c r="E541" s="10"/>
      <c r="F541" s="10"/>
      <c r="G541" s="32"/>
      <c r="H541" s="32"/>
      <c r="I541" s="32"/>
      <c r="J541" s="73"/>
      <c r="K541" s="32"/>
      <c r="L541" s="32"/>
      <c r="M541" s="32"/>
      <c r="N541" s="32"/>
      <c r="O541" s="2"/>
      <c r="P541" s="2"/>
      <c r="Q541" s="32"/>
      <c r="R541" s="32"/>
      <c r="S541" s="32"/>
      <c r="T541" s="32"/>
      <c r="U541" s="2"/>
      <c r="V541" s="2"/>
      <c r="W541" s="2"/>
      <c r="X541" s="2"/>
      <c r="Y541" s="2"/>
      <c r="Z541" s="2"/>
    </row>
    <row r="542" spans="1:26" ht="13.8" x14ac:dyDescent="0.3">
      <c r="A542" s="2"/>
      <c r="B542" s="10"/>
      <c r="C542" s="10"/>
      <c r="D542" s="10"/>
      <c r="E542" s="10"/>
      <c r="F542" s="10"/>
      <c r="G542" s="32"/>
      <c r="H542" s="32"/>
      <c r="I542" s="32"/>
      <c r="J542" s="73"/>
      <c r="K542" s="32"/>
      <c r="L542" s="32"/>
      <c r="M542" s="32"/>
      <c r="N542" s="32"/>
      <c r="O542" s="2"/>
      <c r="P542" s="2"/>
      <c r="Q542" s="32"/>
      <c r="R542" s="32"/>
      <c r="S542" s="32"/>
      <c r="T542" s="32"/>
      <c r="U542" s="2"/>
      <c r="V542" s="2"/>
      <c r="W542" s="2"/>
      <c r="X542" s="2"/>
      <c r="Y542" s="2"/>
      <c r="Z542" s="2"/>
    </row>
    <row r="543" spans="1:26" ht="13.8" x14ac:dyDescent="0.3">
      <c r="A543" s="2"/>
      <c r="B543" s="10"/>
      <c r="C543" s="10"/>
      <c r="D543" s="10"/>
      <c r="E543" s="10"/>
      <c r="F543" s="10"/>
      <c r="G543" s="32"/>
      <c r="H543" s="32"/>
      <c r="I543" s="32"/>
      <c r="J543" s="73"/>
      <c r="K543" s="32"/>
      <c r="L543" s="32"/>
      <c r="M543" s="32"/>
      <c r="N543" s="32"/>
      <c r="O543" s="2"/>
      <c r="P543" s="2"/>
      <c r="Q543" s="32"/>
      <c r="R543" s="32"/>
      <c r="S543" s="32"/>
      <c r="T543" s="32"/>
      <c r="U543" s="2"/>
      <c r="V543" s="2"/>
      <c r="W543" s="2"/>
      <c r="X543" s="2"/>
      <c r="Y543" s="2"/>
      <c r="Z543" s="2"/>
    </row>
    <row r="544" spans="1:26" ht="13.8" x14ac:dyDescent="0.3">
      <c r="A544" s="2"/>
      <c r="B544" s="10"/>
      <c r="C544" s="10"/>
      <c r="D544" s="10"/>
      <c r="E544" s="10"/>
      <c r="F544" s="10"/>
      <c r="G544" s="32"/>
      <c r="H544" s="32"/>
      <c r="I544" s="32"/>
      <c r="J544" s="73"/>
      <c r="K544" s="32"/>
      <c r="L544" s="32"/>
      <c r="M544" s="32"/>
      <c r="N544" s="32"/>
      <c r="O544" s="2"/>
      <c r="P544" s="2"/>
      <c r="Q544" s="32"/>
      <c r="R544" s="32"/>
      <c r="S544" s="32"/>
      <c r="T544" s="32"/>
      <c r="U544" s="2"/>
      <c r="V544" s="2"/>
      <c r="W544" s="2"/>
      <c r="X544" s="2"/>
      <c r="Y544" s="2"/>
      <c r="Z544" s="2"/>
    </row>
    <row r="545" spans="1:26" ht="13.8" x14ac:dyDescent="0.3">
      <c r="A545" s="2"/>
      <c r="B545" s="10"/>
      <c r="C545" s="10"/>
      <c r="D545" s="10"/>
      <c r="E545" s="10"/>
      <c r="F545" s="10"/>
      <c r="G545" s="32"/>
      <c r="H545" s="32"/>
      <c r="I545" s="32"/>
      <c r="J545" s="73"/>
      <c r="K545" s="32"/>
      <c r="L545" s="32"/>
      <c r="M545" s="32"/>
      <c r="N545" s="32"/>
      <c r="O545" s="2"/>
      <c r="P545" s="2"/>
      <c r="Q545" s="32"/>
      <c r="R545" s="32"/>
      <c r="S545" s="32"/>
      <c r="T545" s="32"/>
      <c r="U545" s="2"/>
      <c r="V545" s="2"/>
      <c r="W545" s="2"/>
      <c r="X545" s="2"/>
      <c r="Y545" s="2"/>
      <c r="Z545" s="2"/>
    </row>
    <row r="546" spans="1:26" ht="13.8" x14ac:dyDescent="0.3">
      <c r="A546" s="2"/>
      <c r="B546" s="10"/>
      <c r="C546" s="10"/>
      <c r="D546" s="10"/>
      <c r="E546" s="10"/>
      <c r="F546" s="10"/>
      <c r="G546" s="32"/>
      <c r="H546" s="32"/>
      <c r="I546" s="32"/>
      <c r="J546" s="73"/>
      <c r="K546" s="32"/>
      <c r="L546" s="32"/>
      <c r="M546" s="32"/>
      <c r="N546" s="32"/>
      <c r="O546" s="2"/>
      <c r="P546" s="2"/>
      <c r="Q546" s="32"/>
      <c r="R546" s="32"/>
      <c r="S546" s="32"/>
      <c r="T546" s="32"/>
      <c r="U546" s="2"/>
      <c r="V546" s="2"/>
      <c r="W546" s="2"/>
      <c r="X546" s="2"/>
      <c r="Y546" s="2"/>
      <c r="Z546" s="2"/>
    </row>
    <row r="547" spans="1:26" ht="13.8" x14ac:dyDescent="0.3">
      <c r="A547" s="2"/>
      <c r="B547" s="10"/>
      <c r="C547" s="10"/>
      <c r="D547" s="10"/>
      <c r="E547" s="10"/>
      <c r="F547" s="10"/>
      <c r="G547" s="32"/>
      <c r="H547" s="32"/>
      <c r="I547" s="32"/>
      <c r="J547" s="73"/>
      <c r="K547" s="32"/>
      <c r="L547" s="32"/>
      <c r="M547" s="32"/>
      <c r="N547" s="32"/>
      <c r="O547" s="2"/>
      <c r="P547" s="2"/>
      <c r="Q547" s="32"/>
      <c r="R547" s="32"/>
      <c r="S547" s="32"/>
      <c r="T547" s="32"/>
      <c r="U547" s="2"/>
      <c r="V547" s="2"/>
      <c r="W547" s="2"/>
      <c r="X547" s="2"/>
      <c r="Y547" s="2"/>
      <c r="Z547" s="2"/>
    </row>
    <row r="548" spans="1:26" ht="13.8" x14ac:dyDescent="0.3">
      <c r="A548" s="2"/>
      <c r="B548" s="10"/>
      <c r="C548" s="10"/>
      <c r="D548" s="10"/>
      <c r="E548" s="10"/>
      <c r="F548" s="10"/>
      <c r="G548" s="32"/>
      <c r="H548" s="32"/>
      <c r="I548" s="32"/>
      <c r="J548" s="73"/>
      <c r="K548" s="32"/>
      <c r="L548" s="32"/>
      <c r="M548" s="32"/>
      <c r="N548" s="32"/>
      <c r="O548" s="2"/>
      <c r="P548" s="2"/>
      <c r="Q548" s="32"/>
      <c r="R548" s="32"/>
      <c r="S548" s="32"/>
      <c r="T548" s="32"/>
      <c r="U548" s="2"/>
      <c r="V548" s="2"/>
      <c r="W548" s="2"/>
      <c r="X548" s="2"/>
      <c r="Y548" s="2"/>
      <c r="Z548" s="2"/>
    </row>
    <row r="549" spans="1:26" ht="13.8" x14ac:dyDescent="0.3">
      <c r="A549" s="2"/>
      <c r="B549" s="10"/>
      <c r="C549" s="10"/>
      <c r="D549" s="10"/>
      <c r="E549" s="10"/>
      <c r="F549" s="10"/>
      <c r="G549" s="32"/>
      <c r="H549" s="32"/>
      <c r="I549" s="32"/>
      <c r="J549" s="73"/>
      <c r="K549" s="32"/>
      <c r="L549" s="32"/>
      <c r="M549" s="32"/>
      <c r="N549" s="32"/>
      <c r="O549" s="2"/>
      <c r="P549" s="2"/>
      <c r="Q549" s="32"/>
      <c r="R549" s="32"/>
      <c r="S549" s="32"/>
      <c r="T549" s="32"/>
      <c r="U549" s="2"/>
      <c r="V549" s="2"/>
      <c r="W549" s="2"/>
      <c r="X549" s="2"/>
      <c r="Y549" s="2"/>
      <c r="Z549" s="2"/>
    </row>
    <row r="550" spans="1:26" ht="13.8" x14ac:dyDescent="0.3">
      <c r="A550" s="2"/>
      <c r="B550" s="10"/>
      <c r="C550" s="10"/>
      <c r="D550" s="10"/>
      <c r="E550" s="10"/>
      <c r="F550" s="10"/>
      <c r="G550" s="32"/>
      <c r="H550" s="32"/>
      <c r="I550" s="32"/>
      <c r="J550" s="73"/>
      <c r="K550" s="32"/>
      <c r="L550" s="32"/>
      <c r="M550" s="32"/>
      <c r="N550" s="32"/>
      <c r="O550" s="2"/>
      <c r="P550" s="2"/>
      <c r="Q550" s="32"/>
      <c r="R550" s="32"/>
      <c r="S550" s="32"/>
      <c r="T550" s="32"/>
      <c r="U550" s="2"/>
      <c r="V550" s="2"/>
      <c r="W550" s="2"/>
      <c r="X550" s="2"/>
      <c r="Y550" s="2"/>
      <c r="Z550" s="2"/>
    </row>
    <row r="551" spans="1:26" ht="13.8" x14ac:dyDescent="0.3">
      <c r="A551" s="2"/>
      <c r="B551" s="10"/>
      <c r="C551" s="10"/>
      <c r="D551" s="10"/>
      <c r="E551" s="10"/>
      <c r="F551" s="10"/>
      <c r="G551" s="32"/>
      <c r="H551" s="32"/>
      <c r="I551" s="32"/>
      <c r="J551" s="73"/>
      <c r="K551" s="32"/>
      <c r="L551" s="32"/>
      <c r="M551" s="32"/>
      <c r="N551" s="32"/>
      <c r="O551" s="2"/>
      <c r="P551" s="2"/>
      <c r="Q551" s="32"/>
      <c r="R551" s="32"/>
      <c r="S551" s="32"/>
      <c r="T551" s="32"/>
      <c r="U551" s="2"/>
      <c r="V551" s="2"/>
      <c r="W551" s="2"/>
      <c r="X551" s="2"/>
      <c r="Y551" s="2"/>
      <c r="Z551" s="2"/>
    </row>
    <row r="552" spans="1:26" ht="13.8" x14ac:dyDescent="0.3">
      <c r="A552" s="2"/>
      <c r="B552" s="10"/>
      <c r="C552" s="10"/>
      <c r="D552" s="10"/>
      <c r="E552" s="10"/>
      <c r="F552" s="10"/>
      <c r="G552" s="32"/>
      <c r="H552" s="32"/>
      <c r="I552" s="32"/>
      <c r="J552" s="73"/>
      <c r="K552" s="32"/>
      <c r="L552" s="32"/>
      <c r="M552" s="32"/>
      <c r="N552" s="32"/>
      <c r="O552" s="2"/>
      <c r="P552" s="2"/>
      <c r="Q552" s="32"/>
      <c r="R552" s="32"/>
      <c r="S552" s="32"/>
      <c r="T552" s="32"/>
      <c r="U552" s="2"/>
      <c r="V552" s="2"/>
      <c r="W552" s="2"/>
      <c r="X552" s="2"/>
      <c r="Y552" s="2"/>
      <c r="Z552" s="2"/>
    </row>
    <row r="553" spans="1:26" ht="13.8" x14ac:dyDescent="0.3">
      <c r="A553" s="2"/>
      <c r="B553" s="10"/>
      <c r="C553" s="10"/>
      <c r="D553" s="10"/>
      <c r="E553" s="10"/>
      <c r="F553" s="10"/>
      <c r="G553" s="32"/>
      <c r="H553" s="32"/>
      <c r="I553" s="32"/>
      <c r="J553" s="73"/>
      <c r="K553" s="32"/>
      <c r="L553" s="32"/>
      <c r="M553" s="32"/>
      <c r="N553" s="32"/>
      <c r="O553" s="2"/>
      <c r="P553" s="2"/>
      <c r="Q553" s="32"/>
      <c r="R553" s="32"/>
      <c r="S553" s="32"/>
      <c r="T553" s="32"/>
      <c r="U553" s="2"/>
      <c r="V553" s="2"/>
      <c r="W553" s="2"/>
      <c r="X553" s="2"/>
      <c r="Y553" s="2"/>
      <c r="Z553" s="2"/>
    </row>
    <row r="554" spans="1:26" ht="13.8" x14ac:dyDescent="0.3">
      <c r="A554" s="2"/>
      <c r="B554" s="10"/>
      <c r="C554" s="10"/>
      <c r="D554" s="10"/>
      <c r="E554" s="10"/>
      <c r="F554" s="10"/>
      <c r="G554" s="32"/>
      <c r="H554" s="32"/>
      <c r="I554" s="32"/>
      <c r="J554" s="73"/>
      <c r="K554" s="32"/>
      <c r="L554" s="32"/>
      <c r="M554" s="32"/>
      <c r="N554" s="32"/>
      <c r="O554" s="2"/>
      <c r="P554" s="2"/>
      <c r="Q554" s="32"/>
      <c r="R554" s="32"/>
      <c r="S554" s="32"/>
      <c r="T554" s="32"/>
      <c r="U554" s="2"/>
      <c r="V554" s="2"/>
      <c r="W554" s="2"/>
      <c r="X554" s="2"/>
      <c r="Y554" s="2"/>
      <c r="Z554" s="2"/>
    </row>
    <row r="555" spans="1:26" ht="13.8" x14ac:dyDescent="0.3">
      <c r="A555" s="2"/>
      <c r="B555" s="10"/>
      <c r="C555" s="10"/>
      <c r="D555" s="10"/>
      <c r="E555" s="10"/>
      <c r="F555" s="10"/>
      <c r="G555" s="32"/>
      <c r="H555" s="32"/>
      <c r="I555" s="32"/>
      <c r="J555" s="73"/>
      <c r="K555" s="32"/>
      <c r="L555" s="32"/>
      <c r="M555" s="32"/>
      <c r="N555" s="32"/>
      <c r="O555" s="2"/>
      <c r="P555" s="2"/>
      <c r="Q555" s="32"/>
      <c r="R555" s="32"/>
      <c r="S555" s="32"/>
      <c r="T555" s="32"/>
      <c r="U555" s="2"/>
      <c r="V555" s="2"/>
      <c r="W555" s="2"/>
      <c r="X555" s="2"/>
      <c r="Y555" s="2"/>
      <c r="Z555" s="2"/>
    </row>
    <row r="556" spans="1:26" ht="13.8" x14ac:dyDescent="0.3">
      <c r="A556" s="2"/>
      <c r="B556" s="10"/>
      <c r="C556" s="10"/>
      <c r="D556" s="10"/>
      <c r="E556" s="10"/>
      <c r="F556" s="10"/>
      <c r="G556" s="32"/>
      <c r="H556" s="32"/>
      <c r="I556" s="32"/>
      <c r="J556" s="73"/>
      <c r="K556" s="32"/>
      <c r="L556" s="32"/>
      <c r="M556" s="32"/>
      <c r="N556" s="32"/>
      <c r="O556" s="2"/>
      <c r="P556" s="2"/>
      <c r="Q556" s="32"/>
      <c r="R556" s="32"/>
      <c r="S556" s="32"/>
      <c r="T556" s="32"/>
      <c r="U556" s="2"/>
      <c r="V556" s="2"/>
      <c r="W556" s="2"/>
      <c r="X556" s="2"/>
      <c r="Y556" s="2"/>
      <c r="Z556" s="2"/>
    </row>
    <row r="557" spans="1:26" ht="13.8" x14ac:dyDescent="0.3">
      <c r="A557" s="2"/>
      <c r="B557" s="10"/>
      <c r="C557" s="10"/>
      <c r="D557" s="10"/>
      <c r="E557" s="10"/>
      <c r="F557" s="10"/>
      <c r="G557" s="32"/>
      <c r="H557" s="32"/>
      <c r="I557" s="32"/>
      <c r="J557" s="73"/>
      <c r="K557" s="32"/>
      <c r="L557" s="32"/>
      <c r="M557" s="32"/>
      <c r="N557" s="32"/>
      <c r="O557" s="2"/>
      <c r="P557" s="2"/>
      <c r="Q557" s="32"/>
      <c r="R557" s="32"/>
      <c r="S557" s="32"/>
      <c r="T557" s="32"/>
      <c r="U557" s="2"/>
      <c r="V557" s="2"/>
      <c r="W557" s="2"/>
      <c r="X557" s="2"/>
      <c r="Y557" s="2"/>
      <c r="Z557" s="2"/>
    </row>
    <row r="558" spans="1:26" ht="13.8" x14ac:dyDescent="0.3">
      <c r="A558" s="2"/>
      <c r="B558" s="10"/>
      <c r="C558" s="10"/>
      <c r="D558" s="10"/>
      <c r="E558" s="10"/>
      <c r="F558" s="10"/>
      <c r="G558" s="32"/>
      <c r="H558" s="32"/>
      <c r="I558" s="32"/>
      <c r="J558" s="73"/>
      <c r="K558" s="32"/>
      <c r="L558" s="32"/>
      <c r="M558" s="32"/>
      <c r="N558" s="32"/>
      <c r="O558" s="2"/>
      <c r="P558" s="2"/>
      <c r="Q558" s="32"/>
      <c r="R558" s="32"/>
      <c r="S558" s="32"/>
      <c r="T558" s="32"/>
      <c r="U558" s="2"/>
      <c r="V558" s="2"/>
      <c r="W558" s="2"/>
      <c r="X558" s="2"/>
      <c r="Y558" s="2"/>
      <c r="Z558" s="2"/>
    </row>
    <row r="559" spans="1:26" ht="13.8" x14ac:dyDescent="0.3">
      <c r="A559" s="2"/>
      <c r="B559" s="10"/>
      <c r="C559" s="10"/>
      <c r="D559" s="10"/>
      <c r="E559" s="10"/>
      <c r="F559" s="10"/>
      <c r="G559" s="32"/>
      <c r="H559" s="32"/>
      <c r="I559" s="32"/>
      <c r="J559" s="73"/>
      <c r="K559" s="32"/>
      <c r="L559" s="32"/>
      <c r="M559" s="32"/>
      <c r="N559" s="32"/>
      <c r="O559" s="2"/>
      <c r="P559" s="2"/>
      <c r="Q559" s="32"/>
      <c r="R559" s="32"/>
      <c r="S559" s="32"/>
      <c r="T559" s="32"/>
      <c r="U559" s="2"/>
      <c r="V559" s="2"/>
      <c r="W559" s="2"/>
      <c r="X559" s="2"/>
      <c r="Y559" s="2"/>
      <c r="Z559" s="2"/>
    </row>
    <row r="560" spans="1:26" ht="13.8" x14ac:dyDescent="0.3">
      <c r="A560" s="2"/>
      <c r="B560" s="10"/>
      <c r="C560" s="10"/>
      <c r="D560" s="10"/>
      <c r="E560" s="10"/>
      <c r="F560" s="10"/>
      <c r="G560" s="32"/>
      <c r="H560" s="32"/>
      <c r="I560" s="32"/>
      <c r="J560" s="73"/>
      <c r="K560" s="32"/>
      <c r="L560" s="32"/>
      <c r="M560" s="32"/>
      <c r="N560" s="32"/>
      <c r="O560" s="2"/>
      <c r="P560" s="2"/>
      <c r="Q560" s="32"/>
      <c r="R560" s="32"/>
      <c r="S560" s="32"/>
      <c r="T560" s="32"/>
      <c r="U560" s="2"/>
      <c r="V560" s="2"/>
      <c r="W560" s="2"/>
      <c r="X560" s="2"/>
      <c r="Y560" s="2"/>
      <c r="Z560" s="2"/>
    </row>
    <row r="561" spans="1:26" ht="13.8" x14ac:dyDescent="0.3">
      <c r="A561" s="2"/>
      <c r="B561" s="10"/>
      <c r="C561" s="10"/>
      <c r="D561" s="10"/>
      <c r="E561" s="10"/>
      <c r="F561" s="10"/>
      <c r="G561" s="32"/>
      <c r="H561" s="32"/>
      <c r="I561" s="32"/>
      <c r="J561" s="73"/>
      <c r="K561" s="32"/>
      <c r="L561" s="32"/>
      <c r="M561" s="32"/>
      <c r="N561" s="32"/>
      <c r="O561" s="2"/>
      <c r="P561" s="2"/>
      <c r="Q561" s="32"/>
      <c r="R561" s="32"/>
      <c r="S561" s="32"/>
      <c r="T561" s="32"/>
      <c r="U561" s="2"/>
      <c r="V561" s="2"/>
      <c r="W561" s="2"/>
      <c r="X561" s="2"/>
      <c r="Y561" s="2"/>
      <c r="Z561" s="2"/>
    </row>
    <row r="562" spans="1:26" ht="13.8" x14ac:dyDescent="0.3">
      <c r="A562" s="2"/>
      <c r="B562" s="10"/>
      <c r="C562" s="10"/>
      <c r="D562" s="10"/>
      <c r="E562" s="10"/>
      <c r="F562" s="10"/>
      <c r="G562" s="32"/>
      <c r="H562" s="32"/>
      <c r="I562" s="32"/>
      <c r="J562" s="73"/>
      <c r="K562" s="32"/>
      <c r="L562" s="32"/>
      <c r="M562" s="32"/>
      <c r="N562" s="32"/>
      <c r="O562" s="2"/>
      <c r="P562" s="2"/>
      <c r="Q562" s="32"/>
      <c r="R562" s="32"/>
      <c r="S562" s="32"/>
      <c r="T562" s="32"/>
      <c r="U562" s="2"/>
      <c r="V562" s="2"/>
      <c r="W562" s="2"/>
      <c r="X562" s="2"/>
      <c r="Y562" s="2"/>
      <c r="Z562" s="2"/>
    </row>
    <row r="563" spans="1:26" ht="13.8" x14ac:dyDescent="0.3">
      <c r="A563" s="2"/>
      <c r="B563" s="10"/>
      <c r="C563" s="10"/>
      <c r="D563" s="10"/>
      <c r="E563" s="10"/>
      <c r="F563" s="10"/>
      <c r="G563" s="32"/>
      <c r="H563" s="32"/>
      <c r="I563" s="32"/>
      <c r="J563" s="73"/>
      <c r="K563" s="32"/>
      <c r="L563" s="32"/>
      <c r="M563" s="32"/>
      <c r="N563" s="32"/>
      <c r="O563" s="2"/>
      <c r="P563" s="2"/>
      <c r="Q563" s="32"/>
      <c r="R563" s="32"/>
      <c r="S563" s="32"/>
      <c r="T563" s="32"/>
      <c r="U563" s="2"/>
      <c r="V563" s="2"/>
      <c r="W563" s="2"/>
      <c r="X563" s="2"/>
      <c r="Y563" s="2"/>
      <c r="Z563" s="2"/>
    </row>
    <row r="564" spans="1:26" ht="13.8" x14ac:dyDescent="0.3">
      <c r="A564" s="2"/>
      <c r="B564" s="10"/>
      <c r="C564" s="10"/>
      <c r="D564" s="10"/>
      <c r="E564" s="10"/>
      <c r="F564" s="10"/>
      <c r="G564" s="32"/>
      <c r="H564" s="32"/>
      <c r="I564" s="32"/>
      <c r="J564" s="73"/>
      <c r="K564" s="32"/>
      <c r="L564" s="32"/>
      <c r="M564" s="32"/>
      <c r="N564" s="32"/>
      <c r="O564" s="2"/>
      <c r="P564" s="2"/>
      <c r="Q564" s="32"/>
      <c r="R564" s="32"/>
      <c r="S564" s="32"/>
      <c r="T564" s="32"/>
      <c r="U564" s="2"/>
      <c r="V564" s="2"/>
      <c r="W564" s="2"/>
      <c r="X564" s="2"/>
      <c r="Y564" s="2"/>
      <c r="Z564" s="2"/>
    </row>
    <row r="565" spans="1:26" ht="13.8" x14ac:dyDescent="0.3">
      <c r="A565" s="2"/>
      <c r="B565" s="10"/>
      <c r="C565" s="10"/>
      <c r="D565" s="10"/>
      <c r="E565" s="10"/>
      <c r="F565" s="10"/>
      <c r="G565" s="32"/>
      <c r="H565" s="32"/>
      <c r="I565" s="32"/>
      <c r="J565" s="73"/>
      <c r="K565" s="32"/>
      <c r="L565" s="32"/>
      <c r="M565" s="32"/>
      <c r="N565" s="32"/>
      <c r="O565" s="2"/>
      <c r="P565" s="2"/>
      <c r="Q565" s="32"/>
      <c r="R565" s="32"/>
      <c r="S565" s="32"/>
      <c r="T565" s="32"/>
      <c r="U565" s="2"/>
      <c r="V565" s="2"/>
      <c r="W565" s="2"/>
      <c r="X565" s="2"/>
      <c r="Y565" s="2"/>
      <c r="Z565" s="2"/>
    </row>
    <row r="566" spans="1:26" ht="13.8" x14ac:dyDescent="0.3">
      <c r="A566" s="2"/>
      <c r="B566" s="10"/>
      <c r="C566" s="10"/>
      <c r="D566" s="10"/>
      <c r="E566" s="10"/>
      <c r="F566" s="10"/>
      <c r="G566" s="32"/>
      <c r="H566" s="32"/>
      <c r="I566" s="32"/>
      <c r="J566" s="73"/>
      <c r="K566" s="32"/>
      <c r="L566" s="32"/>
      <c r="M566" s="32"/>
      <c r="N566" s="32"/>
      <c r="O566" s="2"/>
      <c r="P566" s="2"/>
      <c r="Q566" s="32"/>
      <c r="R566" s="32"/>
      <c r="S566" s="32"/>
      <c r="T566" s="32"/>
      <c r="U566" s="2"/>
      <c r="V566" s="2"/>
      <c r="W566" s="2"/>
      <c r="X566" s="2"/>
      <c r="Y566" s="2"/>
      <c r="Z566" s="2"/>
    </row>
    <row r="567" spans="1:26" ht="13.8" x14ac:dyDescent="0.3">
      <c r="A567" s="2"/>
      <c r="B567" s="10"/>
      <c r="C567" s="10"/>
      <c r="D567" s="10"/>
      <c r="E567" s="10"/>
      <c r="F567" s="10"/>
      <c r="G567" s="32"/>
      <c r="H567" s="32"/>
      <c r="I567" s="32"/>
      <c r="J567" s="73"/>
      <c r="K567" s="32"/>
      <c r="L567" s="32"/>
      <c r="M567" s="32"/>
      <c r="N567" s="32"/>
      <c r="O567" s="2"/>
      <c r="P567" s="2"/>
      <c r="Q567" s="32"/>
      <c r="R567" s="32"/>
      <c r="S567" s="32"/>
      <c r="T567" s="32"/>
      <c r="U567" s="2"/>
      <c r="V567" s="2"/>
      <c r="W567" s="2"/>
      <c r="X567" s="2"/>
      <c r="Y567" s="2"/>
      <c r="Z567" s="2"/>
    </row>
    <row r="568" spans="1:26" ht="13.8" x14ac:dyDescent="0.3">
      <c r="A568" s="2"/>
      <c r="B568" s="10"/>
      <c r="C568" s="10"/>
      <c r="D568" s="10"/>
      <c r="E568" s="10"/>
      <c r="F568" s="10"/>
      <c r="G568" s="32"/>
      <c r="H568" s="32"/>
      <c r="I568" s="32"/>
      <c r="J568" s="73"/>
      <c r="K568" s="32"/>
      <c r="L568" s="32"/>
      <c r="M568" s="32"/>
      <c r="N568" s="32"/>
      <c r="O568" s="2"/>
      <c r="P568" s="2"/>
      <c r="Q568" s="32"/>
      <c r="R568" s="32"/>
      <c r="S568" s="32"/>
      <c r="T568" s="32"/>
      <c r="U568" s="2"/>
      <c r="V568" s="2"/>
      <c r="W568" s="2"/>
      <c r="X568" s="2"/>
      <c r="Y568" s="2"/>
      <c r="Z568" s="2"/>
    </row>
    <row r="569" spans="1:26" ht="13.8" x14ac:dyDescent="0.3">
      <c r="A569" s="2"/>
      <c r="B569" s="10"/>
      <c r="C569" s="10"/>
      <c r="D569" s="10"/>
      <c r="E569" s="10"/>
      <c r="F569" s="10"/>
      <c r="G569" s="32"/>
      <c r="H569" s="32"/>
      <c r="I569" s="32"/>
      <c r="J569" s="73"/>
      <c r="K569" s="32"/>
      <c r="L569" s="32"/>
      <c r="M569" s="32"/>
      <c r="N569" s="32"/>
      <c r="O569" s="2"/>
      <c r="P569" s="2"/>
      <c r="Q569" s="32"/>
      <c r="R569" s="32"/>
      <c r="S569" s="32"/>
      <c r="T569" s="32"/>
      <c r="U569" s="2"/>
      <c r="V569" s="2"/>
      <c r="W569" s="2"/>
      <c r="X569" s="2"/>
      <c r="Y569" s="2"/>
      <c r="Z569" s="2"/>
    </row>
    <row r="570" spans="1:26" ht="13.8" x14ac:dyDescent="0.3">
      <c r="A570" s="2"/>
      <c r="B570" s="10"/>
      <c r="C570" s="10"/>
      <c r="D570" s="10"/>
      <c r="E570" s="10"/>
      <c r="F570" s="10"/>
      <c r="G570" s="32"/>
      <c r="H570" s="32"/>
      <c r="I570" s="32"/>
      <c r="J570" s="73"/>
      <c r="K570" s="32"/>
      <c r="L570" s="32"/>
      <c r="M570" s="32"/>
      <c r="N570" s="32"/>
      <c r="O570" s="2"/>
      <c r="P570" s="2"/>
      <c r="Q570" s="32"/>
      <c r="R570" s="32"/>
      <c r="S570" s="32"/>
      <c r="T570" s="32"/>
      <c r="U570" s="2"/>
      <c r="V570" s="2"/>
      <c r="W570" s="2"/>
      <c r="X570" s="2"/>
      <c r="Y570" s="2"/>
      <c r="Z570" s="2"/>
    </row>
    <row r="571" spans="1:26" ht="13.8" x14ac:dyDescent="0.3">
      <c r="A571" s="2"/>
      <c r="B571" s="10"/>
      <c r="C571" s="10"/>
      <c r="D571" s="10"/>
      <c r="E571" s="10"/>
      <c r="F571" s="10"/>
      <c r="G571" s="32"/>
      <c r="H571" s="32"/>
      <c r="I571" s="32"/>
      <c r="J571" s="73"/>
      <c r="K571" s="32"/>
      <c r="L571" s="32"/>
      <c r="M571" s="32"/>
      <c r="N571" s="32"/>
      <c r="O571" s="2"/>
      <c r="P571" s="2"/>
      <c r="Q571" s="32"/>
      <c r="R571" s="32"/>
      <c r="S571" s="32"/>
      <c r="T571" s="32"/>
      <c r="U571" s="2"/>
      <c r="V571" s="2"/>
      <c r="W571" s="2"/>
      <c r="X571" s="2"/>
      <c r="Y571" s="2"/>
      <c r="Z571" s="2"/>
    </row>
    <row r="572" spans="1:26" ht="13.8" x14ac:dyDescent="0.3">
      <c r="A572" s="2"/>
      <c r="B572" s="10"/>
      <c r="C572" s="10"/>
      <c r="D572" s="10"/>
      <c r="E572" s="10"/>
      <c r="F572" s="10"/>
      <c r="G572" s="32"/>
      <c r="H572" s="32"/>
      <c r="I572" s="32"/>
      <c r="J572" s="73"/>
      <c r="K572" s="32"/>
      <c r="L572" s="32"/>
      <c r="M572" s="32"/>
      <c r="N572" s="32"/>
      <c r="O572" s="2"/>
      <c r="P572" s="2"/>
      <c r="Q572" s="32"/>
      <c r="R572" s="32"/>
      <c r="S572" s="32"/>
      <c r="T572" s="32"/>
      <c r="U572" s="2"/>
      <c r="V572" s="2"/>
      <c r="W572" s="2"/>
      <c r="X572" s="2"/>
      <c r="Y572" s="2"/>
      <c r="Z572" s="2"/>
    </row>
    <row r="573" spans="1:26" ht="13.8" x14ac:dyDescent="0.3">
      <c r="A573" s="2"/>
      <c r="B573" s="10"/>
      <c r="C573" s="10"/>
      <c r="D573" s="10"/>
      <c r="E573" s="10"/>
      <c r="F573" s="10"/>
      <c r="G573" s="32"/>
      <c r="H573" s="32"/>
      <c r="I573" s="32"/>
      <c r="J573" s="73"/>
      <c r="K573" s="32"/>
      <c r="L573" s="32"/>
      <c r="M573" s="32"/>
      <c r="N573" s="32"/>
      <c r="O573" s="2"/>
      <c r="P573" s="2"/>
      <c r="Q573" s="32"/>
      <c r="R573" s="32"/>
      <c r="S573" s="32"/>
      <c r="T573" s="32"/>
      <c r="U573" s="2"/>
      <c r="V573" s="2"/>
      <c r="W573" s="2"/>
      <c r="X573" s="2"/>
      <c r="Y573" s="2"/>
      <c r="Z573" s="2"/>
    </row>
    <row r="574" spans="1:26" ht="13.8" x14ac:dyDescent="0.3">
      <c r="A574" s="2"/>
      <c r="B574" s="10"/>
      <c r="C574" s="10"/>
      <c r="D574" s="10"/>
      <c r="E574" s="10"/>
      <c r="F574" s="10"/>
      <c r="G574" s="32"/>
      <c r="H574" s="32"/>
      <c r="I574" s="32"/>
      <c r="J574" s="73"/>
      <c r="K574" s="32"/>
      <c r="L574" s="32"/>
      <c r="M574" s="32"/>
      <c r="N574" s="32"/>
      <c r="O574" s="2"/>
      <c r="P574" s="2"/>
      <c r="Q574" s="32"/>
      <c r="R574" s="32"/>
      <c r="S574" s="32"/>
      <c r="T574" s="32"/>
      <c r="U574" s="2"/>
      <c r="V574" s="2"/>
      <c r="W574" s="2"/>
      <c r="X574" s="2"/>
      <c r="Y574" s="2"/>
      <c r="Z574" s="2"/>
    </row>
    <row r="575" spans="1:26" ht="13.8" x14ac:dyDescent="0.3">
      <c r="A575" s="2"/>
      <c r="B575" s="10"/>
      <c r="C575" s="10"/>
      <c r="D575" s="10"/>
      <c r="E575" s="10"/>
      <c r="F575" s="10"/>
      <c r="G575" s="32"/>
      <c r="H575" s="32"/>
      <c r="I575" s="32"/>
      <c r="J575" s="73"/>
      <c r="K575" s="32"/>
      <c r="L575" s="32"/>
      <c r="M575" s="32"/>
      <c r="N575" s="32"/>
      <c r="O575" s="2"/>
      <c r="P575" s="2"/>
      <c r="Q575" s="32"/>
      <c r="R575" s="32"/>
      <c r="S575" s="32"/>
      <c r="T575" s="32"/>
      <c r="U575" s="2"/>
      <c r="V575" s="2"/>
      <c r="W575" s="2"/>
      <c r="X575" s="2"/>
      <c r="Y575" s="2"/>
      <c r="Z575" s="2"/>
    </row>
    <row r="576" spans="1:26" ht="13.8" x14ac:dyDescent="0.3">
      <c r="A576" s="2"/>
      <c r="B576" s="10"/>
      <c r="C576" s="10"/>
      <c r="D576" s="10"/>
      <c r="E576" s="10"/>
      <c r="F576" s="10"/>
      <c r="G576" s="32"/>
      <c r="H576" s="32"/>
      <c r="I576" s="32"/>
      <c r="J576" s="73"/>
      <c r="K576" s="32"/>
      <c r="L576" s="32"/>
      <c r="M576" s="32"/>
      <c r="N576" s="32"/>
      <c r="O576" s="2"/>
      <c r="P576" s="2"/>
      <c r="Q576" s="32"/>
      <c r="R576" s="32"/>
      <c r="S576" s="32"/>
      <c r="T576" s="32"/>
      <c r="U576" s="2"/>
      <c r="V576" s="2"/>
      <c r="W576" s="2"/>
      <c r="X576" s="2"/>
      <c r="Y576" s="2"/>
      <c r="Z576" s="2"/>
    </row>
    <row r="577" spans="1:26" ht="13.8" x14ac:dyDescent="0.3">
      <c r="A577" s="2"/>
      <c r="B577" s="10"/>
      <c r="C577" s="10"/>
      <c r="D577" s="10"/>
      <c r="E577" s="10"/>
      <c r="F577" s="10"/>
      <c r="G577" s="32"/>
      <c r="H577" s="32"/>
      <c r="I577" s="32"/>
      <c r="J577" s="73"/>
      <c r="K577" s="32"/>
      <c r="L577" s="32"/>
      <c r="M577" s="32"/>
      <c r="N577" s="32"/>
      <c r="O577" s="2"/>
      <c r="P577" s="2"/>
      <c r="Q577" s="32"/>
      <c r="R577" s="32"/>
      <c r="S577" s="32"/>
      <c r="T577" s="32"/>
      <c r="U577" s="2"/>
      <c r="V577" s="2"/>
      <c r="W577" s="2"/>
      <c r="X577" s="2"/>
      <c r="Y577" s="2"/>
      <c r="Z577" s="2"/>
    </row>
    <row r="578" spans="1:26" ht="13.8" x14ac:dyDescent="0.3">
      <c r="A578" s="2"/>
      <c r="B578" s="10"/>
      <c r="C578" s="10"/>
      <c r="D578" s="10"/>
      <c r="E578" s="10"/>
      <c r="F578" s="10"/>
      <c r="G578" s="32"/>
      <c r="H578" s="32"/>
      <c r="I578" s="32"/>
      <c r="J578" s="73"/>
      <c r="K578" s="32"/>
      <c r="L578" s="32"/>
      <c r="M578" s="32"/>
      <c r="N578" s="32"/>
      <c r="O578" s="2"/>
      <c r="P578" s="2"/>
      <c r="Q578" s="32"/>
      <c r="R578" s="32"/>
      <c r="S578" s="32"/>
      <c r="T578" s="32"/>
      <c r="U578" s="2"/>
      <c r="V578" s="2"/>
      <c r="W578" s="2"/>
      <c r="X578" s="2"/>
      <c r="Y578" s="2"/>
      <c r="Z578" s="2"/>
    </row>
    <row r="579" spans="1:26" ht="13.8" x14ac:dyDescent="0.3">
      <c r="A579" s="2"/>
      <c r="B579" s="10"/>
      <c r="C579" s="10"/>
      <c r="D579" s="10"/>
      <c r="E579" s="10"/>
      <c r="F579" s="10"/>
      <c r="G579" s="32"/>
      <c r="H579" s="32"/>
      <c r="I579" s="32"/>
      <c r="J579" s="73"/>
      <c r="K579" s="32"/>
      <c r="L579" s="32"/>
      <c r="M579" s="32"/>
      <c r="N579" s="32"/>
      <c r="O579" s="2"/>
      <c r="P579" s="2"/>
      <c r="Q579" s="32"/>
      <c r="R579" s="32"/>
      <c r="S579" s="32"/>
      <c r="T579" s="32"/>
      <c r="U579" s="2"/>
      <c r="V579" s="2"/>
      <c r="W579" s="2"/>
      <c r="X579" s="2"/>
      <c r="Y579" s="2"/>
      <c r="Z579" s="2"/>
    </row>
    <row r="580" spans="1:26" ht="13.8" x14ac:dyDescent="0.3">
      <c r="A580" s="2"/>
      <c r="B580" s="10"/>
      <c r="C580" s="10"/>
      <c r="D580" s="10"/>
      <c r="E580" s="10"/>
      <c r="F580" s="10"/>
      <c r="G580" s="32"/>
      <c r="H580" s="32"/>
      <c r="I580" s="32"/>
      <c r="J580" s="73"/>
      <c r="K580" s="32"/>
      <c r="L580" s="32"/>
      <c r="M580" s="32"/>
      <c r="N580" s="32"/>
      <c r="O580" s="2"/>
      <c r="P580" s="2"/>
      <c r="Q580" s="32"/>
      <c r="R580" s="32"/>
      <c r="S580" s="32"/>
      <c r="T580" s="32"/>
      <c r="U580" s="2"/>
      <c r="V580" s="2"/>
      <c r="W580" s="2"/>
      <c r="X580" s="2"/>
      <c r="Y580" s="2"/>
      <c r="Z580" s="2"/>
    </row>
    <row r="581" spans="1:26" ht="13.8" x14ac:dyDescent="0.3">
      <c r="A581" s="2"/>
      <c r="B581" s="10"/>
      <c r="C581" s="10"/>
      <c r="D581" s="10"/>
      <c r="E581" s="10"/>
      <c r="F581" s="10"/>
      <c r="G581" s="32"/>
      <c r="H581" s="32"/>
      <c r="I581" s="32"/>
      <c r="J581" s="73"/>
      <c r="K581" s="32"/>
      <c r="L581" s="32"/>
      <c r="M581" s="32"/>
      <c r="N581" s="32"/>
      <c r="O581" s="2"/>
      <c r="P581" s="2"/>
      <c r="Q581" s="32"/>
      <c r="R581" s="32"/>
      <c r="S581" s="32"/>
      <c r="T581" s="32"/>
      <c r="U581" s="2"/>
      <c r="V581" s="2"/>
      <c r="W581" s="2"/>
      <c r="X581" s="2"/>
      <c r="Y581" s="2"/>
      <c r="Z581" s="2"/>
    </row>
    <row r="582" spans="1:26" ht="13.8" x14ac:dyDescent="0.3">
      <c r="A582" s="2"/>
      <c r="B582" s="10"/>
      <c r="C582" s="10"/>
      <c r="D582" s="10"/>
      <c r="E582" s="10"/>
      <c r="F582" s="10"/>
      <c r="G582" s="32"/>
      <c r="H582" s="32"/>
      <c r="I582" s="32"/>
      <c r="J582" s="73"/>
      <c r="K582" s="32"/>
      <c r="L582" s="32"/>
      <c r="M582" s="32"/>
      <c r="N582" s="32"/>
      <c r="O582" s="2"/>
      <c r="P582" s="2"/>
      <c r="Q582" s="32"/>
      <c r="R582" s="32"/>
      <c r="S582" s="32"/>
      <c r="T582" s="32"/>
      <c r="U582" s="2"/>
      <c r="V582" s="2"/>
      <c r="W582" s="2"/>
      <c r="X582" s="2"/>
      <c r="Y582" s="2"/>
      <c r="Z582" s="2"/>
    </row>
    <row r="583" spans="1:26" ht="13.8" x14ac:dyDescent="0.3">
      <c r="A583" s="2"/>
      <c r="B583" s="10"/>
      <c r="C583" s="10"/>
      <c r="D583" s="10"/>
      <c r="E583" s="10"/>
      <c r="F583" s="10"/>
      <c r="G583" s="32"/>
      <c r="H583" s="32"/>
      <c r="I583" s="32"/>
      <c r="J583" s="73"/>
      <c r="K583" s="32"/>
      <c r="L583" s="32"/>
      <c r="M583" s="32"/>
      <c r="N583" s="32"/>
      <c r="O583" s="2"/>
      <c r="P583" s="2"/>
      <c r="Q583" s="32"/>
      <c r="R583" s="32"/>
      <c r="S583" s="32"/>
      <c r="T583" s="32"/>
      <c r="U583" s="2"/>
      <c r="V583" s="2"/>
      <c r="W583" s="2"/>
      <c r="X583" s="2"/>
      <c r="Y583" s="2"/>
      <c r="Z583" s="2"/>
    </row>
    <row r="584" spans="1:26" ht="13.8" x14ac:dyDescent="0.3">
      <c r="A584" s="2"/>
      <c r="B584" s="10"/>
      <c r="C584" s="10"/>
      <c r="D584" s="10"/>
      <c r="E584" s="10"/>
      <c r="F584" s="10"/>
      <c r="G584" s="32"/>
      <c r="H584" s="32"/>
      <c r="I584" s="32"/>
      <c r="J584" s="73"/>
      <c r="K584" s="32"/>
      <c r="L584" s="32"/>
      <c r="M584" s="32"/>
      <c r="N584" s="32"/>
      <c r="O584" s="2"/>
      <c r="P584" s="2"/>
      <c r="Q584" s="32"/>
      <c r="R584" s="32"/>
      <c r="S584" s="32"/>
      <c r="T584" s="32"/>
      <c r="U584" s="2"/>
      <c r="V584" s="2"/>
      <c r="W584" s="2"/>
      <c r="X584" s="2"/>
      <c r="Y584" s="2"/>
      <c r="Z584" s="2"/>
    </row>
    <row r="585" spans="1:26" ht="13.8" x14ac:dyDescent="0.3">
      <c r="A585" s="2"/>
      <c r="B585" s="10"/>
      <c r="C585" s="10"/>
      <c r="D585" s="10"/>
      <c r="E585" s="10"/>
      <c r="F585" s="10"/>
      <c r="G585" s="32"/>
      <c r="H585" s="32"/>
      <c r="I585" s="32"/>
      <c r="J585" s="73"/>
      <c r="K585" s="32"/>
      <c r="L585" s="32"/>
      <c r="M585" s="32"/>
      <c r="N585" s="32"/>
      <c r="O585" s="2"/>
      <c r="P585" s="2"/>
      <c r="Q585" s="32"/>
      <c r="R585" s="32"/>
      <c r="S585" s="32"/>
      <c r="T585" s="32"/>
      <c r="U585" s="2"/>
      <c r="V585" s="2"/>
      <c r="W585" s="2"/>
      <c r="X585" s="2"/>
      <c r="Y585" s="2"/>
      <c r="Z585" s="2"/>
    </row>
    <row r="586" spans="1:26" ht="13.8" x14ac:dyDescent="0.3">
      <c r="A586" s="2"/>
      <c r="B586" s="10"/>
      <c r="C586" s="10"/>
      <c r="D586" s="10"/>
      <c r="E586" s="10"/>
      <c r="F586" s="10"/>
      <c r="G586" s="32"/>
      <c r="H586" s="32"/>
      <c r="I586" s="32"/>
      <c r="J586" s="73"/>
      <c r="K586" s="32"/>
      <c r="L586" s="32"/>
      <c r="M586" s="32"/>
      <c r="N586" s="32"/>
      <c r="O586" s="2"/>
      <c r="P586" s="2"/>
      <c r="Q586" s="32"/>
      <c r="R586" s="32"/>
      <c r="S586" s="32"/>
      <c r="T586" s="32"/>
      <c r="U586" s="2"/>
      <c r="V586" s="2"/>
      <c r="W586" s="2"/>
      <c r="X586" s="2"/>
      <c r="Y586" s="2"/>
      <c r="Z586" s="2"/>
    </row>
    <row r="587" spans="1:26" ht="13.8" x14ac:dyDescent="0.3">
      <c r="A587" s="2"/>
      <c r="B587" s="10"/>
      <c r="C587" s="10"/>
      <c r="D587" s="10"/>
      <c r="E587" s="10"/>
      <c r="F587" s="10"/>
      <c r="G587" s="32"/>
      <c r="H587" s="32"/>
      <c r="I587" s="32"/>
      <c r="J587" s="73"/>
      <c r="K587" s="32"/>
      <c r="L587" s="32"/>
      <c r="M587" s="32"/>
      <c r="N587" s="32"/>
      <c r="O587" s="2"/>
      <c r="P587" s="2"/>
      <c r="Q587" s="32"/>
      <c r="R587" s="32"/>
      <c r="S587" s="32"/>
      <c r="T587" s="32"/>
      <c r="U587" s="2"/>
      <c r="V587" s="2"/>
      <c r="W587" s="2"/>
      <c r="X587" s="2"/>
      <c r="Y587" s="2"/>
      <c r="Z587" s="2"/>
    </row>
    <row r="588" spans="1:26" ht="13.8" x14ac:dyDescent="0.3">
      <c r="A588" s="2"/>
      <c r="B588" s="10"/>
      <c r="C588" s="10"/>
      <c r="D588" s="10"/>
      <c r="E588" s="10"/>
      <c r="F588" s="10"/>
      <c r="G588" s="32"/>
      <c r="H588" s="32"/>
      <c r="I588" s="32"/>
      <c r="J588" s="73"/>
      <c r="K588" s="32"/>
      <c r="L588" s="32"/>
      <c r="M588" s="32"/>
      <c r="N588" s="32"/>
      <c r="O588" s="2"/>
      <c r="P588" s="2"/>
      <c r="Q588" s="32"/>
      <c r="R588" s="32"/>
      <c r="S588" s="32"/>
      <c r="T588" s="32"/>
      <c r="U588" s="2"/>
      <c r="V588" s="2"/>
      <c r="W588" s="2"/>
      <c r="X588" s="2"/>
      <c r="Y588" s="2"/>
      <c r="Z588" s="2"/>
    </row>
    <row r="589" spans="1:26" ht="13.8" x14ac:dyDescent="0.3">
      <c r="A589" s="2"/>
      <c r="B589" s="10"/>
      <c r="C589" s="10"/>
      <c r="D589" s="10"/>
      <c r="E589" s="10"/>
      <c r="F589" s="10"/>
      <c r="G589" s="32"/>
      <c r="H589" s="32"/>
      <c r="I589" s="32"/>
      <c r="J589" s="73"/>
      <c r="K589" s="32"/>
      <c r="L589" s="32"/>
      <c r="M589" s="32"/>
      <c r="N589" s="32"/>
      <c r="O589" s="2"/>
      <c r="P589" s="2"/>
      <c r="Q589" s="32"/>
      <c r="R589" s="32"/>
      <c r="S589" s="32"/>
      <c r="T589" s="32"/>
      <c r="U589" s="2"/>
      <c r="V589" s="2"/>
      <c r="W589" s="2"/>
      <c r="X589" s="2"/>
      <c r="Y589" s="2"/>
      <c r="Z589" s="2"/>
    </row>
    <row r="590" spans="1:26" ht="13.8" x14ac:dyDescent="0.3">
      <c r="A590" s="2"/>
      <c r="B590" s="10"/>
      <c r="C590" s="10"/>
      <c r="D590" s="10"/>
      <c r="E590" s="10"/>
      <c r="F590" s="10"/>
      <c r="G590" s="32"/>
      <c r="H590" s="32"/>
      <c r="I590" s="32"/>
      <c r="J590" s="73"/>
      <c r="K590" s="32"/>
      <c r="L590" s="32"/>
      <c r="M590" s="32"/>
      <c r="N590" s="32"/>
      <c r="O590" s="2"/>
      <c r="P590" s="2"/>
      <c r="Q590" s="32"/>
      <c r="R590" s="32"/>
      <c r="S590" s="32"/>
      <c r="T590" s="32"/>
      <c r="U590" s="2"/>
      <c r="V590" s="2"/>
      <c r="W590" s="2"/>
      <c r="X590" s="2"/>
      <c r="Y590" s="2"/>
      <c r="Z590" s="2"/>
    </row>
    <row r="591" spans="1:26" ht="13.8" x14ac:dyDescent="0.3">
      <c r="A591" s="2"/>
      <c r="B591" s="10"/>
      <c r="C591" s="10"/>
      <c r="D591" s="10"/>
      <c r="E591" s="10"/>
      <c r="F591" s="10"/>
      <c r="G591" s="32"/>
      <c r="H591" s="32"/>
      <c r="I591" s="32"/>
      <c r="J591" s="73"/>
      <c r="K591" s="32"/>
      <c r="L591" s="32"/>
      <c r="M591" s="32"/>
      <c r="N591" s="32"/>
      <c r="O591" s="2"/>
      <c r="P591" s="2"/>
      <c r="Q591" s="32"/>
      <c r="R591" s="32"/>
      <c r="S591" s="32"/>
      <c r="T591" s="32"/>
      <c r="U591" s="2"/>
      <c r="V591" s="2"/>
      <c r="W591" s="2"/>
      <c r="X591" s="2"/>
      <c r="Y591" s="2"/>
      <c r="Z591" s="2"/>
    </row>
    <row r="592" spans="1:26" ht="13.8" x14ac:dyDescent="0.3">
      <c r="A592" s="2"/>
      <c r="B592" s="10"/>
      <c r="C592" s="10"/>
      <c r="D592" s="10"/>
      <c r="E592" s="10"/>
      <c r="F592" s="10"/>
      <c r="G592" s="32"/>
      <c r="H592" s="32"/>
      <c r="I592" s="32"/>
      <c r="J592" s="73"/>
      <c r="K592" s="32"/>
      <c r="L592" s="32"/>
      <c r="M592" s="32"/>
      <c r="N592" s="32"/>
      <c r="O592" s="2"/>
      <c r="P592" s="2"/>
      <c r="Q592" s="32"/>
      <c r="R592" s="32"/>
      <c r="S592" s="32"/>
      <c r="T592" s="32"/>
      <c r="U592" s="2"/>
      <c r="V592" s="2"/>
      <c r="W592" s="2"/>
      <c r="X592" s="2"/>
      <c r="Y592" s="2"/>
      <c r="Z592" s="2"/>
    </row>
    <row r="593" spans="1:26" ht="13.8" x14ac:dyDescent="0.3">
      <c r="A593" s="2"/>
      <c r="B593" s="10"/>
      <c r="C593" s="10"/>
      <c r="D593" s="10"/>
      <c r="E593" s="10"/>
      <c r="F593" s="10"/>
      <c r="G593" s="32"/>
      <c r="H593" s="32"/>
      <c r="I593" s="32"/>
      <c r="J593" s="73"/>
      <c r="K593" s="32"/>
      <c r="L593" s="32"/>
      <c r="M593" s="32"/>
      <c r="N593" s="32"/>
      <c r="O593" s="2"/>
      <c r="P593" s="2"/>
      <c r="Q593" s="32"/>
      <c r="R593" s="32"/>
      <c r="S593" s="32"/>
      <c r="T593" s="32"/>
      <c r="U593" s="2"/>
      <c r="V593" s="2"/>
      <c r="W593" s="2"/>
      <c r="X593" s="2"/>
      <c r="Y593" s="2"/>
      <c r="Z593" s="2"/>
    </row>
    <row r="594" spans="1:26" ht="13.8" x14ac:dyDescent="0.3">
      <c r="A594" s="2"/>
      <c r="B594" s="10"/>
      <c r="C594" s="10"/>
      <c r="D594" s="10"/>
      <c r="E594" s="10"/>
      <c r="F594" s="10"/>
      <c r="G594" s="32"/>
      <c r="H594" s="32"/>
      <c r="I594" s="32"/>
      <c r="J594" s="73"/>
      <c r="K594" s="32"/>
      <c r="L594" s="32"/>
      <c r="M594" s="32"/>
      <c r="N594" s="32"/>
      <c r="O594" s="2"/>
      <c r="P594" s="2"/>
      <c r="Q594" s="32"/>
      <c r="R594" s="32"/>
      <c r="S594" s="32"/>
      <c r="T594" s="32"/>
      <c r="U594" s="2"/>
      <c r="V594" s="2"/>
      <c r="W594" s="2"/>
      <c r="X594" s="2"/>
      <c r="Y594" s="2"/>
      <c r="Z594" s="2"/>
    </row>
    <row r="595" spans="1:26" ht="13.8" x14ac:dyDescent="0.3">
      <c r="A595" s="2"/>
      <c r="B595" s="10"/>
      <c r="C595" s="10"/>
      <c r="D595" s="10"/>
      <c r="E595" s="10"/>
      <c r="F595" s="10"/>
      <c r="G595" s="32"/>
      <c r="H595" s="32"/>
      <c r="I595" s="32"/>
      <c r="J595" s="73"/>
      <c r="K595" s="32"/>
      <c r="L595" s="32"/>
      <c r="M595" s="32"/>
      <c r="N595" s="32"/>
      <c r="O595" s="2"/>
      <c r="P595" s="2"/>
      <c r="Q595" s="32"/>
      <c r="R595" s="32"/>
      <c r="S595" s="32"/>
      <c r="T595" s="32"/>
      <c r="U595" s="2"/>
      <c r="V595" s="2"/>
      <c r="W595" s="2"/>
      <c r="X595" s="2"/>
      <c r="Y595" s="2"/>
      <c r="Z595" s="2"/>
    </row>
    <row r="596" spans="1:26" ht="13.8" x14ac:dyDescent="0.3">
      <c r="A596" s="2"/>
      <c r="B596" s="10"/>
      <c r="C596" s="10"/>
      <c r="D596" s="10"/>
      <c r="E596" s="10"/>
      <c r="F596" s="10"/>
      <c r="G596" s="32"/>
      <c r="H596" s="32"/>
      <c r="I596" s="32"/>
      <c r="J596" s="73"/>
      <c r="K596" s="32"/>
      <c r="L596" s="32"/>
      <c r="M596" s="32"/>
      <c r="N596" s="32"/>
      <c r="O596" s="2"/>
      <c r="P596" s="2"/>
      <c r="Q596" s="32"/>
      <c r="R596" s="32"/>
      <c r="S596" s="32"/>
      <c r="T596" s="32"/>
      <c r="U596" s="2"/>
      <c r="V596" s="2"/>
      <c r="W596" s="2"/>
      <c r="X596" s="2"/>
      <c r="Y596" s="2"/>
      <c r="Z596" s="2"/>
    </row>
    <row r="597" spans="1:26" ht="13.8" x14ac:dyDescent="0.3">
      <c r="A597" s="2"/>
      <c r="B597" s="10"/>
      <c r="C597" s="10"/>
      <c r="D597" s="10"/>
      <c r="E597" s="10"/>
      <c r="F597" s="10"/>
      <c r="G597" s="32"/>
      <c r="H597" s="32"/>
      <c r="I597" s="32"/>
      <c r="J597" s="73"/>
      <c r="K597" s="32"/>
      <c r="L597" s="32"/>
      <c r="M597" s="32"/>
      <c r="N597" s="32"/>
      <c r="O597" s="2"/>
      <c r="P597" s="2"/>
      <c r="Q597" s="32"/>
      <c r="R597" s="32"/>
      <c r="S597" s="32"/>
      <c r="T597" s="32"/>
      <c r="U597" s="2"/>
      <c r="V597" s="2"/>
      <c r="W597" s="2"/>
      <c r="X597" s="2"/>
      <c r="Y597" s="2"/>
      <c r="Z597" s="2"/>
    </row>
    <row r="598" spans="1:26" ht="13.8" x14ac:dyDescent="0.3">
      <c r="A598" s="2"/>
      <c r="B598" s="10"/>
      <c r="C598" s="10"/>
      <c r="D598" s="10"/>
      <c r="E598" s="10"/>
      <c r="F598" s="10"/>
      <c r="G598" s="32"/>
      <c r="H598" s="32"/>
      <c r="I598" s="32"/>
      <c r="J598" s="73"/>
      <c r="K598" s="32"/>
      <c r="L598" s="32"/>
      <c r="M598" s="32"/>
      <c r="N598" s="32"/>
      <c r="O598" s="2"/>
      <c r="P598" s="2"/>
      <c r="Q598" s="32"/>
      <c r="R598" s="32"/>
      <c r="S598" s="32"/>
      <c r="T598" s="32"/>
      <c r="U598" s="2"/>
      <c r="V598" s="2"/>
      <c r="W598" s="2"/>
      <c r="X598" s="2"/>
      <c r="Y598" s="2"/>
      <c r="Z598" s="2"/>
    </row>
    <row r="599" spans="1:26" ht="13.8" x14ac:dyDescent="0.3">
      <c r="A599" s="2"/>
      <c r="B599" s="10"/>
      <c r="C599" s="10"/>
      <c r="D599" s="10"/>
      <c r="E599" s="10"/>
      <c r="F599" s="10"/>
      <c r="G599" s="32"/>
      <c r="H599" s="32"/>
      <c r="I599" s="32"/>
      <c r="J599" s="73"/>
      <c r="K599" s="32"/>
      <c r="L599" s="32"/>
      <c r="M599" s="32"/>
      <c r="N599" s="32"/>
      <c r="O599" s="2"/>
      <c r="P599" s="2"/>
      <c r="Q599" s="32"/>
      <c r="R599" s="32"/>
      <c r="S599" s="32"/>
      <c r="T599" s="32"/>
      <c r="U599" s="2"/>
      <c r="V599" s="2"/>
      <c r="W599" s="2"/>
      <c r="X599" s="2"/>
      <c r="Y599" s="2"/>
      <c r="Z599" s="2"/>
    </row>
    <row r="600" spans="1:26" ht="13.8" x14ac:dyDescent="0.3">
      <c r="A600" s="2"/>
      <c r="B600" s="10"/>
      <c r="C600" s="10"/>
      <c r="D600" s="10"/>
      <c r="E600" s="10"/>
      <c r="F600" s="10"/>
      <c r="G600" s="32"/>
      <c r="H600" s="32"/>
      <c r="I600" s="32"/>
      <c r="J600" s="73"/>
      <c r="K600" s="32"/>
      <c r="L600" s="32"/>
      <c r="M600" s="32"/>
      <c r="N600" s="32"/>
      <c r="O600" s="2"/>
      <c r="P600" s="2"/>
      <c r="Q600" s="32"/>
      <c r="R600" s="32"/>
      <c r="S600" s="32"/>
      <c r="T600" s="32"/>
      <c r="U600" s="2"/>
      <c r="V600" s="2"/>
      <c r="W600" s="2"/>
      <c r="X600" s="2"/>
      <c r="Y600" s="2"/>
      <c r="Z600" s="2"/>
    </row>
    <row r="601" spans="1:26" ht="13.8" x14ac:dyDescent="0.3">
      <c r="A601" s="2"/>
      <c r="B601" s="10"/>
      <c r="C601" s="10"/>
      <c r="D601" s="10"/>
      <c r="E601" s="10"/>
      <c r="F601" s="10"/>
      <c r="G601" s="32"/>
      <c r="H601" s="32"/>
      <c r="I601" s="32"/>
      <c r="J601" s="73"/>
      <c r="K601" s="32"/>
      <c r="L601" s="32"/>
      <c r="M601" s="32"/>
      <c r="N601" s="32"/>
      <c r="O601" s="2"/>
      <c r="P601" s="2"/>
      <c r="Q601" s="32"/>
      <c r="R601" s="32"/>
      <c r="S601" s="32"/>
      <c r="T601" s="32"/>
      <c r="U601" s="2"/>
      <c r="V601" s="2"/>
      <c r="W601" s="2"/>
      <c r="X601" s="2"/>
      <c r="Y601" s="2"/>
      <c r="Z601" s="2"/>
    </row>
    <row r="602" spans="1:26" ht="13.8" x14ac:dyDescent="0.3">
      <c r="A602" s="2"/>
      <c r="B602" s="10"/>
      <c r="C602" s="10"/>
      <c r="D602" s="10"/>
      <c r="E602" s="10"/>
      <c r="F602" s="10"/>
      <c r="G602" s="32"/>
      <c r="H602" s="32"/>
      <c r="I602" s="32"/>
      <c r="J602" s="73"/>
      <c r="K602" s="32"/>
      <c r="L602" s="32"/>
      <c r="M602" s="32"/>
      <c r="N602" s="32"/>
      <c r="O602" s="2"/>
      <c r="P602" s="2"/>
      <c r="Q602" s="32"/>
      <c r="R602" s="32"/>
      <c r="S602" s="32"/>
      <c r="T602" s="32"/>
      <c r="U602" s="2"/>
      <c r="V602" s="2"/>
      <c r="W602" s="2"/>
      <c r="X602" s="2"/>
      <c r="Y602" s="2"/>
      <c r="Z602" s="2"/>
    </row>
    <row r="603" spans="1:26" ht="13.8" x14ac:dyDescent="0.3">
      <c r="A603" s="2"/>
      <c r="B603" s="10"/>
      <c r="C603" s="10"/>
      <c r="D603" s="10"/>
      <c r="E603" s="10"/>
      <c r="F603" s="10"/>
      <c r="G603" s="32"/>
      <c r="H603" s="32"/>
      <c r="I603" s="32"/>
      <c r="J603" s="73"/>
      <c r="K603" s="32"/>
      <c r="L603" s="32"/>
      <c r="M603" s="32"/>
      <c r="N603" s="32"/>
      <c r="O603" s="2"/>
      <c r="P603" s="2"/>
      <c r="Q603" s="32"/>
      <c r="R603" s="32"/>
      <c r="S603" s="32"/>
      <c r="T603" s="32"/>
      <c r="U603" s="2"/>
      <c r="V603" s="2"/>
      <c r="W603" s="2"/>
      <c r="X603" s="2"/>
      <c r="Y603" s="2"/>
      <c r="Z603" s="2"/>
    </row>
    <row r="604" spans="1:26" ht="13.8" x14ac:dyDescent="0.3">
      <c r="A604" s="2"/>
      <c r="B604" s="10"/>
      <c r="C604" s="10"/>
      <c r="D604" s="10"/>
      <c r="E604" s="10"/>
      <c r="F604" s="10"/>
      <c r="G604" s="32"/>
      <c r="H604" s="32"/>
      <c r="I604" s="32"/>
      <c r="J604" s="73"/>
      <c r="K604" s="32"/>
      <c r="L604" s="32"/>
      <c r="M604" s="32"/>
      <c r="N604" s="32"/>
      <c r="O604" s="2"/>
      <c r="P604" s="2"/>
      <c r="Q604" s="32"/>
      <c r="R604" s="32"/>
      <c r="S604" s="32"/>
      <c r="T604" s="32"/>
      <c r="U604" s="2"/>
      <c r="V604" s="2"/>
      <c r="W604" s="2"/>
      <c r="X604" s="2"/>
      <c r="Y604" s="2"/>
      <c r="Z604" s="2"/>
    </row>
    <row r="605" spans="1:26" ht="13.8" x14ac:dyDescent="0.3">
      <c r="A605" s="2"/>
      <c r="B605" s="10"/>
      <c r="C605" s="10"/>
      <c r="D605" s="10"/>
      <c r="E605" s="10"/>
      <c r="F605" s="10"/>
      <c r="G605" s="32"/>
      <c r="H605" s="32"/>
      <c r="I605" s="32"/>
      <c r="J605" s="73"/>
      <c r="K605" s="32"/>
      <c r="L605" s="32"/>
      <c r="M605" s="32"/>
      <c r="N605" s="32"/>
      <c r="O605" s="2"/>
      <c r="P605" s="2"/>
      <c r="Q605" s="32"/>
      <c r="R605" s="32"/>
      <c r="S605" s="32"/>
      <c r="T605" s="32"/>
      <c r="U605" s="2"/>
      <c r="V605" s="2"/>
      <c r="W605" s="2"/>
      <c r="X605" s="2"/>
      <c r="Y605" s="2"/>
      <c r="Z605" s="2"/>
    </row>
    <row r="606" spans="1:26" ht="13.8" x14ac:dyDescent="0.3">
      <c r="A606" s="2"/>
      <c r="B606" s="10"/>
      <c r="C606" s="10"/>
      <c r="D606" s="10"/>
      <c r="E606" s="10"/>
      <c r="F606" s="10"/>
      <c r="G606" s="32"/>
      <c r="H606" s="32"/>
      <c r="I606" s="32"/>
      <c r="J606" s="73"/>
      <c r="K606" s="32"/>
      <c r="L606" s="32"/>
      <c r="M606" s="32"/>
      <c r="N606" s="32"/>
      <c r="O606" s="2"/>
      <c r="P606" s="2"/>
      <c r="Q606" s="32"/>
      <c r="R606" s="32"/>
      <c r="S606" s="32"/>
      <c r="T606" s="32"/>
      <c r="U606" s="2"/>
      <c r="V606" s="2"/>
      <c r="W606" s="2"/>
      <c r="X606" s="2"/>
      <c r="Y606" s="2"/>
      <c r="Z606" s="2"/>
    </row>
    <row r="607" spans="1:26" ht="13.8" x14ac:dyDescent="0.3">
      <c r="A607" s="2"/>
      <c r="B607" s="10"/>
      <c r="C607" s="10"/>
      <c r="D607" s="10"/>
      <c r="E607" s="10"/>
      <c r="F607" s="10"/>
      <c r="G607" s="32"/>
      <c r="H607" s="32"/>
      <c r="I607" s="32"/>
      <c r="J607" s="73"/>
      <c r="K607" s="32"/>
      <c r="L607" s="32"/>
      <c r="M607" s="32"/>
      <c r="N607" s="32"/>
      <c r="O607" s="2"/>
      <c r="P607" s="2"/>
      <c r="Q607" s="32"/>
      <c r="R607" s="32"/>
      <c r="S607" s="32"/>
      <c r="T607" s="32"/>
      <c r="U607" s="2"/>
      <c r="V607" s="2"/>
      <c r="W607" s="2"/>
      <c r="X607" s="2"/>
      <c r="Y607" s="2"/>
      <c r="Z607" s="2"/>
    </row>
    <row r="608" spans="1:26" ht="13.8" x14ac:dyDescent="0.3">
      <c r="A608" s="2"/>
      <c r="B608" s="10"/>
      <c r="C608" s="10"/>
      <c r="D608" s="10"/>
      <c r="E608" s="10"/>
      <c r="F608" s="10"/>
      <c r="G608" s="32"/>
      <c r="H608" s="32"/>
      <c r="I608" s="32"/>
      <c r="J608" s="73"/>
      <c r="K608" s="32"/>
      <c r="L608" s="32"/>
      <c r="M608" s="32"/>
      <c r="N608" s="32"/>
      <c r="O608" s="2"/>
      <c r="P608" s="2"/>
      <c r="Q608" s="32"/>
      <c r="R608" s="32"/>
      <c r="S608" s="32"/>
      <c r="T608" s="32"/>
      <c r="U608" s="2"/>
      <c r="V608" s="2"/>
      <c r="W608" s="2"/>
      <c r="X608" s="2"/>
      <c r="Y608" s="2"/>
      <c r="Z608" s="2"/>
    </row>
    <row r="609" spans="1:26" ht="13.8" x14ac:dyDescent="0.3">
      <c r="A609" s="2"/>
      <c r="B609" s="10"/>
      <c r="C609" s="10"/>
      <c r="D609" s="10"/>
      <c r="E609" s="10"/>
      <c r="F609" s="10"/>
      <c r="G609" s="32"/>
      <c r="H609" s="32"/>
      <c r="I609" s="32"/>
      <c r="J609" s="73"/>
      <c r="K609" s="32"/>
      <c r="L609" s="32"/>
      <c r="M609" s="32"/>
      <c r="N609" s="32"/>
      <c r="O609" s="2"/>
      <c r="P609" s="2"/>
      <c r="Q609" s="32"/>
      <c r="R609" s="32"/>
      <c r="S609" s="32"/>
      <c r="T609" s="32"/>
      <c r="U609" s="2"/>
      <c r="V609" s="2"/>
      <c r="W609" s="2"/>
      <c r="X609" s="2"/>
      <c r="Y609" s="2"/>
      <c r="Z609" s="2"/>
    </row>
    <row r="610" spans="1:26" ht="13.8" x14ac:dyDescent="0.3">
      <c r="A610" s="2"/>
      <c r="B610" s="10"/>
      <c r="C610" s="10"/>
      <c r="D610" s="10"/>
      <c r="E610" s="10"/>
      <c r="F610" s="10"/>
      <c r="G610" s="32"/>
      <c r="H610" s="32"/>
      <c r="I610" s="32"/>
      <c r="J610" s="73"/>
      <c r="K610" s="32"/>
      <c r="L610" s="32"/>
      <c r="M610" s="32"/>
      <c r="N610" s="32"/>
      <c r="O610" s="2"/>
      <c r="P610" s="2"/>
      <c r="Q610" s="32"/>
      <c r="R610" s="32"/>
      <c r="S610" s="32"/>
      <c r="T610" s="32"/>
      <c r="U610" s="2"/>
      <c r="V610" s="2"/>
      <c r="W610" s="2"/>
      <c r="X610" s="2"/>
      <c r="Y610" s="2"/>
      <c r="Z610" s="2"/>
    </row>
    <row r="611" spans="1:26" ht="13.8" x14ac:dyDescent="0.3">
      <c r="A611" s="2"/>
      <c r="B611" s="10"/>
      <c r="C611" s="10"/>
      <c r="D611" s="10"/>
      <c r="E611" s="10"/>
      <c r="F611" s="10"/>
      <c r="G611" s="32"/>
      <c r="H611" s="32"/>
      <c r="I611" s="32"/>
      <c r="J611" s="73"/>
      <c r="K611" s="32"/>
      <c r="L611" s="32"/>
      <c r="M611" s="32"/>
      <c r="N611" s="32"/>
      <c r="O611" s="2"/>
      <c r="P611" s="2"/>
      <c r="Q611" s="32"/>
      <c r="R611" s="32"/>
      <c r="S611" s="32"/>
      <c r="T611" s="32"/>
      <c r="U611" s="2"/>
      <c r="V611" s="2"/>
      <c r="W611" s="2"/>
      <c r="X611" s="2"/>
      <c r="Y611" s="2"/>
      <c r="Z611" s="2"/>
    </row>
    <row r="612" spans="1:26" ht="13.8" x14ac:dyDescent="0.3">
      <c r="A612" s="2"/>
      <c r="B612" s="10"/>
      <c r="C612" s="10"/>
      <c r="D612" s="10"/>
      <c r="E612" s="10"/>
      <c r="F612" s="10"/>
      <c r="G612" s="32"/>
      <c r="H612" s="32"/>
      <c r="I612" s="32"/>
      <c r="J612" s="73"/>
      <c r="K612" s="32"/>
      <c r="L612" s="32"/>
      <c r="M612" s="32"/>
      <c r="N612" s="32"/>
      <c r="O612" s="2"/>
      <c r="P612" s="2"/>
      <c r="Q612" s="32"/>
      <c r="R612" s="32"/>
      <c r="S612" s="32"/>
      <c r="T612" s="32"/>
      <c r="U612" s="2"/>
      <c r="V612" s="2"/>
      <c r="W612" s="2"/>
      <c r="X612" s="2"/>
      <c r="Y612" s="2"/>
      <c r="Z612" s="2"/>
    </row>
    <row r="613" spans="1:26" ht="13.8" x14ac:dyDescent="0.3">
      <c r="A613" s="2"/>
      <c r="B613" s="10"/>
      <c r="C613" s="10"/>
      <c r="D613" s="10"/>
      <c r="E613" s="10"/>
      <c r="F613" s="10"/>
      <c r="G613" s="32"/>
      <c r="H613" s="32"/>
      <c r="I613" s="32"/>
      <c r="J613" s="73"/>
      <c r="K613" s="32"/>
      <c r="L613" s="32"/>
      <c r="M613" s="32"/>
      <c r="N613" s="32"/>
      <c r="O613" s="2"/>
      <c r="P613" s="2"/>
      <c r="Q613" s="32"/>
      <c r="R613" s="32"/>
      <c r="S613" s="32"/>
      <c r="T613" s="32"/>
      <c r="U613" s="2"/>
      <c r="V613" s="2"/>
      <c r="W613" s="2"/>
      <c r="X613" s="2"/>
      <c r="Y613" s="2"/>
      <c r="Z613" s="2"/>
    </row>
    <row r="614" spans="1:26" ht="13.8" x14ac:dyDescent="0.3">
      <c r="A614" s="2"/>
      <c r="B614" s="10"/>
      <c r="C614" s="10"/>
      <c r="D614" s="10"/>
      <c r="E614" s="10"/>
      <c r="F614" s="10"/>
      <c r="G614" s="32"/>
      <c r="H614" s="32"/>
      <c r="I614" s="32"/>
      <c r="J614" s="73"/>
      <c r="K614" s="32"/>
      <c r="L614" s="32"/>
      <c r="M614" s="32"/>
      <c r="N614" s="32"/>
      <c r="O614" s="2"/>
      <c r="P614" s="2"/>
      <c r="Q614" s="32"/>
      <c r="R614" s="32"/>
      <c r="S614" s="32"/>
      <c r="T614" s="32"/>
      <c r="U614" s="2"/>
      <c r="V614" s="2"/>
      <c r="W614" s="2"/>
      <c r="X614" s="2"/>
      <c r="Y614" s="2"/>
      <c r="Z614" s="2"/>
    </row>
    <row r="615" spans="1:26" ht="13.8" x14ac:dyDescent="0.3">
      <c r="A615" s="2"/>
      <c r="B615" s="10"/>
      <c r="C615" s="10"/>
      <c r="D615" s="10"/>
      <c r="E615" s="10"/>
      <c r="F615" s="10"/>
      <c r="G615" s="32"/>
      <c r="H615" s="32"/>
      <c r="I615" s="32"/>
      <c r="J615" s="73"/>
      <c r="K615" s="32"/>
      <c r="L615" s="32"/>
      <c r="M615" s="32"/>
      <c r="N615" s="32"/>
      <c r="O615" s="2"/>
      <c r="P615" s="2"/>
      <c r="Q615" s="32"/>
      <c r="R615" s="32"/>
      <c r="S615" s="32"/>
      <c r="T615" s="32"/>
      <c r="U615" s="2"/>
      <c r="V615" s="2"/>
      <c r="W615" s="2"/>
      <c r="X615" s="2"/>
      <c r="Y615" s="2"/>
      <c r="Z615" s="2"/>
    </row>
    <row r="616" spans="1:26" ht="13.8" x14ac:dyDescent="0.3">
      <c r="A616" s="2"/>
      <c r="B616" s="10"/>
      <c r="C616" s="10"/>
      <c r="D616" s="10"/>
      <c r="E616" s="10"/>
      <c r="F616" s="10"/>
      <c r="G616" s="32"/>
      <c r="H616" s="32"/>
      <c r="I616" s="32"/>
      <c r="J616" s="73"/>
      <c r="K616" s="32"/>
      <c r="L616" s="32"/>
      <c r="M616" s="32"/>
      <c r="N616" s="32"/>
      <c r="O616" s="2"/>
      <c r="P616" s="2"/>
      <c r="Q616" s="32"/>
      <c r="R616" s="32"/>
      <c r="S616" s="32"/>
      <c r="T616" s="32"/>
      <c r="U616" s="2"/>
      <c r="V616" s="2"/>
      <c r="W616" s="2"/>
      <c r="X616" s="2"/>
      <c r="Y616" s="2"/>
      <c r="Z616" s="2"/>
    </row>
    <row r="617" spans="1:26" ht="13.8" x14ac:dyDescent="0.3">
      <c r="A617" s="2"/>
      <c r="B617" s="10"/>
      <c r="C617" s="10"/>
      <c r="D617" s="10"/>
      <c r="E617" s="10"/>
      <c r="F617" s="10"/>
      <c r="G617" s="32"/>
      <c r="H617" s="32"/>
      <c r="I617" s="32"/>
      <c r="J617" s="73"/>
      <c r="K617" s="32"/>
      <c r="L617" s="32"/>
      <c r="M617" s="32"/>
      <c r="N617" s="32"/>
      <c r="O617" s="2"/>
      <c r="P617" s="2"/>
      <c r="Q617" s="32"/>
      <c r="R617" s="32"/>
      <c r="S617" s="32"/>
      <c r="T617" s="32"/>
      <c r="U617" s="2"/>
      <c r="V617" s="2"/>
      <c r="W617" s="2"/>
      <c r="X617" s="2"/>
      <c r="Y617" s="2"/>
      <c r="Z617" s="2"/>
    </row>
    <row r="618" spans="1:26" ht="13.8" x14ac:dyDescent="0.3">
      <c r="A618" s="2"/>
      <c r="B618" s="10"/>
      <c r="C618" s="10"/>
      <c r="D618" s="10"/>
      <c r="E618" s="10"/>
      <c r="F618" s="10"/>
      <c r="G618" s="32"/>
      <c r="H618" s="32"/>
      <c r="I618" s="32"/>
      <c r="J618" s="73"/>
      <c r="K618" s="32"/>
      <c r="L618" s="32"/>
      <c r="M618" s="32"/>
      <c r="N618" s="32"/>
      <c r="O618" s="2"/>
      <c r="P618" s="2"/>
      <c r="Q618" s="32"/>
      <c r="R618" s="32"/>
      <c r="S618" s="32"/>
      <c r="T618" s="32"/>
      <c r="U618" s="2"/>
      <c r="V618" s="2"/>
      <c r="W618" s="2"/>
      <c r="X618" s="2"/>
      <c r="Y618" s="2"/>
      <c r="Z618" s="2"/>
    </row>
    <row r="619" spans="1:26" ht="13.8" x14ac:dyDescent="0.3">
      <c r="A619" s="2"/>
      <c r="B619" s="10"/>
      <c r="C619" s="10"/>
      <c r="D619" s="10"/>
      <c r="E619" s="10"/>
      <c r="F619" s="10"/>
      <c r="G619" s="32"/>
      <c r="H619" s="32"/>
      <c r="I619" s="32"/>
      <c r="J619" s="73"/>
      <c r="K619" s="32"/>
      <c r="L619" s="32"/>
      <c r="M619" s="32"/>
      <c r="N619" s="32"/>
      <c r="O619" s="2"/>
      <c r="P619" s="2"/>
      <c r="Q619" s="32"/>
      <c r="R619" s="32"/>
      <c r="S619" s="32"/>
      <c r="T619" s="32"/>
      <c r="U619" s="2"/>
      <c r="V619" s="2"/>
      <c r="W619" s="2"/>
      <c r="X619" s="2"/>
      <c r="Y619" s="2"/>
      <c r="Z619" s="2"/>
    </row>
    <row r="620" spans="1:26" ht="13.8" x14ac:dyDescent="0.3">
      <c r="A620" s="2"/>
      <c r="B620" s="10"/>
      <c r="C620" s="10"/>
      <c r="D620" s="10"/>
      <c r="E620" s="10"/>
      <c r="F620" s="10"/>
      <c r="G620" s="32"/>
      <c r="H620" s="32"/>
      <c r="I620" s="32"/>
      <c r="J620" s="73"/>
      <c r="K620" s="32"/>
      <c r="L620" s="32"/>
      <c r="M620" s="32"/>
      <c r="N620" s="32"/>
      <c r="O620" s="2"/>
      <c r="P620" s="2"/>
      <c r="Q620" s="32"/>
      <c r="R620" s="32"/>
      <c r="S620" s="32"/>
      <c r="T620" s="32"/>
      <c r="U620" s="2"/>
      <c r="V620" s="2"/>
      <c r="W620" s="2"/>
      <c r="X620" s="2"/>
      <c r="Y620" s="2"/>
      <c r="Z620" s="2"/>
    </row>
    <row r="621" spans="1:26" ht="13.8" x14ac:dyDescent="0.3">
      <c r="A621" s="2"/>
      <c r="B621" s="10"/>
      <c r="C621" s="10"/>
      <c r="D621" s="10"/>
      <c r="E621" s="10"/>
      <c r="F621" s="10"/>
      <c r="G621" s="32"/>
      <c r="H621" s="32"/>
      <c r="I621" s="32"/>
      <c r="J621" s="73"/>
      <c r="K621" s="32"/>
      <c r="L621" s="32"/>
      <c r="M621" s="32"/>
      <c r="N621" s="32"/>
      <c r="O621" s="2"/>
      <c r="P621" s="2"/>
      <c r="Q621" s="32"/>
      <c r="R621" s="32"/>
      <c r="S621" s="32"/>
      <c r="T621" s="32"/>
      <c r="U621" s="2"/>
      <c r="V621" s="2"/>
      <c r="W621" s="2"/>
      <c r="X621" s="2"/>
      <c r="Y621" s="2"/>
      <c r="Z621" s="2"/>
    </row>
    <row r="622" spans="1:26" ht="13.8" x14ac:dyDescent="0.3">
      <c r="A622" s="2"/>
      <c r="B622" s="10"/>
      <c r="C622" s="10"/>
      <c r="D622" s="10"/>
      <c r="E622" s="10"/>
      <c r="F622" s="10"/>
      <c r="G622" s="32"/>
      <c r="H622" s="32"/>
      <c r="I622" s="32"/>
      <c r="J622" s="73"/>
      <c r="K622" s="32"/>
      <c r="L622" s="32"/>
      <c r="M622" s="32"/>
      <c r="N622" s="32"/>
      <c r="O622" s="2"/>
      <c r="P622" s="2"/>
      <c r="Q622" s="32"/>
      <c r="R622" s="32"/>
      <c r="S622" s="32"/>
      <c r="T622" s="32"/>
      <c r="U622" s="2"/>
      <c r="V622" s="2"/>
      <c r="W622" s="2"/>
      <c r="X622" s="2"/>
      <c r="Y622" s="2"/>
      <c r="Z622" s="2"/>
    </row>
    <row r="623" spans="1:26" ht="13.8" x14ac:dyDescent="0.3">
      <c r="A623" s="2"/>
      <c r="B623" s="10"/>
      <c r="C623" s="10"/>
      <c r="D623" s="10"/>
      <c r="E623" s="10"/>
      <c r="F623" s="10"/>
      <c r="G623" s="32"/>
      <c r="H623" s="32"/>
      <c r="I623" s="32"/>
      <c r="J623" s="73"/>
      <c r="K623" s="32"/>
      <c r="L623" s="32"/>
      <c r="M623" s="32"/>
      <c r="N623" s="32"/>
      <c r="O623" s="2"/>
      <c r="P623" s="2"/>
      <c r="Q623" s="32"/>
      <c r="R623" s="32"/>
      <c r="S623" s="32"/>
      <c r="T623" s="32"/>
      <c r="U623" s="2"/>
      <c r="V623" s="2"/>
      <c r="W623" s="2"/>
      <c r="X623" s="2"/>
      <c r="Y623" s="2"/>
      <c r="Z623" s="2"/>
    </row>
    <row r="624" spans="1:26" ht="13.8" x14ac:dyDescent="0.3">
      <c r="A624" s="2"/>
      <c r="B624" s="10"/>
      <c r="C624" s="10"/>
      <c r="D624" s="10"/>
      <c r="E624" s="10"/>
      <c r="F624" s="10"/>
      <c r="G624" s="32"/>
      <c r="H624" s="32"/>
      <c r="I624" s="32"/>
      <c r="J624" s="73"/>
      <c r="K624" s="32"/>
      <c r="L624" s="32"/>
      <c r="M624" s="32"/>
      <c r="N624" s="32"/>
      <c r="O624" s="2"/>
      <c r="P624" s="2"/>
      <c r="Q624" s="32"/>
      <c r="R624" s="32"/>
      <c r="S624" s="32"/>
      <c r="T624" s="32"/>
      <c r="U624" s="2"/>
      <c r="V624" s="2"/>
      <c r="W624" s="2"/>
      <c r="X624" s="2"/>
      <c r="Y624" s="2"/>
      <c r="Z624" s="2"/>
    </row>
    <row r="625" spans="1:26" ht="13.8" x14ac:dyDescent="0.3">
      <c r="A625" s="2"/>
      <c r="B625" s="10"/>
      <c r="C625" s="10"/>
      <c r="D625" s="10"/>
      <c r="E625" s="10"/>
      <c r="F625" s="10"/>
      <c r="G625" s="32"/>
      <c r="H625" s="32"/>
      <c r="I625" s="32"/>
      <c r="J625" s="73"/>
      <c r="K625" s="32"/>
      <c r="L625" s="32"/>
      <c r="M625" s="32"/>
      <c r="N625" s="32"/>
      <c r="O625" s="2"/>
      <c r="P625" s="2"/>
      <c r="Q625" s="32"/>
      <c r="R625" s="32"/>
      <c r="S625" s="32"/>
      <c r="T625" s="32"/>
      <c r="U625" s="2"/>
      <c r="V625" s="2"/>
      <c r="W625" s="2"/>
      <c r="X625" s="2"/>
      <c r="Y625" s="2"/>
      <c r="Z625" s="2"/>
    </row>
    <row r="626" spans="1:26" ht="13.8" x14ac:dyDescent="0.3">
      <c r="A626" s="2"/>
      <c r="B626" s="10"/>
      <c r="C626" s="10"/>
      <c r="D626" s="10"/>
      <c r="E626" s="10"/>
      <c r="F626" s="10"/>
      <c r="G626" s="32"/>
      <c r="H626" s="32"/>
      <c r="I626" s="32"/>
      <c r="J626" s="73"/>
      <c r="K626" s="32"/>
      <c r="L626" s="32"/>
      <c r="M626" s="32"/>
      <c r="N626" s="32"/>
      <c r="O626" s="2"/>
      <c r="P626" s="2"/>
      <c r="Q626" s="32"/>
      <c r="R626" s="32"/>
      <c r="S626" s="32"/>
      <c r="T626" s="32"/>
      <c r="U626" s="2"/>
      <c r="V626" s="2"/>
      <c r="W626" s="2"/>
      <c r="X626" s="2"/>
      <c r="Y626" s="2"/>
      <c r="Z626" s="2"/>
    </row>
    <row r="627" spans="1:26" ht="13.8" x14ac:dyDescent="0.3">
      <c r="A627" s="2"/>
      <c r="B627" s="10"/>
      <c r="C627" s="10"/>
      <c r="D627" s="10"/>
      <c r="E627" s="10"/>
      <c r="F627" s="10"/>
      <c r="G627" s="32"/>
      <c r="H627" s="32"/>
      <c r="I627" s="32"/>
      <c r="J627" s="73"/>
      <c r="K627" s="32"/>
      <c r="L627" s="32"/>
      <c r="M627" s="32"/>
      <c r="N627" s="32"/>
      <c r="O627" s="2"/>
      <c r="P627" s="2"/>
      <c r="Q627" s="32"/>
      <c r="R627" s="32"/>
      <c r="S627" s="32"/>
      <c r="T627" s="32"/>
      <c r="U627" s="2"/>
      <c r="V627" s="2"/>
      <c r="W627" s="2"/>
      <c r="X627" s="2"/>
      <c r="Y627" s="2"/>
      <c r="Z627" s="2"/>
    </row>
    <row r="628" spans="1:26" ht="13.8" x14ac:dyDescent="0.3">
      <c r="A628" s="2"/>
      <c r="B628" s="10"/>
      <c r="C628" s="10"/>
      <c r="D628" s="10"/>
      <c r="E628" s="10"/>
      <c r="F628" s="10"/>
      <c r="G628" s="32"/>
      <c r="H628" s="32"/>
      <c r="I628" s="32"/>
      <c r="J628" s="73"/>
      <c r="K628" s="32"/>
      <c r="L628" s="32"/>
      <c r="M628" s="32"/>
      <c r="N628" s="32"/>
      <c r="O628" s="2"/>
      <c r="P628" s="2"/>
      <c r="Q628" s="32"/>
      <c r="R628" s="32"/>
      <c r="S628" s="32"/>
      <c r="T628" s="32"/>
      <c r="U628" s="2"/>
      <c r="V628" s="2"/>
      <c r="W628" s="2"/>
      <c r="X628" s="2"/>
      <c r="Y628" s="2"/>
      <c r="Z628" s="2"/>
    </row>
    <row r="629" spans="1:26" ht="13.8" x14ac:dyDescent="0.3">
      <c r="A629" s="2"/>
      <c r="B629" s="10"/>
      <c r="C629" s="10"/>
      <c r="D629" s="10"/>
      <c r="E629" s="10"/>
      <c r="F629" s="10"/>
      <c r="G629" s="32"/>
      <c r="H629" s="32"/>
      <c r="I629" s="32"/>
      <c r="J629" s="73"/>
      <c r="K629" s="32"/>
      <c r="L629" s="32"/>
      <c r="M629" s="32"/>
      <c r="N629" s="32"/>
      <c r="O629" s="2"/>
      <c r="P629" s="2"/>
      <c r="Q629" s="32"/>
      <c r="R629" s="32"/>
      <c r="S629" s="32"/>
      <c r="T629" s="32"/>
      <c r="U629" s="2"/>
      <c r="V629" s="2"/>
      <c r="W629" s="2"/>
      <c r="X629" s="2"/>
      <c r="Y629" s="2"/>
      <c r="Z629" s="2"/>
    </row>
    <row r="630" spans="1:26" ht="13.8" x14ac:dyDescent="0.3">
      <c r="A630" s="2"/>
      <c r="B630" s="10"/>
      <c r="C630" s="10"/>
      <c r="D630" s="10"/>
      <c r="E630" s="10"/>
      <c r="F630" s="10"/>
      <c r="G630" s="32"/>
      <c r="H630" s="32"/>
      <c r="I630" s="32"/>
      <c r="J630" s="73"/>
      <c r="K630" s="32"/>
      <c r="L630" s="32"/>
      <c r="M630" s="32"/>
      <c r="N630" s="32"/>
      <c r="O630" s="2"/>
      <c r="P630" s="2"/>
      <c r="Q630" s="32"/>
      <c r="R630" s="32"/>
      <c r="S630" s="32"/>
      <c r="T630" s="32"/>
      <c r="U630" s="2"/>
      <c r="V630" s="2"/>
      <c r="W630" s="2"/>
      <c r="X630" s="2"/>
      <c r="Y630" s="2"/>
      <c r="Z630" s="2"/>
    </row>
    <row r="631" spans="1:26" ht="13.8" x14ac:dyDescent="0.3">
      <c r="A631" s="2"/>
      <c r="B631" s="10"/>
      <c r="C631" s="10"/>
      <c r="D631" s="10"/>
      <c r="E631" s="10"/>
      <c r="F631" s="10"/>
      <c r="G631" s="32"/>
      <c r="H631" s="32"/>
      <c r="I631" s="32"/>
      <c r="J631" s="73"/>
      <c r="K631" s="32"/>
      <c r="L631" s="32"/>
      <c r="M631" s="32"/>
      <c r="N631" s="32"/>
      <c r="O631" s="2"/>
      <c r="P631" s="2"/>
      <c r="Q631" s="32"/>
      <c r="R631" s="32"/>
      <c r="S631" s="32"/>
      <c r="T631" s="32"/>
      <c r="U631" s="2"/>
      <c r="V631" s="2"/>
      <c r="W631" s="2"/>
      <c r="X631" s="2"/>
      <c r="Y631" s="2"/>
      <c r="Z631" s="2"/>
    </row>
    <row r="632" spans="1:26" ht="13.8" x14ac:dyDescent="0.3">
      <c r="A632" s="2"/>
      <c r="B632" s="10"/>
      <c r="C632" s="10"/>
      <c r="D632" s="10"/>
      <c r="E632" s="10"/>
      <c r="F632" s="10"/>
      <c r="G632" s="32"/>
      <c r="H632" s="32"/>
      <c r="I632" s="32"/>
      <c r="J632" s="73"/>
      <c r="K632" s="32"/>
      <c r="L632" s="32"/>
      <c r="M632" s="32"/>
      <c r="N632" s="32"/>
      <c r="O632" s="2"/>
      <c r="P632" s="2"/>
      <c r="Q632" s="32"/>
      <c r="R632" s="32"/>
      <c r="S632" s="32"/>
      <c r="T632" s="32"/>
      <c r="U632" s="2"/>
      <c r="V632" s="2"/>
      <c r="W632" s="2"/>
      <c r="X632" s="2"/>
      <c r="Y632" s="2"/>
      <c r="Z632" s="2"/>
    </row>
    <row r="633" spans="1:26" ht="13.8" x14ac:dyDescent="0.3">
      <c r="A633" s="2"/>
      <c r="B633" s="10"/>
      <c r="C633" s="10"/>
      <c r="D633" s="10"/>
      <c r="E633" s="10"/>
      <c r="F633" s="10"/>
      <c r="G633" s="32"/>
      <c r="H633" s="32"/>
      <c r="I633" s="32"/>
      <c r="J633" s="73"/>
      <c r="K633" s="32"/>
      <c r="L633" s="32"/>
      <c r="M633" s="32"/>
      <c r="N633" s="32"/>
      <c r="O633" s="2"/>
      <c r="P633" s="2"/>
      <c r="Q633" s="32"/>
      <c r="R633" s="32"/>
      <c r="S633" s="32"/>
      <c r="T633" s="32"/>
      <c r="U633" s="2"/>
      <c r="V633" s="2"/>
      <c r="W633" s="2"/>
      <c r="X633" s="2"/>
      <c r="Y633" s="2"/>
      <c r="Z633" s="2"/>
    </row>
    <row r="634" spans="1:26" ht="13.8" x14ac:dyDescent="0.3">
      <c r="A634" s="2"/>
      <c r="B634" s="10"/>
      <c r="C634" s="10"/>
      <c r="D634" s="10"/>
      <c r="E634" s="10"/>
      <c r="F634" s="10"/>
      <c r="G634" s="32"/>
      <c r="H634" s="32"/>
      <c r="I634" s="32"/>
      <c r="J634" s="73"/>
      <c r="K634" s="32"/>
      <c r="L634" s="32"/>
      <c r="M634" s="32"/>
      <c r="N634" s="32"/>
      <c r="O634" s="2"/>
      <c r="P634" s="2"/>
      <c r="Q634" s="32"/>
      <c r="R634" s="32"/>
      <c r="S634" s="32"/>
      <c r="T634" s="32"/>
      <c r="U634" s="2"/>
      <c r="V634" s="2"/>
      <c r="W634" s="2"/>
      <c r="X634" s="2"/>
      <c r="Y634" s="2"/>
      <c r="Z634" s="2"/>
    </row>
    <row r="635" spans="1:26" ht="13.8" x14ac:dyDescent="0.3">
      <c r="A635" s="2"/>
      <c r="B635" s="10"/>
      <c r="C635" s="10"/>
      <c r="D635" s="10"/>
      <c r="E635" s="10"/>
      <c r="F635" s="10"/>
      <c r="G635" s="32"/>
      <c r="H635" s="32"/>
      <c r="I635" s="32"/>
      <c r="J635" s="73"/>
      <c r="K635" s="32"/>
      <c r="L635" s="32"/>
      <c r="M635" s="32"/>
      <c r="N635" s="32"/>
      <c r="O635" s="2"/>
      <c r="P635" s="2"/>
      <c r="Q635" s="32"/>
      <c r="R635" s="32"/>
      <c r="S635" s="32"/>
      <c r="T635" s="32"/>
      <c r="U635" s="2"/>
      <c r="V635" s="2"/>
      <c r="W635" s="2"/>
      <c r="X635" s="2"/>
      <c r="Y635" s="2"/>
      <c r="Z635" s="2"/>
    </row>
    <row r="636" spans="1:26" ht="13.8" x14ac:dyDescent="0.3">
      <c r="A636" s="2"/>
      <c r="B636" s="10"/>
      <c r="C636" s="10"/>
      <c r="D636" s="10"/>
      <c r="E636" s="10"/>
      <c r="F636" s="10"/>
      <c r="G636" s="32"/>
      <c r="H636" s="32"/>
      <c r="I636" s="32"/>
      <c r="J636" s="73"/>
      <c r="K636" s="32"/>
      <c r="L636" s="32"/>
      <c r="M636" s="32"/>
      <c r="N636" s="32"/>
      <c r="O636" s="2"/>
      <c r="P636" s="2"/>
      <c r="Q636" s="32"/>
      <c r="R636" s="32"/>
      <c r="S636" s="32"/>
      <c r="T636" s="32"/>
      <c r="U636" s="2"/>
      <c r="V636" s="2"/>
      <c r="W636" s="2"/>
      <c r="X636" s="2"/>
      <c r="Y636" s="2"/>
      <c r="Z636" s="2"/>
    </row>
    <row r="637" spans="1:26" ht="13.8" x14ac:dyDescent="0.3">
      <c r="A637" s="2"/>
      <c r="B637" s="10"/>
      <c r="C637" s="10"/>
      <c r="D637" s="10"/>
      <c r="E637" s="10"/>
      <c r="F637" s="10"/>
      <c r="G637" s="32"/>
      <c r="H637" s="32"/>
      <c r="I637" s="32"/>
      <c r="J637" s="73"/>
      <c r="K637" s="32"/>
      <c r="L637" s="32"/>
      <c r="M637" s="32"/>
      <c r="N637" s="32"/>
      <c r="O637" s="2"/>
      <c r="P637" s="2"/>
      <c r="Q637" s="32"/>
      <c r="R637" s="32"/>
      <c r="S637" s="32"/>
      <c r="T637" s="32"/>
      <c r="U637" s="2"/>
      <c r="V637" s="2"/>
      <c r="W637" s="2"/>
      <c r="X637" s="2"/>
      <c r="Y637" s="2"/>
      <c r="Z637" s="2"/>
    </row>
    <row r="638" spans="1:26" ht="13.8" x14ac:dyDescent="0.3">
      <c r="A638" s="2"/>
      <c r="B638" s="10"/>
      <c r="C638" s="10"/>
      <c r="D638" s="10"/>
      <c r="E638" s="10"/>
      <c r="F638" s="10"/>
      <c r="G638" s="32"/>
      <c r="H638" s="32"/>
      <c r="I638" s="32"/>
      <c r="J638" s="73"/>
      <c r="K638" s="32"/>
      <c r="L638" s="32"/>
      <c r="M638" s="32"/>
      <c r="N638" s="32"/>
      <c r="O638" s="2"/>
      <c r="P638" s="2"/>
      <c r="Q638" s="32"/>
      <c r="R638" s="32"/>
      <c r="S638" s="32"/>
      <c r="T638" s="32"/>
      <c r="U638" s="2"/>
      <c r="V638" s="2"/>
      <c r="W638" s="2"/>
      <c r="X638" s="2"/>
      <c r="Y638" s="2"/>
      <c r="Z638" s="2"/>
    </row>
    <row r="639" spans="1:26" ht="13.8" x14ac:dyDescent="0.3">
      <c r="A639" s="2"/>
      <c r="B639" s="10"/>
      <c r="C639" s="10"/>
      <c r="D639" s="10"/>
      <c r="E639" s="10"/>
      <c r="F639" s="10"/>
      <c r="G639" s="32"/>
      <c r="H639" s="32"/>
      <c r="I639" s="32"/>
      <c r="J639" s="73"/>
      <c r="K639" s="32"/>
      <c r="L639" s="32"/>
      <c r="M639" s="32"/>
      <c r="N639" s="32"/>
      <c r="O639" s="2"/>
      <c r="P639" s="2"/>
      <c r="Q639" s="32"/>
      <c r="R639" s="32"/>
      <c r="S639" s="32"/>
      <c r="T639" s="32"/>
      <c r="U639" s="2"/>
      <c r="V639" s="2"/>
      <c r="W639" s="2"/>
      <c r="X639" s="2"/>
      <c r="Y639" s="2"/>
      <c r="Z639" s="2"/>
    </row>
    <row r="640" spans="1:26" ht="13.8" x14ac:dyDescent="0.3">
      <c r="A640" s="2"/>
      <c r="B640" s="10"/>
      <c r="C640" s="10"/>
      <c r="D640" s="10"/>
      <c r="E640" s="10"/>
      <c r="F640" s="10"/>
      <c r="G640" s="32"/>
      <c r="H640" s="32"/>
      <c r="I640" s="32"/>
      <c r="J640" s="73"/>
      <c r="K640" s="32"/>
      <c r="L640" s="32"/>
      <c r="M640" s="32"/>
      <c r="N640" s="32"/>
      <c r="O640" s="2"/>
      <c r="P640" s="2"/>
      <c r="Q640" s="32"/>
      <c r="R640" s="32"/>
      <c r="S640" s="32"/>
      <c r="T640" s="32"/>
      <c r="U640" s="2"/>
      <c r="V640" s="2"/>
      <c r="W640" s="2"/>
      <c r="X640" s="2"/>
      <c r="Y640" s="2"/>
      <c r="Z640" s="2"/>
    </row>
    <row r="641" spans="1:26" ht="13.8" x14ac:dyDescent="0.3">
      <c r="A641" s="2"/>
      <c r="B641" s="10"/>
      <c r="C641" s="10"/>
      <c r="D641" s="10"/>
      <c r="E641" s="10"/>
      <c r="F641" s="10"/>
      <c r="G641" s="32"/>
      <c r="H641" s="32"/>
      <c r="I641" s="32"/>
      <c r="J641" s="73"/>
      <c r="K641" s="32"/>
      <c r="L641" s="32"/>
      <c r="M641" s="32"/>
      <c r="N641" s="32"/>
      <c r="O641" s="2"/>
      <c r="P641" s="2"/>
      <c r="Q641" s="32"/>
      <c r="R641" s="32"/>
      <c r="S641" s="32"/>
      <c r="T641" s="32"/>
      <c r="U641" s="2"/>
      <c r="V641" s="2"/>
      <c r="W641" s="2"/>
      <c r="X641" s="2"/>
      <c r="Y641" s="2"/>
      <c r="Z641" s="2"/>
    </row>
    <row r="642" spans="1:26" ht="13.8" x14ac:dyDescent="0.3">
      <c r="A642" s="2"/>
      <c r="B642" s="10"/>
      <c r="C642" s="10"/>
      <c r="D642" s="10"/>
      <c r="E642" s="10"/>
      <c r="F642" s="10"/>
      <c r="G642" s="32"/>
      <c r="H642" s="32"/>
      <c r="I642" s="32"/>
      <c r="J642" s="73"/>
      <c r="K642" s="32"/>
      <c r="L642" s="32"/>
      <c r="M642" s="32"/>
      <c r="N642" s="32"/>
      <c r="O642" s="2"/>
      <c r="P642" s="2"/>
      <c r="Q642" s="32"/>
      <c r="R642" s="32"/>
      <c r="S642" s="32"/>
      <c r="T642" s="32"/>
      <c r="U642" s="2"/>
      <c r="V642" s="2"/>
      <c r="W642" s="2"/>
      <c r="X642" s="2"/>
      <c r="Y642" s="2"/>
      <c r="Z642" s="2"/>
    </row>
    <row r="643" spans="1:26" ht="13.8" x14ac:dyDescent="0.3">
      <c r="A643" s="2"/>
      <c r="B643" s="10"/>
      <c r="C643" s="10"/>
      <c r="D643" s="10"/>
      <c r="E643" s="10"/>
      <c r="F643" s="10"/>
      <c r="G643" s="32"/>
      <c r="H643" s="32"/>
      <c r="I643" s="32"/>
      <c r="J643" s="73"/>
      <c r="K643" s="32"/>
      <c r="L643" s="32"/>
      <c r="M643" s="32"/>
      <c r="N643" s="32"/>
      <c r="O643" s="2"/>
      <c r="P643" s="2"/>
      <c r="Q643" s="32"/>
      <c r="R643" s="32"/>
      <c r="S643" s="32"/>
      <c r="T643" s="32"/>
      <c r="U643" s="2"/>
      <c r="V643" s="2"/>
      <c r="W643" s="2"/>
      <c r="X643" s="2"/>
      <c r="Y643" s="2"/>
      <c r="Z643" s="2"/>
    </row>
    <row r="644" spans="1:26" ht="13.8" x14ac:dyDescent="0.3">
      <c r="A644" s="2"/>
      <c r="B644" s="10"/>
      <c r="C644" s="10"/>
      <c r="D644" s="10"/>
      <c r="E644" s="10"/>
      <c r="F644" s="10"/>
      <c r="G644" s="32"/>
      <c r="H644" s="32"/>
      <c r="I644" s="32"/>
      <c r="J644" s="73"/>
      <c r="K644" s="32"/>
      <c r="L644" s="32"/>
      <c r="M644" s="32"/>
      <c r="N644" s="32"/>
      <c r="O644" s="2"/>
      <c r="P644" s="2"/>
      <c r="Q644" s="32"/>
      <c r="R644" s="32"/>
      <c r="S644" s="32"/>
      <c r="T644" s="32"/>
      <c r="U644" s="2"/>
      <c r="V644" s="2"/>
      <c r="W644" s="2"/>
      <c r="X644" s="2"/>
      <c r="Y644" s="2"/>
      <c r="Z644" s="2"/>
    </row>
    <row r="645" spans="1:26" ht="13.8" x14ac:dyDescent="0.3">
      <c r="A645" s="2"/>
      <c r="B645" s="10"/>
      <c r="C645" s="10"/>
      <c r="D645" s="10"/>
      <c r="E645" s="10"/>
      <c r="F645" s="10"/>
      <c r="G645" s="32"/>
      <c r="H645" s="32"/>
      <c r="I645" s="32"/>
      <c r="J645" s="73"/>
      <c r="K645" s="32"/>
      <c r="L645" s="32"/>
      <c r="M645" s="32"/>
      <c r="N645" s="32"/>
      <c r="O645" s="2"/>
      <c r="P645" s="2"/>
      <c r="Q645" s="32"/>
      <c r="R645" s="32"/>
      <c r="S645" s="32"/>
      <c r="T645" s="32"/>
      <c r="U645" s="2"/>
      <c r="V645" s="2"/>
      <c r="W645" s="2"/>
      <c r="X645" s="2"/>
      <c r="Y645" s="2"/>
      <c r="Z645" s="2"/>
    </row>
    <row r="646" spans="1:26" ht="13.8" x14ac:dyDescent="0.3">
      <c r="A646" s="2"/>
      <c r="B646" s="10"/>
      <c r="C646" s="10"/>
      <c r="D646" s="10"/>
      <c r="E646" s="10"/>
      <c r="F646" s="10"/>
      <c r="G646" s="32"/>
      <c r="H646" s="32"/>
      <c r="I646" s="32"/>
      <c r="J646" s="73"/>
      <c r="K646" s="32"/>
      <c r="L646" s="32"/>
      <c r="M646" s="32"/>
      <c r="N646" s="32"/>
      <c r="O646" s="2"/>
      <c r="P646" s="2"/>
      <c r="Q646" s="32"/>
      <c r="R646" s="32"/>
      <c r="S646" s="32"/>
      <c r="T646" s="32"/>
      <c r="U646" s="2"/>
      <c r="V646" s="2"/>
      <c r="W646" s="2"/>
      <c r="X646" s="2"/>
      <c r="Y646" s="2"/>
      <c r="Z646" s="2"/>
    </row>
    <row r="647" spans="1:26" ht="13.8" x14ac:dyDescent="0.3">
      <c r="A647" s="2"/>
      <c r="B647" s="10"/>
      <c r="C647" s="10"/>
      <c r="D647" s="10"/>
      <c r="E647" s="10"/>
      <c r="F647" s="10"/>
      <c r="G647" s="32"/>
      <c r="H647" s="32"/>
      <c r="I647" s="32"/>
      <c r="J647" s="73"/>
      <c r="K647" s="32"/>
      <c r="L647" s="32"/>
      <c r="M647" s="32"/>
      <c r="N647" s="32"/>
      <c r="O647" s="2"/>
      <c r="P647" s="2"/>
      <c r="Q647" s="32"/>
      <c r="R647" s="32"/>
      <c r="S647" s="32"/>
      <c r="T647" s="32"/>
      <c r="U647" s="2"/>
      <c r="V647" s="2"/>
      <c r="W647" s="2"/>
      <c r="X647" s="2"/>
      <c r="Y647" s="2"/>
      <c r="Z647" s="2"/>
    </row>
    <row r="648" spans="1:26" ht="13.8" x14ac:dyDescent="0.3">
      <c r="A648" s="2"/>
      <c r="B648" s="10"/>
      <c r="C648" s="10"/>
      <c r="D648" s="10"/>
      <c r="E648" s="10"/>
      <c r="F648" s="10"/>
      <c r="G648" s="32"/>
      <c r="H648" s="32"/>
      <c r="I648" s="32"/>
      <c r="J648" s="73"/>
      <c r="K648" s="32"/>
      <c r="L648" s="32"/>
      <c r="M648" s="32"/>
      <c r="N648" s="32"/>
      <c r="O648" s="2"/>
      <c r="P648" s="2"/>
      <c r="Q648" s="32"/>
      <c r="R648" s="32"/>
      <c r="S648" s="32"/>
      <c r="T648" s="32"/>
      <c r="U648" s="2"/>
      <c r="V648" s="2"/>
      <c r="W648" s="2"/>
      <c r="X648" s="2"/>
      <c r="Y648" s="2"/>
      <c r="Z648" s="2"/>
    </row>
    <row r="649" spans="1:26" ht="13.8" x14ac:dyDescent="0.3">
      <c r="A649" s="2"/>
      <c r="B649" s="10"/>
      <c r="C649" s="10"/>
      <c r="D649" s="10"/>
      <c r="E649" s="10"/>
      <c r="F649" s="10"/>
      <c r="G649" s="32"/>
      <c r="H649" s="32"/>
      <c r="I649" s="32"/>
      <c r="J649" s="73"/>
      <c r="K649" s="32"/>
      <c r="L649" s="32"/>
      <c r="M649" s="32"/>
      <c r="N649" s="32"/>
      <c r="O649" s="2"/>
      <c r="P649" s="2"/>
      <c r="Q649" s="32"/>
      <c r="R649" s="32"/>
      <c r="S649" s="32"/>
      <c r="T649" s="32"/>
      <c r="U649" s="2"/>
      <c r="V649" s="2"/>
      <c r="W649" s="2"/>
      <c r="X649" s="2"/>
      <c r="Y649" s="2"/>
      <c r="Z649" s="2"/>
    </row>
    <row r="650" spans="1:26" ht="13.8" x14ac:dyDescent="0.3">
      <c r="A650" s="2"/>
      <c r="B650" s="10"/>
      <c r="C650" s="10"/>
      <c r="D650" s="10"/>
      <c r="E650" s="10"/>
      <c r="F650" s="10"/>
      <c r="G650" s="32"/>
      <c r="H650" s="32"/>
      <c r="I650" s="32"/>
      <c r="J650" s="73"/>
      <c r="K650" s="32"/>
      <c r="L650" s="32"/>
      <c r="M650" s="32"/>
      <c r="N650" s="32"/>
      <c r="O650" s="2"/>
      <c r="P650" s="2"/>
      <c r="Q650" s="32"/>
      <c r="R650" s="32"/>
      <c r="S650" s="32"/>
      <c r="T650" s="32"/>
      <c r="U650" s="2"/>
      <c r="V650" s="2"/>
      <c r="W650" s="2"/>
      <c r="X650" s="2"/>
      <c r="Y650" s="2"/>
      <c r="Z650" s="2"/>
    </row>
    <row r="651" spans="1:26" ht="13.8" x14ac:dyDescent="0.3">
      <c r="A651" s="2"/>
      <c r="B651" s="10"/>
      <c r="C651" s="10"/>
      <c r="D651" s="10"/>
      <c r="E651" s="10"/>
      <c r="F651" s="10"/>
      <c r="G651" s="32"/>
      <c r="H651" s="32"/>
      <c r="I651" s="32"/>
      <c r="J651" s="73"/>
      <c r="K651" s="32"/>
      <c r="L651" s="32"/>
      <c r="M651" s="32"/>
      <c r="N651" s="32"/>
      <c r="O651" s="2"/>
      <c r="P651" s="2"/>
      <c r="Q651" s="32"/>
      <c r="R651" s="32"/>
      <c r="S651" s="32"/>
      <c r="T651" s="32"/>
      <c r="U651" s="2"/>
      <c r="V651" s="2"/>
      <c r="W651" s="2"/>
      <c r="X651" s="2"/>
      <c r="Y651" s="2"/>
      <c r="Z651" s="2"/>
    </row>
    <row r="652" spans="1:26" ht="13.8" x14ac:dyDescent="0.3">
      <c r="A652" s="2"/>
      <c r="B652" s="10"/>
      <c r="C652" s="10"/>
      <c r="D652" s="10"/>
      <c r="E652" s="10"/>
      <c r="F652" s="10"/>
      <c r="G652" s="32"/>
      <c r="H652" s="32"/>
      <c r="I652" s="32"/>
      <c r="J652" s="73"/>
      <c r="K652" s="32"/>
      <c r="L652" s="32"/>
      <c r="M652" s="32"/>
      <c r="N652" s="32"/>
      <c r="O652" s="2"/>
      <c r="P652" s="2"/>
      <c r="Q652" s="32"/>
      <c r="R652" s="32"/>
      <c r="S652" s="32"/>
      <c r="T652" s="32"/>
      <c r="U652" s="2"/>
      <c r="V652" s="2"/>
      <c r="W652" s="2"/>
      <c r="X652" s="2"/>
      <c r="Y652" s="2"/>
      <c r="Z652" s="2"/>
    </row>
    <row r="653" spans="1:26" ht="13.8" x14ac:dyDescent="0.3">
      <c r="A653" s="2"/>
      <c r="B653" s="10"/>
      <c r="C653" s="10"/>
      <c r="D653" s="10"/>
      <c r="E653" s="10"/>
      <c r="F653" s="10"/>
      <c r="G653" s="32"/>
      <c r="H653" s="32"/>
      <c r="I653" s="32"/>
      <c r="J653" s="73"/>
      <c r="K653" s="32"/>
      <c r="L653" s="32"/>
      <c r="M653" s="32"/>
      <c r="N653" s="32"/>
      <c r="O653" s="2"/>
      <c r="P653" s="2"/>
      <c r="Q653" s="32"/>
      <c r="R653" s="32"/>
      <c r="S653" s="32"/>
      <c r="T653" s="32"/>
      <c r="U653" s="2"/>
      <c r="V653" s="2"/>
      <c r="W653" s="2"/>
      <c r="X653" s="2"/>
      <c r="Y653" s="2"/>
      <c r="Z653" s="2"/>
    </row>
    <row r="654" spans="1:26" ht="13.8" x14ac:dyDescent="0.3">
      <c r="A654" s="2"/>
      <c r="B654" s="10"/>
      <c r="C654" s="10"/>
      <c r="D654" s="10"/>
      <c r="E654" s="10"/>
      <c r="F654" s="10"/>
      <c r="G654" s="32"/>
      <c r="H654" s="32"/>
      <c r="I654" s="32"/>
      <c r="J654" s="73"/>
      <c r="K654" s="32"/>
      <c r="L654" s="32"/>
      <c r="M654" s="32"/>
      <c r="N654" s="32"/>
      <c r="O654" s="2"/>
      <c r="P654" s="2"/>
      <c r="Q654" s="32"/>
      <c r="R654" s="32"/>
      <c r="S654" s="32"/>
      <c r="T654" s="32"/>
      <c r="U654" s="2"/>
      <c r="V654" s="2"/>
      <c r="W654" s="2"/>
      <c r="X654" s="2"/>
      <c r="Y654" s="2"/>
      <c r="Z654" s="2"/>
    </row>
    <row r="655" spans="1:26" ht="13.8" x14ac:dyDescent="0.3">
      <c r="A655" s="2"/>
      <c r="B655" s="10"/>
      <c r="C655" s="10"/>
      <c r="D655" s="10"/>
      <c r="E655" s="10"/>
      <c r="F655" s="10"/>
      <c r="G655" s="32"/>
      <c r="H655" s="32"/>
      <c r="I655" s="32"/>
      <c r="J655" s="73"/>
      <c r="K655" s="32"/>
      <c r="L655" s="32"/>
      <c r="M655" s="32"/>
      <c r="N655" s="32"/>
      <c r="O655" s="2"/>
      <c r="P655" s="2"/>
      <c r="Q655" s="32"/>
      <c r="R655" s="32"/>
      <c r="S655" s="32"/>
      <c r="T655" s="32"/>
      <c r="U655" s="2"/>
      <c r="V655" s="2"/>
      <c r="W655" s="2"/>
      <c r="X655" s="2"/>
      <c r="Y655" s="2"/>
      <c r="Z655" s="2"/>
    </row>
    <row r="656" spans="1:26" ht="13.8" x14ac:dyDescent="0.3">
      <c r="A656" s="2"/>
      <c r="B656" s="10"/>
      <c r="C656" s="10"/>
      <c r="D656" s="10"/>
      <c r="E656" s="10"/>
      <c r="F656" s="10"/>
      <c r="G656" s="32"/>
      <c r="H656" s="32"/>
      <c r="I656" s="32"/>
      <c r="J656" s="73"/>
      <c r="K656" s="32"/>
      <c r="L656" s="32"/>
      <c r="M656" s="32"/>
      <c r="N656" s="32"/>
      <c r="O656" s="2"/>
      <c r="P656" s="2"/>
      <c r="Q656" s="32"/>
      <c r="R656" s="32"/>
      <c r="S656" s="32"/>
      <c r="T656" s="32"/>
      <c r="U656" s="2"/>
      <c r="V656" s="2"/>
      <c r="W656" s="2"/>
      <c r="X656" s="2"/>
      <c r="Y656" s="2"/>
      <c r="Z656" s="2"/>
    </row>
    <row r="657" spans="1:26" ht="13.8" x14ac:dyDescent="0.3">
      <c r="A657" s="2"/>
      <c r="B657" s="10"/>
      <c r="C657" s="10"/>
      <c r="D657" s="10"/>
      <c r="E657" s="10"/>
      <c r="F657" s="10"/>
      <c r="G657" s="32"/>
      <c r="H657" s="32"/>
      <c r="I657" s="32"/>
      <c r="J657" s="73"/>
      <c r="K657" s="32"/>
      <c r="L657" s="32"/>
      <c r="M657" s="32"/>
      <c r="N657" s="32"/>
      <c r="O657" s="2"/>
      <c r="P657" s="2"/>
      <c r="Q657" s="32"/>
      <c r="R657" s="32"/>
      <c r="S657" s="32"/>
      <c r="T657" s="32"/>
      <c r="U657" s="2"/>
      <c r="V657" s="2"/>
      <c r="W657" s="2"/>
      <c r="X657" s="2"/>
      <c r="Y657" s="2"/>
      <c r="Z657" s="2"/>
    </row>
    <row r="658" spans="1:26" ht="13.8" x14ac:dyDescent="0.3">
      <c r="A658" s="2"/>
      <c r="B658" s="10"/>
      <c r="C658" s="10"/>
      <c r="D658" s="10"/>
      <c r="E658" s="10"/>
      <c r="F658" s="10"/>
      <c r="G658" s="32"/>
      <c r="H658" s="32"/>
      <c r="I658" s="32"/>
      <c r="J658" s="73"/>
      <c r="K658" s="32"/>
      <c r="L658" s="32"/>
      <c r="M658" s="32"/>
      <c r="N658" s="32"/>
      <c r="O658" s="2"/>
      <c r="P658" s="2"/>
      <c r="Q658" s="32"/>
      <c r="R658" s="32"/>
      <c r="S658" s="32"/>
      <c r="T658" s="32"/>
      <c r="U658" s="2"/>
      <c r="V658" s="2"/>
      <c r="W658" s="2"/>
      <c r="X658" s="2"/>
      <c r="Y658" s="2"/>
      <c r="Z658" s="2"/>
    </row>
    <row r="659" spans="1:26" ht="13.8" x14ac:dyDescent="0.3">
      <c r="A659" s="2"/>
      <c r="B659" s="10"/>
      <c r="C659" s="10"/>
      <c r="D659" s="10"/>
      <c r="E659" s="10"/>
      <c r="F659" s="10"/>
      <c r="G659" s="32"/>
      <c r="H659" s="32"/>
      <c r="I659" s="32"/>
      <c r="J659" s="73"/>
      <c r="K659" s="32"/>
      <c r="L659" s="32"/>
      <c r="M659" s="32"/>
      <c r="N659" s="32"/>
      <c r="O659" s="2"/>
      <c r="P659" s="2"/>
      <c r="Q659" s="32"/>
      <c r="R659" s="32"/>
      <c r="S659" s="32"/>
      <c r="T659" s="32"/>
      <c r="U659" s="2"/>
      <c r="V659" s="2"/>
      <c r="W659" s="2"/>
      <c r="X659" s="2"/>
      <c r="Y659" s="2"/>
      <c r="Z659" s="2"/>
    </row>
    <row r="660" spans="1:26" ht="13.8" x14ac:dyDescent="0.3">
      <c r="A660" s="2"/>
      <c r="B660" s="10"/>
      <c r="C660" s="10"/>
      <c r="D660" s="10"/>
      <c r="E660" s="10"/>
      <c r="F660" s="10"/>
      <c r="G660" s="32"/>
      <c r="H660" s="32"/>
      <c r="I660" s="32"/>
      <c r="J660" s="73"/>
      <c r="K660" s="32"/>
      <c r="L660" s="32"/>
      <c r="M660" s="32"/>
      <c r="N660" s="32"/>
      <c r="O660" s="2"/>
      <c r="P660" s="2"/>
      <c r="Q660" s="32"/>
      <c r="R660" s="32"/>
      <c r="S660" s="32"/>
      <c r="T660" s="32"/>
      <c r="U660" s="2"/>
      <c r="V660" s="2"/>
      <c r="W660" s="2"/>
      <c r="X660" s="2"/>
      <c r="Y660" s="2"/>
      <c r="Z660" s="2"/>
    </row>
    <row r="661" spans="1:26" ht="13.8" x14ac:dyDescent="0.3">
      <c r="A661" s="2"/>
      <c r="B661" s="10"/>
      <c r="C661" s="10"/>
      <c r="D661" s="10"/>
      <c r="E661" s="10"/>
      <c r="F661" s="10"/>
      <c r="G661" s="32"/>
      <c r="H661" s="32"/>
      <c r="I661" s="32"/>
      <c r="J661" s="73"/>
      <c r="K661" s="32"/>
      <c r="L661" s="32"/>
      <c r="M661" s="32"/>
      <c r="N661" s="32"/>
      <c r="O661" s="2"/>
      <c r="P661" s="2"/>
      <c r="Q661" s="32"/>
      <c r="R661" s="32"/>
      <c r="S661" s="32"/>
      <c r="T661" s="32"/>
      <c r="U661" s="2"/>
      <c r="V661" s="2"/>
      <c r="W661" s="2"/>
      <c r="X661" s="2"/>
      <c r="Y661" s="2"/>
      <c r="Z661" s="2"/>
    </row>
    <row r="662" spans="1:26" ht="13.8" x14ac:dyDescent="0.3">
      <c r="A662" s="2"/>
      <c r="B662" s="10"/>
      <c r="C662" s="10"/>
      <c r="D662" s="10"/>
      <c r="E662" s="10"/>
      <c r="F662" s="10"/>
      <c r="G662" s="32"/>
      <c r="H662" s="32"/>
      <c r="I662" s="32"/>
      <c r="J662" s="73"/>
      <c r="K662" s="32"/>
      <c r="L662" s="32"/>
      <c r="M662" s="32"/>
      <c r="N662" s="32"/>
      <c r="O662" s="2"/>
      <c r="P662" s="2"/>
      <c r="Q662" s="32"/>
      <c r="R662" s="32"/>
      <c r="S662" s="32"/>
      <c r="T662" s="32"/>
      <c r="U662" s="2"/>
      <c r="V662" s="2"/>
      <c r="W662" s="2"/>
      <c r="X662" s="2"/>
      <c r="Y662" s="2"/>
      <c r="Z662" s="2"/>
    </row>
    <row r="663" spans="1:26" ht="13.8" x14ac:dyDescent="0.3">
      <c r="A663" s="2"/>
      <c r="B663" s="10"/>
      <c r="C663" s="10"/>
      <c r="D663" s="10"/>
      <c r="E663" s="10"/>
      <c r="F663" s="10"/>
      <c r="G663" s="32"/>
      <c r="H663" s="32"/>
      <c r="I663" s="32"/>
      <c r="J663" s="73"/>
      <c r="K663" s="32"/>
      <c r="L663" s="32"/>
      <c r="M663" s="32"/>
      <c r="N663" s="32"/>
      <c r="O663" s="2"/>
      <c r="P663" s="2"/>
      <c r="Q663" s="32"/>
      <c r="R663" s="32"/>
      <c r="S663" s="32"/>
      <c r="T663" s="32"/>
      <c r="U663" s="2"/>
      <c r="V663" s="2"/>
      <c r="W663" s="2"/>
      <c r="X663" s="2"/>
      <c r="Y663" s="2"/>
      <c r="Z663" s="2"/>
    </row>
    <row r="664" spans="1:26" ht="13.8" x14ac:dyDescent="0.3">
      <c r="A664" s="2"/>
      <c r="B664" s="10"/>
      <c r="C664" s="10"/>
      <c r="D664" s="10"/>
      <c r="E664" s="10"/>
      <c r="F664" s="10"/>
      <c r="G664" s="32"/>
      <c r="H664" s="32"/>
      <c r="I664" s="32"/>
      <c r="J664" s="73"/>
      <c r="K664" s="32"/>
      <c r="L664" s="32"/>
      <c r="M664" s="32"/>
      <c r="N664" s="32"/>
      <c r="O664" s="2"/>
      <c r="P664" s="2"/>
      <c r="Q664" s="32"/>
      <c r="R664" s="32"/>
      <c r="S664" s="32"/>
      <c r="T664" s="32"/>
      <c r="U664" s="2"/>
      <c r="V664" s="2"/>
      <c r="W664" s="2"/>
      <c r="X664" s="2"/>
      <c r="Y664" s="2"/>
      <c r="Z664" s="2"/>
    </row>
    <row r="665" spans="1:26" ht="13.8" x14ac:dyDescent="0.3">
      <c r="A665" s="2"/>
      <c r="B665" s="10"/>
      <c r="C665" s="10"/>
      <c r="D665" s="10"/>
      <c r="E665" s="10"/>
      <c r="F665" s="10"/>
      <c r="G665" s="32"/>
      <c r="H665" s="32"/>
      <c r="I665" s="32"/>
      <c r="J665" s="73"/>
      <c r="K665" s="32"/>
      <c r="L665" s="32"/>
      <c r="M665" s="32"/>
      <c r="N665" s="32"/>
      <c r="O665" s="2"/>
      <c r="P665" s="2"/>
      <c r="Q665" s="32"/>
      <c r="R665" s="32"/>
      <c r="S665" s="32"/>
      <c r="T665" s="32"/>
      <c r="U665" s="2"/>
      <c r="V665" s="2"/>
      <c r="W665" s="2"/>
      <c r="X665" s="2"/>
      <c r="Y665" s="2"/>
      <c r="Z665" s="2"/>
    </row>
    <row r="666" spans="1:26" ht="13.8" x14ac:dyDescent="0.3">
      <c r="A666" s="2"/>
      <c r="B666" s="10"/>
      <c r="C666" s="10"/>
      <c r="D666" s="10"/>
      <c r="E666" s="10"/>
      <c r="F666" s="10"/>
      <c r="G666" s="32"/>
      <c r="H666" s="32"/>
      <c r="I666" s="32"/>
      <c r="J666" s="73"/>
      <c r="K666" s="32"/>
      <c r="L666" s="32"/>
      <c r="M666" s="32"/>
      <c r="N666" s="32"/>
      <c r="O666" s="2"/>
      <c r="P666" s="2"/>
      <c r="Q666" s="32"/>
      <c r="R666" s="32"/>
      <c r="S666" s="32"/>
      <c r="T666" s="32"/>
      <c r="U666" s="2"/>
      <c r="V666" s="2"/>
      <c r="W666" s="2"/>
      <c r="X666" s="2"/>
      <c r="Y666" s="2"/>
      <c r="Z666" s="2"/>
    </row>
    <row r="667" spans="1:26" ht="13.8" x14ac:dyDescent="0.3">
      <c r="A667" s="2"/>
      <c r="B667" s="10"/>
      <c r="C667" s="10"/>
      <c r="D667" s="10"/>
      <c r="E667" s="10"/>
      <c r="F667" s="10"/>
      <c r="G667" s="32"/>
      <c r="H667" s="32"/>
      <c r="I667" s="32"/>
      <c r="J667" s="73"/>
      <c r="K667" s="32"/>
      <c r="L667" s="32"/>
      <c r="M667" s="32"/>
      <c r="N667" s="32"/>
      <c r="O667" s="2"/>
      <c r="P667" s="2"/>
      <c r="Q667" s="32"/>
      <c r="R667" s="32"/>
      <c r="S667" s="32"/>
      <c r="T667" s="32"/>
      <c r="U667" s="2"/>
      <c r="V667" s="2"/>
      <c r="W667" s="2"/>
      <c r="X667" s="2"/>
      <c r="Y667" s="2"/>
      <c r="Z667" s="2"/>
    </row>
    <row r="668" spans="1:26" ht="13.8" x14ac:dyDescent="0.3">
      <c r="A668" s="2"/>
      <c r="B668" s="10"/>
      <c r="C668" s="10"/>
      <c r="D668" s="10"/>
      <c r="E668" s="10"/>
      <c r="F668" s="10"/>
      <c r="G668" s="32"/>
      <c r="H668" s="32"/>
      <c r="I668" s="32"/>
      <c r="J668" s="73"/>
      <c r="K668" s="32"/>
      <c r="L668" s="32"/>
      <c r="M668" s="32"/>
      <c r="N668" s="32"/>
      <c r="O668" s="2"/>
      <c r="P668" s="2"/>
      <c r="Q668" s="32"/>
      <c r="R668" s="32"/>
      <c r="S668" s="32"/>
      <c r="T668" s="32"/>
      <c r="U668" s="2"/>
      <c r="V668" s="2"/>
      <c r="W668" s="2"/>
      <c r="X668" s="2"/>
      <c r="Y668" s="2"/>
      <c r="Z668" s="2"/>
    </row>
    <row r="669" spans="1:26" ht="13.8" x14ac:dyDescent="0.3">
      <c r="A669" s="2"/>
      <c r="B669" s="10"/>
      <c r="C669" s="10"/>
      <c r="D669" s="10"/>
      <c r="E669" s="10"/>
      <c r="F669" s="10"/>
      <c r="G669" s="32"/>
      <c r="H669" s="32"/>
      <c r="I669" s="32"/>
      <c r="J669" s="73"/>
      <c r="K669" s="32"/>
      <c r="L669" s="32"/>
      <c r="M669" s="32"/>
      <c r="N669" s="32"/>
      <c r="O669" s="2"/>
      <c r="P669" s="2"/>
      <c r="Q669" s="32"/>
      <c r="R669" s="32"/>
      <c r="S669" s="32"/>
      <c r="T669" s="32"/>
      <c r="U669" s="2"/>
      <c r="V669" s="2"/>
      <c r="W669" s="2"/>
      <c r="X669" s="2"/>
      <c r="Y669" s="2"/>
      <c r="Z669" s="2"/>
    </row>
    <row r="670" spans="1:26" ht="13.8" x14ac:dyDescent="0.3">
      <c r="A670" s="2"/>
      <c r="B670" s="10"/>
      <c r="C670" s="10"/>
      <c r="D670" s="10"/>
      <c r="E670" s="10"/>
      <c r="F670" s="10"/>
      <c r="G670" s="32"/>
      <c r="H670" s="32"/>
      <c r="I670" s="32"/>
      <c r="J670" s="73"/>
      <c r="K670" s="32"/>
      <c r="L670" s="32"/>
      <c r="M670" s="32"/>
      <c r="N670" s="32"/>
      <c r="O670" s="2"/>
      <c r="P670" s="2"/>
      <c r="Q670" s="32"/>
      <c r="R670" s="32"/>
      <c r="S670" s="32"/>
      <c r="T670" s="32"/>
      <c r="U670" s="2"/>
      <c r="V670" s="2"/>
      <c r="W670" s="2"/>
      <c r="X670" s="2"/>
      <c r="Y670" s="2"/>
      <c r="Z670" s="2"/>
    </row>
    <row r="671" spans="1:26" ht="13.8" x14ac:dyDescent="0.3">
      <c r="A671" s="2"/>
      <c r="B671" s="10"/>
      <c r="C671" s="10"/>
      <c r="D671" s="10"/>
      <c r="E671" s="10"/>
      <c r="F671" s="10"/>
      <c r="G671" s="32"/>
      <c r="H671" s="32"/>
      <c r="I671" s="32"/>
      <c r="J671" s="73"/>
      <c r="K671" s="32"/>
      <c r="L671" s="32"/>
      <c r="M671" s="32"/>
      <c r="N671" s="32"/>
      <c r="O671" s="2"/>
      <c r="P671" s="2"/>
      <c r="Q671" s="32"/>
      <c r="R671" s="32"/>
      <c r="S671" s="32"/>
      <c r="T671" s="32"/>
      <c r="U671" s="2"/>
      <c r="V671" s="2"/>
      <c r="W671" s="2"/>
      <c r="X671" s="2"/>
      <c r="Y671" s="2"/>
      <c r="Z671" s="2"/>
    </row>
    <row r="672" spans="1:26" ht="13.8" x14ac:dyDescent="0.3">
      <c r="A672" s="2"/>
      <c r="B672" s="10"/>
      <c r="C672" s="10"/>
      <c r="D672" s="10"/>
      <c r="E672" s="10"/>
      <c r="F672" s="10"/>
      <c r="G672" s="32"/>
      <c r="H672" s="32"/>
      <c r="I672" s="32"/>
      <c r="J672" s="73"/>
      <c r="K672" s="32"/>
      <c r="L672" s="32"/>
      <c r="M672" s="32"/>
      <c r="N672" s="32"/>
      <c r="O672" s="2"/>
      <c r="P672" s="2"/>
      <c r="Q672" s="32"/>
      <c r="R672" s="32"/>
      <c r="S672" s="32"/>
      <c r="T672" s="32"/>
      <c r="U672" s="2"/>
      <c r="V672" s="2"/>
      <c r="W672" s="2"/>
      <c r="X672" s="2"/>
      <c r="Y672" s="2"/>
      <c r="Z672" s="2"/>
    </row>
    <row r="673" spans="1:26" ht="13.8" x14ac:dyDescent="0.3">
      <c r="A673" s="2"/>
      <c r="B673" s="10"/>
      <c r="C673" s="10"/>
      <c r="D673" s="10"/>
      <c r="E673" s="10"/>
      <c r="F673" s="10"/>
      <c r="G673" s="32"/>
      <c r="H673" s="32"/>
      <c r="I673" s="32"/>
      <c r="J673" s="73"/>
      <c r="K673" s="32"/>
      <c r="L673" s="32"/>
      <c r="M673" s="32"/>
      <c r="N673" s="32"/>
      <c r="O673" s="2"/>
      <c r="P673" s="2"/>
      <c r="Q673" s="32"/>
      <c r="R673" s="32"/>
      <c r="S673" s="32"/>
      <c r="T673" s="32"/>
      <c r="U673" s="2"/>
      <c r="V673" s="2"/>
      <c r="W673" s="2"/>
      <c r="X673" s="2"/>
      <c r="Y673" s="2"/>
      <c r="Z673" s="2"/>
    </row>
    <row r="674" spans="1:26" ht="13.8" x14ac:dyDescent="0.3">
      <c r="A674" s="2"/>
      <c r="B674" s="10"/>
      <c r="C674" s="10"/>
      <c r="D674" s="10"/>
      <c r="E674" s="10"/>
      <c r="F674" s="10"/>
      <c r="G674" s="32"/>
      <c r="H674" s="32"/>
      <c r="I674" s="32"/>
      <c r="J674" s="73"/>
      <c r="K674" s="32"/>
      <c r="L674" s="32"/>
      <c r="M674" s="32"/>
      <c r="N674" s="32"/>
      <c r="O674" s="2"/>
      <c r="P674" s="2"/>
      <c r="Q674" s="32"/>
      <c r="R674" s="32"/>
      <c r="S674" s="32"/>
      <c r="T674" s="32"/>
      <c r="U674" s="2"/>
      <c r="V674" s="2"/>
      <c r="W674" s="2"/>
      <c r="X674" s="2"/>
      <c r="Y674" s="2"/>
      <c r="Z674" s="2"/>
    </row>
    <row r="675" spans="1:26" ht="13.8" x14ac:dyDescent="0.3">
      <c r="A675" s="2"/>
      <c r="B675" s="10"/>
      <c r="C675" s="10"/>
      <c r="D675" s="10"/>
      <c r="E675" s="10"/>
      <c r="F675" s="10"/>
      <c r="G675" s="32"/>
      <c r="H675" s="32"/>
      <c r="I675" s="32"/>
      <c r="J675" s="73"/>
      <c r="K675" s="32"/>
      <c r="L675" s="32"/>
      <c r="M675" s="32"/>
      <c r="N675" s="32"/>
      <c r="O675" s="2"/>
      <c r="P675" s="2"/>
      <c r="Q675" s="32"/>
      <c r="R675" s="32"/>
      <c r="S675" s="32"/>
      <c r="T675" s="32"/>
      <c r="U675" s="2"/>
      <c r="V675" s="2"/>
      <c r="W675" s="2"/>
      <c r="X675" s="2"/>
      <c r="Y675" s="2"/>
      <c r="Z675" s="2"/>
    </row>
    <row r="676" spans="1:26" ht="13.8" x14ac:dyDescent="0.3">
      <c r="A676" s="2"/>
      <c r="B676" s="10"/>
      <c r="C676" s="10"/>
      <c r="D676" s="10"/>
      <c r="E676" s="10"/>
      <c r="F676" s="10"/>
      <c r="G676" s="32"/>
      <c r="H676" s="32"/>
      <c r="I676" s="32"/>
      <c r="J676" s="73"/>
      <c r="K676" s="32"/>
      <c r="L676" s="32"/>
      <c r="M676" s="32"/>
      <c r="N676" s="32"/>
      <c r="O676" s="2"/>
      <c r="P676" s="2"/>
      <c r="Q676" s="32"/>
      <c r="R676" s="32"/>
      <c r="S676" s="32"/>
      <c r="T676" s="32"/>
      <c r="U676" s="2"/>
      <c r="V676" s="2"/>
      <c r="W676" s="2"/>
      <c r="X676" s="2"/>
      <c r="Y676" s="2"/>
      <c r="Z676" s="2"/>
    </row>
    <row r="677" spans="1:26" ht="13.8" x14ac:dyDescent="0.3">
      <c r="A677" s="2"/>
      <c r="B677" s="10"/>
      <c r="C677" s="10"/>
      <c r="D677" s="10"/>
      <c r="E677" s="10"/>
      <c r="F677" s="10"/>
      <c r="G677" s="32"/>
      <c r="H677" s="32"/>
      <c r="I677" s="32"/>
      <c r="J677" s="73"/>
      <c r="K677" s="32"/>
      <c r="L677" s="32"/>
      <c r="M677" s="32"/>
      <c r="N677" s="32"/>
      <c r="O677" s="2"/>
      <c r="P677" s="2"/>
      <c r="Q677" s="32"/>
      <c r="R677" s="32"/>
      <c r="S677" s="32"/>
      <c r="T677" s="32"/>
      <c r="U677" s="2"/>
      <c r="V677" s="2"/>
      <c r="W677" s="2"/>
      <c r="X677" s="2"/>
      <c r="Y677" s="2"/>
      <c r="Z677" s="2"/>
    </row>
    <row r="678" spans="1:26" ht="13.8" x14ac:dyDescent="0.3">
      <c r="A678" s="2"/>
      <c r="B678" s="10"/>
      <c r="C678" s="10"/>
      <c r="D678" s="10"/>
      <c r="E678" s="10"/>
      <c r="F678" s="10"/>
      <c r="G678" s="32"/>
      <c r="H678" s="32"/>
      <c r="I678" s="32"/>
      <c r="J678" s="73"/>
      <c r="K678" s="32"/>
      <c r="L678" s="32"/>
      <c r="M678" s="32"/>
      <c r="N678" s="32"/>
      <c r="O678" s="2"/>
      <c r="P678" s="2"/>
      <c r="Q678" s="32"/>
      <c r="R678" s="32"/>
      <c r="S678" s="32"/>
      <c r="T678" s="32"/>
      <c r="U678" s="2"/>
      <c r="V678" s="2"/>
      <c r="W678" s="2"/>
      <c r="X678" s="2"/>
      <c r="Y678" s="2"/>
      <c r="Z678" s="2"/>
    </row>
    <row r="679" spans="1:26" ht="13.8" x14ac:dyDescent="0.3">
      <c r="A679" s="2"/>
      <c r="B679" s="10"/>
      <c r="C679" s="10"/>
      <c r="D679" s="10"/>
      <c r="E679" s="10"/>
      <c r="F679" s="10"/>
      <c r="G679" s="32"/>
      <c r="H679" s="32"/>
      <c r="I679" s="32"/>
      <c r="J679" s="73"/>
      <c r="K679" s="32"/>
      <c r="L679" s="32"/>
      <c r="M679" s="32"/>
      <c r="N679" s="32"/>
      <c r="O679" s="2"/>
      <c r="P679" s="2"/>
      <c r="Q679" s="32"/>
      <c r="R679" s="32"/>
      <c r="S679" s="32"/>
      <c r="T679" s="32"/>
      <c r="U679" s="2"/>
      <c r="V679" s="2"/>
      <c r="W679" s="2"/>
      <c r="X679" s="2"/>
      <c r="Y679" s="2"/>
      <c r="Z679" s="2"/>
    </row>
    <row r="680" spans="1:26" ht="13.8" x14ac:dyDescent="0.3">
      <c r="A680" s="2"/>
      <c r="B680" s="10"/>
      <c r="C680" s="10"/>
      <c r="D680" s="10"/>
      <c r="E680" s="10"/>
      <c r="F680" s="10"/>
      <c r="G680" s="32"/>
      <c r="H680" s="32"/>
      <c r="I680" s="32"/>
      <c r="J680" s="73"/>
      <c r="K680" s="32"/>
      <c r="L680" s="32"/>
      <c r="M680" s="32"/>
      <c r="N680" s="32"/>
      <c r="O680" s="2"/>
      <c r="P680" s="2"/>
      <c r="Q680" s="32"/>
      <c r="R680" s="32"/>
      <c r="S680" s="32"/>
      <c r="T680" s="32"/>
      <c r="U680" s="2"/>
      <c r="V680" s="2"/>
      <c r="W680" s="2"/>
      <c r="X680" s="2"/>
      <c r="Y680" s="2"/>
      <c r="Z680" s="2"/>
    </row>
    <row r="681" spans="1:26" ht="13.8" x14ac:dyDescent="0.3">
      <c r="A681" s="2"/>
      <c r="B681" s="10"/>
      <c r="C681" s="10"/>
      <c r="D681" s="10"/>
      <c r="E681" s="10"/>
      <c r="F681" s="10"/>
      <c r="G681" s="32"/>
      <c r="H681" s="32"/>
      <c r="I681" s="32"/>
      <c r="J681" s="73"/>
      <c r="K681" s="32"/>
      <c r="L681" s="32"/>
      <c r="M681" s="32"/>
      <c r="N681" s="32"/>
      <c r="O681" s="2"/>
      <c r="P681" s="2"/>
      <c r="Q681" s="32"/>
      <c r="R681" s="32"/>
      <c r="S681" s="32"/>
      <c r="T681" s="32"/>
      <c r="U681" s="2"/>
      <c r="V681" s="2"/>
      <c r="W681" s="2"/>
      <c r="X681" s="2"/>
      <c r="Y681" s="2"/>
      <c r="Z681" s="2"/>
    </row>
    <row r="682" spans="1:26" ht="13.8" x14ac:dyDescent="0.3">
      <c r="A682" s="2"/>
      <c r="B682" s="10"/>
      <c r="C682" s="10"/>
      <c r="D682" s="10"/>
      <c r="E682" s="10"/>
      <c r="F682" s="10"/>
      <c r="G682" s="32"/>
      <c r="H682" s="32"/>
      <c r="I682" s="32"/>
      <c r="J682" s="73"/>
      <c r="K682" s="32"/>
      <c r="L682" s="32"/>
      <c r="M682" s="32"/>
      <c r="N682" s="32"/>
      <c r="O682" s="2"/>
      <c r="P682" s="2"/>
      <c r="Q682" s="32"/>
      <c r="R682" s="32"/>
      <c r="S682" s="32"/>
      <c r="T682" s="32"/>
      <c r="U682" s="2"/>
      <c r="V682" s="2"/>
      <c r="W682" s="2"/>
      <c r="X682" s="2"/>
      <c r="Y682" s="2"/>
      <c r="Z682" s="2"/>
    </row>
    <row r="683" spans="1:26" ht="13.8" x14ac:dyDescent="0.3">
      <c r="A683" s="2"/>
      <c r="B683" s="10"/>
      <c r="C683" s="10"/>
      <c r="D683" s="10"/>
      <c r="E683" s="10"/>
      <c r="F683" s="10"/>
      <c r="G683" s="32"/>
      <c r="H683" s="32"/>
      <c r="I683" s="32"/>
      <c r="J683" s="73"/>
      <c r="K683" s="32"/>
      <c r="L683" s="32"/>
      <c r="M683" s="32"/>
      <c r="N683" s="32"/>
      <c r="O683" s="2"/>
      <c r="P683" s="2"/>
      <c r="Q683" s="32"/>
      <c r="R683" s="32"/>
      <c r="S683" s="32"/>
      <c r="T683" s="32"/>
      <c r="U683" s="2"/>
      <c r="V683" s="2"/>
      <c r="W683" s="2"/>
      <c r="X683" s="2"/>
      <c r="Y683" s="2"/>
      <c r="Z683" s="2"/>
    </row>
    <row r="684" spans="1:26" ht="13.8" x14ac:dyDescent="0.3">
      <c r="A684" s="2"/>
      <c r="B684" s="10"/>
      <c r="C684" s="10"/>
      <c r="D684" s="10"/>
      <c r="E684" s="10"/>
      <c r="F684" s="10"/>
      <c r="G684" s="32"/>
      <c r="H684" s="32"/>
      <c r="I684" s="32"/>
      <c r="J684" s="73"/>
      <c r="K684" s="32"/>
      <c r="L684" s="32"/>
      <c r="M684" s="32"/>
      <c r="N684" s="32"/>
      <c r="O684" s="2"/>
      <c r="P684" s="2"/>
      <c r="Q684" s="32"/>
      <c r="R684" s="32"/>
      <c r="S684" s="32"/>
      <c r="T684" s="32"/>
      <c r="U684" s="2"/>
      <c r="V684" s="2"/>
      <c r="W684" s="2"/>
      <c r="X684" s="2"/>
      <c r="Y684" s="2"/>
      <c r="Z684" s="2"/>
    </row>
    <row r="685" spans="1:26" ht="13.8" x14ac:dyDescent="0.3">
      <c r="A685" s="2"/>
      <c r="B685" s="10"/>
      <c r="C685" s="10"/>
      <c r="D685" s="10"/>
      <c r="E685" s="10"/>
      <c r="F685" s="10"/>
      <c r="G685" s="32"/>
      <c r="H685" s="32"/>
      <c r="I685" s="32"/>
      <c r="J685" s="73"/>
      <c r="K685" s="32"/>
      <c r="L685" s="32"/>
      <c r="M685" s="32"/>
      <c r="N685" s="32"/>
      <c r="O685" s="2"/>
      <c r="P685" s="2"/>
      <c r="Q685" s="32"/>
      <c r="R685" s="32"/>
      <c r="S685" s="32"/>
      <c r="T685" s="32"/>
      <c r="U685" s="2"/>
      <c r="V685" s="2"/>
      <c r="W685" s="2"/>
      <c r="X685" s="2"/>
      <c r="Y685" s="2"/>
      <c r="Z685" s="2"/>
    </row>
    <row r="686" spans="1:26" ht="13.8" x14ac:dyDescent="0.3">
      <c r="A686" s="2"/>
      <c r="B686" s="10"/>
      <c r="C686" s="10"/>
      <c r="D686" s="10"/>
      <c r="E686" s="10"/>
      <c r="F686" s="10"/>
      <c r="G686" s="32"/>
      <c r="H686" s="32"/>
      <c r="I686" s="32"/>
      <c r="J686" s="73"/>
      <c r="K686" s="32"/>
      <c r="L686" s="32"/>
      <c r="M686" s="32"/>
      <c r="N686" s="32"/>
      <c r="O686" s="2"/>
      <c r="P686" s="2"/>
      <c r="Q686" s="32"/>
      <c r="R686" s="32"/>
      <c r="S686" s="32"/>
      <c r="T686" s="32"/>
      <c r="U686" s="2"/>
      <c r="V686" s="2"/>
      <c r="W686" s="2"/>
      <c r="X686" s="2"/>
      <c r="Y686" s="2"/>
      <c r="Z686" s="2"/>
    </row>
    <row r="687" spans="1:26" ht="13.8" x14ac:dyDescent="0.3">
      <c r="A687" s="2"/>
      <c r="B687" s="10"/>
      <c r="C687" s="10"/>
      <c r="D687" s="10"/>
      <c r="E687" s="10"/>
      <c r="F687" s="10"/>
      <c r="G687" s="32"/>
      <c r="H687" s="32"/>
      <c r="I687" s="32"/>
      <c r="J687" s="73"/>
      <c r="K687" s="32"/>
      <c r="L687" s="32"/>
      <c r="M687" s="32"/>
      <c r="N687" s="32"/>
      <c r="O687" s="2"/>
      <c r="P687" s="2"/>
      <c r="Q687" s="32"/>
      <c r="R687" s="32"/>
      <c r="S687" s="32"/>
      <c r="T687" s="32"/>
      <c r="U687" s="2"/>
      <c r="V687" s="2"/>
      <c r="W687" s="2"/>
      <c r="X687" s="2"/>
      <c r="Y687" s="2"/>
      <c r="Z687" s="2"/>
    </row>
    <row r="688" spans="1:26" ht="13.8" x14ac:dyDescent="0.3">
      <c r="A688" s="2"/>
      <c r="B688" s="10"/>
      <c r="C688" s="10"/>
      <c r="D688" s="10"/>
      <c r="E688" s="10"/>
      <c r="F688" s="10"/>
      <c r="G688" s="32"/>
      <c r="H688" s="32"/>
      <c r="I688" s="32"/>
      <c r="J688" s="73"/>
      <c r="K688" s="32"/>
      <c r="L688" s="32"/>
      <c r="M688" s="32"/>
      <c r="N688" s="32"/>
      <c r="O688" s="2"/>
      <c r="P688" s="2"/>
      <c r="Q688" s="32"/>
      <c r="R688" s="32"/>
      <c r="S688" s="32"/>
      <c r="T688" s="32"/>
      <c r="U688" s="2"/>
      <c r="V688" s="2"/>
      <c r="W688" s="2"/>
      <c r="X688" s="2"/>
      <c r="Y688" s="2"/>
      <c r="Z688" s="2"/>
    </row>
    <row r="689" spans="1:26" ht="13.8" x14ac:dyDescent="0.3">
      <c r="A689" s="2"/>
      <c r="B689" s="10"/>
      <c r="C689" s="10"/>
      <c r="D689" s="10"/>
      <c r="E689" s="10"/>
      <c r="F689" s="10"/>
      <c r="G689" s="32"/>
      <c r="H689" s="32"/>
      <c r="I689" s="32"/>
      <c r="J689" s="73"/>
      <c r="K689" s="32"/>
      <c r="L689" s="32"/>
      <c r="M689" s="32"/>
      <c r="N689" s="32"/>
      <c r="O689" s="2"/>
      <c r="P689" s="2"/>
      <c r="Q689" s="32"/>
      <c r="R689" s="32"/>
      <c r="S689" s="32"/>
      <c r="T689" s="32"/>
      <c r="U689" s="2"/>
      <c r="V689" s="2"/>
      <c r="W689" s="2"/>
      <c r="X689" s="2"/>
      <c r="Y689" s="2"/>
      <c r="Z689" s="2"/>
    </row>
    <row r="690" spans="1:26" ht="13.8" x14ac:dyDescent="0.3">
      <c r="A690" s="2"/>
      <c r="B690" s="10"/>
      <c r="C690" s="10"/>
      <c r="D690" s="10"/>
      <c r="E690" s="10"/>
      <c r="F690" s="10"/>
      <c r="G690" s="32"/>
      <c r="H690" s="32"/>
      <c r="I690" s="32"/>
      <c r="J690" s="73"/>
      <c r="K690" s="32"/>
      <c r="L690" s="32"/>
      <c r="M690" s="32"/>
      <c r="N690" s="32"/>
      <c r="O690" s="2"/>
      <c r="P690" s="2"/>
      <c r="Q690" s="32"/>
      <c r="R690" s="32"/>
      <c r="S690" s="32"/>
      <c r="T690" s="32"/>
      <c r="U690" s="2"/>
      <c r="V690" s="2"/>
      <c r="W690" s="2"/>
      <c r="X690" s="2"/>
      <c r="Y690" s="2"/>
      <c r="Z690" s="2"/>
    </row>
    <row r="691" spans="1:26" ht="13.8" x14ac:dyDescent="0.3">
      <c r="A691" s="2"/>
      <c r="B691" s="10"/>
      <c r="C691" s="10"/>
      <c r="D691" s="10"/>
      <c r="E691" s="10"/>
      <c r="F691" s="10"/>
      <c r="G691" s="32"/>
      <c r="H691" s="32"/>
      <c r="I691" s="32"/>
      <c r="J691" s="73"/>
      <c r="K691" s="32"/>
      <c r="L691" s="32"/>
      <c r="M691" s="32"/>
      <c r="N691" s="32"/>
      <c r="O691" s="2"/>
      <c r="P691" s="2"/>
      <c r="Q691" s="32"/>
      <c r="R691" s="32"/>
      <c r="S691" s="32"/>
      <c r="T691" s="32"/>
      <c r="U691" s="2"/>
      <c r="V691" s="2"/>
      <c r="W691" s="2"/>
      <c r="X691" s="2"/>
      <c r="Y691" s="2"/>
      <c r="Z691" s="2"/>
    </row>
    <row r="692" spans="1:26" ht="13.8" x14ac:dyDescent="0.3">
      <c r="A692" s="2"/>
      <c r="B692" s="10"/>
      <c r="C692" s="10"/>
      <c r="D692" s="10"/>
      <c r="E692" s="10"/>
      <c r="F692" s="10"/>
      <c r="G692" s="32"/>
      <c r="H692" s="32"/>
      <c r="I692" s="32"/>
      <c r="J692" s="73"/>
      <c r="K692" s="32"/>
      <c r="L692" s="32"/>
      <c r="M692" s="32"/>
      <c r="N692" s="32"/>
      <c r="O692" s="2"/>
      <c r="P692" s="2"/>
      <c r="Q692" s="32"/>
      <c r="R692" s="32"/>
      <c r="S692" s="32"/>
      <c r="T692" s="32"/>
      <c r="U692" s="2"/>
      <c r="V692" s="2"/>
      <c r="W692" s="2"/>
      <c r="X692" s="2"/>
      <c r="Y692" s="2"/>
      <c r="Z692" s="2"/>
    </row>
    <row r="693" spans="1:26" ht="13.8" x14ac:dyDescent="0.3">
      <c r="A693" s="2"/>
      <c r="B693" s="10"/>
      <c r="C693" s="10"/>
      <c r="D693" s="10"/>
      <c r="E693" s="10"/>
      <c r="F693" s="10"/>
      <c r="G693" s="32"/>
      <c r="H693" s="32"/>
      <c r="I693" s="32"/>
      <c r="J693" s="73"/>
      <c r="K693" s="32"/>
      <c r="L693" s="32"/>
      <c r="M693" s="32"/>
      <c r="N693" s="32"/>
      <c r="O693" s="2"/>
      <c r="P693" s="2"/>
      <c r="Q693" s="32"/>
      <c r="R693" s="32"/>
      <c r="S693" s="32"/>
      <c r="T693" s="32"/>
      <c r="U693" s="2"/>
      <c r="V693" s="2"/>
      <c r="W693" s="2"/>
      <c r="X693" s="2"/>
      <c r="Y693" s="2"/>
      <c r="Z693" s="2"/>
    </row>
    <row r="694" spans="1:26" ht="13.8" x14ac:dyDescent="0.3">
      <c r="A694" s="2"/>
      <c r="B694" s="10"/>
      <c r="C694" s="10"/>
      <c r="D694" s="10"/>
      <c r="E694" s="10"/>
      <c r="F694" s="10"/>
      <c r="G694" s="32"/>
      <c r="H694" s="32"/>
      <c r="I694" s="32"/>
      <c r="J694" s="73"/>
      <c r="K694" s="32"/>
      <c r="L694" s="32"/>
      <c r="M694" s="32"/>
      <c r="N694" s="32"/>
      <c r="O694" s="2"/>
      <c r="P694" s="2"/>
      <c r="Q694" s="32"/>
      <c r="R694" s="32"/>
      <c r="S694" s="32"/>
      <c r="T694" s="32"/>
      <c r="U694" s="2"/>
      <c r="V694" s="2"/>
      <c r="W694" s="2"/>
      <c r="X694" s="2"/>
      <c r="Y694" s="2"/>
      <c r="Z694" s="2"/>
    </row>
    <row r="695" spans="1:26" ht="13.8" x14ac:dyDescent="0.3">
      <c r="A695" s="2"/>
      <c r="B695" s="10"/>
      <c r="C695" s="10"/>
      <c r="D695" s="10"/>
      <c r="E695" s="10"/>
      <c r="F695" s="10"/>
      <c r="G695" s="32"/>
      <c r="H695" s="32"/>
      <c r="I695" s="32"/>
      <c r="J695" s="73"/>
      <c r="K695" s="32"/>
      <c r="L695" s="32"/>
      <c r="M695" s="32"/>
      <c r="N695" s="32"/>
      <c r="O695" s="2"/>
      <c r="P695" s="2"/>
      <c r="Q695" s="32"/>
      <c r="R695" s="32"/>
      <c r="S695" s="32"/>
      <c r="T695" s="32"/>
      <c r="U695" s="2"/>
      <c r="V695" s="2"/>
      <c r="W695" s="2"/>
      <c r="X695" s="2"/>
      <c r="Y695" s="2"/>
      <c r="Z695" s="2"/>
    </row>
    <row r="696" spans="1:26" ht="13.8" x14ac:dyDescent="0.3">
      <c r="A696" s="2"/>
      <c r="B696" s="10"/>
      <c r="C696" s="10"/>
      <c r="D696" s="10"/>
      <c r="E696" s="10"/>
      <c r="F696" s="10"/>
      <c r="G696" s="32"/>
      <c r="H696" s="32"/>
      <c r="I696" s="32"/>
      <c r="J696" s="73"/>
      <c r="K696" s="32"/>
      <c r="L696" s="32"/>
      <c r="M696" s="32"/>
      <c r="N696" s="32"/>
      <c r="O696" s="2"/>
      <c r="P696" s="2"/>
      <c r="Q696" s="32"/>
      <c r="R696" s="32"/>
      <c r="S696" s="32"/>
      <c r="T696" s="32"/>
      <c r="U696" s="2"/>
      <c r="V696" s="2"/>
      <c r="W696" s="2"/>
      <c r="X696" s="2"/>
      <c r="Y696" s="2"/>
      <c r="Z696" s="2"/>
    </row>
    <row r="697" spans="1:26" ht="13.8" x14ac:dyDescent="0.3">
      <c r="A697" s="2"/>
      <c r="B697" s="10"/>
      <c r="C697" s="10"/>
      <c r="D697" s="10"/>
      <c r="E697" s="10"/>
      <c r="F697" s="10"/>
      <c r="G697" s="32"/>
      <c r="H697" s="32"/>
      <c r="I697" s="32"/>
      <c r="J697" s="73"/>
      <c r="K697" s="32"/>
      <c r="L697" s="32"/>
      <c r="M697" s="32"/>
      <c r="N697" s="32"/>
      <c r="O697" s="2"/>
      <c r="P697" s="2"/>
      <c r="Q697" s="32"/>
      <c r="R697" s="32"/>
      <c r="S697" s="32"/>
      <c r="T697" s="32"/>
      <c r="U697" s="2"/>
      <c r="V697" s="2"/>
      <c r="W697" s="2"/>
      <c r="X697" s="2"/>
      <c r="Y697" s="2"/>
      <c r="Z697" s="2"/>
    </row>
    <row r="698" spans="1:26" ht="13.8" x14ac:dyDescent="0.3">
      <c r="A698" s="2"/>
      <c r="B698" s="10"/>
      <c r="C698" s="10"/>
      <c r="D698" s="10"/>
      <c r="E698" s="10"/>
      <c r="F698" s="10"/>
      <c r="G698" s="32"/>
      <c r="H698" s="32"/>
      <c r="I698" s="32"/>
      <c r="J698" s="73"/>
      <c r="K698" s="32"/>
      <c r="L698" s="32"/>
      <c r="M698" s="32"/>
      <c r="N698" s="32"/>
      <c r="O698" s="2"/>
      <c r="P698" s="2"/>
      <c r="Q698" s="32"/>
      <c r="R698" s="32"/>
      <c r="S698" s="32"/>
      <c r="T698" s="32"/>
      <c r="U698" s="2"/>
      <c r="V698" s="2"/>
      <c r="W698" s="2"/>
      <c r="X698" s="2"/>
      <c r="Y698" s="2"/>
      <c r="Z698" s="2"/>
    </row>
    <row r="699" spans="1:26" ht="13.8" x14ac:dyDescent="0.3">
      <c r="A699" s="2"/>
      <c r="B699" s="10"/>
      <c r="C699" s="10"/>
      <c r="D699" s="10"/>
      <c r="E699" s="10"/>
      <c r="F699" s="10"/>
      <c r="G699" s="32"/>
      <c r="H699" s="32"/>
      <c r="I699" s="32"/>
      <c r="J699" s="73"/>
      <c r="K699" s="32"/>
      <c r="L699" s="32"/>
      <c r="M699" s="32"/>
      <c r="N699" s="32"/>
      <c r="O699" s="2"/>
      <c r="P699" s="2"/>
      <c r="Q699" s="32"/>
      <c r="R699" s="32"/>
      <c r="S699" s="32"/>
      <c r="T699" s="32"/>
      <c r="U699" s="2"/>
      <c r="V699" s="2"/>
      <c r="W699" s="2"/>
      <c r="X699" s="2"/>
      <c r="Y699" s="2"/>
      <c r="Z699" s="2"/>
    </row>
    <row r="700" spans="1:26" ht="13.8" x14ac:dyDescent="0.3">
      <c r="A700" s="2"/>
      <c r="B700" s="10"/>
      <c r="C700" s="10"/>
      <c r="D700" s="10"/>
      <c r="E700" s="10"/>
      <c r="F700" s="10"/>
      <c r="G700" s="32"/>
      <c r="H700" s="32"/>
      <c r="I700" s="32"/>
      <c r="J700" s="73"/>
      <c r="K700" s="32"/>
      <c r="L700" s="32"/>
      <c r="M700" s="32"/>
      <c r="N700" s="32"/>
      <c r="O700" s="2"/>
      <c r="P700" s="2"/>
      <c r="Q700" s="32"/>
      <c r="R700" s="32"/>
      <c r="S700" s="32"/>
      <c r="T700" s="32"/>
      <c r="U700" s="2"/>
      <c r="V700" s="2"/>
      <c r="W700" s="2"/>
      <c r="X700" s="2"/>
      <c r="Y700" s="2"/>
      <c r="Z700" s="2"/>
    </row>
    <row r="701" spans="1:26" ht="13.8" x14ac:dyDescent="0.3">
      <c r="A701" s="2"/>
      <c r="B701" s="10"/>
      <c r="C701" s="10"/>
      <c r="D701" s="10"/>
      <c r="E701" s="10"/>
      <c r="F701" s="10"/>
      <c r="G701" s="32"/>
      <c r="H701" s="32"/>
      <c r="I701" s="32"/>
      <c r="J701" s="73"/>
      <c r="K701" s="32"/>
      <c r="L701" s="32"/>
      <c r="M701" s="32"/>
      <c r="N701" s="32"/>
      <c r="O701" s="2"/>
      <c r="P701" s="2"/>
      <c r="Q701" s="32"/>
      <c r="R701" s="32"/>
      <c r="S701" s="32"/>
      <c r="T701" s="32"/>
      <c r="U701" s="2"/>
      <c r="V701" s="2"/>
      <c r="W701" s="2"/>
      <c r="X701" s="2"/>
      <c r="Y701" s="2"/>
      <c r="Z701" s="2"/>
    </row>
    <row r="702" spans="1:26" ht="13.8" x14ac:dyDescent="0.3">
      <c r="A702" s="2"/>
      <c r="B702" s="10"/>
      <c r="C702" s="10"/>
      <c r="D702" s="10"/>
      <c r="E702" s="10"/>
      <c r="F702" s="10"/>
      <c r="G702" s="32"/>
      <c r="H702" s="32"/>
      <c r="I702" s="32"/>
      <c r="J702" s="73"/>
      <c r="K702" s="32"/>
      <c r="L702" s="32"/>
      <c r="M702" s="32"/>
      <c r="N702" s="32"/>
      <c r="O702" s="2"/>
      <c r="P702" s="2"/>
      <c r="Q702" s="32"/>
      <c r="R702" s="32"/>
      <c r="S702" s="32"/>
      <c r="T702" s="32"/>
      <c r="U702" s="2"/>
      <c r="V702" s="2"/>
      <c r="W702" s="2"/>
      <c r="X702" s="2"/>
      <c r="Y702" s="2"/>
      <c r="Z702" s="2"/>
    </row>
    <row r="703" spans="1:26" ht="13.8" x14ac:dyDescent="0.3">
      <c r="A703" s="2"/>
      <c r="B703" s="10"/>
      <c r="C703" s="10"/>
      <c r="D703" s="10"/>
      <c r="E703" s="10"/>
      <c r="F703" s="10"/>
      <c r="G703" s="32"/>
      <c r="H703" s="32"/>
      <c r="I703" s="32"/>
      <c r="J703" s="73"/>
      <c r="K703" s="32"/>
      <c r="L703" s="32"/>
      <c r="M703" s="32"/>
      <c r="N703" s="32"/>
      <c r="O703" s="2"/>
      <c r="P703" s="2"/>
      <c r="Q703" s="32"/>
      <c r="R703" s="32"/>
      <c r="S703" s="32"/>
      <c r="T703" s="32"/>
      <c r="U703" s="2"/>
      <c r="V703" s="2"/>
      <c r="W703" s="2"/>
      <c r="X703" s="2"/>
      <c r="Y703" s="2"/>
      <c r="Z703" s="2"/>
    </row>
    <row r="704" spans="1:26" ht="13.8" x14ac:dyDescent="0.3">
      <c r="A704" s="2"/>
      <c r="B704" s="10"/>
      <c r="C704" s="10"/>
      <c r="D704" s="10"/>
      <c r="E704" s="10"/>
      <c r="F704" s="10"/>
      <c r="G704" s="32"/>
      <c r="H704" s="32"/>
      <c r="I704" s="32"/>
      <c r="J704" s="73"/>
      <c r="K704" s="32"/>
      <c r="L704" s="32"/>
      <c r="M704" s="32"/>
      <c r="N704" s="32"/>
      <c r="O704" s="2"/>
      <c r="P704" s="2"/>
      <c r="Q704" s="32"/>
      <c r="R704" s="32"/>
      <c r="S704" s="32"/>
      <c r="T704" s="32"/>
      <c r="U704" s="2"/>
      <c r="V704" s="2"/>
      <c r="W704" s="2"/>
      <c r="X704" s="2"/>
      <c r="Y704" s="2"/>
      <c r="Z704" s="2"/>
    </row>
    <row r="705" spans="1:26" ht="13.8" x14ac:dyDescent="0.3">
      <c r="A705" s="2"/>
      <c r="B705" s="10"/>
      <c r="C705" s="10"/>
      <c r="D705" s="10"/>
      <c r="E705" s="10"/>
      <c r="F705" s="10"/>
      <c r="G705" s="32"/>
      <c r="H705" s="32"/>
      <c r="I705" s="32"/>
      <c r="J705" s="73"/>
      <c r="K705" s="32"/>
      <c r="L705" s="32"/>
      <c r="M705" s="32"/>
      <c r="N705" s="32"/>
      <c r="O705" s="2"/>
      <c r="P705" s="2"/>
      <c r="Q705" s="32"/>
      <c r="R705" s="32"/>
      <c r="S705" s="32"/>
      <c r="T705" s="32"/>
      <c r="U705" s="2"/>
      <c r="V705" s="2"/>
      <c r="W705" s="2"/>
      <c r="X705" s="2"/>
      <c r="Y705" s="2"/>
      <c r="Z705" s="2"/>
    </row>
    <row r="706" spans="1:26" ht="13.8" x14ac:dyDescent="0.3">
      <c r="A706" s="2"/>
      <c r="B706" s="10"/>
      <c r="C706" s="10"/>
      <c r="D706" s="10"/>
      <c r="E706" s="10"/>
      <c r="F706" s="10"/>
      <c r="G706" s="32"/>
      <c r="H706" s="32"/>
      <c r="I706" s="32"/>
      <c r="J706" s="73"/>
      <c r="K706" s="32"/>
      <c r="L706" s="32"/>
      <c r="M706" s="32"/>
      <c r="N706" s="32"/>
      <c r="O706" s="2"/>
      <c r="P706" s="2"/>
      <c r="Q706" s="32"/>
      <c r="R706" s="32"/>
      <c r="S706" s="32"/>
      <c r="T706" s="32"/>
      <c r="U706" s="2"/>
      <c r="V706" s="2"/>
      <c r="W706" s="2"/>
      <c r="X706" s="2"/>
      <c r="Y706" s="2"/>
      <c r="Z706" s="2"/>
    </row>
    <row r="707" spans="1:26" ht="13.8" x14ac:dyDescent="0.3">
      <c r="A707" s="2"/>
      <c r="B707" s="10"/>
      <c r="C707" s="10"/>
      <c r="D707" s="10"/>
      <c r="E707" s="10"/>
      <c r="F707" s="10"/>
      <c r="G707" s="32"/>
      <c r="H707" s="32"/>
      <c r="I707" s="32"/>
      <c r="J707" s="73"/>
      <c r="K707" s="32"/>
      <c r="L707" s="32"/>
      <c r="M707" s="32"/>
      <c r="N707" s="32"/>
      <c r="O707" s="2"/>
      <c r="P707" s="2"/>
      <c r="Q707" s="32"/>
      <c r="R707" s="32"/>
      <c r="S707" s="32"/>
      <c r="T707" s="32"/>
      <c r="U707" s="2"/>
      <c r="V707" s="2"/>
      <c r="W707" s="2"/>
      <c r="X707" s="2"/>
      <c r="Y707" s="2"/>
      <c r="Z707" s="2"/>
    </row>
    <row r="708" spans="1:26" ht="13.8" x14ac:dyDescent="0.3">
      <c r="A708" s="2"/>
      <c r="B708" s="10"/>
      <c r="C708" s="10"/>
      <c r="D708" s="10"/>
      <c r="E708" s="10"/>
      <c r="F708" s="10"/>
      <c r="G708" s="32"/>
      <c r="H708" s="32"/>
      <c r="I708" s="32"/>
      <c r="J708" s="73"/>
      <c r="K708" s="32"/>
      <c r="L708" s="32"/>
      <c r="M708" s="32"/>
      <c r="N708" s="32"/>
      <c r="O708" s="2"/>
      <c r="P708" s="2"/>
      <c r="Q708" s="32"/>
      <c r="R708" s="32"/>
      <c r="S708" s="32"/>
      <c r="T708" s="32"/>
      <c r="U708" s="2"/>
      <c r="V708" s="2"/>
      <c r="W708" s="2"/>
      <c r="X708" s="2"/>
      <c r="Y708" s="2"/>
      <c r="Z708" s="2"/>
    </row>
    <row r="709" spans="1:26" ht="13.8" x14ac:dyDescent="0.3">
      <c r="A709" s="2"/>
      <c r="B709" s="10"/>
      <c r="C709" s="10"/>
      <c r="D709" s="10"/>
      <c r="E709" s="10"/>
      <c r="F709" s="10"/>
      <c r="G709" s="32"/>
      <c r="H709" s="32"/>
      <c r="I709" s="32"/>
      <c r="J709" s="73"/>
      <c r="K709" s="32"/>
      <c r="L709" s="32"/>
      <c r="M709" s="32"/>
      <c r="N709" s="32"/>
      <c r="O709" s="2"/>
      <c r="P709" s="2"/>
      <c r="Q709" s="32"/>
      <c r="R709" s="32"/>
      <c r="S709" s="32"/>
      <c r="T709" s="32"/>
      <c r="U709" s="2"/>
      <c r="V709" s="2"/>
      <c r="W709" s="2"/>
      <c r="X709" s="2"/>
      <c r="Y709" s="2"/>
      <c r="Z709" s="2"/>
    </row>
    <row r="710" spans="1:26" ht="13.8" x14ac:dyDescent="0.3">
      <c r="A710" s="2"/>
      <c r="B710" s="10"/>
      <c r="C710" s="10"/>
      <c r="D710" s="10"/>
      <c r="E710" s="10"/>
      <c r="F710" s="10"/>
      <c r="G710" s="32"/>
      <c r="H710" s="32"/>
      <c r="I710" s="32"/>
      <c r="J710" s="73"/>
      <c r="K710" s="32"/>
      <c r="L710" s="32"/>
      <c r="M710" s="32"/>
      <c r="N710" s="32"/>
      <c r="O710" s="2"/>
      <c r="P710" s="2"/>
      <c r="Q710" s="32"/>
      <c r="R710" s="32"/>
      <c r="S710" s="32"/>
      <c r="T710" s="32"/>
      <c r="U710" s="2"/>
      <c r="V710" s="2"/>
      <c r="W710" s="2"/>
      <c r="X710" s="2"/>
      <c r="Y710" s="2"/>
      <c r="Z710" s="2"/>
    </row>
    <row r="711" spans="1:26" ht="13.8" x14ac:dyDescent="0.3">
      <c r="A711" s="2"/>
      <c r="B711" s="10"/>
      <c r="C711" s="10"/>
      <c r="D711" s="10"/>
      <c r="E711" s="10"/>
      <c r="F711" s="10"/>
      <c r="G711" s="32"/>
      <c r="H711" s="32"/>
      <c r="I711" s="32"/>
      <c r="J711" s="73"/>
      <c r="K711" s="32"/>
      <c r="L711" s="32"/>
      <c r="M711" s="32"/>
      <c r="N711" s="32"/>
      <c r="O711" s="2"/>
      <c r="P711" s="2"/>
      <c r="Q711" s="32"/>
      <c r="R711" s="32"/>
      <c r="S711" s="32"/>
      <c r="T711" s="32"/>
      <c r="U711" s="2"/>
      <c r="V711" s="2"/>
      <c r="W711" s="2"/>
      <c r="X711" s="2"/>
      <c r="Y711" s="2"/>
      <c r="Z711" s="2"/>
    </row>
    <row r="712" spans="1:26" ht="13.8" x14ac:dyDescent="0.3">
      <c r="A712" s="2"/>
      <c r="B712" s="10"/>
      <c r="C712" s="10"/>
      <c r="D712" s="10"/>
      <c r="E712" s="10"/>
      <c r="F712" s="10"/>
      <c r="G712" s="32"/>
      <c r="H712" s="32"/>
      <c r="I712" s="32"/>
      <c r="J712" s="73"/>
      <c r="K712" s="32"/>
      <c r="L712" s="32"/>
      <c r="M712" s="32"/>
      <c r="N712" s="32"/>
      <c r="O712" s="2"/>
      <c r="P712" s="2"/>
      <c r="Q712" s="32"/>
      <c r="R712" s="32"/>
      <c r="S712" s="32"/>
      <c r="T712" s="32"/>
      <c r="U712" s="2"/>
      <c r="V712" s="2"/>
      <c r="W712" s="2"/>
      <c r="X712" s="2"/>
      <c r="Y712" s="2"/>
      <c r="Z712" s="2"/>
    </row>
    <row r="713" spans="1:26" ht="13.8" x14ac:dyDescent="0.3">
      <c r="A713" s="2"/>
      <c r="B713" s="10"/>
      <c r="C713" s="10"/>
      <c r="D713" s="10"/>
      <c r="E713" s="10"/>
      <c r="F713" s="10"/>
      <c r="G713" s="32"/>
      <c r="H713" s="32"/>
      <c r="I713" s="32"/>
      <c r="J713" s="73"/>
      <c r="K713" s="32"/>
      <c r="L713" s="32"/>
      <c r="M713" s="32"/>
      <c r="N713" s="32"/>
      <c r="O713" s="2"/>
      <c r="P713" s="2"/>
      <c r="Q713" s="32"/>
      <c r="R713" s="32"/>
      <c r="S713" s="32"/>
      <c r="T713" s="32"/>
      <c r="U713" s="2"/>
      <c r="V713" s="2"/>
      <c r="W713" s="2"/>
      <c r="X713" s="2"/>
      <c r="Y713" s="2"/>
      <c r="Z713" s="2"/>
    </row>
    <row r="714" spans="1:26" ht="13.8" x14ac:dyDescent="0.3">
      <c r="A714" s="2"/>
      <c r="B714" s="10"/>
      <c r="C714" s="10"/>
      <c r="D714" s="10"/>
      <c r="E714" s="10"/>
      <c r="F714" s="10"/>
      <c r="G714" s="32"/>
      <c r="H714" s="32"/>
      <c r="I714" s="32"/>
      <c r="J714" s="73"/>
      <c r="K714" s="32"/>
      <c r="L714" s="32"/>
      <c r="M714" s="32"/>
      <c r="N714" s="32"/>
      <c r="O714" s="2"/>
      <c r="P714" s="2"/>
      <c r="Q714" s="32"/>
      <c r="R714" s="32"/>
      <c r="S714" s="32"/>
      <c r="T714" s="32"/>
      <c r="U714" s="2"/>
      <c r="V714" s="2"/>
      <c r="W714" s="2"/>
      <c r="X714" s="2"/>
      <c r="Y714" s="2"/>
      <c r="Z714" s="2"/>
    </row>
    <row r="715" spans="1:26" ht="13.8" x14ac:dyDescent="0.3">
      <c r="A715" s="2"/>
      <c r="B715" s="10"/>
      <c r="C715" s="10"/>
      <c r="D715" s="10"/>
      <c r="E715" s="10"/>
      <c r="F715" s="10"/>
      <c r="G715" s="32"/>
      <c r="H715" s="32"/>
      <c r="I715" s="32"/>
      <c r="J715" s="73"/>
      <c r="K715" s="32"/>
      <c r="L715" s="32"/>
      <c r="M715" s="32"/>
      <c r="N715" s="32"/>
      <c r="O715" s="2"/>
      <c r="P715" s="2"/>
      <c r="Q715" s="32"/>
      <c r="R715" s="32"/>
      <c r="S715" s="32"/>
      <c r="T715" s="32"/>
      <c r="U715" s="2"/>
      <c r="V715" s="2"/>
      <c r="W715" s="2"/>
      <c r="X715" s="2"/>
      <c r="Y715" s="2"/>
      <c r="Z715" s="2"/>
    </row>
    <row r="716" spans="1:26" ht="13.8" x14ac:dyDescent="0.3">
      <c r="A716" s="2"/>
      <c r="B716" s="10"/>
      <c r="C716" s="10"/>
      <c r="D716" s="10"/>
      <c r="E716" s="10"/>
      <c r="F716" s="10"/>
      <c r="G716" s="32"/>
      <c r="H716" s="32"/>
      <c r="I716" s="32"/>
      <c r="J716" s="73"/>
      <c r="K716" s="32"/>
      <c r="L716" s="32"/>
      <c r="M716" s="32"/>
      <c r="N716" s="32"/>
      <c r="O716" s="2"/>
      <c r="P716" s="2"/>
      <c r="Q716" s="32"/>
      <c r="R716" s="32"/>
      <c r="S716" s="32"/>
      <c r="T716" s="32"/>
      <c r="U716" s="2"/>
      <c r="V716" s="2"/>
      <c r="W716" s="2"/>
      <c r="X716" s="2"/>
      <c r="Y716" s="2"/>
      <c r="Z716" s="2"/>
    </row>
    <row r="717" spans="1:26" ht="13.8" x14ac:dyDescent="0.3">
      <c r="A717" s="2"/>
      <c r="B717" s="10"/>
      <c r="C717" s="10"/>
      <c r="D717" s="10"/>
      <c r="E717" s="10"/>
      <c r="F717" s="10"/>
      <c r="G717" s="32"/>
      <c r="H717" s="32"/>
      <c r="I717" s="32"/>
      <c r="J717" s="73"/>
      <c r="K717" s="32"/>
      <c r="L717" s="32"/>
      <c r="M717" s="32"/>
      <c r="N717" s="32"/>
      <c r="O717" s="2"/>
      <c r="P717" s="2"/>
      <c r="Q717" s="32"/>
      <c r="R717" s="32"/>
      <c r="S717" s="32"/>
      <c r="T717" s="32"/>
      <c r="U717" s="2"/>
      <c r="V717" s="2"/>
      <c r="W717" s="2"/>
      <c r="X717" s="2"/>
      <c r="Y717" s="2"/>
      <c r="Z717" s="2"/>
    </row>
    <row r="718" spans="1:26" ht="13.8" x14ac:dyDescent="0.3">
      <c r="A718" s="2"/>
      <c r="B718" s="10"/>
      <c r="C718" s="10"/>
      <c r="D718" s="10"/>
      <c r="E718" s="10"/>
      <c r="F718" s="10"/>
      <c r="G718" s="32"/>
      <c r="H718" s="32"/>
      <c r="I718" s="32"/>
      <c r="J718" s="73"/>
      <c r="K718" s="32"/>
      <c r="L718" s="32"/>
      <c r="M718" s="32"/>
      <c r="N718" s="32"/>
      <c r="O718" s="2"/>
      <c r="P718" s="2"/>
      <c r="Q718" s="32"/>
      <c r="R718" s="32"/>
      <c r="S718" s="32"/>
      <c r="T718" s="32"/>
      <c r="U718" s="2"/>
      <c r="V718" s="2"/>
      <c r="W718" s="2"/>
      <c r="X718" s="2"/>
      <c r="Y718" s="2"/>
      <c r="Z718" s="2"/>
    </row>
    <row r="719" spans="1:26" ht="13.8" x14ac:dyDescent="0.3">
      <c r="A719" s="2"/>
      <c r="B719" s="10"/>
      <c r="C719" s="10"/>
      <c r="D719" s="10"/>
      <c r="E719" s="10"/>
      <c r="F719" s="10"/>
      <c r="G719" s="32"/>
      <c r="H719" s="32"/>
      <c r="I719" s="32"/>
      <c r="J719" s="73"/>
      <c r="K719" s="32"/>
      <c r="L719" s="32"/>
      <c r="M719" s="32"/>
      <c r="N719" s="32"/>
      <c r="O719" s="2"/>
      <c r="P719" s="2"/>
      <c r="Q719" s="32"/>
      <c r="R719" s="32"/>
      <c r="S719" s="32"/>
      <c r="T719" s="32"/>
      <c r="U719" s="2"/>
      <c r="V719" s="2"/>
      <c r="W719" s="2"/>
      <c r="X719" s="2"/>
      <c r="Y719" s="2"/>
      <c r="Z719" s="2"/>
    </row>
    <row r="720" spans="1:26" ht="13.8" x14ac:dyDescent="0.3">
      <c r="A720" s="2"/>
      <c r="B720" s="10"/>
      <c r="C720" s="10"/>
      <c r="D720" s="10"/>
      <c r="E720" s="10"/>
      <c r="F720" s="10"/>
      <c r="G720" s="32"/>
      <c r="H720" s="32"/>
      <c r="I720" s="32"/>
      <c r="J720" s="73"/>
      <c r="K720" s="32"/>
      <c r="L720" s="32"/>
      <c r="M720" s="32"/>
      <c r="N720" s="32"/>
      <c r="O720" s="2"/>
      <c r="P720" s="2"/>
      <c r="Q720" s="32"/>
      <c r="R720" s="32"/>
      <c r="S720" s="32"/>
      <c r="T720" s="32"/>
      <c r="U720" s="2"/>
      <c r="V720" s="2"/>
      <c r="W720" s="2"/>
      <c r="X720" s="2"/>
      <c r="Y720" s="2"/>
      <c r="Z720" s="2"/>
    </row>
    <row r="721" spans="1:26" ht="13.8" x14ac:dyDescent="0.3">
      <c r="A721" s="2"/>
      <c r="B721" s="10"/>
      <c r="C721" s="10"/>
      <c r="D721" s="10"/>
      <c r="E721" s="10"/>
      <c r="F721" s="10"/>
      <c r="G721" s="32"/>
      <c r="H721" s="32"/>
      <c r="I721" s="32"/>
      <c r="J721" s="73"/>
      <c r="K721" s="32"/>
      <c r="L721" s="32"/>
      <c r="M721" s="32"/>
      <c r="N721" s="32"/>
      <c r="O721" s="2"/>
      <c r="P721" s="2"/>
      <c r="Q721" s="32"/>
      <c r="R721" s="32"/>
      <c r="S721" s="32"/>
      <c r="T721" s="32"/>
      <c r="U721" s="2"/>
      <c r="V721" s="2"/>
      <c r="W721" s="2"/>
      <c r="X721" s="2"/>
      <c r="Y721" s="2"/>
      <c r="Z721" s="2"/>
    </row>
    <row r="722" spans="1:26" ht="13.8" x14ac:dyDescent="0.3">
      <c r="A722" s="2"/>
      <c r="B722" s="10"/>
      <c r="C722" s="10"/>
      <c r="D722" s="10"/>
      <c r="E722" s="10"/>
      <c r="F722" s="10"/>
      <c r="G722" s="32"/>
      <c r="H722" s="32"/>
      <c r="I722" s="32"/>
      <c r="J722" s="73"/>
      <c r="K722" s="32"/>
      <c r="L722" s="32"/>
      <c r="M722" s="32"/>
      <c r="N722" s="32"/>
      <c r="O722" s="2"/>
      <c r="P722" s="2"/>
      <c r="Q722" s="32"/>
      <c r="R722" s="32"/>
      <c r="S722" s="32"/>
      <c r="T722" s="32"/>
      <c r="U722" s="2"/>
      <c r="V722" s="2"/>
      <c r="W722" s="2"/>
      <c r="X722" s="2"/>
      <c r="Y722" s="2"/>
      <c r="Z722" s="2"/>
    </row>
    <row r="723" spans="1:26" ht="13.8" x14ac:dyDescent="0.3">
      <c r="A723" s="2"/>
      <c r="B723" s="10"/>
      <c r="C723" s="10"/>
      <c r="D723" s="10"/>
      <c r="E723" s="10"/>
      <c r="F723" s="10"/>
      <c r="G723" s="32"/>
      <c r="H723" s="32"/>
      <c r="I723" s="32"/>
      <c r="J723" s="73"/>
      <c r="K723" s="32"/>
      <c r="L723" s="32"/>
      <c r="M723" s="32"/>
      <c r="N723" s="32"/>
      <c r="O723" s="2"/>
      <c r="P723" s="2"/>
      <c r="Q723" s="32"/>
      <c r="R723" s="32"/>
      <c r="S723" s="32"/>
      <c r="T723" s="32"/>
      <c r="U723" s="2"/>
      <c r="V723" s="2"/>
      <c r="W723" s="2"/>
      <c r="X723" s="2"/>
      <c r="Y723" s="2"/>
      <c r="Z723" s="2"/>
    </row>
    <row r="724" spans="1:26" ht="13.8" x14ac:dyDescent="0.3">
      <c r="A724" s="2"/>
      <c r="B724" s="10"/>
      <c r="C724" s="10"/>
      <c r="D724" s="10"/>
      <c r="E724" s="10"/>
      <c r="F724" s="10"/>
      <c r="G724" s="32"/>
      <c r="H724" s="32"/>
      <c r="I724" s="32"/>
      <c r="J724" s="73"/>
      <c r="K724" s="32"/>
      <c r="L724" s="32"/>
      <c r="M724" s="32"/>
      <c r="N724" s="32"/>
      <c r="O724" s="2"/>
      <c r="P724" s="2"/>
      <c r="Q724" s="32"/>
      <c r="R724" s="32"/>
      <c r="S724" s="32"/>
      <c r="T724" s="32"/>
      <c r="U724" s="2"/>
      <c r="V724" s="2"/>
      <c r="W724" s="2"/>
      <c r="X724" s="2"/>
      <c r="Y724" s="2"/>
      <c r="Z724" s="2"/>
    </row>
    <row r="725" spans="1:26" ht="13.8" x14ac:dyDescent="0.3">
      <c r="A725" s="2"/>
      <c r="B725" s="10"/>
      <c r="C725" s="10"/>
      <c r="D725" s="10"/>
      <c r="E725" s="10"/>
      <c r="F725" s="10"/>
      <c r="G725" s="32"/>
      <c r="H725" s="32"/>
      <c r="I725" s="32"/>
      <c r="J725" s="73"/>
      <c r="K725" s="32"/>
      <c r="L725" s="32"/>
      <c r="M725" s="32"/>
      <c r="N725" s="32"/>
      <c r="O725" s="2"/>
      <c r="P725" s="2"/>
      <c r="Q725" s="32"/>
      <c r="R725" s="32"/>
      <c r="S725" s="32"/>
      <c r="T725" s="32"/>
      <c r="U725" s="2"/>
      <c r="V725" s="2"/>
      <c r="W725" s="2"/>
      <c r="X725" s="2"/>
      <c r="Y725" s="2"/>
      <c r="Z725" s="2"/>
    </row>
    <row r="726" spans="1:26" ht="13.8" x14ac:dyDescent="0.3">
      <c r="A726" s="2"/>
      <c r="B726" s="10"/>
      <c r="C726" s="10"/>
      <c r="D726" s="10"/>
      <c r="E726" s="10"/>
      <c r="F726" s="10"/>
      <c r="G726" s="32"/>
      <c r="H726" s="32"/>
      <c r="I726" s="32"/>
      <c r="J726" s="73"/>
      <c r="K726" s="32"/>
      <c r="L726" s="32"/>
      <c r="M726" s="32"/>
      <c r="N726" s="32"/>
      <c r="O726" s="2"/>
      <c r="P726" s="2"/>
      <c r="Q726" s="32"/>
      <c r="R726" s="32"/>
      <c r="S726" s="32"/>
      <c r="T726" s="32"/>
      <c r="U726" s="2"/>
      <c r="V726" s="2"/>
      <c r="W726" s="2"/>
      <c r="X726" s="2"/>
      <c r="Y726" s="2"/>
      <c r="Z726" s="2"/>
    </row>
    <row r="727" spans="1:26" ht="13.8" x14ac:dyDescent="0.3">
      <c r="A727" s="2"/>
      <c r="B727" s="10"/>
      <c r="C727" s="10"/>
      <c r="D727" s="10"/>
      <c r="E727" s="10"/>
      <c r="F727" s="10"/>
      <c r="G727" s="32"/>
      <c r="H727" s="32"/>
      <c r="I727" s="32"/>
      <c r="J727" s="73"/>
      <c r="K727" s="32"/>
      <c r="L727" s="32"/>
      <c r="M727" s="32"/>
      <c r="N727" s="32"/>
      <c r="O727" s="2"/>
      <c r="P727" s="2"/>
      <c r="Q727" s="32"/>
      <c r="R727" s="32"/>
      <c r="S727" s="32"/>
      <c r="T727" s="32"/>
      <c r="U727" s="2"/>
      <c r="V727" s="2"/>
      <c r="W727" s="2"/>
      <c r="X727" s="2"/>
      <c r="Y727" s="2"/>
      <c r="Z727" s="2"/>
    </row>
    <row r="728" spans="1:26" ht="13.8" x14ac:dyDescent="0.3">
      <c r="A728" s="2"/>
      <c r="B728" s="10"/>
      <c r="C728" s="10"/>
      <c r="D728" s="10"/>
      <c r="E728" s="10"/>
      <c r="F728" s="10"/>
      <c r="G728" s="32"/>
      <c r="H728" s="32"/>
      <c r="I728" s="32"/>
      <c r="J728" s="73"/>
      <c r="K728" s="32"/>
      <c r="L728" s="32"/>
      <c r="M728" s="32"/>
      <c r="N728" s="32"/>
      <c r="O728" s="2"/>
      <c r="P728" s="2"/>
      <c r="Q728" s="32"/>
      <c r="R728" s="32"/>
      <c r="S728" s="32"/>
      <c r="T728" s="32"/>
      <c r="U728" s="2"/>
      <c r="V728" s="2"/>
      <c r="W728" s="2"/>
      <c r="X728" s="2"/>
      <c r="Y728" s="2"/>
      <c r="Z728" s="2"/>
    </row>
    <row r="729" spans="1:26" ht="13.8" x14ac:dyDescent="0.3">
      <c r="A729" s="2"/>
      <c r="B729" s="10"/>
      <c r="C729" s="10"/>
      <c r="D729" s="10"/>
      <c r="E729" s="10"/>
      <c r="F729" s="10"/>
      <c r="G729" s="32"/>
      <c r="H729" s="32"/>
      <c r="I729" s="32"/>
      <c r="J729" s="73"/>
      <c r="K729" s="32"/>
      <c r="L729" s="32"/>
      <c r="M729" s="32"/>
      <c r="N729" s="32"/>
      <c r="O729" s="2"/>
      <c r="P729" s="2"/>
      <c r="Q729" s="32"/>
      <c r="R729" s="32"/>
      <c r="S729" s="32"/>
      <c r="T729" s="32"/>
      <c r="U729" s="2"/>
      <c r="V729" s="2"/>
      <c r="W729" s="2"/>
      <c r="X729" s="2"/>
      <c r="Y729" s="2"/>
      <c r="Z729" s="2"/>
    </row>
    <row r="730" spans="1:26" ht="13.8" x14ac:dyDescent="0.3">
      <c r="A730" s="2"/>
      <c r="B730" s="10"/>
      <c r="C730" s="10"/>
      <c r="D730" s="10"/>
      <c r="E730" s="10"/>
      <c r="F730" s="10"/>
      <c r="G730" s="32"/>
      <c r="H730" s="32"/>
      <c r="I730" s="32"/>
      <c r="J730" s="73"/>
      <c r="K730" s="32"/>
      <c r="L730" s="32"/>
      <c r="M730" s="32"/>
      <c r="N730" s="32"/>
      <c r="O730" s="2"/>
      <c r="P730" s="2"/>
      <c r="Q730" s="32"/>
      <c r="R730" s="32"/>
      <c r="S730" s="32"/>
      <c r="T730" s="32"/>
      <c r="U730" s="2"/>
      <c r="V730" s="2"/>
      <c r="W730" s="2"/>
      <c r="X730" s="2"/>
      <c r="Y730" s="2"/>
      <c r="Z730" s="2"/>
    </row>
    <row r="731" spans="1:26" ht="13.8" x14ac:dyDescent="0.3">
      <c r="A731" s="2"/>
      <c r="B731" s="10"/>
      <c r="C731" s="10"/>
      <c r="D731" s="10"/>
      <c r="E731" s="10"/>
      <c r="F731" s="10"/>
      <c r="G731" s="32"/>
      <c r="H731" s="32"/>
      <c r="I731" s="32"/>
      <c r="J731" s="73"/>
      <c r="K731" s="32"/>
      <c r="L731" s="32"/>
      <c r="M731" s="32"/>
      <c r="N731" s="32"/>
      <c r="O731" s="2"/>
      <c r="P731" s="2"/>
      <c r="Q731" s="32"/>
      <c r="R731" s="32"/>
      <c r="S731" s="32"/>
      <c r="T731" s="32"/>
      <c r="U731" s="2"/>
      <c r="V731" s="2"/>
      <c r="W731" s="2"/>
      <c r="X731" s="2"/>
      <c r="Y731" s="2"/>
      <c r="Z731" s="2"/>
    </row>
    <row r="732" spans="1:26" ht="13.8" x14ac:dyDescent="0.3">
      <c r="A732" s="2"/>
      <c r="B732" s="10"/>
      <c r="C732" s="10"/>
      <c r="D732" s="10"/>
      <c r="E732" s="10"/>
      <c r="F732" s="10"/>
      <c r="G732" s="32"/>
      <c r="H732" s="32"/>
      <c r="I732" s="32"/>
      <c r="J732" s="73"/>
      <c r="K732" s="32"/>
      <c r="L732" s="32"/>
      <c r="M732" s="32"/>
      <c r="N732" s="32"/>
      <c r="O732" s="2"/>
      <c r="P732" s="2"/>
      <c r="Q732" s="32"/>
      <c r="R732" s="32"/>
      <c r="S732" s="32"/>
      <c r="T732" s="32"/>
      <c r="U732" s="2"/>
      <c r="V732" s="2"/>
      <c r="W732" s="2"/>
      <c r="X732" s="2"/>
      <c r="Y732" s="2"/>
      <c r="Z732" s="2"/>
    </row>
    <row r="733" spans="1:26" ht="13.8" x14ac:dyDescent="0.3">
      <c r="A733" s="2"/>
      <c r="B733" s="10"/>
      <c r="C733" s="10"/>
      <c r="D733" s="10"/>
      <c r="E733" s="10"/>
      <c r="F733" s="10"/>
      <c r="G733" s="32"/>
      <c r="H733" s="32"/>
      <c r="I733" s="32"/>
      <c r="J733" s="73"/>
      <c r="K733" s="32"/>
      <c r="L733" s="32"/>
      <c r="M733" s="32"/>
      <c r="N733" s="32"/>
      <c r="O733" s="2"/>
      <c r="P733" s="2"/>
      <c r="Q733" s="32"/>
      <c r="R733" s="32"/>
      <c r="S733" s="32"/>
      <c r="T733" s="32"/>
      <c r="U733" s="2"/>
      <c r="V733" s="2"/>
      <c r="W733" s="2"/>
      <c r="X733" s="2"/>
      <c r="Y733" s="2"/>
      <c r="Z733" s="2"/>
    </row>
    <row r="734" spans="1:26" ht="13.8" x14ac:dyDescent="0.3">
      <c r="A734" s="2"/>
      <c r="B734" s="10"/>
      <c r="C734" s="10"/>
      <c r="D734" s="10"/>
      <c r="E734" s="10"/>
      <c r="F734" s="10"/>
      <c r="G734" s="32"/>
      <c r="H734" s="32"/>
      <c r="I734" s="32"/>
      <c r="J734" s="73"/>
      <c r="K734" s="32"/>
      <c r="L734" s="32"/>
      <c r="M734" s="32"/>
      <c r="N734" s="32"/>
      <c r="O734" s="2"/>
      <c r="P734" s="2"/>
      <c r="Q734" s="32"/>
      <c r="R734" s="32"/>
      <c r="S734" s="32"/>
      <c r="T734" s="32"/>
      <c r="U734" s="2"/>
      <c r="V734" s="2"/>
      <c r="W734" s="2"/>
      <c r="X734" s="2"/>
      <c r="Y734" s="2"/>
      <c r="Z734" s="2"/>
    </row>
    <row r="735" spans="1:26" ht="13.8" x14ac:dyDescent="0.3">
      <c r="A735" s="2"/>
      <c r="B735" s="10"/>
      <c r="C735" s="10"/>
      <c r="D735" s="10"/>
      <c r="E735" s="10"/>
      <c r="F735" s="10"/>
      <c r="G735" s="32"/>
      <c r="H735" s="32"/>
      <c r="I735" s="32"/>
      <c r="J735" s="73"/>
      <c r="K735" s="32"/>
      <c r="L735" s="32"/>
      <c r="M735" s="32"/>
      <c r="N735" s="32"/>
      <c r="O735" s="2"/>
      <c r="P735" s="2"/>
      <c r="Q735" s="32"/>
      <c r="R735" s="32"/>
      <c r="S735" s="32"/>
      <c r="T735" s="32"/>
      <c r="U735" s="2"/>
      <c r="V735" s="2"/>
      <c r="W735" s="2"/>
      <c r="X735" s="2"/>
      <c r="Y735" s="2"/>
      <c r="Z735" s="2"/>
    </row>
    <row r="736" spans="1:26" ht="13.8" x14ac:dyDescent="0.3">
      <c r="A736" s="2"/>
      <c r="B736" s="10"/>
      <c r="C736" s="10"/>
      <c r="D736" s="10"/>
      <c r="E736" s="10"/>
      <c r="F736" s="10"/>
      <c r="G736" s="32"/>
      <c r="H736" s="32"/>
      <c r="I736" s="32"/>
      <c r="J736" s="73"/>
      <c r="K736" s="32"/>
      <c r="L736" s="32"/>
      <c r="M736" s="32"/>
      <c r="N736" s="32"/>
      <c r="O736" s="2"/>
      <c r="P736" s="2"/>
      <c r="Q736" s="32"/>
      <c r="R736" s="32"/>
      <c r="S736" s="32"/>
      <c r="T736" s="32"/>
      <c r="U736" s="2"/>
      <c r="V736" s="2"/>
      <c r="W736" s="2"/>
      <c r="X736" s="2"/>
      <c r="Y736" s="2"/>
      <c r="Z736" s="2"/>
    </row>
    <row r="737" spans="1:26" ht="13.8" x14ac:dyDescent="0.3">
      <c r="A737" s="2"/>
      <c r="B737" s="10"/>
      <c r="C737" s="10"/>
      <c r="D737" s="10"/>
      <c r="E737" s="10"/>
      <c r="F737" s="10"/>
      <c r="G737" s="32"/>
      <c r="H737" s="32"/>
      <c r="I737" s="32"/>
      <c r="J737" s="73"/>
      <c r="K737" s="32"/>
      <c r="L737" s="32"/>
      <c r="M737" s="32"/>
      <c r="N737" s="32"/>
      <c r="O737" s="2"/>
      <c r="P737" s="2"/>
      <c r="Q737" s="32"/>
      <c r="R737" s="32"/>
      <c r="S737" s="32"/>
      <c r="T737" s="32"/>
      <c r="U737" s="2"/>
      <c r="V737" s="2"/>
      <c r="W737" s="2"/>
      <c r="X737" s="2"/>
      <c r="Y737" s="2"/>
      <c r="Z737" s="2"/>
    </row>
    <row r="738" spans="1:26" ht="13.8" x14ac:dyDescent="0.3">
      <c r="A738" s="2"/>
      <c r="B738" s="10"/>
      <c r="C738" s="10"/>
      <c r="D738" s="10"/>
      <c r="E738" s="10"/>
      <c r="F738" s="10"/>
      <c r="G738" s="32"/>
      <c r="H738" s="32"/>
      <c r="I738" s="32"/>
      <c r="J738" s="73"/>
      <c r="K738" s="32"/>
      <c r="L738" s="32"/>
      <c r="M738" s="32"/>
      <c r="N738" s="32"/>
      <c r="O738" s="2"/>
      <c r="P738" s="2"/>
      <c r="Q738" s="32"/>
      <c r="R738" s="32"/>
      <c r="S738" s="32"/>
      <c r="T738" s="32"/>
      <c r="U738" s="2"/>
      <c r="V738" s="2"/>
      <c r="W738" s="2"/>
      <c r="X738" s="2"/>
      <c r="Y738" s="2"/>
      <c r="Z738" s="2"/>
    </row>
    <row r="739" spans="1:26" ht="13.8" x14ac:dyDescent="0.3">
      <c r="A739" s="2"/>
      <c r="B739" s="10"/>
      <c r="C739" s="10"/>
      <c r="D739" s="10"/>
      <c r="E739" s="10"/>
      <c r="F739" s="10"/>
      <c r="G739" s="32"/>
      <c r="H739" s="32"/>
      <c r="I739" s="32"/>
      <c r="J739" s="73"/>
      <c r="K739" s="32"/>
      <c r="L739" s="32"/>
      <c r="M739" s="32"/>
      <c r="N739" s="32"/>
      <c r="O739" s="2"/>
      <c r="P739" s="2"/>
      <c r="Q739" s="32"/>
      <c r="R739" s="32"/>
      <c r="S739" s="32"/>
      <c r="T739" s="32"/>
      <c r="U739" s="2"/>
      <c r="V739" s="2"/>
      <c r="W739" s="2"/>
      <c r="X739" s="2"/>
      <c r="Y739" s="2"/>
      <c r="Z739" s="2"/>
    </row>
    <row r="740" spans="1:26" ht="13.8" x14ac:dyDescent="0.3">
      <c r="A740" s="2"/>
      <c r="B740" s="10"/>
      <c r="C740" s="10"/>
      <c r="D740" s="10"/>
      <c r="E740" s="10"/>
      <c r="F740" s="10"/>
      <c r="G740" s="32"/>
      <c r="H740" s="32"/>
      <c r="I740" s="32"/>
      <c r="J740" s="73"/>
      <c r="K740" s="32"/>
      <c r="L740" s="32"/>
      <c r="M740" s="32"/>
      <c r="N740" s="32"/>
      <c r="O740" s="2"/>
      <c r="P740" s="2"/>
      <c r="Q740" s="32"/>
      <c r="R740" s="32"/>
      <c r="S740" s="32"/>
      <c r="T740" s="32"/>
      <c r="U740" s="2"/>
      <c r="V740" s="2"/>
      <c r="W740" s="2"/>
      <c r="X740" s="2"/>
      <c r="Y740" s="2"/>
      <c r="Z740" s="2"/>
    </row>
    <row r="741" spans="1:26" ht="13.8" x14ac:dyDescent="0.3">
      <c r="A741" s="2"/>
      <c r="B741" s="10"/>
      <c r="C741" s="10"/>
      <c r="D741" s="10"/>
      <c r="E741" s="10"/>
      <c r="F741" s="10"/>
      <c r="G741" s="32"/>
      <c r="H741" s="32"/>
      <c r="I741" s="32"/>
      <c r="J741" s="73"/>
      <c r="K741" s="32"/>
      <c r="L741" s="32"/>
      <c r="M741" s="32"/>
      <c r="N741" s="32"/>
      <c r="O741" s="2"/>
      <c r="P741" s="2"/>
      <c r="Q741" s="32"/>
      <c r="R741" s="32"/>
      <c r="S741" s="32"/>
      <c r="T741" s="32"/>
      <c r="U741" s="2"/>
      <c r="V741" s="2"/>
      <c r="W741" s="2"/>
      <c r="X741" s="2"/>
      <c r="Y741" s="2"/>
      <c r="Z741" s="2"/>
    </row>
    <row r="742" spans="1:26" ht="13.8" x14ac:dyDescent="0.3">
      <c r="A742" s="2"/>
      <c r="B742" s="10"/>
      <c r="C742" s="10"/>
      <c r="D742" s="10"/>
      <c r="E742" s="10"/>
      <c r="F742" s="10"/>
      <c r="G742" s="32"/>
      <c r="H742" s="32"/>
      <c r="I742" s="32"/>
      <c r="J742" s="73"/>
      <c r="K742" s="32"/>
      <c r="L742" s="32"/>
      <c r="M742" s="32"/>
      <c r="N742" s="32"/>
      <c r="O742" s="2"/>
      <c r="P742" s="2"/>
      <c r="Q742" s="32"/>
      <c r="R742" s="32"/>
      <c r="S742" s="32"/>
      <c r="T742" s="32"/>
      <c r="U742" s="2"/>
      <c r="V742" s="2"/>
      <c r="W742" s="2"/>
      <c r="X742" s="2"/>
      <c r="Y742" s="2"/>
      <c r="Z742" s="2"/>
    </row>
    <row r="743" spans="1:26" ht="13.8" x14ac:dyDescent="0.3">
      <c r="A743" s="2"/>
      <c r="B743" s="10"/>
      <c r="C743" s="10"/>
      <c r="D743" s="10"/>
      <c r="E743" s="10"/>
      <c r="F743" s="10"/>
      <c r="G743" s="32"/>
      <c r="H743" s="32"/>
      <c r="I743" s="32"/>
      <c r="J743" s="73"/>
      <c r="K743" s="32"/>
      <c r="L743" s="32"/>
      <c r="M743" s="32"/>
      <c r="N743" s="32"/>
      <c r="O743" s="2"/>
      <c r="P743" s="2"/>
      <c r="Q743" s="32"/>
      <c r="R743" s="32"/>
      <c r="S743" s="32"/>
      <c r="T743" s="32"/>
      <c r="U743" s="2"/>
      <c r="V743" s="2"/>
      <c r="W743" s="2"/>
      <c r="X743" s="2"/>
      <c r="Y743" s="2"/>
      <c r="Z743" s="2"/>
    </row>
    <row r="744" spans="1:26" ht="13.8" x14ac:dyDescent="0.3">
      <c r="A744" s="2"/>
      <c r="B744" s="10"/>
      <c r="C744" s="10"/>
      <c r="D744" s="10"/>
      <c r="E744" s="10"/>
      <c r="F744" s="10"/>
      <c r="G744" s="32"/>
      <c r="H744" s="32"/>
      <c r="I744" s="32"/>
      <c r="J744" s="73"/>
      <c r="K744" s="32"/>
      <c r="L744" s="32"/>
      <c r="M744" s="32"/>
      <c r="N744" s="32"/>
      <c r="O744" s="2"/>
      <c r="P744" s="2"/>
      <c r="Q744" s="32"/>
      <c r="R744" s="32"/>
      <c r="S744" s="32"/>
      <c r="T744" s="32"/>
      <c r="U744" s="2"/>
      <c r="V744" s="2"/>
      <c r="W744" s="2"/>
      <c r="X744" s="2"/>
      <c r="Y744" s="2"/>
      <c r="Z744" s="2"/>
    </row>
    <row r="745" spans="1:26" ht="13.8" x14ac:dyDescent="0.3">
      <c r="A745" s="2"/>
      <c r="B745" s="10"/>
      <c r="C745" s="10"/>
      <c r="D745" s="10"/>
      <c r="E745" s="10"/>
      <c r="F745" s="10"/>
      <c r="G745" s="32"/>
      <c r="H745" s="32"/>
      <c r="I745" s="32"/>
      <c r="J745" s="73"/>
      <c r="K745" s="32"/>
      <c r="L745" s="32"/>
      <c r="M745" s="32"/>
      <c r="N745" s="32"/>
      <c r="O745" s="2"/>
      <c r="P745" s="2"/>
      <c r="Q745" s="32"/>
      <c r="R745" s="32"/>
      <c r="S745" s="32"/>
      <c r="T745" s="32"/>
      <c r="U745" s="2"/>
      <c r="V745" s="2"/>
      <c r="W745" s="2"/>
      <c r="X745" s="2"/>
      <c r="Y745" s="2"/>
      <c r="Z745" s="2"/>
    </row>
    <row r="746" spans="1:26" ht="13.8" x14ac:dyDescent="0.3">
      <c r="A746" s="2"/>
      <c r="B746" s="10"/>
      <c r="C746" s="10"/>
      <c r="D746" s="10"/>
      <c r="E746" s="10"/>
      <c r="F746" s="10"/>
      <c r="G746" s="32"/>
      <c r="H746" s="32"/>
      <c r="I746" s="32"/>
      <c r="J746" s="73"/>
      <c r="K746" s="32"/>
      <c r="L746" s="32"/>
      <c r="M746" s="32"/>
      <c r="N746" s="32"/>
      <c r="O746" s="2"/>
      <c r="P746" s="2"/>
      <c r="Q746" s="32"/>
      <c r="R746" s="32"/>
      <c r="S746" s="32"/>
      <c r="T746" s="32"/>
      <c r="U746" s="2"/>
      <c r="V746" s="2"/>
      <c r="W746" s="2"/>
      <c r="X746" s="2"/>
      <c r="Y746" s="2"/>
      <c r="Z746" s="2"/>
    </row>
    <row r="747" spans="1:26" ht="13.8" x14ac:dyDescent="0.3">
      <c r="A747" s="2"/>
      <c r="B747" s="10"/>
      <c r="C747" s="10"/>
      <c r="D747" s="10"/>
      <c r="E747" s="10"/>
      <c r="F747" s="10"/>
      <c r="G747" s="32"/>
      <c r="H747" s="32"/>
      <c r="I747" s="32"/>
      <c r="J747" s="73"/>
      <c r="K747" s="32"/>
      <c r="L747" s="32"/>
      <c r="M747" s="32"/>
      <c r="N747" s="32"/>
      <c r="O747" s="2"/>
      <c r="P747" s="2"/>
      <c r="Q747" s="32"/>
      <c r="R747" s="32"/>
      <c r="S747" s="32"/>
      <c r="T747" s="32"/>
      <c r="U747" s="2"/>
      <c r="V747" s="2"/>
      <c r="W747" s="2"/>
      <c r="X747" s="2"/>
      <c r="Y747" s="2"/>
      <c r="Z747" s="2"/>
    </row>
    <row r="748" spans="1:26" ht="13.8" x14ac:dyDescent="0.3">
      <c r="A748" s="2"/>
      <c r="B748" s="10"/>
      <c r="C748" s="10"/>
      <c r="D748" s="10"/>
      <c r="E748" s="10"/>
      <c r="F748" s="10"/>
      <c r="G748" s="32"/>
      <c r="H748" s="32"/>
      <c r="I748" s="32"/>
      <c r="J748" s="73"/>
      <c r="K748" s="32"/>
      <c r="L748" s="32"/>
      <c r="M748" s="32"/>
      <c r="N748" s="32"/>
      <c r="O748" s="2"/>
      <c r="P748" s="2"/>
      <c r="Q748" s="32"/>
      <c r="R748" s="32"/>
      <c r="S748" s="32"/>
      <c r="T748" s="32"/>
      <c r="U748" s="2"/>
      <c r="V748" s="2"/>
      <c r="W748" s="2"/>
      <c r="X748" s="2"/>
      <c r="Y748" s="2"/>
      <c r="Z748" s="2"/>
    </row>
    <row r="749" spans="1:26" ht="13.8" x14ac:dyDescent="0.3">
      <c r="A749" s="2"/>
      <c r="B749" s="10"/>
      <c r="C749" s="10"/>
      <c r="D749" s="10"/>
      <c r="E749" s="10"/>
      <c r="F749" s="10"/>
      <c r="G749" s="32"/>
      <c r="H749" s="32"/>
      <c r="I749" s="32"/>
      <c r="J749" s="73"/>
      <c r="K749" s="32"/>
      <c r="L749" s="32"/>
      <c r="M749" s="32"/>
      <c r="N749" s="32"/>
      <c r="O749" s="2"/>
      <c r="P749" s="2"/>
      <c r="Q749" s="32"/>
      <c r="R749" s="32"/>
      <c r="S749" s="32"/>
      <c r="T749" s="32"/>
      <c r="U749" s="2"/>
      <c r="V749" s="2"/>
      <c r="W749" s="2"/>
      <c r="X749" s="2"/>
      <c r="Y749" s="2"/>
      <c r="Z749" s="2"/>
    </row>
    <row r="750" spans="1:26" ht="13.8" x14ac:dyDescent="0.3">
      <c r="A750" s="2"/>
      <c r="B750" s="10"/>
      <c r="C750" s="10"/>
      <c r="D750" s="10"/>
      <c r="E750" s="10"/>
      <c r="F750" s="10"/>
      <c r="G750" s="32"/>
      <c r="H750" s="32"/>
      <c r="I750" s="32"/>
      <c r="J750" s="73"/>
      <c r="K750" s="32"/>
      <c r="L750" s="32"/>
      <c r="M750" s="32"/>
      <c r="N750" s="32"/>
      <c r="O750" s="2"/>
      <c r="P750" s="2"/>
      <c r="Q750" s="32"/>
      <c r="R750" s="32"/>
      <c r="S750" s="32"/>
      <c r="T750" s="32"/>
      <c r="U750" s="2"/>
      <c r="V750" s="2"/>
      <c r="W750" s="2"/>
      <c r="X750" s="2"/>
      <c r="Y750" s="2"/>
      <c r="Z750" s="2"/>
    </row>
    <row r="751" spans="1:26" ht="13.8" x14ac:dyDescent="0.3">
      <c r="A751" s="2"/>
      <c r="B751" s="10"/>
      <c r="C751" s="10"/>
      <c r="D751" s="10"/>
      <c r="E751" s="10"/>
      <c r="F751" s="10"/>
      <c r="G751" s="32"/>
      <c r="H751" s="32"/>
      <c r="I751" s="32"/>
      <c r="J751" s="73"/>
      <c r="K751" s="32"/>
      <c r="L751" s="32"/>
      <c r="M751" s="32"/>
      <c r="N751" s="32"/>
      <c r="O751" s="2"/>
      <c r="P751" s="2"/>
      <c r="Q751" s="32"/>
      <c r="R751" s="32"/>
      <c r="S751" s="32"/>
      <c r="T751" s="32"/>
      <c r="U751" s="2"/>
      <c r="V751" s="2"/>
      <c r="W751" s="2"/>
      <c r="X751" s="2"/>
      <c r="Y751" s="2"/>
      <c r="Z751" s="2"/>
    </row>
    <row r="752" spans="1:26" ht="13.8" x14ac:dyDescent="0.3">
      <c r="A752" s="2"/>
      <c r="B752" s="10"/>
      <c r="C752" s="10"/>
      <c r="D752" s="10"/>
      <c r="E752" s="10"/>
      <c r="F752" s="10"/>
      <c r="G752" s="32"/>
      <c r="H752" s="32"/>
      <c r="I752" s="32"/>
      <c r="J752" s="73"/>
      <c r="K752" s="32"/>
      <c r="L752" s="32"/>
      <c r="M752" s="32"/>
      <c r="N752" s="32"/>
      <c r="O752" s="2"/>
      <c r="P752" s="2"/>
      <c r="Q752" s="32"/>
      <c r="R752" s="32"/>
      <c r="S752" s="32"/>
      <c r="T752" s="32"/>
      <c r="U752" s="2"/>
      <c r="V752" s="2"/>
      <c r="W752" s="2"/>
      <c r="X752" s="2"/>
      <c r="Y752" s="2"/>
      <c r="Z752" s="2"/>
    </row>
    <row r="753" spans="1:26" ht="13.8" x14ac:dyDescent="0.3">
      <c r="A753" s="2"/>
      <c r="B753" s="10"/>
      <c r="C753" s="10"/>
      <c r="D753" s="10"/>
      <c r="E753" s="10"/>
      <c r="F753" s="10"/>
      <c r="G753" s="32"/>
      <c r="H753" s="32"/>
      <c r="I753" s="32"/>
      <c r="J753" s="73"/>
      <c r="K753" s="32"/>
      <c r="L753" s="32"/>
      <c r="M753" s="32"/>
      <c r="N753" s="32"/>
      <c r="O753" s="2"/>
      <c r="P753" s="2"/>
      <c r="Q753" s="32"/>
      <c r="R753" s="32"/>
      <c r="S753" s="32"/>
      <c r="T753" s="32"/>
      <c r="U753" s="2"/>
      <c r="V753" s="2"/>
      <c r="W753" s="2"/>
      <c r="X753" s="2"/>
      <c r="Y753" s="2"/>
      <c r="Z753" s="2"/>
    </row>
    <row r="754" spans="1:26" ht="13.8" x14ac:dyDescent="0.3">
      <c r="A754" s="2"/>
      <c r="B754" s="10"/>
      <c r="C754" s="10"/>
      <c r="D754" s="10"/>
      <c r="E754" s="10"/>
      <c r="F754" s="10"/>
      <c r="G754" s="32"/>
      <c r="H754" s="32"/>
      <c r="I754" s="32"/>
      <c r="J754" s="73"/>
      <c r="K754" s="32"/>
      <c r="L754" s="32"/>
      <c r="M754" s="32"/>
      <c r="N754" s="32"/>
      <c r="O754" s="2"/>
      <c r="P754" s="2"/>
      <c r="Q754" s="32"/>
      <c r="R754" s="32"/>
      <c r="S754" s="32"/>
      <c r="T754" s="32"/>
      <c r="U754" s="2"/>
      <c r="V754" s="2"/>
      <c r="W754" s="2"/>
      <c r="X754" s="2"/>
      <c r="Y754" s="2"/>
      <c r="Z754" s="2"/>
    </row>
    <row r="755" spans="1:26" ht="13.8" x14ac:dyDescent="0.3">
      <c r="A755" s="2"/>
      <c r="B755" s="10"/>
      <c r="C755" s="10"/>
      <c r="D755" s="10"/>
      <c r="E755" s="10"/>
      <c r="F755" s="10"/>
      <c r="G755" s="32"/>
      <c r="H755" s="32"/>
      <c r="I755" s="32"/>
      <c r="J755" s="73"/>
      <c r="K755" s="32"/>
      <c r="L755" s="32"/>
      <c r="M755" s="32"/>
      <c r="N755" s="32"/>
      <c r="O755" s="2"/>
      <c r="P755" s="2"/>
      <c r="Q755" s="32"/>
      <c r="R755" s="32"/>
      <c r="S755" s="32"/>
      <c r="T755" s="32"/>
      <c r="U755" s="2"/>
      <c r="V755" s="2"/>
      <c r="W755" s="2"/>
      <c r="X755" s="2"/>
      <c r="Y755" s="2"/>
      <c r="Z755" s="2"/>
    </row>
    <row r="756" spans="1:26" ht="13.8" x14ac:dyDescent="0.3">
      <c r="A756" s="2"/>
      <c r="B756" s="10"/>
      <c r="C756" s="10"/>
      <c r="D756" s="10"/>
      <c r="E756" s="10"/>
      <c r="F756" s="10"/>
      <c r="G756" s="32"/>
      <c r="H756" s="32"/>
      <c r="I756" s="32"/>
      <c r="J756" s="73"/>
      <c r="K756" s="32"/>
      <c r="L756" s="32"/>
      <c r="M756" s="32"/>
      <c r="N756" s="32"/>
      <c r="O756" s="2"/>
      <c r="P756" s="2"/>
      <c r="Q756" s="32"/>
      <c r="R756" s="32"/>
      <c r="S756" s="32"/>
      <c r="T756" s="32"/>
      <c r="U756" s="2"/>
      <c r="V756" s="2"/>
      <c r="W756" s="2"/>
      <c r="X756" s="2"/>
      <c r="Y756" s="2"/>
      <c r="Z756" s="2"/>
    </row>
    <row r="757" spans="1:26" ht="13.8" x14ac:dyDescent="0.3">
      <c r="A757" s="2"/>
      <c r="B757" s="10"/>
      <c r="C757" s="10"/>
      <c r="D757" s="10"/>
      <c r="E757" s="10"/>
      <c r="F757" s="10"/>
      <c r="G757" s="32"/>
      <c r="H757" s="32"/>
      <c r="I757" s="32"/>
      <c r="J757" s="73"/>
      <c r="K757" s="32"/>
      <c r="L757" s="32"/>
      <c r="M757" s="32"/>
      <c r="N757" s="32"/>
      <c r="O757" s="2"/>
      <c r="P757" s="2"/>
      <c r="Q757" s="32"/>
      <c r="R757" s="32"/>
      <c r="S757" s="32"/>
      <c r="T757" s="32"/>
      <c r="U757" s="2"/>
      <c r="V757" s="2"/>
      <c r="W757" s="2"/>
      <c r="X757" s="2"/>
      <c r="Y757" s="2"/>
      <c r="Z757" s="2"/>
    </row>
    <row r="758" spans="1:26" ht="13.8" x14ac:dyDescent="0.3">
      <c r="A758" s="2"/>
      <c r="B758" s="10"/>
      <c r="C758" s="10"/>
      <c r="D758" s="10"/>
      <c r="E758" s="10"/>
      <c r="F758" s="10"/>
      <c r="G758" s="32"/>
      <c r="H758" s="32"/>
      <c r="I758" s="32"/>
      <c r="J758" s="73"/>
      <c r="K758" s="32"/>
      <c r="L758" s="32"/>
      <c r="M758" s="32"/>
      <c r="N758" s="32"/>
      <c r="O758" s="2"/>
      <c r="P758" s="2"/>
      <c r="Q758" s="32"/>
      <c r="R758" s="32"/>
      <c r="S758" s="32"/>
      <c r="T758" s="32"/>
      <c r="U758" s="2"/>
      <c r="V758" s="2"/>
      <c r="W758" s="2"/>
      <c r="X758" s="2"/>
      <c r="Y758" s="2"/>
      <c r="Z758" s="2"/>
    </row>
    <row r="759" spans="1:26" ht="13.8" x14ac:dyDescent="0.3">
      <c r="A759" s="2"/>
      <c r="B759" s="10"/>
      <c r="C759" s="10"/>
      <c r="D759" s="10"/>
      <c r="E759" s="10"/>
      <c r="F759" s="10"/>
      <c r="G759" s="32"/>
      <c r="H759" s="32"/>
      <c r="I759" s="32"/>
      <c r="J759" s="73"/>
      <c r="K759" s="32"/>
      <c r="L759" s="32"/>
      <c r="M759" s="32"/>
      <c r="N759" s="32"/>
      <c r="O759" s="2"/>
      <c r="P759" s="2"/>
      <c r="Q759" s="32"/>
      <c r="R759" s="32"/>
      <c r="S759" s="32"/>
      <c r="T759" s="32"/>
      <c r="U759" s="2"/>
      <c r="V759" s="2"/>
      <c r="W759" s="2"/>
      <c r="X759" s="2"/>
      <c r="Y759" s="2"/>
      <c r="Z759" s="2"/>
    </row>
    <row r="760" spans="1:26" ht="13.8" x14ac:dyDescent="0.3">
      <c r="A760" s="2"/>
      <c r="B760" s="10"/>
      <c r="C760" s="10"/>
      <c r="D760" s="10"/>
      <c r="E760" s="10"/>
      <c r="F760" s="10"/>
      <c r="G760" s="32"/>
      <c r="H760" s="32"/>
      <c r="I760" s="32"/>
      <c r="J760" s="73"/>
      <c r="K760" s="32"/>
      <c r="L760" s="32"/>
      <c r="M760" s="32"/>
      <c r="N760" s="32"/>
      <c r="O760" s="2"/>
      <c r="P760" s="2"/>
      <c r="Q760" s="32"/>
      <c r="R760" s="32"/>
      <c r="S760" s="32"/>
      <c r="T760" s="32"/>
      <c r="U760" s="2"/>
      <c r="V760" s="2"/>
      <c r="W760" s="2"/>
      <c r="X760" s="2"/>
      <c r="Y760" s="2"/>
      <c r="Z760" s="2"/>
    </row>
    <row r="761" spans="1:26" ht="13.8" x14ac:dyDescent="0.3">
      <c r="A761" s="2"/>
      <c r="B761" s="10"/>
      <c r="C761" s="10"/>
      <c r="D761" s="10"/>
      <c r="E761" s="10"/>
      <c r="F761" s="10"/>
      <c r="G761" s="32"/>
      <c r="H761" s="32"/>
      <c r="I761" s="32"/>
      <c r="J761" s="73"/>
      <c r="K761" s="32"/>
      <c r="L761" s="32"/>
      <c r="M761" s="32"/>
      <c r="N761" s="32"/>
      <c r="O761" s="2"/>
      <c r="P761" s="2"/>
      <c r="Q761" s="32"/>
      <c r="R761" s="32"/>
      <c r="S761" s="32"/>
      <c r="T761" s="32"/>
      <c r="U761" s="2"/>
      <c r="V761" s="2"/>
      <c r="W761" s="2"/>
      <c r="X761" s="2"/>
      <c r="Y761" s="2"/>
      <c r="Z761" s="2"/>
    </row>
    <row r="762" spans="1:26" ht="13.8" x14ac:dyDescent="0.3">
      <c r="A762" s="2"/>
      <c r="B762" s="10"/>
      <c r="C762" s="10"/>
      <c r="D762" s="10"/>
      <c r="E762" s="10"/>
      <c r="F762" s="10"/>
      <c r="G762" s="32"/>
      <c r="H762" s="32"/>
      <c r="I762" s="32"/>
      <c r="J762" s="73"/>
      <c r="K762" s="32"/>
      <c r="L762" s="32"/>
      <c r="M762" s="32"/>
      <c r="N762" s="32"/>
      <c r="O762" s="2"/>
      <c r="P762" s="2"/>
      <c r="Q762" s="32"/>
      <c r="R762" s="32"/>
      <c r="S762" s="32"/>
      <c r="T762" s="32"/>
      <c r="U762" s="2"/>
      <c r="V762" s="2"/>
      <c r="W762" s="2"/>
      <c r="X762" s="2"/>
      <c r="Y762" s="2"/>
      <c r="Z762" s="2"/>
    </row>
    <row r="763" spans="1:26" ht="13.8" x14ac:dyDescent="0.3">
      <c r="A763" s="2"/>
      <c r="B763" s="10"/>
      <c r="C763" s="10"/>
      <c r="D763" s="10"/>
      <c r="E763" s="10"/>
      <c r="F763" s="10"/>
      <c r="G763" s="32"/>
      <c r="H763" s="32"/>
      <c r="I763" s="32"/>
      <c r="J763" s="73"/>
      <c r="K763" s="32"/>
      <c r="L763" s="32"/>
      <c r="M763" s="32"/>
      <c r="N763" s="32"/>
      <c r="O763" s="2"/>
      <c r="P763" s="2"/>
      <c r="Q763" s="32"/>
      <c r="R763" s="32"/>
      <c r="S763" s="32"/>
      <c r="T763" s="32"/>
      <c r="U763" s="2"/>
      <c r="V763" s="2"/>
      <c r="W763" s="2"/>
      <c r="X763" s="2"/>
      <c r="Y763" s="2"/>
      <c r="Z763" s="2"/>
    </row>
    <row r="764" spans="1:26" ht="13.8" x14ac:dyDescent="0.3">
      <c r="A764" s="2"/>
      <c r="B764" s="10"/>
      <c r="C764" s="10"/>
      <c r="D764" s="10"/>
      <c r="E764" s="10"/>
      <c r="F764" s="10"/>
      <c r="G764" s="32"/>
      <c r="H764" s="32"/>
      <c r="I764" s="32"/>
      <c r="J764" s="73"/>
      <c r="K764" s="32"/>
      <c r="L764" s="32"/>
      <c r="M764" s="32"/>
      <c r="N764" s="32"/>
      <c r="O764" s="2"/>
      <c r="P764" s="2"/>
      <c r="Q764" s="32"/>
      <c r="R764" s="32"/>
      <c r="S764" s="32"/>
      <c r="T764" s="32"/>
      <c r="U764" s="2"/>
      <c r="V764" s="2"/>
      <c r="W764" s="2"/>
      <c r="X764" s="2"/>
      <c r="Y764" s="2"/>
      <c r="Z764" s="2"/>
    </row>
    <row r="765" spans="1:26" ht="13.8" x14ac:dyDescent="0.3">
      <c r="A765" s="2"/>
      <c r="B765" s="10"/>
      <c r="C765" s="10"/>
      <c r="D765" s="10"/>
      <c r="E765" s="10"/>
      <c r="F765" s="10"/>
      <c r="G765" s="32"/>
      <c r="H765" s="32"/>
      <c r="I765" s="32"/>
      <c r="J765" s="73"/>
      <c r="K765" s="32"/>
      <c r="L765" s="32"/>
      <c r="M765" s="32"/>
      <c r="N765" s="32"/>
      <c r="O765" s="2"/>
      <c r="P765" s="2"/>
      <c r="Q765" s="32"/>
      <c r="R765" s="32"/>
      <c r="S765" s="32"/>
      <c r="T765" s="32"/>
      <c r="U765" s="2"/>
      <c r="V765" s="2"/>
      <c r="W765" s="2"/>
      <c r="X765" s="2"/>
      <c r="Y765" s="2"/>
      <c r="Z765" s="2"/>
    </row>
    <row r="766" spans="1:26" ht="13.8" x14ac:dyDescent="0.3">
      <c r="A766" s="2"/>
      <c r="B766" s="10"/>
      <c r="C766" s="10"/>
      <c r="D766" s="10"/>
      <c r="E766" s="10"/>
      <c r="F766" s="10"/>
      <c r="G766" s="32"/>
      <c r="H766" s="32"/>
      <c r="I766" s="32"/>
      <c r="J766" s="73"/>
      <c r="K766" s="32"/>
      <c r="L766" s="32"/>
      <c r="M766" s="32"/>
      <c r="N766" s="32"/>
      <c r="O766" s="2"/>
      <c r="P766" s="2"/>
      <c r="Q766" s="32"/>
      <c r="R766" s="32"/>
      <c r="S766" s="32"/>
      <c r="T766" s="32"/>
      <c r="U766" s="2"/>
      <c r="V766" s="2"/>
      <c r="W766" s="2"/>
      <c r="X766" s="2"/>
      <c r="Y766" s="2"/>
      <c r="Z766" s="2"/>
    </row>
    <row r="767" spans="1:26" ht="13.8" x14ac:dyDescent="0.3">
      <c r="A767" s="2"/>
      <c r="B767" s="10"/>
      <c r="C767" s="10"/>
      <c r="D767" s="10"/>
      <c r="E767" s="10"/>
      <c r="F767" s="10"/>
      <c r="G767" s="32"/>
      <c r="H767" s="32"/>
      <c r="I767" s="32"/>
      <c r="J767" s="73"/>
      <c r="K767" s="32"/>
      <c r="L767" s="32"/>
      <c r="M767" s="32"/>
      <c r="N767" s="32"/>
      <c r="O767" s="2"/>
      <c r="P767" s="2"/>
      <c r="Q767" s="32"/>
      <c r="R767" s="32"/>
      <c r="S767" s="32"/>
      <c r="T767" s="32"/>
      <c r="U767" s="2"/>
      <c r="V767" s="2"/>
      <c r="W767" s="2"/>
      <c r="X767" s="2"/>
      <c r="Y767" s="2"/>
      <c r="Z767" s="2"/>
    </row>
    <row r="768" spans="1:26" ht="13.8" x14ac:dyDescent="0.3">
      <c r="A768" s="2"/>
      <c r="B768" s="10"/>
      <c r="C768" s="10"/>
      <c r="D768" s="10"/>
      <c r="E768" s="10"/>
      <c r="F768" s="10"/>
      <c r="G768" s="32"/>
      <c r="H768" s="32"/>
      <c r="I768" s="32"/>
      <c r="J768" s="73"/>
      <c r="K768" s="32"/>
      <c r="L768" s="32"/>
      <c r="M768" s="32"/>
      <c r="N768" s="32"/>
      <c r="O768" s="2"/>
      <c r="P768" s="2"/>
      <c r="Q768" s="32"/>
      <c r="R768" s="32"/>
      <c r="S768" s="32"/>
      <c r="T768" s="32"/>
      <c r="U768" s="2"/>
      <c r="V768" s="2"/>
      <c r="W768" s="2"/>
      <c r="X768" s="2"/>
      <c r="Y768" s="2"/>
      <c r="Z768" s="2"/>
    </row>
    <row r="769" spans="1:26" ht="13.8" x14ac:dyDescent="0.3">
      <c r="A769" s="2"/>
      <c r="B769" s="10"/>
      <c r="C769" s="10"/>
      <c r="D769" s="10"/>
      <c r="E769" s="10"/>
      <c r="F769" s="10"/>
      <c r="G769" s="32"/>
      <c r="H769" s="32"/>
      <c r="I769" s="32"/>
      <c r="J769" s="73"/>
      <c r="K769" s="32"/>
      <c r="L769" s="32"/>
      <c r="M769" s="32"/>
      <c r="N769" s="32"/>
      <c r="O769" s="2"/>
      <c r="P769" s="2"/>
      <c r="Q769" s="32"/>
      <c r="R769" s="32"/>
      <c r="S769" s="32"/>
      <c r="T769" s="32"/>
      <c r="U769" s="2"/>
      <c r="V769" s="2"/>
      <c r="W769" s="2"/>
      <c r="X769" s="2"/>
      <c r="Y769" s="2"/>
      <c r="Z769" s="2"/>
    </row>
    <row r="770" spans="1:26" ht="13.8" x14ac:dyDescent="0.3">
      <c r="A770" s="2"/>
      <c r="B770" s="10"/>
      <c r="C770" s="10"/>
      <c r="D770" s="10"/>
      <c r="E770" s="10"/>
      <c r="F770" s="10"/>
      <c r="G770" s="32"/>
      <c r="H770" s="32"/>
      <c r="I770" s="32"/>
      <c r="J770" s="73"/>
      <c r="K770" s="32"/>
      <c r="L770" s="32"/>
      <c r="M770" s="32"/>
      <c r="N770" s="32"/>
      <c r="O770" s="2"/>
      <c r="P770" s="2"/>
      <c r="Q770" s="32"/>
      <c r="R770" s="32"/>
      <c r="S770" s="32"/>
      <c r="T770" s="32"/>
      <c r="U770" s="2"/>
      <c r="V770" s="2"/>
      <c r="W770" s="2"/>
      <c r="X770" s="2"/>
      <c r="Y770" s="2"/>
      <c r="Z770" s="2"/>
    </row>
    <row r="771" spans="1:26" ht="13.8" x14ac:dyDescent="0.3">
      <c r="A771" s="2"/>
      <c r="B771" s="10"/>
      <c r="C771" s="10"/>
      <c r="D771" s="10"/>
      <c r="E771" s="10"/>
      <c r="F771" s="10"/>
      <c r="G771" s="32"/>
      <c r="H771" s="32"/>
      <c r="I771" s="32"/>
      <c r="J771" s="73"/>
      <c r="K771" s="32"/>
      <c r="L771" s="32"/>
      <c r="M771" s="32"/>
      <c r="N771" s="32"/>
      <c r="O771" s="2"/>
      <c r="P771" s="2"/>
      <c r="Q771" s="32"/>
      <c r="R771" s="32"/>
      <c r="S771" s="32"/>
      <c r="T771" s="32"/>
      <c r="U771" s="2"/>
      <c r="V771" s="2"/>
      <c r="W771" s="2"/>
      <c r="X771" s="2"/>
      <c r="Y771" s="2"/>
      <c r="Z771" s="2"/>
    </row>
    <row r="772" spans="1:26" ht="13.8" x14ac:dyDescent="0.3">
      <c r="A772" s="2"/>
      <c r="B772" s="10"/>
      <c r="C772" s="10"/>
      <c r="D772" s="10"/>
      <c r="E772" s="10"/>
      <c r="F772" s="10"/>
      <c r="G772" s="32"/>
      <c r="H772" s="32"/>
      <c r="I772" s="32"/>
      <c r="J772" s="73"/>
      <c r="K772" s="32"/>
      <c r="L772" s="32"/>
      <c r="M772" s="32"/>
      <c r="N772" s="32"/>
      <c r="O772" s="2"/>
      <c r="P772" s="2"/>
      <c r="Q772" s="32"/>
      <c r="R772" s="32"/>
      <c r="S772" s="32"/>
      <c r="T772" s="32"/>
      <c r="U772" s="2"/>
      <c r="V772" s="2"/>
      <c r="W772" s="2"/>
      <c r="X772" s="2"/>
      <c r="Y772" s="2"/>
      <c r="Z772" s="2"/>
    </row>
    <row r="773" spans="1:26" ht="13.8" x14ac:dyDescent="0.3">
      <c r="A773" s="2"/>
      <c r="B773" s="10"/>
      <c r="C773" s="10"/>
      <c r="D773" s="10"/>
      <c r="E773" s="10"/>
      <c r="F773" s="10"/>
      <c r="G773" s="32"/>
      <c r="H773" s="32"/>
      <c r="I773" s="32"/>
      <c r="J773" s="73"/>
      <c r="K773" s="32"/>
      <c r="L773" s="32"/>
      <c r="M773" s="32"/>
      <c r="N773" s="32"/>
      <c r="O773" s="2"/>
      <c r="P773" s="2"/>
      <c r="Q773" s="32"/>
      <c r="R773" s="32"/>
      <c r="S773" s="32"/>
      <c r="T773" s="32"/>
      <c r="U773" s="2"/>
      <c r="V773" s="2"/>
      <c r="W773" s="2"/>
      <c r="X773" s="2"/>
      <c r="Y773" s="2"/>
      <c r="Z773" s="2"/>
    </row>
    <row r="774" spans="1:26" ht="13.8" x14ac:dyDescent="0.3">
      <c r="A774" s="2"/>
      <c r="B774" s="10"/>
      <c r="C774" s="10"/>
      <c r="D774" s="10"/>
      <c r="E774" s="10"/>
      <c r="F774" s="10"/>
      <c r="G774" s="32"/>
      <c r="H774" s="32"/>
      <c r="I774" s="32"/>
      <c r="J774" s="73"/>
      <c r="K774" s="32"/>
      <c r="L774" s="32"/>
      <c r="M774" s="32"/>
      <c r="N774" s="32"/>
      <c r="O774" s="2"/>
      <c r="P774" s="2"/>
      <c r="Q774" s="32"/>
      <c r="R774" s="32"/>
      <c r="S774" s="32"/>
      <c r="T774" s="32"/>
      <c r="U774" s="2"/>
      <c r="V774" s="2"/>
      <c r="W774" s="2"/>
      <c r="X774" s="2"/>
      <c r="Y774" s="2"/>
      <c r="Z774" s="2"/>
    </row>
    <row r="775" spans="1:26" ht="13.8" x14ac:dyDescent="0.3">
      <c r="A775" s="2"/>
      <c r="B775" s="10"/>
      <c r="C775" s="10"/>
      <c r="D775" s="10"/>
      <c r="E775" s="10"/>
      <c r="F775" s="10"/>
      <c r="G775" s="32"/>
      <c r="H775" s="32"/>
      <c r="I775" s="32"/>
      <c r="J775" s="73"/>
      <c r="K775" s="32"/>
      <c r="L775" s="32"/>
      <c r="M775" s="32"/>
      <c r="N775" s="32"/>
      <c r="O775" s="2"/>
      <c r="P775" s="2"/>
      <c r="Q775" s="32"/>
      <c r="R775" s="32"/>
      <c r="S775" s="32"/>
      <c r="T775" s="32"/>
      <c r="U775" s="2"/>
      <c r="V775" s="2"/>
      <c r="W775" s="2"/>
      <c r="X775" s="2"/>
      <c r="Y775" s="2"/>
      <c r="Z775" s="2"/>
    </row>
    <row r="776" spans="1:26" ht="13.8" x14ac:dyDescent="0.3">
      <c r="A776" s="2"/>
      <c r="B776" s="10"/>
      <c r="C776" s="10"/>
      <c r="D776" s="10"/>
      <c r="E776" s="10"/>
      <c r="F776" s="10"/>
      <c r="G776" s="32"/>
      <c r="H776" s="32"/>
      <c r="I776" s="32"/>
      <c r="J776" s="73"/>
      <c r="K776" s="32"/>
      <c r="L776" s="32"/>
      <c r="M776" s="32"/>
      <c r="N776" s="32"/>
      <c r="O776" s="2"/>
      <c r="P776" s="2"/>
      <c r="Q776" s="32"/>
      <c r="R776" s="32"/>
      <c r="S776" s="32"/>
      <c r="T776" s="32"/>
      <c r="U776" s="2"/>
      <c r="V776" s="2"/>
      <c r="W776" s="2"/>
      <c r="X776" s="2"/>
      <c r="Y776" s="2"/>
      <c r="Z776" s="2"/>
    </row>
    <row r="777" spans="1:26" ht="13.8" x14ac:dyDescent="0.3">
      <c r="A777" s="2"/>
      <c r="B777" s="10"/>
      <c r="C777" s="10"/>
      <c r="D777" s="10"/>
      <c r="E777" s="10"/>
      <c r="F777" s="10"/>
      <c r="G777" s="32"/>
      <c r="H777" s="32"/>
      <c r="I777" s="32"/>
      <c r="J777" s="73"/>
      <c r="K777" s="32"/>
      <c r="L777" s="32"/>
      <c r="M777" s="32"/>
      <c r="N777" s="32"/>
      <c r="O777" s="2"/>
      <c r="P777" s="2"/>
      <c r="Q777" s="32"/>
      <c r="R777" s="32"/>
      <c r="S777" s="32"/>
      <c r="T777" s="32"/>
      <c r="U777" s="2"/>
      <c r="V777" s="2"/>
      <c r="W777" s="2"/>
      <c r="X777" s="2"/>
      <c r="Y777" s="2"/>
      <c r="Z777" s="2"/>
    </row>
    <row r="778" spans="1:26" ht="13.8" x14ac:dyDescent="0.3">
      <c r="A778" s="2"/>
      <c r="B778" s="10"/>
      <c r="C778" s="10"/>
      <c r="D778" s="10"/>
      <c r="E778" s="10"/>
      <c r="F778" s="10"/>
      <c r="G778" s="32"/>
      <c r="H778" s="32"/>
      <c r="I778" s="32"/>
      <c r="J778" s="73"/>
      <c r="K778" s="32"/>
      <c r="L778" s="32"/>
      <c r="M778" s="32"/>
      <c r="N778" s="32"/>
      <c r="O778" s="2"/>
      <c r="P778" s="2"/>
      <c r="Q778" s="32"/>
      <c r="R778" s="32"/>
      <c r="S778" s="32"/>
      <c r="T778" s="32"/>
      <c r="U778" s="2"/>
      <c r="V778" s="2"/>
      <c r="W778" s="2"/>
      <c r="X778" s="2"/>
      <c r="Y778" s="2"/>
      <c r="Z778" s="2"/>
    </row>
    <row r="779" spans="1:26" ht="13.8" x14ac:dyDescent="0.3">
      <c r="A779" s="2"/>
      <c r="B779" s="10"/>
      <c r="C779" s="10"/>
      <c r="D779" s="10"/>
      <c r="E779" s="10"/>
      <c r="F779" s="10"/>
      <c r="G779" s="32"/>
      <c r="H779" s="32"/>
      <c r="I779" s="32"/>
      <c r="J779" s="73"/>
      <c r="K779" s="32"/>
      <c r="L779" s="32"/>
      <c r="M779" s="32"/>
      <c r="N779" s="32"/>
      <c r="O779" s="2"/>
      <c r="P779" s="2"/>
      <c r="Q779" s="32"/>
      <c r="R779" s="32"/>
      <c r="S779" s="32"/>
      <c r="T779" s="32"/>
      <c r="U779" s="2"/>
      <c r="V779" s="2"/>
      <c r="W779" s="2"/>
      <c r="X779" s="2"/>
      <c r="Y779" s="2"/>
      <c r="Z779" s="2"/>
    </row>
    <row r="780" spans="1:26" ht="13.8" x14ac:dyDescent="0.3">
      <c r="A780" s="2"/>
      <c r="B780" s="10"/>
      <c r="C780" s="10"/>
      <c r="D780" s="10"/>
      <c r="E780" s="10"/>
      <c r="F780" s="10"/>
      <c r="G780" s="32"/>
      <c r="H780" s="32"/>
      <c r="I780" s="32"/>
      <c r="J780" s="73"/>
      <c r="K780" s="32"/>
      <c r="L780" s="32"/>
      <c r="M780" s="32"/>
      <c r="N780" s="32"/>
      <c r="O780" s="2"/>
      <c r="P780" s="2"/>
      <c r="Q780" s="32"/>
      <c r="R780" s="32"/>
      <c r="S780" s="32"/>
      <c r="T780" s="32"/>
      <c r="U780" s="2"/>
      <c r="V780" s="2"/>
      <c r="W780" s="2"/>
      <c r="X780" s="2"/>
      <c r="Y780" s="2"/>
      <c r="Z780" s="2"/>
    </row>
    <row r="781" spans="1:26" ht="13.8" x14ac:dyDescent="0.3">
      <c r="A781" s="2"/>
      <c r="B781" s="10"/>
      <c r="C781" s="10"/>
      <c r="D781" s="10"/>
      <c r="E781" s="10"/>
      <c r="F781" s="10"/>
      <c r="G781" s="32"/>
      <c r="H781" s="32"/>
      <c r="I781" s="32"/>
      <c r="J781" s="73"/>
      <c r="K781" s="32"/>
      <c r="L781" s="32"/>
      <c r="M781" s="32"/>
      <c r="N781" s="32"/>
      <c r="O781" s="2"/>
      <c r="P781" s="2"/>
      <c r="Q781" s="32"/>
      <c r="R781" s="32"/>
      <c r="S781" s="32"/>
      <c r="T781" s="32"/>
      <c r="U781" s="2"/>
      <c r="V781" s="2"/>
      <c r="W781" s="2"/>
      <c r="X781" s="2"/>
      <c r="Y781" s="2"/>
      <c r="Z781" s="2"/>
    </row>
    <row r="782" spans="1:26" ht="13.8" x14ac:dyDescent="0.3">
      <c r="A782" s="2"/>
      <c r="B782" s="10"/>
      <c r="C782" s="10"/>
      <c r="D782" s="10"/>
      <c r="E782" s="10"/>
      <c r="F782" s="10"/>
      <c r="G782" s="32"/>
      <c r="H782" s="32"/>
      <c r="I782" s="32"/>
      <c r="J782" s="73"/>
      <c r="K782" s="32"/>
      <c r="L782" s="32"/>
      <c r="M782" s="32"/>
      <c r="N782" s="32"/>
      <c r="O782" s="2"/>
      <c r="P782" s="2"/>
      <c r="Q782" s="32"/>
      <c r="R782" s="32"/>
      <c r="S782" s="32"/>
      <c r="T782" s="32"/>
      <c r="U782" s="2"/>
      <c r="V782" s="2"/>
      <c r="W782" s="2"/>
      <c r="X782" s="2"/>
      <c r="Y782" s="2"/>
      <c r="Z782" s="2"/>
    </row>
    <row r="783" spans="1:26" ht="13.8" x14ac:dyDescent="0.3">
      <c r="A783" s="2"/>
      <c r="B783" s="10"/>
      <c r="C783" s="10"/>
      <c r="D783" s="10"/>
      <c r="E783" s="10"/>
      <c r="F783" s="10"/>
      <c r="G783" s="32"/>
      <c r="H783" s="32"/>
      <c r="I783" s="32"/>
      <c r="J783" s="73"/>
      <c r="K783" s="32"/>
      <c r="L783" s="32"/>
      <c r="M783" s="32"/>
      <c r="N783" s="32"/>
      <c r="O783" s="2"/>
      <c r="P783" s="2"/>
      <c r="Q783" s="32"/>
      <c r="R783" s="32"/>
      <c r="S783" s="32"/>
      <c r="T783" s="32"/>
      <c r="U783" s="2"/>
      <c r="V783" s="2"/>
      <c r="W783" s="2"/>
      <c r="X783" s="2"/>
      <c r="Y783" s="2"/>
      <c r="Z783" s="2"/>
    </row>
    <row r="784" spans="1:26" ht="13.8" x14ac:dyDescent="0.3">
      <c r="A784" s="2"/>
      <c r="B784" s="10"/>
      <c r="C784" s="10"/>
      <c r="D784" s="10"/>
      <c r="E784" s="10"/>
      <c r="F784" s="10"/>
      <c r="G784" s="32"/>
      <c r="H784" s="32"/>
      <c r="I784" s="32"/>
      <c r="J784" s="73"/>
      <c r="K784" s="32"/>
      <c r="L784" s="32"/>
      <c r="M784" s="32"/>
      <c r="N784" s="32"/>
      <c r="O784" s="2"/>
      <c r="P784" s="2"/>
      <c r="Q784" s="32"/>
      <c r="R784" s="32"/>
      <c r="S784" s="32"/>
      <c r="T784" s="32"/>
      <c r="U784" s="2"/>
      <c r="V784" s="2"/>
      <c r="W784" s="2"/>
      <c r="X784" s="2"/>
      <c r="Y784" s="2"/>
      <c r="Z784" s="2"/>
    </row>
    <row r="785" spans="1:26" ht="13.8" x14ac:dyDescent="0.3">
      <c r="A785" s="2"/>
      <c r="B785" s="10"/>
      <c r="C785" s="10"/>
      <c r="D785" s="10"/>
      <c r="E785" s="10"/>
      <c r="F785" s="10"/>
      <c r="G785" s="32"/>
      <c r="H785" s="32"/>
      <c r="I785" s="32"/>
      <c r="J785" s="73"/>
      <c r="K785" s="32"/>
      <c r="L785" s="32"/>
      <c r="M785" s="32"/>
      <c r="N785" s="32"/>
      <c r="O785" s="2"/>
      <c r="P785" s="2"/>
      <c r="Q785" s="32"/>
      <c r="R785" s="32"/>
      <c r="S785" s="32"/>
      <c r="T785" s="32"/>
      <c r="U785" s="2"/>
      <c r="V785" s="2"/>
      <c r="W785" s="2"/>
      <c r="X785" s="2"/>
      <c r="Y785" s="2"/>
      <c r="Z785" s="2"/>
    </row>
    <row r="786" spans="1:26" ht="13.8" x14ac:dyDescent="0.3">
      <c r="A786" s="2"/>
      <c r="B786" s="10"/>
      <c r="C786" s="10"/>
      <c r="D786" s="10"/>
      <c r="E786" s="10"/>
      <c r="F786" s="10"/>
      <c r="G786" s="32"/>
      <c r="H786" s="32"/>
      <c r="I786" s="32"/>
      <c r="J786" s="73"/>
      <c r="K786" s="32"/>
      <c r="L786" s="32"/>
      <c r="M786" s="32"/>
      <c r="N786" s="32"/>
      <c r="O786" s="2"/>
      <c r="P786" s="2"/>
      <c r="Q786" s="32"/>
      <c r="R786" s="32"/>
      <c r="S786" s="32"/>
      <c r="T786" s="32"/>
      <c r="U786" s="2"/>
      <c r="V786" s="2"/>
      <c r="W786" s="2"/>
      <c r="X786" s="2"/>
      <c r="Y786" s="2"/>
      <c r="Z786" s="2"/>
    </row>
    <row r="787" spans="1:26" ht="13.8" x14ac:dyDescent="0.3">
      <c r="A787" s="2"/>
      <c r="B787" s="10"/>
      <c r="C787" s="10"/>
      <c r="D787" s="10"/>
      <c r="E787" s="10"/>
      <c r="F787" s="10"/>
      <c r="G787" s="32"/>
      <c r="H787" s="32"/>
      <c r="I787" s="32"/>
      <c r="J787" s="73"/>
      <c r="K787" s="32"/>
      <c r="L787" s="32"/>
      <c r="M787" s="32"/>
      <c r="N787" s="32"/>
      <c r="O787" s="2"/>
      <c r="P787" s="2"/>
      <c r="Q787" s="32"/>
      <c r="R787" s="32"/>
      <c r="S787" s="32"/>
      <c r="T787" s="32"/>
      <c r="U787" s="2"/>
      <c r="V787" s="2"/>
      <c r="W787" s="2"/>
      <c r="X787" s="2"/>
      <c r="Y787" s="2"/>
      <c r="Z787" s="2"/>
    </row>
    <row r="788" spans="1:26" ht="13.8" x14ac:dyDescent="0.3">
      <c r="A788" s="2"/>
      <c r="B788" s="10"/>
      <c r="C788" s="10"/>
      <c r="D788" s="10"/>
      <c r="E788" s="10"/>
      <c r="F788" s="10"/>
      <c r="G788" s="32"/>
      <c r="H788" s="32"/>
      <c r="I788" s="32"/>
      <c r="J788" s="73"/>
      <c r="K788" s="32"/>
      <c r="L788" s="32"/>
      <c r="M788" s="32"/>
      <c r="N788" s="32"/>
      <c r="O788" s="2"/>
      <c r="P788" s="2"/>
      <c r="Q788" s="32"/>
      <c r="R788" s="32"/>
      <c r="S788" s="32"/>
      <c r="T788" s="32"/>
      <c r="U788" s="2"/>
      <c r="V788" s="2"/>
      <c r="W788" s="2"/>
      <c r="X788" s="2"/>
      <c r="Y788" s="2"/>
      <c r="Z788" s="2"/>
    </row>
    <row r="789" spans="1:26" ht="13.8" x14ac:dyDescent="0.3">
      <c r="A789" s="2"/>
      <c r="B789" s="10"/>
      <c r="C789" s="10"/>
      <c r="D789" s="10"/>
      <c r="E789" s="10"/>
      <c r="F789" s="10"/>
      <c r="G789" s="32"/>
      <c r="H789" s="32"/>
      <c r="I789" s="32"/>
      <c r="J789" s="73"/>
      <c r="K789" s="32"/>
      <c r="L789" s="32"/>
      <c r="M789" s="32"/>
      <c r="N789" s="32"/>
      <c r="O789" s="2"/>
      <c r="P789" s="2"/>
      <c r="Q789" s="32"/>
      <c r="R789" s="32"/>
      <c r="S789" s="32"/>
      <c r="T789" s="32"/>
      <c r="U789" s="2"/>
      <c r="V789" s="2"/>
      <c r="W789" s="2"/>
      <c r="X789" s="2"/>
      <c r="Y789" s="2"/>
      <c r="Z789" s="2"/>
    </row>
    <row r="790" spans="1:26" ht="13.8" x14ac:dyDescent="0.3">
      <c r="A790" s="2"/>
      <c r="B790" s="10"/>
      <c r="C790" s="10"/>
      <c r="D790" s="10"/>
      <c r="E790" s="10"/>
      <c r="F790" s="10"/>
      <c r="G790" s="32"/>
      <c r="H790" s="32"/>
      <c r="I790" s="32"/>
      <c r="J790" s="73"/>
      <c r="K790" s="32"/>
      <c r="L790" s="32"/>
      <c r="M790" s="32"/>
      <c r="N790" s="32"/>
      <c r="O790" s="2"/>
      <c r="P790" s="2"/>
      <c r="Q790" s="32"/>
      <c r="R790" s="32"/>
      <c r="S790" s="32"/>
      <c r="T790" s="32"/>
      <c r="U790" s="2"/>
      <c r="V790" s="2"/>
      <c r="W790" s="2"/>
      <c r="X790" s="2"/>
      <c r="Y790" s="2"/>
      <c r="Z790" s="2"/>
    </row>
    <row r="791" spans="1:26" ht="13.8" x14ac:dyDescent="0.3">
      <c r="A791" s="2"/>
      <c r="B791" s="10"/>
      <c r="C791" s="10"/>
      <c r="D791" s="10"/>
      <c r="E791" s="10"/>
      <c r="F791" s="10"/>
      <c r="G791" s="32"/>
      <c r="H791" s="32"/>
      <c r="I791" s="32"/>
      <c r="J791" s="73"/>
      <c r="K791" s="32"/>
      <c r="L791" s="32"/>
      <c r="M791" s="32"/>
      <c r="N791" s="32"/>
      <c r="O791" s="2"/>
      <c r="P791" s="2"/>
      <c r="Q791" s="32"/>
      <c r="R791" s="32"/>
      <c r="S791" s="32"/>
      <c r="T791" s="32"/>
      <c r="U791" s="2"/>
      <c r="V791" s="2"/>
      <c r="W791" s="2"/>
      <c r="X791" s="2"/>
      <c r="Y791" s="2"/>
      <c r="Z791" s="2"/>
    </row>
    <row r="792" spans="1:26" ht="13.8" x14ac:dyDescent="0.3">
      <c r="A792" s="2"/>
      <c r="B792" s="10"/>
      <c r="C792" s="10"/>
      <c r="D792" s="10"/>
      <c r="E792" s="10"/>
      <c r="F792" s="10"/>
      <c r="G792" s="32"/>
      <c r="H792" s="32"/>
      <c r="I792" s="32"/>
      <c r="J792" s="73"/>
      <c r="K792" s="32"/>
      <c r="L792" s="32"/>
      <c r="M792" s="32"/>
      <c r="N792" s="32"/>
      <c r="O792" s="2"/>
      <c r="P792" s="2"/>
      <c r="Q792" s="32"/>
      <c r="R792" s="32"/>
      <c r="S792" s="32"/>
      <c r="T792" s="32"/>
      <c r="U792" s="2"/>
      <c r="V792" s="2"/>
      <c r="W792" s="2"/>
      <c r="X792" s="2"/>
      <c r="Y792" s="2"/>
      <c r="Z792" s="2"/>
    </row>
    <row r="793" spans="1:26" ht="13.8" x14ac:dyDescent="0.3">
      <c r="A793" s="2"/>
      <c r="B793" s="10"/>
      <c r="C793" s="10"/>
      <c r="D793" s="10"/>
      <c r="E793" s="10"/>
      <c r="F793" s="10"/>
      <c r="G793" s="32"/>
      <c r="H793" s="32"/>
      <c r="I793" s="32"/>
      <c r="J793" s="73"/>
      <c r="K793" s="32"/>
      <c r="L793" s="32"/>
      <c r="M793" s="32"/>
      <c r="N793" s="32"/>
      <c r="O793" s="2"/>
      <c r="P793" s="2"/>
      <c r="Q793" s="32"/>
      <c r="R793" s="32"/>
      <c r="S793" s="32"/>
      <c r="T793" s="32"/>
      <c r="U793" s="2"/>
      <c r="V793" s="2"/>
      <c r="W793" s="2"/>
      <c r="X793" s="2"/>
      <c r="Y793" s="2"/>
      <c r="Z793" s="2"/>
    </row>
    <row r="794" spans="1:26" ht="13.8" x14ac:dyDescent="0.3">
      <c r="A794" s="2"/>
      <c r="B794" s="10"/>
      <c r="C794" s="10"/>
      <c r="D794" s="10"/>
      <c r="E794" s="10"/>
      <c r="F794" s="10"/>
      <c r="G794" s="32"/>
      <c r="H794" s="32"/>
      <c r="I794" s="32"/>
      <c r="J794" s="73"/>
      <c r="K794" s="32"/>
      <c r="L794" s="32"/>
      <c r="M794" s="32"/>
      <c r="N794" s="32"/>
      <c r="O794" s="2"/>
      <c r="P794" s="2"/>
      <c r="Q794" s="32"/>
      <c r="R794" s="32"/>
      <c r="S794" s="32"/>
      <c r="T794" s="32"/>
      <c r="U794" s="2"/>
      <c r="V794" s="2"/>
      <c r="W794" s="2"/>
      <c r="X794" s="2"/>
      <c r="Y794" s="2"/>
      <c r="Z794" s="2"/>
    </row>
    <row r="795" spans="1:26" ht="13.8" x14ac:dyDescent="0.3">
      <c r="A795" s="2"/>
      <c r="B795" s="10"/>
      <c r="C795" s="10"/>
      <c r="D795" s="10"/>
      <c r="E795" s="10"/>
      <c r="F795" s="10"/>
      <c r="G795" s="32"/>
      <c r="H795" s="32"/>
      <c r="I795" s="32"/>
      <c r="J795" s="73"/>
      <c r="K795" s="32"/>
      <c r="L795" s="32"/>
      <c r="M795" s="32"/>
      <c r="N795" s="32"/>
      <c r="O795" s="2"/>
      <c r="P795" s="2"/>
      <c r="Q795" s="32"/>
      <c r="R795" s="32"/>
      <c r="S795" s="32"/>
      <c r="T795" s="32"/>
      <c r="U795" s="2"/>
      <c r="V795" s="2"/>
      <c r="W795" s="2"/>
      <c r="X795" s="2"/>
      <c r="Y795" s="2"/>
      <c r="Z795" s="2"/>
    </row>
    <row r="796" spans="1:26" ht="13.8" x14ac:dyDescent="0.3">
      <c r="A796" s="2"/>
      <c r="B796" s="10"/>
      <c r="C796" s="10"/>
      <c r="D796" s="10"/>
      <c r="E796" s="10"/>
      <c r="F796" s="10"/>
      <c r="G796" s="32"/>
      <c r="H796" s="32"/>
      <c r="I796" s="32"/>
      <c r="J796" s="73"/>
      <c r="K796" s="32"/>
      <c r="L796" s="32"/>
      <c r="M796" s="32"/>
      <c r="N796" s="32"/>
      <c r="O796" s="2"/>
      <c r="P796" s="2"/>
      <c r="Q796" s="32"/>
      <c r="R796" s="32"/>
      <c r="S796" s="32"/>
      <c r="T796" s="32"/>
      <c r="U796" s="2"/>
      <c r="V796" s="2"/>
      <c r="W796" s="2"/>
      <c r="X796" s="2"/>
      <c r="Y796" s="2"/>
      <c r="Z796" s="2"/>
    </row>
    <row r="797" spans="1:26" ht="13.8" x14ac:dyDescent="0.3">
      <c r="A797" s="2"/>
      <c r="B797" s="10"/>
      <c r="C797" s="10"/>
      <c r="D797" s="10"/>
      <c r="E797" s="10"/>
      <c r="F797" s="10"/>
      <c r="G797" s="32"/>
      <c r="H797" s="32"/>
      <c r="I797" s="32"/>
      <c r="J797" s="73"/>
      <c r="K797" s="32"/>
      <c r="L797" s="32"/>
      <c r="M797" s="32"/>
      <c r="N797" s="32"/>
      <c r="O797" s="2"/>
      <c r="P797" s="2"/>
      <c r="Q797" s="32"/>
      <c r="R797" s="32"/>
      <c r="S797" s="32"/>
      <c r="T797" s="32"/>
      <c r="U797" s="2"/>
      <c r="V797" s="2"/>
      <c r="W797" s="2"/>
      <c r="X797" s="2"/>
      <c r="Y797" s="2"/>
      <c r="Z797" s="2"/>
    </row>
    <row r="798" spans="1:26" ht="13.8" x14ac:dyDescent="0.3">
      <c r="A798" s="2"/>
      <c r="B798" s="10"/>
      <c r="C798" s="10"/>
      <c r="D798" s="10"/>
      <c r="E798" s="10"/>
      <c r="F798" s="10"/>
      <c r="G798" s="32"/>
      <c r="H798" s="32"/>
      <c r="I798" s="32"/>
      <c r="J798" s="73"/>
      <c r="K798" s="32"/>
      <c r="L798" s="32"/>
      <c r="M798" s="32"/>
      <c r="N798" s="32"/>
      <c r="O798" s="2"/>
      <c r="P798" s="2"/>
      <c r="Q798" s="32"/>
      <c r="R798" s="32"/>
      <c r="S798" s="32"/>
      <c r="T798" s="32"/>
      <c r="U798" s="2"/>
      <c r="V798" s="2"/>
      <c r="W798" s="2"/>
      <c r="X798" s="2"/>
      <c r="Y798" s="2"/>
      <c r="Z798" s="2"/>
    </row>
    <row r="799" spans="1:26" ht="13.8" x14ac:dyDescent="0.3">
      <c r="A799" s="2"/>
      <c r="B799" s="10"/>
      <c r="C799" s="10"/>
      <c r="D799" s="10"/>
      <c r="E799" s="10"/>
      <c r="F799" s="10"/>
      <c r="G799" s="32"/>
      <c r="H799" s="32"/>
      <c r="I799" s="32"/>
      <c r="J799" s="73"/>
      <c r="K799" s="32"/>
      <c r="L799" s="32"/>
      <c r="M799" s="32"/>
      <c r="N799" s="32"/>
      <c r="O799" s="2"/>
      <c r="P799" s="2"/>
      <c r="Q799" s="32"/>
      <c r="R799" s="32"/>
      <c r="S799" s="32"/>
      <c r="T799" s="32"/>
      <c r="U799" s="2"/>
      <c r="V799" s="2"/>
      <c r="W799" s="2"/>
      <c r="X799" s="2"/>
      <c r="Y799" s="2"/>
      <c r="Z799" s="2"/>
    </row>
    <row r="800" spans="1:26" ht="13.8" x14ac:dyDescent="0.3">
      <c r="A800" s="2"/>
      <c r="B800" s="10"/>
      <c r="C800" s="10"/>
      <c r="D800" s="10"/>
      <c r="E800" s="10"/>
      <c r="F800" s="10"/>
      <c r="G800" s="32"/>
      <c r="H800" s="32"/>
      <c r="I800" s="32"/>
      <c r="J800" s="73"/>
      <c r="K800" s="32"/>
      <c r="L800" s="32"/>
      <c r="M800" s="32"/>
      <c r="N800" s="32"/>
      <c r="O800" s="2"/>
      <c r="P800" s="2"/>
      <c r="Q800" s="32"/>
      <c r="R800" s="32"/>
      <c r="S800" s="32"/>
      <c r="T800" s="32"/>
      <c r="U800" s="2"/>
      <c r="V800" s="2"/>
      <c r="W800" s="2"/>
      <c r="X800" s="2"/>
      <c r="Y800" s="2"/>
      <c r="Z800" s="2"/>
    </row>
    <row r="801" spans="1:26" ht="13.8" x14ac:dyDescent="0.3">
      <c r="A801" s="2"/>
      <c r="B801" s="10"/>
      <c r="C801" s="10"/>
      <c r="D801" s="10"/>
      <c r="E801" s="10"/>
      <c r="F801" s="10"/>
      <c r="G801" s="32"/>
      <c r="H801" s="32"/>
      <c r="I801" s="32"/>
      <c r="J801" s="73"/>
      <c r="K801" s="32"/>
      <c r="L801" s="32"/>
      <c r="M801" s="32"/>
      <c r="N801" s="32"/>
      <c r="O801" s="2"/>
      <c r="P801" s="2"/>
      <c r="Q801" s="32"/>
      <c r="R801" s="32"/>
      <c r="S801" s="32"/>
      <c r="T801" s="32"/>
      <c r="U801" s="2"/>
      <c r="V801" s="2"/>
      <c r="W801" s="2"/>
      <c r="X801" s="2"/>
      <c r="Y801" s="2"/>
      <c r="Z801" s="2"/>
    </row>
    <row r="802" spans="1:26" ht="13.8" x14ac:dyDescent="0.3">
      <c r="A802" s="2"/>
      <c r="B802" s="10"/>
      <c r="C802" s="10"/>
      <c r="D802" s="10"/>
      <c r="E802" s="10"/>
      <c r="F802" s="10"/>
      <c r="G802" s="32"/>
      <c r="H802" s="32"/>
      <c r="I802" s="32"/>
      <c r="J802" s="73"/>
      <c r="K802" s="32"/>
      <c r="L802" s="32"/>
      <c r="M802" s="32"/>
      <c r="N802" s="32"/>
      <c r="O802" s="2"/>
      <c r="P802" s="2"/>
      <c r="Q802" s="32"/>
      <c r="R802" s="32"/>
      <c r="S802" s="32"/>
      <c r="T802" s="32"/>
      <c r="U802" s="2"/>
      <c r="V802" s="2"/>
      <c r="W802" s="2"/>
      <c r="X802" s="2"/>
      <c r="Y802" s="2"/>
      <c r="Z802" s="2"/>
    </row>
    <row r="803" spans="1:26" ht="13.8" x14ac:dyDescent="0.3">
      <c r="A803" s="2"/>
      <c r="B803" s="10"/>
      <c r="C803" s="10"/>
      <c r="D803" s="10"/>
      <c r="E803" s="10"/>
      <c r="F803" s="10"/>
      <c r="G803" s="32"/>
      <c r="H803" s="32"/>
      <c r="I803" s="32"/>
      <c r="J803" s="73"/>
      <c r="K803" s="32"/>
      <c r="L803" s="32"/>
      <c r="M803" s="32"/>
      <c r="N803" s="32"/>
      <c r="O803" s="2"/>
      <c r="P803" s="2"/>
      <c r="Q803" s="32"/>
      <c r="R803" s="32"/>
      <c r="S803" s="32"/>
      <c r="T803" s="32"/>
      <c r="U803" s="2"/>
      <c r="V803" s="2"/>
      <c r="W803" s="2"/>
      <c r="X803" s="2"/>
      <c r="Y803" s="2"/>
      <c r="Z803" s="2"/>
    </row>
    <row r="804" spans="1:26" ht="13.8" x14ac:dyDescent="0.3">
      <c r="A804" s="2"/>
      <c r="B804" s="10"/>
      <c r="C804" s="10"/>
      <c r="D804" s="10"/>
      <c r="E804" s="10"/>
      <c r="F804" s="10"/>
      <c r="G804" s="32"/>
      <c r="H804" s="32"/>
      <c r="I804" s="32"/>
      <c r="J804" s="73"/>
      <c r="K804" s="32"/>
      <c r="L804" s="32"/>
      <c r="M804" s="32"/>
      <c r="N804" s="32"/>
      <c r="O804" s="2"/>
      <c r="P804" s="2"/>
      <c r="Q804" s="32"/>
      <c r="R804" s="32"/>
      <c r="S804" s="32"/>
      <c r="T804" s="32"/>
      <c r="U804" s="2"/>
      <c r="V804" s="2"/>
      <c r="W804" s="2"/>
      <c r="X804" s="2"/>
      <c r="Y804" s="2"/>
      <c r="Z804" s="2"/>
    </row>
    <row r="805" spans="1:26" ht="13.8" x14ac:dyDescent="0.3">
      <c r="A805" s="2"/>
      <c r="B805" s="10"/>
      <c r="C805" s="10"/>
      <c r="D805" s="10"/>
      <c r="E805" s="10"/>
      <c r="F805" s="10"/>
      <c r="G805" s="32"/>
      <c r="H805" s="32"/>
      <c r="I805" s="32"/>
      <c r="J805" s="73"/>
      <c r="K805" s="32"/>
      <c r="L805" s="32"/>
      <c r="M805" s="32"/>
      <c r="N805" s="32"/>
      <c r="O805" s="2"/>
      <c r="P805" s="2"/>
      <c r="Q805" s="32"/>
      <c r="R805" s="32"/>
      <c r="S805" s="32"/>
      <c r="T805" s="32"/>
      <c r="U805" s="2"/>
      <c r="V805" s="2"/>
      <c r="W805" s="2"/>
      <c r="X805" s="2"/>
      <c r="Y805" s="2"/>
      <c r="Z805" s="2"/>
    </row>
    <row r="806" spans="1:26" ht="13.8" x14ac:dyDescent="0.3">
      <c r="A806" s="2"/>
      <c r="B806" s="10"/>
      <c r="C806" s="10"/>
      <c r="D806" s="10"/>
      <c r="E806" s="10"/>
      <c r="F806" s="10"/>
      <c r="G806" s="32"/>
      <c r="H806" s="32"/>
      <c r="I806" s="32"/>
      <c r="J806" s="73"/>
      <c r="K806" s="32"/>
      <c r="L806" s="32"/>
      <c r="M806" s="32"/>
      <c r="N806" s="32"/>
      <c r="O806" s="2"/>
      <c r="P806" s="2"/>
      <c r="Q806" s="32"/>
      <c r="R806" s="32"/>
      <c r="S806" s="32"/>
      <c r="T806" s="32"/>
      <c r="U806" s="2"/>
      <c r="V806" s="2"/>
      <c r="W806" s="2"/>
      <c r="X806" s="2"/>
      <c r="Y806" s="2"/>
      <c r="Z806" s="2"/>
    </row>
    <row r="807" spans="1:26" ht="13.8" x14ac:dyDescent="0.3">
      <c r="A807" s="2"/>
      <c r="B807" s="10"/>
      <c r="C807" s="10"/>
      <c r="D807" s="10"/>
      <c r="E807" s="10"/>
      <c r="F807" s="10"/>
      <c r="G807" s="32"/>
      <c r="H807" s="32"/>
      <c r="I807" s="32"/>
      <c r="J807" s="73"/>
      <c r="K807" s="32"/>
      <c r="L807" s="32"/>
      <c r="M807" s="32"/>
      <c r="N807" s="32"/>
      <c r="O807" s="2"/>
      <c r="P807" s="2"/>
      <c r="Q807" s="32"/>
      <c r="R807" s="32"/>
      <c r="S807" s="32"/>
      <c r="T807" s="32"/>
      <c r="U807" s="2"/>
      <c r="V807" s="2"/>
      <c r="W807" s="2"/>
      <c r="X807" s="2"/>
      <c r="Y807" s="2"/>
      <c r="Z807" s="2"/>
    </row>
    <row r="808" spans="1:26" ht="13.8" x14ac:dyDescent="0.3">
      <c r="A808" s="2"/>
      <c r="B808" s="10"/>
      <c r="C808" s="10"/>
      <c r="D808" s="10"/>
      <c r="E808" s="10"/>
      <c r="F808" s="10"/>
      <c r="G808" s="32"/>
      <c r="H808" s="32"/>
      <c r="I808" s="32"/>
      <c r="J808" s="73"/>
      <c r="K808" s="32"/>
      <c r="L808" s="32"/>
      <c r="M808" s="32"/>
      <c r="N808" s="32"/>
      <c r="O808" s="2"/>
      <c r="P808" s="2"/>
      <c r="Q808" s="32"/>
      <c r="R808" s="32"/>
      <c r="S808" s="32"/>
      <c r="T808" s="32"/>
      <c r="U808" s="2"/>
      <c r="V808" s="2"/>
      <c r="W808" s="2"/>
      <c r="X808" s="2"/>
      <c r="Y808" s="2"/>
      <c r="Z808" s="2"/>
    </row>
    <row r="809" spans="1:26" ht="13.8" x14ac:dyDescent="0.3">
      <c r="A809" s="2"/>
      <c r="B809" s="10"/>
      <c r="C809" s="10"/>
      <c r="D809" s="10"/>
      <c r="E809" s="10"/>
      <c r="F809" s="10"/>
      <c r="G809" s="32"/>
      <c r="H809" s="32"/>
      <c r="I809" s="32"/>
      <c r="J809" s="73"/>
      <c r="K809" s="32"/>
      <c r="L809" s="32"/>
      <c r="M809" s="32"/>
      <c r="N809" s="32"/>
      <c r="O809" s="2"/>
      <c r="P809" s="2"/>
      <c r="Q809" s="32"/>
      <c r="R809" s="32"/>
      <c r="S809" s="32"/>
      <c r="T809" s="32"/>
      <c r="U809" s="2"/>
      <c r="V809" s="2"/>
      <c r="W809" s="2"/>
      <c r="X809" s="2"/>
      <c r="Y809" s="2"/>
      <c r="Z809" s="2"/>
    </row>
    <row r="810" spans="1:26" ht="13.8" x14ac:dyDescent="0.3">
      <c r="A810" s="2"/>
      <c r="B810" s="10"/>
      <c r="C810" s="10"/>
      <c r="D810" s="10"/>
      <c r="E810" s="10"/>
      <c r="F810" s="10"/>
      <c r="G810" s="32"/>
      <c r="H810" s="32"/>
      <c r="I810" s="32"/>
      <c r="J810" s="73"/>
      <c r="K810" s="32"/>
      <c r="L810" s="32"/>
      <c r="M810" s="32"/>
      <c r="N810" s="32"/>
      <c r="O810" s="2"/>
      <c r="P810" s="2"/>
      <c r="Q810" s="32"/>
      <c r="R810" s="32"/>
      <c r="S810" s="32"/>
      <c r="T810" s="32"/>
      <c r="U810" s="2"/>
      <c r="V810" s="2"/>
      <c r="W810" s="2"/>
      <c r="X810" s="2"/>
      <c r="Y810" s="2"/>
      <c r="Z810" s="2"/>
    </row>
    <row r="811" spans="1:26" ht="13.8" x14ac:dyDescent="0.3">
      <c r="A811" s="2"/>
      <c r="B811" s="10"/>
      <c r="C811" s="10"/>
      <c r="D811" s="10"/>
      <c r="E811" s="10"/>
      <c r="F811" s="10"/>
      <c r="G811" s="32"/>
      <c r="H811" s="32"/>
      <c r="I811" s="32"/>
      <c r="J811" s="73"/>
      <c r="K811" s="32"/>
      <c r="L811" s="32"/>
      <c r="M811" s="32"/>
      <c r="N811" s="32"/>
      <c r="O811" s="2"/>
      <c r="P811" s="2"/>
      <c r="Q811" s="32"/>
      <c r="R811" s="32"/>
      <c r="S811" s="32"/>
      <c r="T811" s="32"/>
      <c r="U811" s="2"/>
      <c r="V811" s="2"/>
      <c r="W811" s="2"/>
      <c r="X811" s="2"/>
      <c r="Y811" s="2"/>
      <c r="Z811" s="2"/>
    </row>
    <row r="812" spans="1:26" ht="13.8" x14ac:dyDescent="0.3">
      <c r="A812" s="2"/>
      <c r="B812" s="10"/>
      <c r="C812" s="10"/>
      <c r="D812" s="10"/>
      <c r="E812" s="10"/>
      <c r="F812" s="10"/>
      <c r="G812" s="32"/>
      <c r="H812" s="32"/>
      <c r="I812" s="32"/>
      <c r="J812" s="73"/>
      <c r="K812" s="32"/>
      <c r="L812" s="32"/>
      <c r="M812" s="32"/>
      <c r="N812" s="32"/>
      <c r="O812" s="2"/>
      <c r="P812" s="2"/>
      <c r="Q812" s="32"/>
      <c r="R812" s="32"/>
      <c r="S812" s="32"/>
      <c r="T812" s="32"/>
      <c r="U812" s="2"/>
      <c r="V812" s="2"/>
      <c r="W812" s="2"/>
      <c r="X812" s="2"/>
      <c r="Y812" s="2"/>
      <c r="Z812" s="2"/>
    </row>
    <row r="813" spans="1:26" ht="13.8" x14ac:dyDescent="0.3">
      <c r="A813" s="2"/>
      <c r="B813" s="10"/>
      <c r="C813" s="10"/>
      <c r="D813" s="10"/>
      <c r="E813" s="10"/>
      <c r="F813" s="10"/>
      <c r="G813" s="32"/>
      <c r="H813" s="32"/>
      <c r="I813" s="32"/>
      <c r="J813" s="73"/>
      <c r="K813" s="32"/>
      <c r="L813" s="32"/>
      <c r="M813" s="32"/>
      <c r="N813" s="32"/>
      <c r="O813" s="2"/>
      <c r="P813" s="2"/>
      <c r="Q813" s="32"/>
      <c r="R813" s="32"/>
      <c r="S813" s="32"/>
      <c r="T813" s="32"/>
      <c r="U813" s="2"/>
      <c r="V813" s="2"/>
      <c r="W813" s="2"/>
      <c r="X813" s="2"/>
      <c r="Y813" s="2"/>
      <c r="Z813" s="2"/>
    </row>
    <row r="814" spans="1:26" ht="13.8" x14ac:dyDescent="0.3">
      <c r="A814" s="2"/>
      <c r="B814" s="10"/>
      <c r="C814" s="10"/>
      <c r="D814" s="10"/>
      <c r="E814" s="10"/>
      <c r="F814" s="10"/>
      <c r="G814" s="32"/>
      <c r="H814" s="32"/>
      <c r="I814" s="32"/>
      <c r="J814" s="73"/>
      <c r="K814" s="32"/>
      <c r="L814" s="32"/>
      <c r="M814" s="32"/>
      <c r="N814" s="32"/>
      <c r="O814" s="2"/>
      <c r="P814" s="2"/>
      <c r="Q814" s="32"/>
      <c r="R814" s="32"/>
      <c r="S814" s="32"/>
      <c r="T814" s="32"/>
      <c r="U814" s="2"/>
      <c r="V814" s="2"/>
      <c r="W814" s="2"/>
      <c r="X814" s="2"/>
      <c r="Y814" s="2"/>
      <c r="Z814" s="2"/>
    </row>
    <row r="815" spans="1:26" ht="13.8" x14ac:dyDescent="0.3">
      <c r="A815" s="2"/>
      <c r="B815" s="10"/>
      <c r="C815" s="10"/>
      <c r="D815" s="10"/>
      <c r="E815" s="10"/>
      <c r="F815" s="10"/>
      <c r="G815" s="32"/>
      <c r="H815" s="32"/>
      <c r="I815" s="32"/>
      <c r="J815" s="73"/>
      <c r="K815" s="32"/>
      <c r="L815" s="32"/>
      <c r="M815" s="32"/>
      <c r="N815" s="32"/>
      <c r="O815" s="2"/>
      <c r="P815" s="2"/>
      <c r="Q815" s="32"/>
      <c r="R815" s="32"/>
      <c r="S815" s="32"/>
      <c r="T815" s="32"/>
      <c r="U815" s="2"/>
      <c r="V815" s="2"/>
      <c r="W815" s="2"/>
      <c r="X815" s="2"/>
      <c r="Y815" s="2"/>
      <c r="Z815" s="2"/>
    </row>
    <row r="816" spans="1:26" ht="13.8" x14ac:dyDescent="0.3">
      <c r="A816" s="2"/>
      <c r="B816" s="10"/>
      <c r="C816" s="10"/>
      <c r="D816" s="10"/>
      <c r="E816" s="10"/>
      <c r="F816" s="10"/>
      <c r="G816" s="32"/>
      <c r="H816" s="32"/>
      <c r="I816" s="32"/>
      <c r="J816" s="73"/>
      <c r="K816" s="32"/>
      <c r="L816" s="32"/>
      <c r="M816" s="32"/>
      <c r="N816" s="32"/>
      <c r="O816" s="2"/>
      <c r="P816" s="2"/>
      <c r="Q816" s="32"/>
      <c r="R816" s="32"/>
      <c r="S816" s="32"/>
      <c r="T816" s="32"/>
      <c r="U816" s="2"/>
      <c r="V816" s="2"/>
      <c r="W816" s="2"/>
      <c r="X816" s="2"/>
      <c r="Y816" s="2"/>
      <c r="Z816" s="2"/>
    </row>
    <row r="817" spans="1:26" ht="13.8" x14ac:dyDescent="0.3">
      <c r="A817" s="2"/>
      <c r="B817" s="10"/>
      <c r="C817" s="10"/>
      <c r="D817" s="10"/>
      <c r="E817" s="10"/>
      <c r="F817" s="10"/>
      <c r="G817" s="32"/>
      <c r="H817" s="32"/>
      <c r="I817" s="32"/>
      <c r="J817" s="73"/>
      <c r="K817" s="32"/>
      <c r="L817" s="32"/>
      <c r="M817" s="32"/>
      <c r="N817" s="32"/>
      <c r="O817" s="2"/>
      <c r="P817" s="2"/>
      <c r="Q817" s="32"/>
      <c r="R817" s="32"/>
      <c r="S817" s="32"/>
      <c r="T817" s="32"/>
      <c r="U817" s="2"/>
      <c r="V817" s="2"/>
      <c r="W817" s="2"/>
      <c r="X817" s="2"/>
      <c r="Y817" s="2"/>
      <c r="Z817" s="2"/>
    </row>
    <row r="818" spans="1:26" ht="13.8" x14ac:dyDescent="0.3">
      <c r="A818" s="2"/>
      <c r="B818" s="10"/>
      <c r="C818" s="10"/>
      <c r="D818" s="10"/>
      <c r="E818" s="10"/>
      <c r="F818" s="10"/>
      <c r="G818" s="32"/>
      <c r="H818" s="32"/>
      <c r="I818" s="32"/>
      <c r="J818" s="73"/>
      <c r="K818" s="32"/>
      <c r="L818" s="32"/>
      <c r="M818" s="32"/>
      <c r="N818" s="32"/>
      <c r="O818" s="2"/>
      <c r="P818" s="2"/>
      <c r="Q818" s="32"/>
      <c r="R818" s="32"/>
      <c r="S818" s="32"/>
      <c r="T818" s="32"/>
      <c r="U818" s="2"/>
      <c r="V818" s="2"/>
      <c r="W818" s="2"/>
      <c r="X818" s="2"/>
      <c r="Y818" s="2"/>
      <c r="Z818" s="2"/>
    </row>
    <row r="819" spans="1:26" ht="13.8" x14ac:dyDescent="0.3">
      <c r="A819" s="2"/>
      <c r="B819" s="10"/>
      <c r="C819" s="10"/>
      <c r="D819" s="10"/>
      <c r="E819" s="10"/>
      <c r="F819" s="10"/>
      <c r="G819" s="32"/>
      <c r="H819" s="32"/>
      <c r="I819" s="32"/>
      <c r="J819" s="73"/>
      <c r="K819" s="32"/>
      <c r="L819" s="32"/>
      <c r="M819" s="32"/>
      <c r="N819" s="32"/>
      <c r="O819" s="2"/>
      <c r="P819" s="2"/>
      <c r="Q819" s="32"/>
      <c r="R819" s="32"/>
      <c r="S819" s="32"/>
      <c r="T819" s="32"/>
      <c r="U819" s="2"/>
      <c r="V819" s="2"/>
      <c r="W819" s="2"/>
      <c r="X819" s="2"/>
      <c r="Y819" s="2"/>
      <c r="Z819" s="2"/>
    </row>
    <row r="820" spans="1:26" ht="13.8" x14ac:dyDescent="0.3">
      <c r="A820" s="2"/>
      <c r="B820" s="10"/>
      <c r="C820" s="10"/>
      <c r="D820" s="10"/>
      <c r="E820" s="10"/>
      <c r="F820" s="10"/>
      <c r="G820" s="32"/>
      <c r="H820" s="32"/>
      <c r="I820" s="32"/>
      <c r="J820" s="73"/>
      <c r="K820" s="32"/>
      <c r="L820" s="32"/>
      <c r="M820" s="32"/>
      <c r="N820" s="32"/>
      <c r="O820" s="2"/>
      <c r="P820" s="2"/>
      <c r="Q820" s="32"/>
      <c r="R820" s="32"/>
      <c r="S820" s="32"/>
      <c r="T820" s="32"/>
      <c r="U820" s="2"/>
      <c r="V820" s="2"/>
      <c r="W820" s="2"/>
      <c r="X820" s="2"/>
      <c r="Y820" s="2"/>
      <c r="Z820" s="2"/>
    </row>
    <row r="821" spans="1:26" ht="13.8" x14ac:dyDescent="0.3">
      <c r="A821" s="2"/>
      <c r="B821" s="10"/>
      <c r="C821" s="10"/>
      <c r="D821" s="10"/>
      <c r="E821" s="10"/>
      <c r="F821" s="10"/>
      <c r="G821" s="32"/>
      <c r="H821" s="32"/>
      <c r="I821" s="32"/>
      <c r="J821" s="73"/>
      <c r="K821" s="32"/>
      <c r="L821" s="32"/>
      <c r="M821" s="32"/>
      <c r="N821" s="32"/>
      <c r="O821" s="2"/>
      <c r="P821" s="2"/>
      <c r="Q821" s="32"/>
      <c r="R821" s="32"/>
      <c r="S821" s="32"/>
      <c r="T821" s="32"/>
      <c r="U821" s="2"/>
      <c r="V821" s="2"/>
      <c r="W821" s="2"/>
      <c r="X821" s="2"/>
      <c r="Y821" s="2"/>
      <c r="Z821" s="2"/>
    </row>
    <row r="822" spans="1:26" ht="13.8" x14ac:dyDescent="0.3">
      <c r="A822" s="2"/>
      <c r="B822" s="10"/>
      <c r="C822" s="10"/>
      <c r="D822" s="10"/>
      <c r="E822" s="10"/>
      <c r="F822" s="10"/>
      <c r="G822" s="32"/>
      <c r="H822" s="32"/>
      <c r="I822" s="32"/>
      <c r="J822" s="73"/>
      <c r="K822" s="32"/>
      <c r="L822" s="32"/>
      <c r="M822" s="32"/>
      <c r="N822" s="32"/>
      <c r="O822" s="2"/>
      <c r="P822" s="2"/>
      <c r="Q822" s="32"/>
      <c r="R822" s="32"/>
      <c r="S822" s="32"/>
      <c r="T822" s="32"/>
      <c r="U822" s="2"/>
      <c r="V822" s="2"/>
      <c r="W822" s="2"/>
      <c r="X822" s="2"/>
      <c r="Y822" s="2"/>
      <c r="Z822" s="2"/>
    </row>
    <row r="823" spans="1:26" ht="13.8" x14ac:dyDescent="0.3">
      <c r="A823" s="2"/>
      <c r="B823" s="10"/>
      <c r="C823" s="10"/>
      <c r="D823" s="10"/>
      <c r="E823" s="10"/>
      <c r="F823" s="10"/>
      <c r="G823" s="32"/>
      <c r="H823" s="32"/>
      <c r="I823" s="32"/>
      <c r="J823" s="73"/>
      <c r="K823" s="32"/>
      <c r="L823" s="32"/>
      <c r="M823" s="32"/>
      <c r="N823" s="32"/>
      <c r="O823" s="2"/>
      <c r="P823" s="2"/>
      <c r="Q823" s="32"/>
      <c r="R823" s="32"/>
      <c r="S823" s="32"/>
      <c r="T823" s="32"/>
      <c r="U823" s="2"/>
      <c r="V823" s="2"/>
      <c r="W823" s="2"/>
      <c r="X823" s="2"/>
      <c r="Y823" s="2"/>
      <c r="Z823" s="2"/>
    </row>
    <row r="824" spans="1:26" ht="13.8" x14ac:dyDescent="0.3">
      <c r="A824" s="2"/>
      <c r="B824" s="10"/>
      <c r="C824" s="10"/>
      <c r="D824" s="10"/>
      <c r="E824" s="10"/>
      <c r="F824" s="10"/>
      <c r="G824" s="32"/>
      <c r="H824" s="32"/>
      <c r="I824" s="32"/>
      <c r="J824" s="73"/>
      <c r="K824" s="32"/>
      <c r="L824" s="32"/>
      <c r="M824" s="32"/>
      <c r="N824" s="32"/>
      <c r="O824" s="2"/>
      <c r="P824" s="2"/>
      <c r="Q824" s="32"/>
      <c r="R824" s="32"/>
      <c r="S824" s="32"/>
      <c r="T824" s="32"/>
      <c r="U824" s="2"/>
      <c r="V824" s="2"/>
      <c r="W824" s="2"/>
      <c r="X824" s="2"/>
      <c r="Y824" s="2"/>
      <c r="Z824" s="2"/>
    </row>
    <row r="825" spans="1:26" ht="13.8" x14ac:dyDescent="0.3">
      <c r="A825" s="2"/>
      <c r="B825" s="10"/>
      <c r="C825" s="10"/>
      <c r="D825" s="10"/>
      <c r="E825" s="10"/>
      <c r="F825" s="10"/>
      <c r="G825" s="32"/>
      <c r="H825" s="32"/>
      <c r="I825" s="32"/>
      <c r="J825" s="73"/>
      <c r="K825" s="32"/>
      <c r="L825" s="32"/>
      <c r="M825" s="32"/>
      <c r="N825" s="32"/>
      <c r="O825" s="2"/>
      <c r="P825" s="2"/>
      <c r="Q825" s="32"/>
      <c r="R825" s="32"/>
      <c r="S825" s="32"/>
      <c r="T825" s="32"/>
      <c r="U825" s="2"/>
      <c r="V825" s="2"/>
      <c r="W825" s="2"/>
      <c r="X825" s="2"/>
      <c r="Y825" s="2"/>
      <c r="Z825" s="2"/>
    </row>
    <row r="826" spans="1:26" ht="13.8" x14ac:dyDescent="0.3">
      <c r="A826" s="2"/>
      <c r="B826" s="10"/>
      <c r="C826" s="10"/>
      <c r="D826" s="10"/>
      <c r="E826" s="10"/>
      <c r="F826" s="10"/>
      <c r="G826" s="32"/>
      <c r="H826" s="32"/>
      <c r="I826" s="32"/>
      <c r="J826" s="73"/>
      <c r="K826" s="32"/>
      <c r="L826" s="32"/>
      <c r="M826" s="32"/>
      <c r="N826" s="32"/>
      <c r="O826" s="2"/>
      <c r="P826" s="2"/>
      <c r="Q826" s="32"/>
      <c r="R826" s="32"/>
      <c r="S826" s="32"/>
      <c r="T826" s="32"/>
      <c r="U826" s="2"/>
      <c r="V826" s="2"/>
      <c r="W826" s="2"/>
      <c r="X826" s="2"/>
      <c r="Y826" s="2"/>
      <c r="Z826" s="2"/>
    </row>
    <row r="827" spans="1:26" ht="13.8" x14ac:dyDescent="0.3">
      <c r="A827" s="2"/>
      <c r="B827" s="10"/>
      <c r="C827" s="10"/>
      <c r="D827" s="10"/>
      <c r="E827" s="10"/>
      <c r="F827" s="10"/>
      <c r="G827" s="32"/>
      <c r="H827" s="32"/>
      <c r="I827" s="32"/>
      <c r="J827" s="73"/>
      <c r="K827" s="32"/>
      <c r="L827" s="32"/>
      <c r="M827" s="32"/>
      <c r="N827" s="32"/>
      <c r="O827" s="2"/>
      <c r="P827" s="2"/>
      <c r="Q827" s="32"/>
      <c r="R827" s="32"/>
      <c r="S827" s="32"/>
      <c r="T827" s="32"/>
      <c r="U827" s="2"/>
      <c r="V827" s="2"/>
      <c r="W827" s="2"/>
      <c r="X827" s="2"/>
      <c r="Y827" s="2"/>
      <c r="Z827" s="2"/>
    </row>
    <row r="828" spans="1:26" ht="13.8" x14ac:dyDescent="0.3">
      <c r="A828" s="2"/>
      <c r="B828" s="10"/>
      <c r="C828" s="10"/>
      <c r="D828" s="10"/>
      <c r="E828" s="10"/>
      <c r="F828" s="10"/>
      <c r="G828" s="32"/>
      <c r="H828" s="32"/>
      <c r="I828" s="32"/>
      <c r="J828" s="73"/>
      <c r="K828" s="32"/>
      <c r="L828" s="32"/>
      <c r="M828" s="32"/>
      <c r="N828" s="32"/>
      <c r="O828" s="2"/>
      <c r="P828" s="2"/>
      <c r="Q828" s="32"/>
      <c r="R828" s="32"/>
      <c r="S828" s="32"/>
      <c r="T828" s="32"/>
      <c r="U828" s="2"/>
      <c r="V828" s="2"/>
      <c r="W828" s="2"/>
      <c r="X828" s="2"/>
      <c r="Y828" s="2"/>
      <c r="Z828" s="2"/>
    </row>
    <row r="829" spans="1:26" ht="13.8" x14ac:dyDescent="0.3">
      <c r="A829" s="2"/>
      <c r="B829" s="10"/>
      <c r="C829" s="10"/>
      <c r="D829" s="10"/>
      <c r="E829" s="10"/>
      <c r="F829" s="10"/>
      <c r="G829" s="32"/>
      <c r="H829" s="32"/>
      <c r="I829" s="32"/>
      <c r="J829" s="73"/>
      <c r="K829" s="32"/>
      <c r="L829" s="32"/>
      <c r="M829" s="32"/>
      <c r="N829" s="32"/>
      <c r="O829" s="2"/>
      <c r="P829" s="2"/>
      <c r="Q829" s="32"/>
      <c r="R829" s="32"/>
      <c r="S829" s="32"/>
      <c r="T829" s="32"/>
      <c r="U829" s="2"/>
      <c r="V829" s="2"/>
      <c r="W829" s="2"/>
      <c r="X829" s="2"/>
      <c r="Y829" s="2"/>
      <c r="Z829" s="2"/>
    </row>
    <row r="830" spans="1:26" ht="13.8" x14ac:dyDescent="0.3">
      <c r="A830" s="2"/>
      <c r="B830" s="10"/>
      <c r="C830" s="10"/>
      <c r="D830" s="10"/>
      <c r="E830" s="10"/>
      <c r="F830" s="10"/>
      <c r="G830" s="32"/>
      <c r="H830" s="32"/>
      <c r="I830" s="32"/>
      <c r="J830" s="73"/>
      <c r="K830" s="32"/>
      <c r="L830" s="32"/>
      <c r="M830" s="32"/>
      <c r="N830" s="32"/>
      <c r="O830" s="2"/>
      <c r="P830" s="2"/>
      <c r="Q830" s="32"/>
      <c r="R830" s="32"/>
      <c r="S830" s="32"/>
      <c r="T830" s="32"/>
      <c r="U830" s="2"/>
      <c r="V830" s="2"/>
      <c r="W830" s="2"/>
      <c r="X830" s="2"/>
      <c r="Y830" s="2"/>
      <c r="Z830" s="2"/>
    </row>
    <row r="831" spans="1:26" ht="13.8" x14ac:dyDescent="0.3">
      <c r="A831" s="2"/>
      <c r="B831" s="10"/>
      <c r="C831" s="10"/>
      <c r="D831" s="10"/>
      <c r="E831" s="10"/>
      <c r="F831" s="10"/>
      <c r="G831" s="32"/>
      <c r="H831" s="32"/>
      <c r="I831" s="32"/>
      <c r="J831" s="73"/>
      <c r="K831" s="32"/>
      <c r="L831" s="32"/>
      <c r="M831" s="32"/>
      <c r="N831" s="32"/>
      <c r="O831" s="2"/>
      <c r="P831" s="2"/>
      <c r="Q831" s="32"/>
      <c r="R831" s="32"/>
      <c r="S831" s="32"/>
      <c r="T831" s="32"/>
      <c r="U831" s="2"/>
      <c r="V831" s="2"/>
      <c r="W831" s="2"/>
      <c r="X831" s="2"/>
      <c r="Y831" s="2"/>
      <c r="Z831" s="2"/>
    </row>
    <row r="832" spans="1:26" ht="13.8" x14ac:dyDescent="0.3">
      <c r="A832" s="2"/>
      <c r="B832" s="10"/>
      <c r="C832" s="10"/>
      <c r="D832" s="10"/>
      <c r="E832" s="10"/>
      <c r="F832" s="10"/>
      <c r="G832" s="32"/>
      <c r="H832" s="32"/>
      <c r="I832" s="32"/>
      <c r="J832" s="73"/>
      <c r="K832" s="32"/>
      <c r="L832" s="32"/>
      <c r="M832" s="32"/>
      <c r="N832" s="32"/>
      <c r="O832" s="2"/>
      <c r="P832" s="2"/>
      <c r="Q832" s="32"/>
      <c r="R832" s="32"/>
      <c r="S832" s="32"/>
      <c r="T832" s="32"/>
      <c r="U832" s="2"/>
      <c r="V832" s="2"/>
      <c r="W832" s="2"/>
      <c r="X832" s="2"/>
      <c r="Y832" s="2"/>
      <c r="Z832" s="2"/>
    </row>
    <row r="833" spans="1:26" ht="13.8" x14ac:dyDescent="0.3">
      <c r="A833" s="2"/>
      <c r="B833" s="10"/>
      <c r="C833" s="10"/>
      <c r="D833" s="10"/>
      <c r="E833" s="10"/>
      <c r="F833" s="10"/>
      <c r="G833" s="32"/>
      <c r="H833" s="32"/>
      <c r="I833" s="32"/>
      <c r="J833" s="73"/>
      <c r="K833" s="32"/>
      <c r="L833" s="32"/>
      <c r="M833" s="32"/>
      <c r="N833" s="32"/>
      <c r="O833" s="2"/>
      <c r="P833" s="2"/>
      <c r="Q833" s="32"/>
      <c r="R833" s="32"/>
      <c r="S833" s="32"/>
      <c r="T833" s="32"/>
      <c r="U833" s="2"/>
      <c r="V833" s="2"/>
      <c r="W833" s="2"/>
      <c r="X833" s="2"/>
      <c r="Y833" s="2"/>
      <c r="Z833" s="2"/>
    </row>
    <row r="834" spans="1:26" ht="13.8" x14ac:dyDescent="0.3">
      <c r="A834" s="2"/>
      <c r="B834" s="10"/>
      <c r="C834" s="10"/>
      <c r="D834" s="10"/>
      <c r="E834" s="10"/>
      <c r="F834" s="10"/>
      <c r="G834" s="32"/>
      <c r="H834" s="32"/>
      <c r="I834" s="32"/>
      <c r="J834" s="73"/>
      <c r="K834" s="32"/>
      <c r="L834" s="32"/>
      <c r="M834" s="32"/>
      <c r="N834" s="32"/>
      <c r="O834" s="2"/>
      <c r="P834" s="2"/>
      <c r="Q834" s="32"/>
      <c r="R834" s="32"/>
      <c r="S834" s="32"/>
      <c r="T834" s="32"/>
      <c r="U834" s="2"/>
      <c r="V834" s="2"/>
      <c r="W834" s="2"/>
      <c r="X834" s="2"/>
      <c r="Y834" s="2"/>
      <c r="Z834" s="2"/>
    </row>
    <row r="835" spans="1:26" ht="13.8" x14ac:dyDescent="0.3">
      <c r="A835" s="2"/>
      <c r="B835" s="10"/>
      <c r="C835" s="10"/>
      <c r="D835" s="10"/>
      <c r="E835" s="10"/>
      <c r="F835" s="10"/>
      <c r="G835" s="32"/>
      <c r="H835" s="32"/>
      <c r="I835" s="32"/>
      <c r="J835" s="73"/>
      <c r="K835" s="32"/>
      <c r="L835" s="32"/>
      <c r="M835" s="32"/>
      <c r="N835" s="32"/>
      <c r="O835" s="2"/>
      <c r="P835" s="2"/>
      <c r="Q835" s="32"/>
      <c r="R835" s="32"/>
      <c r="S835" s="32"/>
      <c r="T835" s="32"/>
      <c r="U835" s="2"/>
      <c r="V835" s="2"/>
      <c r="W835" s="2"/>
      <c r="X835" s="2"/>
      <c r="Y835" s="2"/>
      <c r="Z835" s="2"/>
    </row>
    <row r="836" spans="1:26" ht="13.8" x14ac:dyDescent="0.3">
      <c r="A836" s="2"/>
      <c r="B836" s="10"/>
      <c r="C836" s="10"/>
      <c r="D836" s="10"/>
      <c r="E836" s="10"/>
      <c r="F836" s="10"/>
      <c r="G836" s="32"/>
      <c r="H836" s="32"/>
      <c r="I836" s="32"/>
      <c r="J836" s="73"/>
      <c r="K836" s="32"/>
      <c r="L836" s="32"/>
      <c r="M836" s="32"/>
      <c r="N836" s="32"/>
      <c r="O836" s="2"/>
      <c r="P836" s="2"/>
      <c r="Q836" s="32"/>
      <c r="R836" s="32"/>
      <c r="S836" s="32"/>
      <c r="T836" s="32"/>
      <c r="U836" s="2"/>
      <c r="V836" s="2"/>
      <c r="W836" s="2"/>
      <c r="X836" s="2"/>
      <c r="Y836" s="2"/>
      <c r="Z836" s="2"/>
    </row>
    <row r="837" spans="1:26" ht="13.8" x14ac:dyDescent="0.3">
      <c r="A837" s="2"/>
      <c r="B837" s="10"/>
      <c r="C837" s="10"/>
      <c r="D837" s="10"/>
      <c r="E837" s="10"/>
      <c r="F837" s="10"/>
      <c r="G837" s="32"/>
      <c r="H837" s="32"/>
      <c r="I837" s="32"/>
      <c r="J837" s="73"/>
      <c r="K837" s="32"/>
      <c r="L837" s="32"/>
      <c r="M837" s="32"/>
      <c r="N837" s="32"/>
      <c r="O837" s="2"/>
      <c r="P837" s="2"/>
      <c r="Q837" s="32"/>
      <c r="R837" s="32"/>
      <c r="S837" s="32"/>
      <c r="T837" s="32"/>
      <c r="U837" s="2"/>
      <c r="V837" s="2"/>
      <c r="W837" s="2"/>
      <c r="X837" s="2"/>
      <c r="Y837" s="2"/>
      <c r="Z837" s="2"/>
    </row>
    <row r="838" spans="1:26" ht="13.8" x14ac:dyDescent="0.3">
      <c r="A838" s="2"/>
      <c r="B838" s="10"/>
      <c r="C838" s="10"/>
      <c r="D838" s="10"/>
      <c r="E838" s="10"/>
      <c r="F838" s="10"/>
      <c r="G838" s="32"/>
      <c r="H838" s="32"/>
      <c r="I838" s="32"/>
      <c r="J838" s="73"/>
      <c r="K838" s="32"/>
      <c r="L838" s="32"/>
      <c r="M838" s="32"/>
      <c r="N838" s="32"/>
      <c r="O838" s="2"/>
      <c r="P838" s="2"/>
      <c r="Q838" s="32"/>
      <c r="R838" s="32"/>
      <c r="S838" s="32"/>
      <c r="T838" s="32"/>
      <c r="U838" s="2"/>
      <c r="V838" s="2"/>
      <c r="W838" s="2"/>
      <c r="X838" s="2"/>
      <c r="Y838" s="2"/>
      <c r="Z838" s="2"/>
    </row>
    <row r="839" spans="1:26" ht="13.8" x14ac:dyDescent="0.3">
      <c r="A839" s="2"/>
      <c r="B839" s="10"/>
      <c r="C839" s="10"/>
      <c r="D839" s="10"/>
      <c r="E839" s="10"/>
      <c r="F839" s="10"/>
      <c r="G839" s="32"/>
      <c r="H839" s="32"/>
      <c r="I839" s="32"/>
      <c r="J839" s="73"/>
      <c r="K839" s="32"/>
      <c r="L839" s="32"/>
      <c r="M839" s="32"/>
      <c r="N839" s="32"/>
      <c r="O839" s="2"/>
      <c r="P839" s="2"/>
      <c r="Q839" s="32"/>
      <c r="R839" s="32"/>
      <c r="S839" s="32"/>
      <c r="T839" s="32"/>
      <c r="U839" s="2"/>
      <c r="V839" s="2"/>
      <c r="W839" s="2"/>
      <c r="X839" s="2"/>
      <c r="Y839" s="2"/>
      <c r="Z839" s="2"/>
    </row>
    <row r="840" spans="1:26" ht="13.8" x14ac:dyDescent="0.3">
      <c r="A840" s="2"/>
      <c r="B840" s="10"/>
      <c r="C840" s="10"/>
      <c r="D840" s="10"/>
      <c r="E840" s="10"/>
      <c r="F840" s="10"/>
      <c r="G840" s="32"/>
      <c r="H840" s="32"/>
      <c r="I840" s="32"/>
      <c r="J840" s="73"/>
      <c r="K840" s="32"/>
      <c r="L840" s="32"/>
      <c r="M840" s="32"/>
      <c r="N840" s="32"/>
      <c r="O840" s="2"/>
      <c r="P840" s="2"/>
      <c r="Q840" s="32"/>
      <c r="R840" s="32"/>
      <c r="S840" s="32"/>
      <c r="T840" s="32"/>
      <c r="U840" s="2"/>
      <c r="V840" s="2"/>
      <c r="W840" s="2"/>
      <c r="X840" s="2"/>
      <c r="Y840" s="2"/>
      <c r="Z840" s="2"/>
    </row>
    <row r="841" spans="1:26" ht="13.8" x14ac:dyDescent="0.3">
      <c r="A841" s="2"/>
      <c r="B841" s="10"/>
      <c r="C841" s="10"/>
      <c r="D841" s="10"/>
      <c r="E841" s="10"/>
      <c r="F841" s="10"/>
      <c r="G841" s="32"/>
      <c r="H841" s="32"/>
      <c r="I841" s="32"/>
      <c r="J841" s="73"/>
      <c r="K841" s="32"/>
      <c r="L841" s="32"/>
      <c r="M841" s="32"/>
      <c r="N841" s="32"/>
      <c r="O841" s="2"/>
      <c r="P841" s="2"/>
      <c r="Q841" s="32"/>
      <c r="R841" s="32"/>
      <c r="S841" s="32"/>
      <c r="T841" s="32"/>
      <c r="U841" s="2"/>
      <c r="V841" s="2"/>
      <c r="W841" s="2"/>
      <c r="X841" s="2"/>
      <c r="Y841" s="2"/>
      <c r="Z841" s="2"/>
    </row>
    <row r="842" spans="1:26" ht="13.8" x14ac:dyDescent="0.3">
      <c r="A842" s="2"/>
      <c r="B842" s="10"/>
      <c r="C842" s="10"/>
      <c r="D842" s="10"/>
      <c r="E842" s="10"/>
      <c r="F842" s="10"/>
      <c r="G842" s="32"/>
      <c r="H842" s="32"/>
      <c r="I842" s="32"/>
      <c r="J842" s="73"/>
      <c r="K842" s="32"/>
      <c r="L842" s="32"/>
      <c r="M842" s="32"/>
      <c r="N842" s="32"/>
      <c r="O842" s="2"/>
      <c r="P842" s="2"/>
      <c r="Q842" s="32"/>
      <c r="R842" s="32"/>
      <c r="S842" s="32"/>
      <c r="T842" s="32"/>
      <c r="U842" s="2"/>
      <c r="V842" s="2"/>
      <c r="W842" s="2"/>
      <c r="X842" s="2"/>
      <c r="Y842" s="2"/>
      <c r="Z842" s="2"/>
    </row>
    <row r="843" spans="1:26" ht="13.8" x14ac:dyDescent="0.3">
      <c r="A843" s="2"/>
      <c r="B843" s="10"/>
      <c r="C843" s="10"/>
      <c r="D843" s="10"/>
      <c r="E843" s="10"/>
      <c r="F843" s="10"/>
      <c r="G843" s="32"/>
      <c r="H843" s="32"/>
      <c r="I843" s="32"/>
      <c r="J843" s="73"/>
      <c r="K843" s="32"/>
      <c r="L843" s="32"/>
      <c r="M843" s="32"/>
      <c r="N843" s="32"/>
      <c r="O843" s="2"/>
      <c r="P843" s="2"/>
      <c r="Q843" s="32"/>
      <c r="R843" s="32"/>
      <c r="S843" s="32"/>
      <c r="T843" s="32"/>
      <c r="U843" s="2"/>
      <c r="V843" s="2"/>
      <c r="W843" s="2"/>
      <c r="X843" s="2"/>
      <c r="Y843" s="2"/>
      <c r="Z843" s="2"/>
    </row>
    <row r="844" spans="1:26" ht="13.8" x14ac:dyDescent="0.3">
      <c r="A844" s="2"/>
      <c r="B844" s="10"/>
      <c r="C844" s="10"/>
      <c r="D844" s="10"/>
      <c r="E844" s="10"/>
      <c r="F844" s="10"/>
      <c r="G844" s="32"/>
      <c r="H844" s="32"/>
      <c r="I844" s="32"/>
      <c r="J844" s="73"/>
      <c r="K844" s="32"/>
      <c r="L844" s="32"/>
      <c r="M844" s="32"/>
      <c r="N844" s="32"/>
      <c r="O844" s="2"/>
      <c r="P844" s="2"/>
      <c r="Q844" s="32"/>
      <c r="R844" s="32"/>
      <c r="S844" s="32"/>
      <c r="T844" s="32"/>
      <c r="U844" s="2"/>
      <c r="V844" s="2"/>
      <c r="W844" s="2"/>
      <c r="X844" s="2"/>
      <c r="Y844" s="2"/>
      <c r="Z844" s="2"/>
    </row>
    <row r="845" spans="1:26" ht="13.8" x14ac:dyDescent="0.3">
      <c r="A845" s="2"/>
      <c r="B845" s="10"/>
      <c r="C845" s="10"/>
      <c r="D845" s="10"/>
      <c r="E845" s="10"/>
      <c r="F845" s="10"/>
      <c r="G845" s="32"/>
      <c r="H845" s="32"/>
      <c r="I845" s="32"/>
      <c r="J845" s="73"/>
      <c r="K845" s="32"/>
      <c r="L845" s="32"/>
      <c r="M845" s="32"/>
      <c r="N845" s="32"/>
      <c r="O845" s="2"/>
      <c r="P845" s="2"/>
      <c r="Q845" s="32"/>
      <c r="R845" s="32"/>
      <c r="S845" s="32"/>
      <c r="T845" s="32"/>
      <c r="U845" s="2"/>
      <c r="V845" s="2"/>
      <c r="W845" s="2"/>
      <c r="X845" s="2"/>
      <c r="Y845" s="2"/>
      <c r="Z845" s="2"/>
    </row>
    <row r="846" spans="1:26" ht="13.8" x14ac:dyDescent="0.3">
      <c r="A846" s="2"/>
      <c r="B846" s="10"/>
      <c r="C846" s="10"/>
      <c r="D846" s="10"/>
      <c r="E846" s="10"/>
      <c r="F846" s="10"/>
      <c r="G846" s="32"/>
      <c r="H846" s="32"/>
      <c r="I846" s="32"/>
      <c r="J846" s="73"/>
      <c r="K846" s="32"/>
      <c r="L846" s="32"/>
      <c r="M846" s="32"/>
      <c r="N846" s="32"/>
      <c r="O846" s="2"/>
      <c r="P846" s="2"/>
      <c r="Q846" s="32"/>
      <c r="R846" s="32"/>
      <c r="S846" s="32"/>
      <c r="T846" s="32"/>
      <c r="U846" s="2"/>
      <c r="V846" s="2"/>
      <c r="W846" s="2"/>
      <c r="X846" s="2"/>
      <c r="Y846" s="2"/>
      <c r="Z846" s="2"/>
    </row>
    <row r="847" spans="1:26" ht="13.8" x14ac:dyDescent="0.3">
      <c r="A847" s="2"/>
      <c r="B847" s="10"/>
      <c r="C847" s="10"/>
      <c r="D847" s="10"/>
      <c r="E847" s="10"/>
      <c r="F847" s="10"/>
      <c r="G847" s="32"/>
      <c r="H847" s="32"/>
      <c r="I847" s="32"/>
      <c r="J847" s="73"/>
      <c r="K847" s="32"/>
      <c r="L847" s="32"/>
      <c r="M847" s="32"/>
      <c r="N847" s="32"/>
      <c r="O847" s="2"/>
      <c r="P847" s="2"/>
      <c r="Q847" s="32"/>
      <c r="R847" s="32"/>
      <c r="S847" s="32"/>
      <c r="T847" s="32"/>
      <c r="U847" s="2"/>
      <c r="V847" s="2"/>
      <c r="W847" s="2"/>
      <c r="X847" s="2"/>
      <c r="Y847" s="2"/>
      <c r="Z847" s="2"/>
    </row>
    <row r="848" spans="1:26" ht="13.8" x14ac:dyDescent="0.3">
      <c r="A848" s="2"/>
      <c r="B848" s="10"/>
      <c r="C848" s="10"/>
      <c r="D848" s="10"/>
      <c r="E848" s="10"/>
      <c r="F848" s="10"/>
      <c r="G848" s="32"/>
      <c r="H848" s="32"/>
      <c r="I848" s="32"/>
      <c r="J848" s="73"/>
      <c r="K848" s="32"/>
      <c r="L848" s="32"/>
      <c r="M848" s="32"/>
      <c r="N848" s="32"/>
      <c r="O848" s="2"/>
      <c r="P848" s="2"/>
      <c r="Q848" s="32"/>
      <c r="R848" s="32"/>
      <c r="S848" s="32"/>
      <c r="T848" s="32"/>
      <c r="U848" s="2"/>
      <c r="V848" s="2"/>
      <c r="W848" s="2"/>
      <c r="X848" s="2"/>
      <c r="Y848" s="2"/>
      <c r="Z848" s="2"/>
    </row>
    <row r="849" spans="1:26" ht="13.8" x14ac:dyDescent="0.3">
      <c r="A849" s="2"/>
      <c r="B849" s="10"/>
      <c r="C849" s="10"/>
      <c r="D849" s="10"/>
      <c r="E849" s="10"/>
      <c r="F849" s="10"/>
      <c r="G849" s="32"/>
      <c r="H849" s="32"/>
      <c r="I849" s="32"/>
      <c r="J849" s="73"/>
      <c r="K849" s="32"/>
      <c r="L849" s="32"/>
      <c r="M849" s="32"/>
      <c r="N849" s="32"/>
      <c r="O849" s="2"/>
      <c r="P849" s="2"/>
      <c r="Q849" s="32"/>
      <c r="R849" s="32"/>
      <c r="S849" s="32"/>
      <c r="T849" s="32"/>
      <c r="U849" s="2"/>
      <c r="V849" s="2"/>
      <c r="W849" s="2"/>
      <c r="X849" s="2"/>
      <c r="Y849" s="2"/>
      <c r="Z849" s="2"/>
    </row>
    <row r="850" spans="1:26" ht="13.8" x14ac:dyDescent="0.3">
      <c r="A850" s="2"/>
      <c r="B850" s="10"/>
      <c r="C850" s="10"/>
      <c r="D850" s="10"/>
      <c r="E850" s="10"/>
      <c r="F850" s="10"/>
      <c r="G850" s="32"/>
      <c r="H850" s="32"/>
      <c r="I850" s="32"/>
      <c r="J850" s="73"/>
      <c r="K850" s="32"/>
      <c r="L850" s="32"/>
      <c r="M850" s="32"/>
      <c r="N850" s="32"/>
      <c r="O850" s="2"/>
      <c r="P850" s="2"/>
      <c r="Q850" s="32"/>
      <c r="R850" s="32"/>
      <c r="S850" s="32"/>
      <c r="T850" s="32"/>
      <c r="U850" s="2"/>
      <c r="V850" s="2"/>
      <c r="W850" s="2"/>
      <c r="X850" s="2"/>
      <c r="Y850" s="2"/>
      <c r="Z850" s="2"/>
    </row>
    <row r="851" spans="1:26" ht="13.8" x14ac:dyDescent="0.3">
      <c r="A851" s="2"/>
      <c r="B851" s="10"/>
      <c r="C851" s="10"/>
      <c r="D851" s="10"/>
      <c r="E851" s="10"/>
      <c r="F851" s="10"/>
      <c r="G851" s="32"/>
      <c r="H851" s="32"/>
      <c r="I851" s="32"/>
      <c r="J851" s="73"/>
      <c r="K851" s="32"/>
      <c r="L851" s="32"/>
      <c r="M851" s="32"/>
      <c r="N851" s="32"/>
      <c r="O851" s="2"/>
      <c r="P851" s="2"/>
      <c r="Q851" s="32"/>
      <c r="R851" s="32"/>
      <c r="S851" s="32"/>
      <c r="T851" s="32"/>
      <c r="U851" s="2"/>
      <c r="V851" s="2"/>
      <c r="W851" s="2"/>
      <c r="X851" s="2"/>
      <c r="Y851" s="2"/>
      <c r="Z851" s="2"/>
    </row>
    <row r="852" spans="1:26" ht="13.8" x14ac:dyDescent="0.3">
      <c r="A852" s="2"/>
      <c r="B852" s="10"/>
      <c r="C852" s="10"/>
      <c r="D852" s="10"/>
      <c r="E852" s="10"/>
      <c r="F852" s="10"/>
      <c r="G852" s="32"/>
      <c r="H852" s="32"/>
      <c r="I852" s="32"/>
      <c r="J852" s="73"/>
      <c r="K852" s="32"/>
      <c r="L852" s="32"/>
      <c r="M852" s="32"/>
      <c r="N852" s="32"/>
      <c r="O852" s="2"/>
      <c r="P852" s="2"/>
      <c r="Q852" s="32"/>
      <c r="R852" s="32"/>
      <c r="S852" s="32"/>
      <c r="T852" s="32"/>
      <c r="U852" s="2"/>
      <c r="V852" s="2"/>
      <c r="W852" s="2"/>
      <c r="X852" s="2"/>
      <c r="Y852" s="2"/>
      <c r="Z852" s="2"/>
    </row>
    <row r="853" spans="1:26" ht="13.8" x14ac:dyDescent="0.3">
      <c r="A853" s="2"/>
      <c r="B853" s="10"/>
      <c r="C853" s="10"/>
      <c r="D853" s="10"/>
      <c r="E853" s="10"/>
      <c r="F853" s="10"/>
      <c r="G853" s="32"/>
      <c r="H853" s="32"/>
      <c r="I853" s="32"/>
      <c r="J853" s="73"/>
      <c r="K853" s="32"/>
      <c r="L853" s="32"/>
      <c r="M853" s="32"/>
      <c r="N853" s="32"/>
      <c r="O853" s="2"/>
      <c r="P853" s="2"/>
      <c r="Q853" s="32"/>
      <c r="R853" s="32"/>
      <c r="S853" s="32"/>
      <c r="T853" s="32"/>
      <c r="U853" s="2"/>
      <c r="V853" s="2"/>
      <c r="W853" s="2"/>
      <c r="X853" s="2"/>
      <c r="Y853" s="2"/>
      <c r="Z853" s="2"/>
    </row>
    <row r="854" spans="1:26" ht="13.8" x14ac:dyDescent="0.3">
      <c r="A854" s="2"/>
      <c r="B854" s="10"/>
      <c r="C854" s="10"/>
      <c r="D854" s="10"/>
      <c r="E854" s="10"/>
      <c r="F854" s="10"/>
      <c r="G854" s="32"/>
      <c r="H854" s="32"/>
      <c r="I854" s="32"/>
      <c r="J854" s="73"/>
      <c r="K854" s="32"/>
      <c r="L854" s="32"/>
      <c r="M854" s="32"/>
      <c r="N854" s="32"/>
      <c r="O854" s="2"/>
      <c r="P854" s="2"/>
      <c r="Q854" s="32"/>
      <c r="R854" s="32"/>
      <c r="S854" s="32"/>
      <c r="T854" s="32"/>
      <c r="U854" s="2"/>
      <c r="V854" s="2"/>
      <c r="W854" s="2"/>
      <c r="X854" s="2"/>
      <c r="Y854" s="2"/>
      <c r="Z854" s="2"/>
    </row>
    <row r="855" spans="1:26" ht="13.8" x14ac:dyDescent="0.3">
      <c r="A855" s="2"/>
      <c r="B855" s="10"/>
      <c r="C855" s="10"/>
      <c r="D855" s="10"/>
      <c r="E855" s="10"/>
      <c r="F855" s="10"/>
      <c r="G855" s="32"/>
      <c r="H855" s="32"/>
      <c r="I855" s="32"/>
      <c r="J855" s="73"/>
      <c r="K855" s="32"/>
      <c r="L855" s="32"/>
      <c r="M855" s="32"/>
      <c r="N855" s="32"/>
      <c r="O855" s="2"/>
      <c r="P855" s="2"/>
      <c r="Q855" s="32"/>
      <c r="R855" s="32"/>
      <c r="S855" s="32"/>
      <c r="T855" s="32"/>
      <c r="U855" s="2"/>
      <c r="V855" s="2"/>
      <c r="W855" s="2"/>
      <c r="X855" s="2"/>
      <c r="Y855" s="2"/>
      <c r="Z855" s="2"/>
    </row>
    <row r="856" spans="1:26" ht="13.8" x14ac:dyDescent="0.3">
      <c r="A856" s="2"/>
      <c r="B856" s="10"/>
      <c r="C856" s="10"/>
      <c r="D856" s="10"/>
      <c r="E856" s="10"/>
      <c r="F856" s="10"/>
      <c r="G856" s="32"/>
      <c r="H856" s="32"/>
      <c r="I856" s="32"/>
      <c r="J856" s="73"/>
      <c r="K856" s="32"/>
      <c r="L856" s="32"/>
      <c r="M856" s="32"/>
      <c r="N856" s="32"/>
      <c r="O856" s="2"/>
      <c r="P856" s="2"/>
      <c r="Q856" s="32"/>
      <c r="R856" s="32"/>
      <c r="S856" s="32"/>
      <c r="T856" s="32"/>
      <c r="U856" s="2"/>
      <c r="V856" s="2"/>
      <c r="W856" s="2"/>
      <c r="X856" s="2"/>
      <c r="Y856" s="2"/>
      <c r="Z856" s="2"/>
    </row>
    <row r="857" spans="1:26" ht="13.8" x14ac:dyDescent="0.3">
      <c r="A857" s="2"/>
      <c r="B857" s="10"/>
      <c r="C857" s="10"/>
      <c r="D857" s="10"/>
      <c r="E857" s="10"/>
      <c r="F857" s="10"/>
      <c r="G857" s="32"/>
      <c r="H857" s="32"/>
      <c r="I857" s="32"/>
      <c r="J857" s="73"/>
      <c r="K857" s="32"/>
      <c r="L857" s="32"/>
      <c r="M857" s="32"/>
      <c r="N857" s="32"/>
      <c r="O857" s="2"/>
      <c r="P857" s="2"/>
      <c r="Q857" s="32"/>
      <c r="R857" s="32"/>
      <c r="S857" s="32"/>
      <c r="T857" s="32"/>
      <c r="U857" s="2"/>
      <c r="V857" s="2"/>
      <c r="W857" s="2"/>
      <c r="X857" s="2"/>
      <c r="Y857" s="2"/>
      <c r="Z857" s="2"/>
    </row>
    <row r="858" spans="1:26" ht="13.8" x14ac:dyDescent="0.3">
      <c r="A858" s="2"/>
      <c r="B858" s="10"/>
      <c r="C858" s="10"/>
      <c r="D858" s="10"/>
      <c r="E858" s="10"/>
      <c r="F858" s="10"/>
      <c r="G858" s="32"/>
      <c r="H858" s="32"/>
      <c r="I858" s="32"/>
      <c r="J858" s="73"/>
      <c r="K858" s="32"/>
      <c r="L858" s="32"/>
      <c r="M858" s="32"/>
      <c r="N858" s="32"/>
      <c r="O858" s="2"/>
      <c r="P858" s="2"/>
      <c r="Q858" s="32"/>
      <c r="R858" s="32"/>
      <c r="S858" s="32"/>
      <c r="T858" s="32"/>
      <c r="U858" s="2"/>
      <c r="V858" s="2"/>
      <c r="W858" s="2"/>
      <c r="X858" s="2"/>
      <c r="Y858" s="2"/>
      <c r="Z858" s="2"/>
    </row>
    <row r="859" spans="1:26" ht="13.8" x14ac:dyDescent="0.3">
      <c r="A859" s="2"/>
      <c r="B859" s="10"/>
      <c r="C859" s="10"/>
      <c r="D859" s="10"/>
      <c r="E859" s="10"/>
      <c r="F859" s="10"/>
      <c r="G859" s="32"/>
      <c r="H859" s="32"/>
      <c r="I859" s="32"/>
      <c r="J859" s="73"/>
      <c r="K859" s="32"/>
      <c r="L859" s="32"/>
      <c r="M859" s="32"/>
      <c r="N859" s="32"/>
      <c r="O859" s="2"/>
      <c r="P859" s="2"/>
      <c r="Q859" s="32"/>
      <c r="R859" s="32"/>
      <c r="S859" s="32"/>
      <c r="T859" s="32"/>
      <c r="U859" s="2"/>
      <c r="V859" s="2"/>
      <c r="W859" s="2"/>
      <c r="X859" s="2"/>
      <c r="Y859" s="2"/>
      <c r="Z859" s="2"/>
    </row>
    <row r="860" spans="1:26" ht="13.8" x14ac:dyDescent="0.3">
      <c r="A860" s="2"/>
      <c r="B860" s="10"/>
      <c r="C860" s="10"/>
      <c r="D860" s="10"/>
      <c r="E860" s="10"/>
      <c r="F860" s="10"/>
      <c r="G860" s="32"/>
      <c r="H860" s="32"/>
      <c r="I860" s="32"/>
      <c r="J860" s="73"/>
      <c r="K860" s="32"/>
      <c r="L860" s="32"/>
      <c r="M860" s="32"/>
      <c r="N860" s="32"/>
      <c r="O860" s="2"/>
      <c r="P860" s="2"/>
      <c r="Q860" s="32"/>
      <c r="R860" s="32"/>
      <c r="S860" s="32"/>
      <c r="T860" s="32"/>
      <c r="U860" s="2"/>
      <c r="V860" s="2"/>
      <c r="W860" s="2"/>
      <c r="X860" s="2"/>
      <c r="Y860" s="2"/>
      <c r="Z860" s="2"/>
    </row>
    <row r="861" spans="1:26" ht="13.8" x14ac:dyDescent="0.3">
      <c r="A861" s="2"/>
      <c r="B861" s="10"/>
      <c r="C861" s="10"/>
      <c r="D861" s="10"/>
      <c r="E861" s="10"/>
      <c r="F861" s="10"/>
      <c r="G861" s="32"/>
      <c r="H861" s="32"/>
      <c r="I861" s="32"/>
      <c r="J861" s="73"/>
      <c r="K861" s="32"/>
      <c r="L861" s="32"/>
      <c r="M861" s="32"/>
      <c r="N861" s="32"/>
      <c r="O861" s="2"/>
      <c r="P861" s="2"/>
      <c r="Q861" s="32"/>
      <c r="R861" s="32"/>
      <c r="S861" s="32"/>
      <c r="T861" s="32"/>
      <c r="U861" s="2"/>
      <c r="V861" s="2"/>
      <c r="W861" s="2"/>
      <c r="X861" s="2"/>
      <c r="Y861" s="2"/>
      <c r="Z861" s="2"/>
    </row>
    <row r="862" spans="1:26" ht="13.8" x14ac:dyDescent="0.3">
      <c r="A862" s="2"/>
      <c r="B862" s="10"/>
      <c r="C862" s="10"/>
      <c r="D862" s="10"/>
      <c r="E862" s="10"/>
      <c r="F862" s="10"/>
      <c r="G862" s="32"/>
      <c r="H862" s="32"/>
      <c r="I862" s="32"/>
      <c r="J862" s="73"/>
      <c r="K862" s="32"/>
      <c r="L862" s="32"/>
      <c r="M862" s="32"/>
      <c r="N862" s="32"/>
      <c r="O862" s="2"/>
      <c r="P862" s="2"/>
      <c r="Q862" s="32"/>
      <c r="R862" s="32"/>
      <c r="S862" s="32"/>
      <c r="T862" s="32"/>
      <c r="U862" s="2"/>
      <c r="V862" s="2"/>
      <c r="W862" s="2"/>
      <c r="X862" s="2"/>
      <c r="Y862" s="2"/>
      <c r="Z862" s="2"/>
    </row>
    <row r="863" spans="1:26" ht="13.8" x14ac:dyDescent="0.3">
      <c r="A863" s="2"/>
      <c r="B863" s="10"/>
      <c r="C863" s="10"/>
      <c r="D863" s="10"/>
      <c r="E863" s="10"/>
      <c r="F863" s="10"/>
      <c r="G863" s="32"/>
      <c r="H863" s="32"/>
      <c r="I863" s="32"/>
      <c r="J863" s="73"/>
      <c r="K863" s="32"/>
      <c r="L863" s="32"/>
      <c r="M863" s="32"/>
      <c r="N863" s="32"/>
      <c r="O863" s="2"/>
      <c r="P863" s="2"/>
      <c r="Q863" s="32"/>
      <c r="R863" s="32"/>
      <c r="S863" s="32"/>
      <c r="T863" s="32"/>
      <c r="U863" s="2"/>
      <c r="V863" s="2"/>
      <c r="W863" s="2"/>
      <c r="X863" s="2"/>
      <c r="Y863" s="2"/>
      <c r="Z863" s="2"/>
    </row>
    <row r="864" spans="1:26" ht="13.8" x14ac:dyDescent="0.3">
      <c r="A864" s="2"/>
      <c r="B864" s="10"/>
      <c r="C864" s="10"/>
      <c r="D864" s="10"/>
      <c r="E864" s="10"/>
      <c r="F864" s="10"/>
      <c r="G864" s="32"/>
      <c r="H864" s="32"/>
      <c r="I864" s="32"/>
      <c r="J864" s="73"/>
      <c r="K864" s="32"/>
      <c r="L864" s="32"/>
      <c r="M864" s="32"/>
      <c r="N864" s="32"/>
      <c r="O864" s="2"/>
      <c r="P864" s="2"/>
      <c r="Q864" s="32"/>
      <c r="R864" s="32"/>
      <c r="S864" s="32"/>
      <c r="T864" s="32"/>
      <c r="U864" s="2"/>
      <c r="V864" s="2"/>
      <c r="W864" s="2"/>
      <c r="X864" s="2"/>
      <c r="Y864" s="2"/>
      <c r="Z864" s="2"/>
    </row>
    <row r="865" spans="1:26" ht="13.8" x14ac:dyDescent="0.3">
      <c r="A865" s="2"/>
      <c r="B865" s="10"/>
      <c r="C865" s="10"/>
      <c r="D865" s="10"/>
      <c r="E865" s="10"/>
      <c r="F865" s="10"/>
      <c r="G865" s="32"/>
      <c r="H865" s="32"/>
      <c r="I865" s="32"/>
      <c r="J865" s="73"/>
      <c r="K865" s="32"/>
      <c r="L865" s="32"/>
      <c r="M865" s="32"/>
      <c r="N865" s="32"/>
      <c r="O865" s="2"/>
      <c r="P865" s="2"/>
      <c r="Q865" s="32"/>
      <c r="R865" s="32"/>
      <c r="S865" s="32"/>
      <c r="T865" s="32"/>
      <c r="U865" s="2"/>
      <c r="V865" s="2"/>
      <c r="W865" s="2"/>
      <c r="X865" s="2"/>
      <c r="Y865" s="2"/>
      <c r="Z865" s="2"/>
    </row>
    <row r="866" spans="1:26" ht="13.8" x14ac:dyDescent="0.3">
      <c r="A866" s="2"/>
      <c r="B866" s="10"/>
      <c r="C866" s="10"/>
      <c r="D866" s="10"/>
      <c r="E866" s="10"/>
      <c r="F866" s="10"/>
      <c r="G866" s="32"/>
      <c r="H866" s="32"/>
      <c r="I866" s="32"/>
      <c r="J866" s="73"/>
      <c r="K866" s="32"/>
      <c r="L866" s="32"/>
      <c r="M866" s="32"/>
      <c r="N866" s="32"/>
      <c r="O866" s="2"/>
      <c r="P866" s="2"/>
      <c r="Q866" s="32"/>
      <c r="R866" s="32"/>
      <c r="S866" s="32"/>
      <c r="T866" s="32"/>
      <c r="U866" s="2"/>
      <c r="V866" s="2"/>
      <c r="W866" s="2"/>
      <c r="X866" s="2"/>
      <c r="Y866" s="2"/>
      <c r="Z866" s="2"/>
    </row>
    <row r="867" spans="1:26" ht="13.8" x14ac:dyDescent="0.3">
      <c r="A867" s="2"/>
      <c r="B867" s="10"/>
      <c r="C867" s="10"/>
      <c r="D867" s="10"/>
      <c r="E867" s="10"/>
      <c r="F867" s="10"/>
      <c r="G867" s="32"/>
      <c r="H867" s="32"/>
      <c r="I867" s="32"/>
      <c r="J867" s="73"/>
      <c r="K867" s="32"/>
      <c r="L867" s="32"/>
      <c r="M867" s="32"/>
      <c r="N867" s="32"/>
      <c r="O867" s="2"/>
      <c r="P867" s="2"/>
      <c r="Q867" s="32"/>
      <c r="R867" s="32"/>
      <c r="S867" s="32"/>
      <c r="T867" s="32"/>
      <c r="U867" s="2"/>
      <c r="V867" s="2"/>
      <c r="W867" s="2"/>
      <c r="X867" s="2"/>
      <c r="Y867" s="2"/>
      <c r="Z867" s="2"/>
    </row>
    <row r="868" spans="1:26" ht="13.8" x14ac:dyDescent="0.3">
      <c r="A868" s="2"/>
      <c r="B868" s="10"/>
      <c r="C868" s="10"/>
      <c r="D868" s="10"/>
      <c r="E868" s="10"/>
      <c r="F868" s="10"/>
      <c r="G868" s="32"/>
      <c r="H868" s="32"/>
      <c r="I868" s="32"/>
      <c r="J868" s="73"/>
      <c r="K868" s="32"/>
      <c r="L868" s="32"/>
      <c r="M868" s="32"/>
      <c r="N868" s="32"/>
      <c r="O868" s="2"/>
      <c r="P868" s="2"/>
      <c r="Q868" s="32"/>
      <c r="R868" s="32"/>
      <c r="S868" s="32"/>
      <c r="T868" s="32"/>
      <c r="U868" s="2"/>
      <c r="V868" s="2"/>
      <c r="W868" s="2"/>
      <c r="X868" s="2"/>
      <c r="Y868" s="2"/>
      <c r="Z868" s="2"/>
    </row>
    <row r="869" spans="1:26" ht="13.8" x14ac:dyDescent="0.3">
      <c r="A869" s="2"/>
      <c r="B869" s="10"/>
      <c r="C869" s="10"/>
      <c r="D869" s="10"/>
      <c r="E869" s="10"/>
      <c r="F869" s="10"/>
      <c r="G869" s="32"/>
      <c r="H869" s="32"/>
      <c r="I869" s="32"/>
      <c r="J869" s="73"/>
      <c r="K869" s="32"/>
      <c r="L869" s="32"/>
      <c r="M869" s="32"/>
      <c r="N869" s="32"/>
      <c r="O869" s="2"/>
      <c r="P869" s="2"/>
      <c r="Q869" s="32"/>
      <c r="R869" s="32"/>
      <c r="S869" s="32"/>
      <c r="T869" s="32"/>
      <c r="U869" s="2"/>
      <c r="V869" s="2"/>
      <c r="W869" s="2"/>
      <c r="X869" s="2"/>
      <c r="Y869" s="2"/>
      <c r="Z869" s="2"/>
    </row>
    <row r="870" spans="1:26" ht="13.8" x14ac:dyDescent="0.3">
      <c r="A870" s="2"/>
      <c r="B870" s="10"/>
      <c r="C870" s="10"/>
      <c r="D870" s="10"/>
      <c r="E870" s="10"/>
      <c r="F870" s="10"/>
      <c r="G870" s="32"/>
      <c r="H870" s="32"/>
      <c r="I870" s="32"/>
      <c r="J870" s="73"/>
      <c r="K870" s="32"/>
      <c r="L870" s="32"/>
      <c r="M870" s="32"/>
      <c r="N870" s="32"/>
      <c r="O870" s="2"/>
      <c r="P870" s="2"/>
      <c r="Q870" s="32"/>
      <c r="R870" s="32"/>
      <c r="S870" s="32"/>
      <c r="T870" s="32"/>
      <c r="U870" s="2"/>
      <c r="V870" s="2"/>
      <c r="W870" s="2"/>
      <c r="X870" s="2"/>
      <c r="Y870" s="2"/>
      <c r="Z870" s="2"/>
    </row>
    <row r="871" spans="1:26" ht="13.8" x14ac:dyDescent="0.3">
      <c r="A871" s="2"/>
      <c r="B871" s="10"/>
      <c r="C871" s="10"/>
      <c r="D871" s="10"/>
      <c r="E871" s="10"/>
      <c r="F871" s="10"/>
      <c r="G871" s="32"/>
      <c r="H871" s="32"/>
      <c r="I871" s="32"/>
      <c r="J871" s="73"/>
      <c r="K871" s="32"/>
      <c r="L871" s="32"/>
      <c r="M871" s="32"/>
      <c r="N871" s="32"/>
      <c r="O871" s="2"/>
      <c r="P871" s="2"/>
      <c r="Q871" s="32"/>
      <c r="R871" s="32"/>
      <c r="S871" s="32"/>
      <c r="T871" s="32"/>
      <c r="U871" s="2"/>
      <c r="V871" s="2"/>
      <c r="W871" s="2"/>
      <c r="X871" s="2"/>
      <c r="Y871" s="2"/>
      <c r="Z871" s="2"/>
    </row>
    <row r="872" spans="1:26" ht="13.8" x14ac:dyDescent="0.3">
      <c r="A872" s="2"/>
      <c r="B872" s="10"/>
      <c r="C872" s="10"/>
      <c r="D872" s="10"/>
      <c r="E872" s="10"/>
      <c r="F872" s="10"/>
      <c r="G872" s="32"/>
      <c r="H872" s="32"/>
      <c r="I872" s="32"/>
      <c r="J872" s="73"/>
      <c r="K872" s="32"/>
      <c r="L872" s="32"/>
      <c r="M872" s="32"/>
      <c r="N872" s="32"/>
      <c r="O872" s="2"/>
      <c r="P872" s="2"/>
      <c r="Q872" s="32"/>
      <c r="R872" s="32"/>
      <c r="S872" s="32"/>
      <c r="T872" s="32"/>
      <c r="U872" s="2"/>
      <c r="V872" s="2"/>
      <c r="W872" s="2"/>
      <c r="X872" s="2"/>
      <c r="Y872" s="2"/>
      <c r="Z872" s="2"/>
    </row>
    <row r="873" spans="1:26" ht="13.8" x14ac:dyDescent="0.3">
      <c r="A873" s="2"/>
      <c r="B873" s="10"/>
      <c r="C873" s="10"/>
      <c r="D873" s="10"/>
      <c r="E873" s="10"/>
      <c r="F873" s="10"/>
      <c r="G873" s="32"/>
      <c r="H873" s="32"/>
      <c r="I873" s="32"/>
      <c r="J873" s="73"/>
      <c r="K873" s="32"/>
      <c r="L873" s="32"/>
      <c r="M873" s="32"/>
      <c r="N873" s="32"/>
      <c r="O873" s="2"/>
      <c r="P873" s="2"/>
      <c r="Q873" s="32"/>
      <c r="R873" s="32"/>
      <c r="S873" s="32"/>
      <c r="T873" s="32"/>
      <c r="U873" s="2"/>
      <c r="V873" s="2"/>
      <c r="W873" s="2"/>
      <c r="X873" s="2"/>
      <c r="Y873" s="2"/>
      <c r="Z873" s="2"/>
    </row>
    <row r="874" spans="1:26" ht="13.8" x14ac:dyDescent="0.3">
      <c r="A874" s="2"/>
      <c r="B874" s="10"/>
      <c r="C874" s="10"/>
      <c r="D874" s="10"/>
      <c r="E874" s="10"/>
      <c r="F874" s="10"/>
      <c r="G874" s="32"/>
      <c r="H874" s="32"/>
      <c r="I874" s="32"/>
      <c r="J874" s="73"/>
      <c r="K874" s="32"/>
      <c r="L874" s="32"/>
      <c r="M874" s="32"/>
      <c r="N874" s="32"/>
      <c r="O874" s="2"/>
      <c r="P874" s="2"/>
      <c r="Q874" s="32"/>
      <c r="R874" s="32"/>
      <c r="S874" s="32"/>
      <c r="T874" s="32"/>
      <c r="U874" s="2"/>
      <c r="V874" s="2"/>
      <c r="W874" s="2"/>
      <c r="X874" s="2"/>
      <c r="Y874" s="2"/>
      <c r="Z874" s="2"/>
    </row>
    <row r="875" spans="1:26" ht="13.8" x14ac:dyDescent="0.3">
      <c r="A875" s="2"/>
      <c r="B875" s="10"/>
      <c r="C875" s="10"/>
      <c r="D875" s="10"/>
      <c r="E875" s="10"/>
      <c r="F875" s="10"/>
      <c r="G875" s="32"/>
      <c r="H875" s="32"/>
      <c r="I875" s="32"/>
      <c r="J875" s="73"/>
      <c r="K875" s="32"/>
      <c r="L875" s="32"/>
      <c r="M875" s="32"/>
      <c r="N875" s="32"/>
      <c r="O875" s="2"/>
      <c r="P875" s="2"/>
      <c r="Q875" s="32"/>
      <c r="R875" s="32"/>
      <c r="S875" s="32"/>
      <c r="T875" s="32"/>
      <c r="U875" s="2"/>
      <c r="V875" s="2"/>
      <c r="W875" s="2"/>
      <c r="X875" s="2"/>
      <c r="Y875" s="2"/>
      <c r="Z875" s="2"/>
    </row>
    <row r="876" spans="1:26" ht="13.8" x14ac:dyDescent="0.3">
      <c r="A876" s="2"/>
      <c r="B876" s="10"/>
      <c r="C876" s="10"/>
      <c r="D876" s="10"/>
      <c r="E876" s="10"/>
      <c r="F876" s="10"/>
      <c r="G876" s="32"/>
      <c r="H876" s="32"/>
      <c r="I876" s="32"/>
      <c r="J876" s="73"/>
      <c r="K876" s="32"/>
      <c r="L876" s="32"/>
      <c r="M876" s="32"/>
      <c r="N876" s="32"/>
      <c r="O876" s="2"/>
      <c r="P876" s="2"/>
      <c r="Q876" s="32"/>
      <c r="R876" s="32"/>
      <c r="S876" s="32"/>
      <c r="T876" s="32"/>
      <c r="U876" s="2"/>
      <c r="V876" s="2"/>
      <c r="W876" s="2"/>
      <c r="X876" s="2"/>
      <c r="Y876" s="2"/>
      <c r="Z876" s="2"/>
    </row>
    <row r="877" spans="1:26" ht="13.8" x14ac:dyDescent="0.3">
      <c r="A877" s="2"/>
      <c r="B877" s="10"/>
      <c r="C877" s="10"/>
      <c r="D877" s="10"/>
      <c r="E877" s="10"/>
      <c r="F877" s="10"/>
      <c r="G877" s="32"/>
      <c r="H877" s="32"/>
      <c r="I877" s="32"/>
      <c r="J877" s="73"/>
      <c r="K877" s="32"/>
      <c r="L877" s="32"/>
      <c r="M877" s="32"/>
      <c r="N877" s="32"/>
      <c r="O877" s="2"/>
      <c r="P877" s="2"/>
      <c r="Q877" s="32"/>
      <c r="R877" s="32"/>
      <c r="S877" s="32"/>
      <c r="T877" s="32"/>
      <c r="U877" s="2"/>
      <c r="V877" s="2"/>
      <c r="W877" s="2"/>
      <c r="X877" s="2"/>
      <c r="Y877" s="2"/>
      <c r="Z877" s="2"/>
    </row>
    <row r="878" spans="1:26" ht="13.8" x14ac:dyDescent="0.3">
      <c r="A878" s="2"/>
      <c r="B878" s="10"/>
      <c r="C878" s="10"/>
      <c r="D878" s="10"/>
      <c r="E878" s="10"/>
      <c r="F878" s="10"/>
      <c r="G878" s="32"/>
      <c r="H878" s="32"/>
      <c r="I878" s="32"/>
      <c r="J878" s="73"/>
      <c r="K878" s="32"/>
      <c r="L878" s="32"/>
      <c r="M878" s="32"/>
      <c r="N878" s="32"/>
      <c r="O878" s="2"/>
      <c r="P878" s="2"/>
      <c r="Q878" s="32"/>
      <c r="R878" s="32"/>
      <c r="S878" s="32"/>
      <c r="T878" s="32"/>
      <c r="U878" s="2"/>
      <c r="V878" s="2"/>
      <c r="W878" s="2"/>
      <c r="X878" s="2"/>
      <c r="Y878" s="2"/>
      <c r="Z878" s="2"/>
    </row>
    <row r="879" spans="1:26" ht="13.8" x14ac:dyDescent="0.3">
      <c r="A879" s="2"/>
      <c r="B879" s="10"/>
      <c r="C879" s="10"/>
      <c r="D879" s="10"/>
      <c r="E879" s="10"/>
      <c r="F879" s="10"/>
      <c r="G879" s="32"/>
      <c r="H879" s="32"/>
      <c r="I879" s="32"/>
      <c r="J879" s="73"/>
      <c r="K879" s="32"/>
      <c r="L879" s="32"/>
      <c r="M879" s="32"/>
      <c r="N879" s="32"/>
      <c r="O879" s="2"/>
      <c r="P879" s="2"/>
      <c r="Q879" s="32"/>
      <c r="R879" s="32"/>
      <c r="S879" s="32"/>
      <c r="T879" s="32"/>
      <c r="U879" s="2"/>
      <c r="V879" s="2"/>
      <c r="W879" s="2"/>
      <c r="X879" s="2"/>
      <c r="Y879" s="2"/>
      <c r="Z879" s="2"/>
    </row>
    <row r="880" spans="1:26" ht="13.8" x14ac:dyDescent="0.3">
      <c r="A880" s="2"/>
      <c r="B880" s="10"/>
      <c r="C880" s="10"/>
      <c r="D880" s="10"/>
      <c r="E880" s="10"/>
      <c r="F880" s="10"/>
      <c r="G880" s="32"/>
      <c r="H880" s="32"/>
      <c r="I880" s="32"/>
      <c r="J880" s="73"/>
      <c r="K880" s="32"/>
      <c r="L880" s="32"/>
      <c r="M880" s="32"/>
      <c r="N880" s="32"/>
      <c r="O880" s="2"/>
      <c r="P880" s="2"/>
      <c r="Q880" s="32"/>
      <c r="R880" s="32"/>
      <c r="S880" s="32"/>
      <c r="T880" s="32"/>
      <c r="U880" s="2"/>
      <c r="V880" s="2"/>
      <c r="W880" s="2"/>
      <c r="X880" s="2"/>
      <c r="Y880" s="2"/>
      <c r="Z880" s="2"/>
    </row>
    <row r="881" spans="1:26" ht="13.8" x14ac:dyDescent="0.3">
      <c r="A881" s="2"/>
      <c r="B881" s="10"/>
      <c r="C881" s="10"/>
      <c r="D881" s="10"/>
      <c r="E881" s="10"/>
      <c r="F881" s="10"/>
      <c r="G881" s="32"/>
      <c r="H881" s="32"/>
      <c r="I881" s="32"/>
      <c r="J881" s="73"/>
      <c r="K881" s="32"/>
      <c r="L881" s="32"/>
      <c r="M881" s="32"/>
      <c r="N881" s="32"/>
      <c r="O881" s="2"/>
      <c r="P881" s="2"/>
      <c r="Q881" s="32"/>
      <c r="R881" s="32"/>
      <c r="S881" s="32"/>
      <c r="T881" s="32"/>
      <c r="U881" s="2"/>
      <c r="V881" s="2"/>
      <c r="W881" s="2"/>
      <c r="X881" s="2"/>
      <c r="Y881" s="2"/>
      <c r="Z881" s="2"/>
    </row>
    <row r="882" spans="1:26" ht="13.8" x14ac:dyDescent="0.3">
      <c r="A882" s="2"/>
      <c r="B882" s="10"/>
      <c r="C882" s="10"/>
      <c r="D882" s="10"/>
      <c r="E882" s="10"/>
      <c r="F882" s="10"/>
      <c r="G882" s="32"/>
      <c r="H882" s="32"/>
      <c r="I882" s="32"/>
      <c r="J882" s="73"/>
      <c r="K882" s="32"/>
      <c r="L882" s="32"/>
      <c r="M882" s="32"/>
      <c r="N882" s="32"/>
      <c r="O882" s="2"/>
      <c r="P882" s="2"/>
      <c r="Q882" s="32"/>
      <c r="R882" s="32"/>
      <c r="S882" s="32"/>
      <c r="T882" s="32"/>
      <c r="U882" s="2"/>
      <c r="V882" s="2"/>
      <c r="W882" s="2"/>
      <c r="X882" s="2"/>
      <c r="Y882" s="2"/>
      <c r="Z882" s="2"/>
    </row>
    <row r="883" spans="1:26" ht="13.8" x14ac:dyDescent="0.3">
      <c r="A883" s="2"/>
      <c r="B883" s="10"/>
      <c r="C883" s="10"/>
      <c r="D883" s="10"/>
      <c r="E883" s="10"/>
      <c r="F883" s="10"/>
      <c r="G883" s="32"/>
      <c r="H883" s="32"/>
      <c r="I883" s="32"/>
      <c r="J883" s="73"/>
      <c r="K883" s="32"/>
      <c r="L883" s="32"/>
      <c r="M883" s="32"/>
      <c r="N883" s="32"/>
      <c r="O883" s="2"/>
      <c r="P883" s="2"/>
      <c r="Q883" s="32"/>
      <c r="R883" s="32"/>
      <c r="S883" s="32"/>
      <c r="T883" s="32"/>
      <c r="U883" s="2"/>
      <c r="V883" s="2"/>
      <c r="W883" s="2"/>
      <c r="X883" s="2"/>
      <c r="Y883" s="2"/>
      <c r="Z883" s="2"/>
    </row>
    <row r="884" spans="1:26" ht="13.8" x14ac:dyDescent="0.3">
      <c r="A884" s="2"/>
      <c r="B884" s="10"/>
      <c r="C884" s="10"/>
      <c r="D884" s="10"/>
      <c r="E884" s="10"/>
      <c r="F884" s="10"/>
      <c r="G884" s="32"/>
      <c r="H884" s="32"/>
      <c r="I884" s="32"/>
      <c r="J884" s="73"/>
      <c r="K884" s="32"/>
      <c r="L884" s="32"/>
      <c r="M884" s="32"/>
      <c r="N884" s="32"/>
      <c r="O884" s="2"/>
      <c r="P884" s="2"/>
      <c r="Q884" s="32"/>
      <c r="R884" s="32"/>
      <c r="S884" s="32"/>
      <c r="T884" s="32"/>
      <c r="U884" s="2"/>
      <c r="V884" s="2"/>
      <c r="W884" s="2"/>
      <c r="X884" s="2"/>
      <c r="Y884" s="2"/>
      <c r="Z884" s="2"/>
    </row>
    <row r="885" spans="1:26" ht="13.8" x14ac:dyDescent="0.3">
      <c r="A885" s="2"/>
      <c r="B885" s="10"/>
      <c r="C885" s="10"/>
      <c r="D885" s="10"/>
      <c r="E885" s="10"/>
      <c r="F885" s="10"/>
      <c r="G885" s="32"/>
      <c r="H885" s="32"/>
      <c r="I885" s="32"/>
      <c r="J885" s="73"/>
      <c r="K885" s="32"/>
      <c r="L885" s="32"/>
      <c r="M885" s="32"/>
      <c r="N885" s="32"/>
      <c r="O885" s="2"/>
      <c r="P885" s="2"/>
      <c r="Q885" s="32"/>
      <c r="R885" s="32"/>
      <c r="S885" s="32"/>
      <c r="T885" s="32"/>
      <c r="U885" s="2"/>
      <c r="V885" s="2"/>
      <c r="W885" s="2"/>
      <c r="X885" s="2"/>
      <c r="Y885" s="2"/>
      <c r="Z885" s="2"/>
    </row>
    <row r="886" spans="1:26" ht="13.8" x14ac:dyDescent="0.3">
      <c r="A886" s="2"/>
      <c r="B886" s="10"/>
      <c r="C886" s="10"/>
      <c r="D886" s="10"/>
      <c r="E886" s="10"/>
      <c r="F886" s="10"/>
      <c r="G886" s="32"/>
      <c r="H886" s="32"/>
      <c r="I886" s="32"/>
      <c r="J886" s="73"/>
      <c r="K886" s="32"/>
      <c r="L886" s="32"/>
      <c r="M886" s="32"/>
      <c r="N886" s="32"/>
      <c r="O886" s="2"/>
      <c r="P886" s="2"/>
      <c r="Q886" s="32"/>
      <c r="R886" s="32"/>
      <c r="S886" s="32"/>
      <c r="T886" s="32"/>
      <c r="U886" s="2"/>
      <c r="V886" s="2"/>
      <c r="W886" s="2"/>
      <c r="X886" s="2"/>
      <c r="Y886" s="2"/>
      <c r="Z886" s="2"/>
    </row>
    <row r="887" spans="1:26" ht="13.8" x14ac:dyDescent="0.3">
      <c r="A887" s="2"/>
      <c r="B887" s="10"/>
      <c r="C887" s="10"/>
      <c r="D887" s="10"/>
      <c r="E887" s="10"/>
      <c r="F887" s="10"/>
      <c r="G887" s="32"/>
      <c r="H887" s="32"/>
      <c r="I887" s="32"/>
      <c r="J887" s="73"/>
      <c r="K887" s="32"/>
      <c r="L887" s="32"/>
      <c r="M887" s="32"/>
      <c r="N887" s="32"/>
      <c r="O887" s="2"/>
      <c r="P887" s="2"/>
      <c r="Q887" s="32"/>
      <c r="R887" s="32"/>
      <c r="S887" s="32"/>
      <c r="T887" s="32"/>
      <c r="U887" s="2"/>
      <c r="V887" s="2"/>
      <c r="W887" s="2"/>
      <c r="X887" s="2"/>
      <c r="Y887" s="2"/>
      <c r="Z887" s="2"/>
    </row>
    <row r="888" spans="1:26" ht="13.8" x14ac:dyDescent="0.3">
      <c r="A888" s="2"/>
      <c r="B888" s="10"/>
      <c r="C888" s="10"/>
      <c r="D888" s="10"/>
      <c r="E888" s="10"/>
      <c r="F888" s="10"/>
      <c r="G888" s="32"/>
      <c r="H888" s="32"/>
      <c r="I888" s="32"/>
      <c r="J888" s="73"/>
      <c r="K888" s="32"/>
      <c r="L888" s="32"/>
      <c r="M888" s="32"/>
      <c r="N888" s="32"/>
      <c r="O888" s="2"/>
      <c r="P888" s="2"/>
      <c r="Q888" s="32"/>
      <c r="R888" s="32"/>
      <c r="S888" s="32"/>
      <c r="T888" s="32"/>
      <c r="U888" s="2"/>
      <c r="V888" s="2"/>
      <c r="W888" s="2"/>
      <c r="X888" s="2"/>
      <c r="Y888" s="2"/>
      <c r="Z888" s="2"/>
    </row>
    <row r="889" spans="1:26" ht="13.8" x14ac:dyDescent="0.3">
      <c r="A889" s="2"/>
      <c r="B889" s="10"/>
      <c r="C889" s="10"/>
      <c r="D889" s="10"/>
      <c r="E889" s="10"/>
      <c r="F889" s="10"/>
      <c r="G889" s="32"/>
      <c r="H889" s="32"/>
      <c r="I889" s="32"/>
      <c r="J889" s="73"/>
      <c r="K889" s="32"/>
      <c r="L889" s="32"/>
      <c r="M889" s="32"/>
      <c r="N889" s="32"/>
      <c r="O889" s="2"/>
      <c r="P889" s="2"/>
      <c r="Q889" s="32"/>
      <c r="R889" s="32"/>
      <c r="S889" s="32"/>
      <c r="T889" s="32"/>
      <c r="U889" s="2"/>
      <c r="V889" s="2"/>
      <c r="W889" s="2"/>
      <c r="X889" s="2"/>
      <c r="Y889" s="2"/>
      <c r="Z889" s="2"/>
    </row>
    <row r="890" spans="1:26" ht="13.8" x14ac:dyDescent="0.3">
      <c r="A890" s="2"/>
      <c r="B890" s="10"/>
      <c r="C890" s="10"/>
      <c r="D890" s="10"/>
      <c r="E890" s="10"/>
      <c r="F890" s="10"/>
      <c r="G890" s="32"/>
      <c r="H890" s="32"/>
      <c r="I890" s="32"/>
      <c r="J890" s="73"/>
      <c r="K890" s="32"/>
      <c r="L890" s="32"/>
      <c r="M890" s="32"/>
      <c r="N890" s="32"/>
      <c r="O890" s="2"/>
      <c r="P890" s="2"/>
      <c r="Q890" s="32"/>
      <c r="R890" s="32"/>
      <c r="S890" s="32"/>
      <c r="T890" s="32"/>
      <c r="U890" s="2"/>
      <c r="V890" s="2"/>
      <c r="W890" s="2"/>
      <c r="X890" s="2"/>
      <c r="Y890" s="2"/>
      <c r="Z890" s="2"/>
    </row>
    <row r="891" spans="1:26" ht="13.8" x14ac:dyDescent="0.3">
      <c r="A891" s="2"/>
      <c r="B891" s="10"/>
      <c r="C891" s="10"/>
      <c r="D891" s="10"/>
      <c r="E891" s="10"/>
      <c r="F891" s="10"/>
      <c r="G891" s="32"/>
      <c r="H891" s="32"/>
      <c r="I891" s="32"/>
      <c r="J891" s="73"/>
      <c r="K891" s="32"/>
      <c r="L891" s="32"/>
      <c r="M891" s="32"/>
      <c r="N891" s="32"/>
      <c r="O891" s="2"/>
      <c r="P891" s="2"/>
      <c r="Q891" s="32"/>
      <c r="R891" s="32"/>
      <c r="S891" s="32"/>
      <c r="T891" s="32"/>
      <c r="U891" s="2"/>
      <c r="V891" s="2"/>
      <c r="W891" s="2"/>
      <c r="X891" s="2"/>
      <c r="Y891" s="2"/>
      <c r="Z891" s="2"/>
    </row>
    <row r="892" spans="1:26" ht="13.8" x14ac:dyDescent="0.3">
      <c r="A892" s="2"/>
      <c r="B892" s="10"/>
      <c r="C892" s="10"/>
      <c r="D892" s="10"/>
      <c r="E892" s="10"/>
      <c r="F892" s="10"/>
      <c r="G892" s="32"/>
      <c r="H892" s="32"/>
      <c r="I892" s="32"/>
      <c r="J892" s="73"/>
      <c r="K892" s="32"/>
      <c r="L892" s="32"/>
      <c r="M892" s="32"/>
      <c r="N892" s="32"/>
      <c r="O892" s="2"/>
      <c r="P892" s="2"/>
      <c r="Q892" s="32"/>
      <c r="R892" s="32"/>
      <c r="S892" s="32"/>
      <c r="T892" s="32"/>
      <c r="U892" s="2"/>
      <c r="V892" s="2"/>
      <c r="W892" s="2"/>
      <c r="X892" s="2"/>
      <c r="Y892" s="2"/>
      <c r="Z892" s="2"/>
    </row>
    <row r="893" spans="1:26" ht="13.8" x14ac:dyDescent="0.3">
      <c r="A893" s="2"/>
      <c r="B893" s="10"/>
      <c r="C893" s="10"/>
      <c r="D893" s="10"/>
      <c r="E893" s="10"/>
      <c r="F893" s="10"/>
      <c r="G893" s="32"/>
      <c r="H893" s="32"/>
      <c r="I893" s="32"/>
      <c r="J893" s="73"/>
      <c r="K893" s="32"/>
      <c r="L893" s="32"/>
      <c r="M893" s="32"/>
      <c r="N893" s="32"/>
      <c r="O893" s="2"/>
      <c r="P893" s="2"/>
      <c r="Q893" s="32"/>
      <c r="R893" s="32"/>
      <c r="S893" s="32"/>
      <c r="T893" s="32"/>
      <c r="U893" s="2"/>
      <c r="V893" s="2"/>
      <c r="W893" s="2"/>
      <c r="X893" s="2"/>
      <c r="Y893" s="2"/>
      <c r="Z893" s="2"/>
    </row>
    <row r="894" spans="1:26" ht="13.8" x14ac:dyDescent="0.3">
      <c r="A894" s="2"/>
      <c r="B894" s="10"/>
      <c r="C894" s="10"/>
      <c r="D894" s="10"/>
      <c r="E894" s="10"/>
      <c r="F894" s="10"/>
      <c r="G894" s="32"/>
      <c r="H894" s="32"/>
      <c r="I894" s="32"/>
      <c r="J894" s="73"/>
      <c r="K894" s="32"/>
      <c r="L894" s="32"/>
      <c r="M894" s="32"/>
      <c r="N894" s="32"/>
      <c r="O894" s="2"/>
      <c r="P894" s="2"/>
      <c r="Q894" s="32"/>
      <c r="R894" s="32"/>
      <c r="S894" s="32"/>
      <c r="T894" s="32"/>
      <c r="U894" s="2"/>
      <c r="V894" s="2"/>
      <c r="W894" s="2"/>
      <c r="X894" s="2"/>
      <c r="Y894" s="2"/>
      <c r="Z894" s="2"/>
    </row>
    <row r="895" spans="1:26" ht="13.8" x14ac:dyDescent="0.3">
      <c r="A895" s="2"/>
      <c r="B895" s="10"/>
      <c r="C895" s="10"/>
      <c r="D895" s="10"/>
      <c r="E895" s="10"/>
      <c r="F895" s="10"/>
      <c r="G895" s="32"/>
      <c r="H895" s="32"/>
      <c r="I895" s="32"/>
      <c r="J895" s="73"/>
      <c r="K895" s="32"/>
      <c r="L895" s="32"/>
      <c r="M895" s="32"/>
      <c r="N895" s="32"/>
      <c r="O895" s="2"/>
      <c r="P895" s="2"/>
      <c r="Q895" s="32"/>
      <c r="R895" s="32"/>
      <c r="S895" s="32"/>
      <c r="T895" s="32"/>
      <c r="U895" s="2"/>
      <c r="V895" s="2"/>
      <c r="W895" s="2"/>
      <c r="X895" s="2"/>
      <c r="Y895" s="2"/>
      <c r="Z895" s="2"/>
    </row>
    <row r="896" spans="1:26" ht="13.8" x14ac:dyDescent="0.3">
      <c r="A896" s="2"/>
      <c r="B896" s="10"/>
      <c r="C896" s="10"/>
      <c r="D896" s="10"/>
      <c r="E896" s="10"/>
      <c r="F896" s="10"/>
      <c r="G896" s="32"/>
      <c r="H896" s="32"/>
      <c r="I896" s="32"/>
      <c r="J896" s="73"/>
      <c r="K896" s="32"/>
      <c r="L896" s="32"/>
      <c r="M896" s="32"/>
      <c r="N896" s="32"/>
      <c r="O896" s="2"/>
      <c r="P896" s="2"/>
      <c r="Q896" s="32"/>
      <c r="R896" s="32"/>
      <c r="S896" s="32"/>
      <c r="T896" s="32"/>
      <c r="U896" s="2"/>
      <c r="V896" s="2"/>
      <c r="W896" s="2"/>
      <c r="X896" s="2"/>
      <c r="Y896" s="2"/>
      <c r="Z896" s="2"/>
    </row>
    <row r="897" spans="1:26" ht="13.8" x14ac:dyDescent="0.3">
      <c r="A897" s="2"/>
      <c r="B897" s="10"/>
      <c r="C897" s="10"/>
      <c r="D897" s="10"/>
      <c r="E897" s="10"/>
      <c r="F897" s="10"/>
      <c r="G897" s="32"/>
      <c r="H897" s="32"/>
      <c r="I897" s="32"/>
      <c r="J897" s="73"/>
      <c r="K897" s="32"/>
      <c r="L897" s="32"/>
      <c r="M897" s="32"/>
      <c r="N897" s="32"/>
      <c r="O897" s="2"/>
      <c r="P897" s="2"/>
      <c r="Q897" s="32"/>
      <c r="R897" s="32"/>
      <c r="S897" s="32"/>
      <c r="T897" s="32"/>
      <c r="U897" s="2"/>
      <c r="V897" s="2"/>
      <c r="W897" s="2"/>
      <c r="X897" s="2"/>
      <c r="Y897" s="2"/>
      <c r="Z897" s="2"/>
    </row>
    <row r="898" spans="1:26" ht="13.8" x14ac:dyDescent="0.3">
      <c r="A898" s="2"/>
      <c r="B898" s="10"/>
      <c r="C898" s="10"/>
      <c r="D898" s="10"/>
      <c r="E898" s="10"/>
      <c r="F898" s="10"/>
      <c r="G898" s="32"/>
      <c r="H898" s="32"/>
      <c r="I898" s="32"/>
      <c r="J898" s="73"/>
      <c r="K898" s="32"/>
      <c r="L898" s="32"/>
      <c r="M898" s="32"/>
      <c r="N898" s="32"/>
      <c r="O898" s="2"/>
      <c r="P898" s="2"/>
      <c r="Q898" s="32"/>
      <c r="R898" s="32"/>
      <c r="S898" s="32"/>
      <c r="T898" s="32"/>
      <c r="U898" s="2"/>
      <c r="V898" s="2"/>
      <c r="W898" s="2"/>
      <c r="X898" s="2"/>
      <c r="Y898" s="2"/>
      <c r="Z898" s="2"/>
    </row>
    <row r="899" spans="1:26" ht="13.8" x14ac:dyDescent="0.3">
      <c r="A899" s="2"/>
      <c r="B899" s="10"/>
      <c r="C899" s="10"/>
      <c r="D899" s="10"/>
      <c r="E899" s="10"/>
      <c r="F899" s="10"/>
      <c r="G899" s="32"/>
      <c r="H899" s="32"/>
      <c r="I899" s="32"/>
      <c r="J899" s="73"/>
      <c r="K899" s="32"/>
      <c r="L899" s="32"/>
      <c r="M899" s="32"/>
      <c r="N899" s="32"/>
      <c r="O899" s="2"/>
      <c r="P899" s="2"/>
      <c r="Q899" s="32"/>
      <c r="R899" s="32"/>
      <c r="S899" s="32"/>
      <c r="T899" s="32"/>
      <c r="U899" s="2"/>
      <c r="V899" s="2"/>
      <c r="W899" s="2"/>
      <c r="X899" s="2"/>
      <c r="Y899" s="2"/>
      <c r="Z899" s="2"/>
    </row>
    <row r="900" spans="1:26" ht="13.8" x14ac:dyDescent="0.3">
      <c r="A900" s="2"/>
      <c r="B900" s="10"/>
      <c r="C900" s="10"/>
      <c r="D900" s="10"/>
      <c r="E900" s="10"/>
      <c r="F900" s="10"/>
      <c r="G900" s="32"/>
      <c r="H900" s="32"/>
      <c r="I900" s="32"/>
      <c r="J900" s="73"/>
      <c r="K900" s="32"/>
      <c r="L900" s="32"/>
      <c r="M900" s="32"/>
      <c r="N900" s="32"/>
      <c r="O900" s="2"/>
      <c r="P900" s="2"/>
      <c r="Q900" s="32"/>
      <c r="R900" s="32"/>
      <c r="S900" s="32"/>
      <c r="T900" s="32"/>
      <c r="U900" s="2"/>
      <c r="V900" s="2"/>
      <c r="W900" s="2"/>
      <c r="X900" s="2"/>
      <c r="Y900" s="2"/>
      <c r="Z900" s="2"/>
    </row>
    <row r="901" spans="1:26" ht="13.8" x14ac:dyDescent="0.3">
      <c r="A901" s="2"/>
      <c r="B901" s="10"/>
      <c r="C901" s="10"/>
      <c r="D901" s="10"/>
      <c r="E901" s="10"/>
      <c r="F901" s="10"/>
      <c r="G901" s="32"/>
      <c r="H901" s="32"/>
      <c r="I901" s="32"/>
      <c r="J901" s="73"/>
      <c r="K901" s="32"/>
      <c r="L901" s="32"/>
      <c r="M901" s="32"/>
      <c r="N901" s="32"/>
      <c r="O901" s="2"/>
      <c r="P901" s="2"/>
      <c r="Q901" s="32"/>
      <c r="R901" s="32"/>
      <c r="S901" s="32"/>
      <c r="T901" s="32"/>
      <c r="U901" s="2"/>
      <c r="V901" s="2"/>
      <c r="W901" s="2"/>
      <c r="X901" s="2"/>
      <c r="Y901" s="2"/>
      <c r="Z901" s="2"/>
    </row>
    <row r="902" spans="1:26" ht="13.8" x14ac:dyDescent="0.3">
      <c r="A902" s="2"/>
      <c r="B902" s="10"/>
      <c r="C902" s="10"/>
      <c r="D902" s="10"/>
      <c r="E902" s="10"/>
      <c r="F902" s="10"/>
      <c r="G902" s="32"/>
      <c r="H902" s="32"/>
      <c r="I902" s="32"/>
      <c r="J902" s="73"/>
      <c r="K902" s="32"/>
      <c r="L902" s="32"/>
      <c r="M902" s="32"/>
      <c r="N902" s="32"/>
      <c r="O902" s="2"/>
      <c r="P902" s="2"/>
      <c r="Q902" s="32"/>
      <c r="R902" s="32"/>
      <c r="S902" s="32"/>
      <c r="T902" s="32"/>
      <c r="U902" s="2"/>
      <c r="V902" s="2"/>
      <c r="W902" s="2"/>
      <c r="X902" s="2"/>
      <c r="Y902" s="2"/>
      <c r="Z902" s="2"/>
    </row>
    <row r="903" spans="1:26" ht="13.8" x14ac:dyDescent="0.3">
      <c r="A903" s="2"/>
      <c r="B903" s="10"/>
      <c r="C903" s="10"/>
      <c r="D903" s="10"/>
      <c r="E903" s="10"/>
      <c r="F903" s="10"/>
      <c r="G903" s="32"/>
      <c r="H903" s="32"/>
      <c r="I903" s="32"/>
      <c r="J903" s="73"/>
      <c r="K903" s="32"/>
      <c r="L903" s="32"/>
      <c r="M903" s="32"/>
      <c r="N903" s="32"/>
      <c r="O903" s="2"/>
      <c r="P903" s="2"/>
      <c r="Q903" s="32"/>
      <c r="R903" s="32"/>
      <c r="S903" s="32"/>
      <c r="T903" s="32"/>
      <c r="U903" s="2"/>
      <c r="V903" s="2"/>
      <c r="W903" s="2"/>
      <c r="X903" s="2"/>
      <c r="Y903" s="2"/>
      <c r="Z903" s="2"/>
    </row>
    <row r="904" spans="1:26" ht="13.8" x14ac:dyDescent="0.3">
      <c r="A904" s="2"/>
      <c r="B904" s="10"/>
      <c r="C904" s="10"/>
      <c r="D904" s="10"/>
      <c r="E904" s="10"/>
      <c r="F904" s="10"/>
      <c r="G904" s="32"/>
      <c r="H904" s="32"/>
      <c r="I904" s="32"/>
      <c r="J904" s="73"/>
      <c r="K904" s="32"/>
      <c r="L904" s="32"/>
      <c r="M904" s="32"/>
      <c r="N904" s="32"/>
      <c r="O904" s="2"/>
      <c r="P904" s="2"/>
      <c r="Q904" s="32"/>
      <c r="R904" s="32"/>
      <c r="S904" s="32"/>
      <c r="T904" s="32"/>
      <c r="U904" s="2"/>
      <c r="V904" s="2"/>
      <c r="W904" s="2"/>
      <c r="X904" s="2"/>
      <c r="Y904" s="2"/>
      <c r="Z904" s="2"/>
    </row>
    <row r="905" spans="1:26" ht="13.8" x14ac:dyDescent="0.3">
      <c r="A905" s="2"/>
      <c r="B905" s="10"/>
      <c r="C905" s="10"/>
      <c r="D905" s="10"/>
      <c r="E905" s="10"/>
      <c r="F905" s="10"/>
      <c r="G905" s="32"/>
      <c r="H905" s="32"/>
      <c r="I905" s="32"/>
      <c r="J905" s="73"/>
      <c r="K905" s="32"/>
      <c r="L905" s="32"/>
      <c r="M905" s="32"/>
      <c r="N905" s="32"/>
      <c r="O905" s="2"/>
      <c r="P905" s="2"/>
      <c r="Q905" s="32"/>
      <c r="R905" s="32"/>
      <c r="S905" s="32"/>
      <c r="T905" s="32"/>
      <c r="U905" s="2"/>
      <c r="V905" s="2"/>
      <c r="W905" s="2"/>
      <c r="X905" s="2"/>
      <c r="Y905" s="2"/>
      <c r="Z905" s="2"/>
    </row>
    <row r="906" spans="1:26" ht="13.8" x14ac:dyDescent="0.3">
      <c r="A906" s="2"/>
      <c r="B906" s="10"/>
      <c r="C906" s="10"/>
      <c r="D906" s="10"/>
      <c r="E906" s="10"/>
      <c r="F906" s="10"/>
      <c r="G906" s="32"/>
      <c r="H906" s="32"/>
      <c r="I906" s="32"/>
      <c r="J906" s="73"/>
      <c r="K906" s="32"/>
      <c r="L906" s="32"/>
      <c r="M906" s="32"/>
      <c r="N906" s="32"/>
      <c r="O906" s="2"/>
      <c r="P906" s="2"/>
      <c r="Q906" s="32"/>
      <c r="R906" s="32"/>
      <c r="S906" s="32"/>
      <c r="T906" s="32"/>
      <c r="U906" s="2"/>
      <c r="V906" s="2"/>
      <c r="W906" s="2"/>
      <c r="X906" s="2"/>
      <c r="Y906" s="2"/>
      <c r="Z906" s="2"/>
    </row>
    <row r="907" spans="1:26" ht="13.8" x14ac:dyDescent="0.3">
      <c r="A907" s="2"/>
      <c r="B907" s="10"/>
      <c r="C907" s="10"/>
      <c r="D907" s="10"/>
      <c r="E907" s="10"/>
      <c r="F907" s="10"/>
      <c r="G907" s="32"/>
      <c r="H907" s="32"/>
      <c r="I907" s="32"/>
      <c r="J907" s="73"/>
      <c r="K907" s="32"/>
      <c r="L907" s="32"/>
      <c r="M907" s="32"/>
      <c r="N907" s="32"/>
      <c r="O907" s="2"/>
      <c r="P907" s="2"/>
      <c r="Q907" s="32"/>
      <c r="R907" s="32"/>
      <c r="S907" s="32"/>
      <c r="T907" s="32"/>
      <c r="U907" s="2"/>
      <c r="V907" s="2"/>
      <c r="W907" s="2"/>
      <c r="X907" s="2"/>
      <c r="Y907" s="2"/>
      <c r="Z907" s="2"/>
    </row>
    <row r="908" spans="1:26" ht="13.8" x14ac:dyDescent="0.3">
      <c r="A908" s="2"/>
      <c r="B908" s="10"/>
      <c r="C908" s="10"/>
      <c r="D908" s="10"/>
      <c r="E908" s="10"/>
      <c r="F908" s="10"/>
      <c r="G908" s="32"/>
      <c r="H908" s="32"/>
      <c r="I908" s="32"/>
      <c r="J908" s="73"/>
      <c r="K908" s="32"/>
      <c r="L908" s="32"/>
      <c r="M908" s="32"/>
      <c r="N908" s="32"/>
      <c r="O908" s="2"/>
      <c r="P908" s="2"/>
      <c r="Q908" s="32"/>
      <c r="R908" s="32"/>
      <c r="S908" s="32"/>
      <c r="T908" s="32"/>
      <c r="U908" s="2"/>
      <c r="V908" s="2"/>
      <c r="W908" s="2"/>
      <c r="X908" s="2"/>
      <c r="Y908" s="2"/>
      <c r="Z908" s="2"/>
    </row>
    <row r="909" spans="1:26" ht="13.8" x14ac:dyDescent="0.3">
      <c r="A909" s="2"/>
      <c r="B909" s="10"/>
      <c r="C909" s="10"/>
      <c r="D909" s="10"/>
      <c r="E909" s="10"/>
      <c r="F909" s="10"/>
      <c r="G909" s="32"/>
      <c r="H909" s="32"/>
      <c r="I909" s="32"/>
      <c r="J909" s="73"/>
      <c r="K909" s="32"/>
      <c r="L909" s="32"/>
      <c r="M909" s="32"/>
      <c r="N909" s="32"/>
      <c r="O909" s="2"/>
      <c r="P909" s="2"/>
      <c r="Q909" s="32"/>
      <c r="R909" s="32"/>
      <c r="S909" s="32"/>
      <c r="T909" s="32"/>
      <c r="U909" s="2"/>
      <c r="V909" s="2"/>
      <c r="W909" s="2"/>
      <c r="X909" s="2"/>
      <c r="Y909" s="2"/>
      <c r="Z909" s="2"/>
    </row>
    <row r="910" spans="1:26" ht="13.8" x14ac:dyDescent="0.3">
      <c r="A910" s="2"/>
      <c r="B910" s="10"/>
      <c r="C910" s="10"/>
      <c r="D910" s="10"/>
      <c r="E910" s="10"/>
      <c r="F910" s="10"/>
      <c r="G910" s="32"/>
      <c r="H910" s="32"/>
      <c r="I910" s="32"/>
      <c r="J910" s="73"/>
      <c r="K910" s="32"/>
      <c r="L910" s="32"/>
      <c r="M910" s="32"/>
      <c r="N910" s="32"/>
      <c r="O910" s="2"/>
      <c r="P910" s="2"/>
      <c r="Q910" s="32"/>
      <c r="R910" s="32"/>
      <c r="S910" s="32"/>
      <c r="T910" s="32"/>
      <c r="U910" s="2"/>
      <c r="V910" s="2"/>
      <c r="W910" s="2"/>
      <c r="X910" s="2"/>
      <c r="Y910" s="2"/>
      <c r="Z910" s="2"/>
    </row>
    <row r="911" spans="1:26" ht="13.8" x14ac:dyDescent="0.3">
      <c r="A911" s="2"/>
      <c r="B911" s="10"/>
      <c r="C911" s="10"/>
      <c r="D911" s="10"/>
      <c r="E911" s="10"/>
      <c r="F911" s="10"/>
      <c r="G911" s="32"/>
      <c r="H911" s="32"/>
      <c r="I911" s="32"/>
      <c r="J911" s="73"/>
      <c r="K911" s="32"/>
      <c r="L911" s="32"/>
      <c r="M911" s="32"/>
      <c r="N911" s="32"/>
      <c r="O911" s="2"/>
      <c r="P911" s="2"/>
      <c r="Q911" s="32"/>
      <c r="R911" s="32"/>
      <c r="S911" s="32"/>
      <c r="T911" s="32"/>
      <c r="U911" s="2"/>
      <c r="V911" s="2"/>
      <c r="W911" s="2"/>
      <c r="X911" s="2"/>
      <c r="Y911" s="2"/>
      <c r="Z911" s="2"/>
    </row>
    <row r="912" spans="1:26" ht="13.8" x14ac:dyDescent="0.3">
      <c r="A912" s="2"/>
      <c r="B912" s="10"/>
      <c r="C912" s="10"/>
      <c r="D912" s="10"/>
      <c r="E912" s="10"/>
      <c r="F912" s="10"/>
      <c r="G912" s="32"/>
      <c r="H912" s="32"/>
      <c r="I912" s="32"/>
      <c r="J912" s="73"/>
      <c r="K912" s="32"/>
      <c r="L912" s="32"/>
      <c r="M912" s="32"/>
      <c r="N912" s="32"/>
      <c r="O912" s="2"/>
      <c r="P912" s="2"/>
      <c r="Q912" s="32"/>
      <c r="R912" s="32"/>
      <c r="S912" s="32"/>
      <c r="T912" s="32"/>
      <c r="U912" s="2"/>
      <c r="V912" s="2"/>
      <c r="W912" s="2"/>
      <c r="X912" s="2"/>
      <c r="Y912" s="2"/>
      <c r="Z912" s="2"/>
    </row>
    <row r="913" spans="1:26" ht="13.8" x14ac:dyDescent="0.3">
      <c r="A913" s="2"/>
      <c r="B913" s="10"/>
      <c r="C913" s="10"/>
      <c r="D913" s="10"/>
      <c r="E913" s="10"/>
      <c r="F913" s="10"/>
      <c r="G913" s="32"/>
      <c r="H913" s="32"/>
      <c r="I913" s="32"/>
      <c r="J913" s="73"/>
      <c r="K913" s="32"/>
      <c r="L913" s="32"/>
      <c r="M913" s="32"/>
      <c r="N913" s="32"/>
      <c r="O913" s="2"/>
      <c r="P913" s="2"/>
      <c r="Q913" s="32"/>
      <c r="R913" s="32"/>
      <c r="S913" s="32"/>
      <c r="T913" s="32"/>
      <c r="U913" s="2"/>
      <c r="V913" s="2"/>
      <c r="W913" s="2"/>
      <c r="X913" s="2"/>
      <c r="Y913" s="2"/>
      <c r="Z913" s="2"/>
    </row>
    <row r="914" spans="1:26" ht="13.8" x14ac:dyDescent="0.3">
      <c r="A914" s="2"/>
      <c r="B914" s="10"/>
      <c r="C914" s="10"/>
      <c r="D914" s="10"/>
      <c r="E914" s="10"/>
      <c r="F914" s="10"/>
      <c r="G914" s="32"/>
      <c r="H914" s="32"/>
      <c r="I914" s="32"/>
      <c r="J914" s="73"/>
      <c r="K914" s="32"/>
      <c r="L914" s="32"/>
      <c r="M914" s="32"/>
      <c r="N914" s="32"/>
      <c r="O914" s="2"/>
      <c r="P914" s="2"/>
      <c r="Q914" s="32"/>
      <c r="R914" s="32"/>
      <c r="S914" s="32"/>
      <c r="T914" s="32"/>
      <c r="U914" s="2"/>
      <c r="V914" s="2"/>
      <c r="W914" s="2"/>
      <c r="X914" s="2"/>
      <c r="Y914" s="2"/>
      <c r="Z914" s="2"/>
    </row>
    <row r="915" spans="1:26" ht="13.8" x14ac:dyDescent="0.3">
      <c r="A915" s="2"/>
      <c r="B915" s="10"/>
      <c r="C915" s="10"/>
      <c r="D915" s="10"/>
      <c r="E915" s="10"/>
      <c r="F915" s="10"/>
      <c r="G915" s="32"/>
      <c r="H915" s="32"/>
      <c r="I915" s="32"/>
      <c r="J915" s="73"/>
      <c r="K915" s="32"/>
      <c r="L915" s="32"/>
      <c r="M915" s="32"/>
      <c r="N915" s="32"/>
      <c r="O915" s="2"/>
      <c r="P915" s="2"/>
      <c r="Q915" s="32"/>
      <c r="R915" s="32"/>
      <c r="S915" s="32"/>
      <c r="T915" s="32"/>
      <c r="U915" s="2"/>
      <c r="V915" s="2"/>
      <c r="W915" s="2"/>
      <c r="X915" s="2"/>
      <c r="Y915" s="2"/>
      <c r="Z915" s="2"/>
    </row>
    <row r="916" spans="1:26" ht="13.8" x14ac:dyDescent="0.3">
      <c r="A916" s="2"/>
      <c r="B916" s="10"/>
      <c r="C916" s="10"/>
      <c r="D916" s="10"/>
      <c r="E916" s="10"/>
      <c r="F916" s="10"/>
      <c r="G916" s="32"/>
      <c r="H916" s="32"/>
      <c r="I916" s="32"/>
      <c r="J916" s="73"/>
      <c r="K916" s="32"/>
      <c r="L916" s="32"/>
      <c r="M916" s="32"/>
      <c r="N916" s="32"/>
      <c r="O916" s="2"/>
      <c r="P916" s="2"/>
      <c r="Q916" s="32"/>
      <c r="R916" s="32"/>
      <c r="S916" s="32"/>
      <c r="T916" s="32"/>
      <c r="U916" s="2"/>
      <c r="V916" s="2"/>
      <c r="W916" s="2"/>
      <c r="X916" s="2"/>
      <c r="Y916" s="2"/>
      <c r="Z916" s="2"/>
    </row>
    <row r="917" spans="1:26" ht="13.8" x14ac:dyDescent="0.3">
      <c r="A917" s="2"/>
      <c r="B917" s="10"/>
      <c r="C917" s="10"/>
      <c r="D917" s="10"/>
      <c r="E917" s="10"/>
      <c r="F917" s="10"/>
      <c r="G917" s="32"/>
      <c r="H917" s="32"/>
      <c r="I917" s="32"/>
      <c r="J917" s="73"/>
      <c r="K917" s="32"/>
      <c r="L917" s="32"/>
      <c r="M917" s="32"/>
      <c r="N917" s="32"/>
      <c r="O917" s="2"/>
      <c r="P917" s="2"/>
      <c r="Q917" s="32"/>
      <c r="R917" s="32"/>
      <c r="S917" s="32"/>
      <c r="T917" s="32"/>
      <c r="U917" s="2"/>
      <c r="V917" s="2"/>
      <c r="W917" s="2"/>
      <c r="X917" s="2"/>
      <c r="Y917" s="2"/>
      <c r="Z917" s="2"/>
    </row>
    <row r="918" spans="1:26" ht="13.8" x14ac:dyDescent="0.3">
      <c r="A918" s="2"/>
      <c r="B918" s="10"/>
      <c r="C918" s="10"/>
      <c r="D918" s="10"/>
      <c r="E918" s="10"/>
      <c r="F918" s="10"/>
      <c r="G918" s="32"/>
      <c r="H918" s="32"/>
      <c r="I918" s="32"/>
      <c r="J918" s="73"/>
      <c r="K918" s="32"/>
      <c r="L918" s="32"/>
      <c r="M918" s="32"/>
      <c r="N918" s="32"/>
      <c r="O918" s="2"/>
      <c r="P918" s="2"/>
      <c r="Q918" s="32"/>
      <c r="R918" s="32"/>
      <c r="S918" s="32"/>
      <c r="T918" s="32"/>
      <c r="U918" s="2"/>
      <c r="V918" s="2"/>
      <c r="W918" s="2"/>
      <c r="X918" s="2"/>
      <c r="Y918" s="2"/>
      <c r="Z918" s="2"/>
    </row>
    <row r="919" spans="1:26" ht="13.8" x14ac:dyDescent="0.3">
      <c r="A919" s="2"/>
      <c r="B919" s="10"/>
      <c r="C919" s="10"/>
      <c r="D919" s="10"/>
      <c r="E919" s="10"/>
      <c r="F919" s="10"/>
      <c r="G919" s="32"/>
      <c r="H919" s="32"/>
      <c r="I919" s="32"/>
      <c r="J919" s="73"/>
      <c r="K919" s="32"/>
      <c r="L919" s="32"/>
      <c r="M919" s="32"/>
      <c r="N919" s="32"/>
      <c r="O919" s="2"/>
      <c r="P919" s="2"/>
      <c r="Q919" s="32"/>
      <c r="R919" s="32"/>
      <c r="S919" s="32"/>
      <c r="T919" s="32"/>
      <c r="U919" s="2"/>
      <c r="V919" s="2"/>
      <c r="W919" s="2"/>
      <c r="X919" s="2"/>
      <c r="Y919" s="2"/>
      <c r="Z919" s="2"/>
    </row>
    <row r="920" spans="1:26" ht="13.8" x14ac:dyDescent="0.3">
      <c r="A920" s="2"/>
      <c r="B920" s="10"/>
      <c r="C920" s="10"/>
      <c r="D920" s="10"/>
      <c r="E920" s="10"/>
      <c r="F920" s="10"/>
      <c r="G920" s="32"/>
      <c r="H920" s="32"/>
      <c r="I920" s="32"/>
      <c r="J920" s="73"/>
      <c r="K920" s="32"/>
      <c r="L920" s="32"/>
      <c r="M920" s="32"/>
      <c r="N920" s="32"/>
      <c r="O920" s="2"/>
      <c r="P920" s="2"/>
      <c r="Q920" s="32"/>
      <c r="R920" s="32"/>
      <c r="S920" s="32"/>
      <c r="T920" s="32"/>
      <c r="U920" s="2"/>
      <c r="V920" s="2"/>
      <c r="W920" s="2"/>
      <c r="X920" s="2"/>
      <c r="Y920" s="2"/>
      <c r="Z920" s="2"/>
    </row>
    <row r="921" spans="1:26" ht="13.8" x14ac:dyDescent="0.3">
      <c r="A921" s="2"/>
      <c r="B921" s="10"/>
      <c r="C921" s="10"/>
      <c r="D921" s="10"/>
      <c r="E921" s="10"/>
      <c r="F921" s="10"/>
      <c r="G921" s="32"/>
      <c r="H921" s="32"/>
      <c r="I921" s="32"/>
      <c r="J921" s="73"/>
      <c r="K921" s="32"/>
      <c r="L921" s="32"/>
      <c r="M921" s="32"/>
      <c r="N921" s="32"/>
      <c r="O921" s="2"/>
      <c r="P921" s="2"/>
      <c r="Q921" s="32"/>
      <c r="R921" s="32"/>
      <c r="S921" s="32"/>
      <c r="T921" s="32"/>
      <c r="U921" s="2"/>
      <c r="V921" s="2"/>
      <c r="W921" s="2"/>
      <c r="X921" s="2"/>
      <c r="Y921" s="2"/>
      <c r="Z921" s="2"/>
    </row>
    <row r="922" spans="1:26" ht="13.8" x14ac:dyDescent="0.3">
      <c r="A922" s="2"/>
      <c r="B922" s="10"/>
      <c r="C922" s="10"/>
      <c r="D922" s="10"/>
      <c r="E922" s="10"/>
      <c r="F922" s="10"/>
      <c r="G922" s="32"/>
      <c r="H922" s="32"/>
      <c r="I922" s="32"/>
      <c r="J922" s="73"/>
      <c r="K922" s="32"/>
      <c r="L922" s="32"/>
      <c r="M922" s="32"/>
      <c r="N922" s="32"/>
      <c r="O922" s="2"/>
      <c r="P922" s="2"/>
      <c r="Q922" s="32"/>
      <c r="R922" s="32"/>
      <c r="S922" s="32"/>
      <c r="T922" s="32"/>
      <c r="U922" s="2"/>
      <c r="V922" s="2"/>
      <c r="W922" s="2"/>
      <c r="X922" s="2"/>
      <c r="Y922" s="2"/>
      <c r="Z922" s="2"/>
    </row>
    <row r="923" spans="1:26" ht="13.8" x14ac:dyDescent="0.3">
      <c r="A923" s="2"/>
      <c r="B923" s="10"/>
      <c r="C923" s="10"/>
      <c r="D923" s="10"/>
      <c r="E923" s="10"/>
      <c r="F923" s="10"/>
      <c r="G923" s="32"/>
      <c r="H923" s="32"/>
      <c r="I923" s="32"/>
      <c r="J923" s="73"/>
      <c r="K923" s="32"/>
      <c r="L923" s="32"/>
      <c r="M923" s="32"/>
      <c r="N923" s="32"/>
      <c r="O923" s="2"/>
      <c r="P923" s="2"/>
      <c r="Q923" s="32"/>
      <c r="R923" s="32"/>
      <c r="S923" s="32"/>
      <c r="T923" s="32"/>
      <c r="U923" s="2"/>
      <c r="V923" s="2"/>
      <c r="W923" s="2"/>
      <c r="X923" s="2"/>
      <c r="Y923" s="2"/>
      <c r="Z923" s="2"/>
    </row>
    <row r="924" spans="1:26" ht="13.8" x14ac:dyDescent="0.3">
      <c r="A924" s="2"/>
      <c r="B924" s="10"/>
      <c r="C924" s="10"/>
      <c r="D924" s="10"/>
      <c r="E924" s="10"/>
      <c r="F924" s="10"/>
      <c r="G924" s="32"/>
      <c r="H924" s="32"/>
      <c r="I924" s="32"/>
      <c r="J924" s="73"/>
      <c r="K924" s="32"/>
      <c r="L924" s="32"/>
      <c r="M924" s="32"/>
      <c r="N924" s="32"/>
      <c r="O924" s="2"/>
      <c r="P924" s="2"/>
      <c r="Q924" s="32"/>
      <c r="R924" s="32"/>
      <c r="S924" s="32"/>
      <c r="T924" s="32"/>
      <c r="U924" s="2"/>
      <c r="V924" s="2"/>
      <c r="W924" s="2"/>
      <c r="X924" s="2"/>
      <c r="Y924" s="2"/>
      <c r="Z924" s="2"/>
    </row>
    <row r="925" spans="1:26" ht="13.8" x14ac:dyDescent="0.3">
      <c r="A925" s="2"/>
      <c r="B925" s="10"/>
      <c r="C925" s="10"/>
      <c r="D925" s="10"/>
      <c r="E925" s="10"/>
      <c r="F925" s="10"/>
      <c r="G925" s="32"/>
      <c r="H925" s="32"/>
      <c r="I925" s="32"/>
      <c r="J925" s="73"/>
      <c r="K925" s="32"/>
      <c r="L925" s="32"/>
      <c r="M925" s="32"/>
      <c r="N925" s="32"/>
      <c r="O925" s="2"/>
      <c r="P925" s="2"/>
      <c r="Q925" s="32"/>
      <c r="R925" s="32"/>
      <c r="S925" s="32"/>
      <c r="T925" s="32"/>
      <c r="U925" s="2"/>
      <c r="V925" s="2"/>
      <c r="W925" s="2"/>
      <c r="X925" s="2"/>
      <c r="Y925" s="2"/>
      <c r="Z925" s="2"/>
    </row>
    <row r="926" spans="1:26" ht="13.8" x14ac:dyDescent="0.3">
      <c r="A926" s="2"/>
      <c r="B926" s="10"/>
      <c r="C926" s="10"/>
      <c r="D926" s="10"/>
      <c r="E926" s="10"/>
      <c r="F926" s="10"/>
      <c r="G926" s="32"/>
      <c r="H926" s="32"/>
      <c r="I926" s="32"/>
      <c r="J926" s="73"/>
      <c r="K926" s="32"/>
      <c r="L926" s="32"/>
      <c r="M926" s="32"/>
      <c r="N926" s="32"/>
      <c r="O926" s="2"/>
      <c r="P926" s="2"/>
      <c r="Q926" s="32"/>
      <c r="R926" s="32"/>
      <c r="S926" s="32"/>
      <c r="T926" s="32"/>
      <c r="U926" s="2"/>
      <c r="V926" s="2"/>
      <c r="W926" s="2"/>
      <c r="X926" s="2"/>
      <c r="Y926" s="2"/>
      <c r="Z926" s="2"/>
    </row>
    <row r="927" spans="1:26" ht="13.8" x14ac:dyDescent="0.3">
      <c r="A927" s="2"/>
      <c r="B927" s="10"/>
      <c r="C927" s="10"/>
      <c r="D927" s="10"/>
      <c r="E927" s="10"/>
      <c r="F927" s="10"/>
      <c r="G927" s="32"/>
      <c r="H927" s="32"/>
      <c r="I927" s="32"/>
      <c r="J927" s="73"/>
      <c r="K927" s="32"/>
      <c r="L927" s="32"/>
      <c r="M927" s="32"/>
      <c r="N927" s="32"/>
      <c r="O927" s="2"/>
      <c r="P927" s="2"/>
      <c r="Q927" s="32"/>
      <c r="R927" s="32"/>
      <c r="S927" s="32"/>
      <c r="T927" s="32"/>
      <c r="U927" s="2"/>
      <c r="V927" s="2"/>
      <c r="W927" s="2"/>
      <c r="X927" s="2"/>
      <c r="Y927" s="2"/>
      <c r="Z927" s="2"/>
    </row>
    <row r="928" spans="1:26" ht="13.8" x14ac:dyDescent="0.3">
      <c r="A928" s="2"/>
      <c r="B928" s="10"/>
      <c r="C928" s="10"/>
      <c r="D928" s="10"/>
      <c r="E928" s="10"/>
      <c r="F928" s="10"/>
      <c r="G928" s="32"/>
      <c r="H928" s="32"/>
      <c r="I928" s="32"/>
      <c r="J928" s="73"/>
      <c r="K928" s="32"/>
      <c r="L928" s="32"/>
      <c r="M928" s="32"/>
      <c r="N928" s="32"/>
      <c r="O928" s="2"/>
      <c r="P928" s="2"/>
      <c r="Q928" s="32"/>
      <c r="R928" s="32"/>
      <c r="S928" s="32"/>
      <c r="T928" s="32"/>
      <c r="U928" s="2"/>
      <c r="V928" s="2"/>
      <c r="W928" s="2"/>
      <c r="X928" s="2"/>
      <c r="Y928" s="2"/>
      <c r="Z928" s="2"/>
    </row>
    <row r="929" spans="1:26" ht="13.8" x14ac:dyDescent="0.3">
      <c r="A929" s="2"/>
      <c r="B929" s="10"/>
      <c r="C929" s="10"/>
      <c r="D929" s="10"/>
      <c r="E929" s="10"/>
      <c r="F929" s="10"/>
      <c r="G929" s="32"/>
      <c r="H929" s="32"/>
      <c r="I929" s="32"/>
      <c r="J929" s="73"/>
      <c r="K929" s="32"/>
      <c r="L929" s="32"/>
      <c r="M929" s="32"/>
      <c r="N929" s="32"/>
      <c r="O929" s="2"/>
      <c r="P929" s="2"/>
      <c r="Q929" s="32"/>
      <c r="R929" s="32"/>
      <c r="S929" s="32"/>
      <c r="T929" s="32"/>
      <c r="U929" s="2"/>
      <c r="V929" s="2"/>
      <c r="W929" s="2"/>
      <c r="X929" s="2"/>
      <c r="Y929" s="2"/>
      <c r="Z929" s="2"/>
    </row>
    <row r="930" spans="1:26" ht="13.8" x14ac:dyDescent="0.3">
      <c r="A930" s="2"/>
      <c r="B930" s="10"/>
      <c r="C930" s="10"/>
      <c r="D930" s="10"/>
      <c r="E930" s="10"/>
      <c r="F930" s="10"/>
      <c r="G930" s="32"/>
      <c r="H930" s="32"/>
      <c r="I930" s="32"/>
      <c r="J930" s="73"/>
      <c r="K930" s="32"/>
      <c r="L930" s="32"/>
      <c r="M930" s="32"/>
      <c r="N930" s="32"/>
      <c r="O930" s="2"/>
      <c r="P930" s="2"/>
      <c r="Q930" s="32"/>
      <c r="R930" s="32"/>
      <c r="S930" s="32"/>
      <c r="T930" s="32"/>
      <c r="U930" s="2"/>
      <c r="V930" s="2"/>
      <c r="W930" s="2"/>
      <c r="X930" s="2"/>
      <c r="Y930" s="2"/>
      <c r="Z930" s="2"/>
    </row>
    <row r="931" spans="1:26" ht="13.8" x14ac:dyDescent="0.3">
      <c r="A931" s="2"/>
      <c r="B931" s="10"/>
      <c r="C931" s="10"/>
      <c r="D931" s="10"/>
      <c r="E931" s="10"/>
      <c r="F931" s="10"/>
      <c r="G931" s="32"/>
      <c r="H931" s="32"/>
      <c r="I931" s="32"/>
      <c r="J931" s="73"/>
      <c r="K931" s="32"/>
      <c r="L931" s="32"/>
      <c r="M931" s="32"/>
      <c r="N931" s="32"/>
      <c r="O931" s="2"/>
      <c r="P931" s="2"/>
      <c r="Q931" s="32"/>
      <c r="R931" s="32"/>
      <c r="S931" s="32"/>
      <c r="T931" s="32"/>
      <c r="U931" s="2"/>
      <c r="V931" s="2"/>
      <c r="W931" s="2"/>
      <c r="X931" s="2"/>
      <c r="Y931" s="2"/>
      <c r="Z931" s="2"/>
    </row>
    <row r="932" spans="1:26" ht="13.8" x14ac:dyDescent="0.3">
      <c r="A932" s="2"/>
      <c r="B932" s="10"/>
      <c r="C932" s="10"/>
      <c r="D932" s="10"/>
      <c r="E932" s="10"/>
      <c r="F932" s="10"/>
      <c r="G932" s="32"/>
      <c r="H932" s="32"/>
      <c r="I932" s="32"/>
      <c r="J932" s="73"/>
      <c r="K932" s="32"/>
      <c r="L932" s="32"/>
      <c r="M932" s="32"/>
      <c r="N932" s="32"/>
      <c r="O932" s="2"/>
      <c r="P932" s="2"/>
      <c r="Q932" s="32"/>
      <c r="R932" s="32"/>
      <c r="S932" s="32"/>
      <c r="T932" s="32"/>
      <c r="U932" s="2"/>
      <c r="V932" s="2"/>
      <c r="W932" s="2"/>
      <c r="X932" s="2"/>
      <c r="Y932" s="2"/>
      <c r="Z932" s="2"/>
    </row>
    <row r="933" spans="1:26" ht="13.8" x14ac:dyDescent="0.3">
      <c r="A933" s="2"/>
      <c r="B933" s="10"/>
      <c r="C933" s="10"/>
      <c r="D933" s="10"/>
      <c r="E933" s="10"/>
      <c r="F933" s="10"/>
      <c r="G933" s="32"/>
      <c r="H933" s="32"/>
      <c r="I933" s="32"/>
      <c r="J933" s="73"/>
      <c r="K933" s="32"/>
      <c r="L933" s="32"/>
      <c r="M933" s="32"/>
      <c r="N933" s="32"/>
      <c r="O933" s="2"/>
      <c r="P933" s="2"/>
      <c r="Q933" s="32"/>
      <c r="R933" s="32"/>
      <c r="S933" s="32"/>
      <c r="T933" s="32"/>
      <c r="U933" s="2"/>
      <c r="V933" s="2"/>
      <c r="W933" s="2"/>
      <c r="X933" s="2"/>
      <c r="Y933" s="2"/>
      <c r="Z933" s="2"/>
    </row>
    <row r="934" spans="1:26" ht="13.8" x14ac:dyDescent="0.3">
      <c r="A934" s="2"/>
      <c r="B934" s="10"/>
      <c r="C934" s="10"/>
      <c r="D934" s="10"/>
      <c r="E934" s="10"/>
      <c r="F934" s="10"/>
      <c r="G934" s="32"/>
      <c r="H934" s="32"/>
      <c r="I934" s="32"/>
      <c r="J934" s="73"/>
      <c r="K934" s="32"/>
      <c r="L934" s="32"/>
      <c r="M934" s="32"/>
      <c r="N934" s="32"/>
      <c r="O934" s="2"/>
      <c r="P934" s="2"/>
      <c r="Q934" s="32"/>
      <c r="R934" s="32"/>
      <c r="S934" s="32"/>
      <c r="T934" s="32"/>
      <c r="U934" s="2"/>
      <c r="V934" s="2"/>
      <c r="W934" s="2"/>
      <c r="X934" s="2"/>
      <c r="Y934" s="2"/>
      <c r="Z934" s="2"/>
    </row>
    <row r="935" spans="1:26" ht="13.8" x14ac:dyDescent="0.3">
      <c r="A935" s="2"/>
      <c r="B935" s="10"/>
      <c r="C935" s="10"/>
      <c r="D935" s="10"/>
      <c r="E935" s="10"/>
      <c r="F935" s="10"/>
      <c r="G935" s="32"/>
      <c r="H935" s="32"/>
      <c r="I935" s="32"/>
      <c r="J935" s="73"/>
      <c r="K935" s="32"/>
      <c r="L935" s="32"/>
      <c r="M935" s="32"/>
      <c r="N935" s="32"/>
      <c r="O935" s="2"/>
      <c r="P935" s="2"/>
      <c r="Q935" s="32"/>
      <c r="R935" s="32"/>
      <c r="S935" s="32"/>
      <c r="T935" s="32"/>
      <c r="U935" s="2"/>
      <c r="V935" s="2"/>
      <c r="W935" s="2"/>
      <c r="X935" s="2"/>
      <c r="Y935" s="2"/>
      <c r="Z935" s="2"/>
    </row>
    <row r="936" spans="1:26" ht="13.8" x14ac:dyDescent="0.3">
      <c r="A936" s="2"/>
      <c r="B936" s="10"/>
      <c r="C936" s="10"/>
      <c r="D936" s="10"/>
      <c r="E936" s="10"/>
      <c r="F936" s="10"/>
      <c r="G936" s="32"/>
      <c r="H936" s="32"/>
      <c r="I936" s="32"/>
      <c r="J936" s="73"/>
      <c r="K936" s="32"/>
      <c r="L936" s="32"/>
      <c r="M936" s="32"/>
      <c r="N936" s="32"/>
      <c r="O936" s="2"/>
      <c r="P936" s="2"/>
      <c r="Q936" s="32"/>
      <c r="R936" s="32"/>
      <c r="S936" s="32"/>
      <c r="T936" s="32"/>
      <c r="U936" s="2"/>
      <c r="V936" s="2"/>
      <c r="W936" s="2"/>
      <c r="X936" s="2"/>
      <c r="Y936" s="2"/>
      <c r="Z936" s="2"/>
    </row>
    <row r="937" spans="1:26" ht="13.8" x14ac:dyDescent="0.3">
      <c r="A937" s="2"/>
      <c r="B937" s="10"/>
      <c r="C937" s="10"/>
      <c r="D937" s="10"/>
      <c r="E937" s="10"/>
      <c r="F937" s="10"/>
      <c r="G937" s="32"/>
      <c r="H937" s="32"/>
      <c r="I937" s="32"/>
      <c r="J937" s="73"/>
      <c r="K937" s="32"/>
      <c r="L937" s="32"/>
      <c r="M937" s="32"/>
      <c r="N937" s="32"/>
      <c r="O937" s="2"/>
      <c r="P937" s="2"/>
      <c r="Q937" s="32"/>
      <c r="R937" s="32"/>
      <c r="S937" s="32"/>
      <c r="T937" s="32"/>
      <c r="U937" s="2"/>
      <c r="V937" s="2"/>
      <c r="W937" s="2"/>
      <c r="X937" s="2"/>
      <c r="Y937" s="2"/>
      <c r="Z937" s="2"/>
    </row>
    <row r="938" spans="1:26" ht="13.8" x14ac:dyDescent="0.3">
      <c r="A938" s="2"/>
      <c r="B938" s="10"/>
      <c r="C938" s="10"/>
      <c r="D938" s="10"/>
      <c r="E938" s="10"/>
      <c r="F938" s="10"/>
      <c r="G938" s="32"/>
      <c r="H938" s="32"/>
      <c r="I938" s="32"/>
      <c r="J938" s="73"/>
      <c r="K938" s="32"/>
      <c r="L938" s="32"/>
      <c r="M938" s="32"/>
      <c r="N938" s="32"/>
      <c r="O938" s="2"/>
      <c r="P938" s="2"/>
      <c r="Q938" s="32"/>
      <c r="R938" s="32"/>
      <c r="S938" s="32"/>
      <c r="T938" s="32"/>
      <c r="U938" s="2"/>
      <c r="V938" s="2"/>
      <c r="W938" s="2"/>
      <c r="X938" s="2"/>
      <c r="Y938" s="2"/>
      <c r="Z938" s="2"/>
    </row>
    <row r="939" spans="1:26" ht="13.8" x14ac:dyDescent="0.3">
      <c r="A939" s="2"/>
      <c r="B939" s="10"/>
      <c r="C939" s="10"/>
      <c r="D939" s="10"/>
      <c r="E939" s="10"/>
      <c r="F939" s="10"/>
      <c r="G939" s="32"/>
      <c r="H939" s="32"/>
      <c r="I939" s="32"/>
      <c r="J939" s="73"/>
      <c r="K939" s="32"/>
      <c r="L939" s="32"/>
      <c r="M939" s="32"/>
      <c r="N939" s="32"/>
      <c r="O939" s="2"/>
      <c r="P939" s="2"/>
      <c r="Q939" s="32"/>
      <c r="R939" s="32"/>
      <c r="S939" s="32"/>
      <c r="T939" s="32"/>
      <c r="U939" s="2"/>
      <c r="V939" s="2"/>
      <c r="W939" s="2"/>
      <c r="X939" s="2"/>
      <c r="Y939" s="2"/>
      <c r="Z939" s="2"/>
    </row>
    <row r="940" spans="1:26" ht="13.8" x14ac:dyDescent="0.3">
      <c r="A940" s="2"/>
      <c r="B940" s="10"/>
      <c r="C940" s="10"/>
      <c r="D940" s="10"/>
      <c r="E940" s="10"/>
      <c r="F940" s="10"/>
      <c r="G940" s="32"/>
      <c r="H940" s="32"/>
      <c r="I940" s="32"/>
      <c r="J940" s="73"/>
      <c r="K940" s="32"/>
      <c r="L940" s="32"/>
      <c r="M940" s="32"/>
      <c r="N940" s="32"/>
      <c r="O940" s="2"/>
      <c r="P940" s="2"/>
      <c r="Q940" s="32"/>
      <c r="R940" s="32"/>
      <c r="S940" s="32"/>
      <c r="T940" s="32"/>
      <c r="U940" s="2"/>
      <c r="V940" s="2"/>
      <c r="W940" s="2"/>
      <c r="X940" s="2"/>
      <c r="Y940" s="2"/>
      <c r="Z940" s="2"/>
    </row>
    <row r="941" spans="1:26" ht="13.8" x14ac:dyDescent="0.3">
      <c r="A941" s="2"/>
      <c r="B941" s="10"/>
      <c r="C941" s="10"/>
      <c r="D941" s="10"/>
      <c r="E941" s="10"/>
      <c r="F941" s="10"/>
      <c r="G941" s="32"/>
      <c r="H941" s="32"/>
      <c r="I941" s="32"/>
      <c r="J941" s="73"/>
      <c r="K941" s="32"/>
      <c r="L941" s="32"/>
      <c r="M941" s="32"/>
      <c r="N941" s="32"/>
      <c r="O941" s="2"/>
      <c r="P941" s="2"/>
      <c r="Q941" s="32"/>
      <c r="R941" s="32"/>
      <c r="S941" s="32"/>
      <c r="T941" s="32"/>
      <c r="U941" s="2"/>
      <c r="V941" s="2"/>
      <c r="W941" s="2"/>
      <c r="X941" s="2"/>
      <c r="Y941" s="2"/>
      <c r="Z941" s="2"/>
    </row>
    <row r="942" spans="1:26" ht="13.8" x14ac:dyDescent="0.3">
      <c r="A942" s="2"/>
      <c r="B942" s="10"/>
      <c r="C942" s="10"/>
      <c r="D942" s="10"/>
      <c r="E942" s="10"/>
      <c r="F942" s="10"/>
      <c r="G942" s="32"/>
      <c r="H942" s="32"/>
      <c r="I942" s="32"/>
      <c r="J942" s="73"/>
      <c r="K942" s="32"/>
      <c r="L942" s="32"/>
      <c r="M942" s="32"/>
      <c r="N942" s="32"/>
      <c r="O942" s="2"/>
      <c r="P942" s="2"/>
      <c r="Q942" s="32"/>
      <c r="R942" s="32"/>
      <c r="S942" s="32"/>
      <c r="T942" s="32"/>
      <c r="U942" s="2"/>
      <c r="V942" s="2"/>
      <c r="W942" s="2"/>
      <c r="X942" s="2"/>
      <c r="Y942" s="2"/>
      <c r="Z942" s="2"/>
    </row>
    <row r="943" spans="1:26" ht="13.8" x14ac:dyDescent="0.3">
      <c r="A943" s="2"/>
      <c r="B943" s="10"/>
      <c r="C943" s="10"/>
      <c r="D943" s="10"/>
      <c r="E943" s="10"/>
      <c r="F943" s="10"/>
      <c r="G943" s="32"/>
      <c r="H943" s="32"/>
      <c r="I943" s="32"/>
      <c r="J943" s="73"/>
      <c r="K943" s="32"/>
      <c r="L943" s="32"/>
      <c r="M943" s="32"/>
      <c r="N943" s="32"/>
      <c r="O943" s="2"/>
      <c r="P943" s="2"/>
      <c r="Q943" s="32"/>
      <c r="R943" s="32"/>
      <c r="S943" s="32"/>
      <c r="T943" s="32"/>
      <c r="U943" s="2"/>
      <c r="V943" s="2"/>
      <c r="W943" s="2"/>
      <c r="X943" s="2"/>
      <c r="Y943" s="2"/>
      <c r="Z943" s="2"/>
    </row>
    <row r="944" spans="1:26" ht="13.8" x14ac:dyDescent="0.3">
      <c r="A944" s="2"/>
      <c r="B944" s="10"/>
      <c r="C944" s="10"/>
      <c r="D944" s="10"/>
      <c r="E944" s="10"/>
      <c r="F944" s="10"/>
      <c r="G944" s="32"/>
      <c r="H944" s="32"/>
      <c r="I944" s="32"/>
      <c r="J944" s="73"/>
      <c r="K944" s="32"/>
      <c r="L944" s="32"/>
      <c r="M944" s="32"/>
      <c r="N944" s="32"/>
      <c r="O944" s="2"/>
      <c r="P944" s="2"/>
      <c r="Q944" s="32"/>
      <c r="R944" s="32"/>
      <c r="S944" s="32"/>
      <c r="T944" s="32"/>
      <c r="U944" s="2"/>
      <c r="V944" s="2"/>
      <c r="W944" s="2"/>
      <c r="X944" s="2"/>
      <c r="Y944" s="2"/>
      <c r="Z944" s="2"/>
    </row>
    <row r="945" spans="1:26" ht="13.8" x14ac:dyDescent="0.3">
      <c r="A945" s="2"/>
      <c r="B945" s="10"/>
      <c r="C945" s="10"/>
      <c r="D945" s="10"/>
      <c r="E945" s="10"/>
      <c r="F945" s="10"/>
      <c r="G945" s="32"/>
      <c r="H945" s="32"/>
      <c r="I945" s="32"/>
      <c r="J945" s="73"/>
      <c r="K945" s="32"/>
      <c r="L945" s="32"/>
      <c r="M945" s="32"/>
      <c r="N945" s="32"/>
      <c r="O945" s="2"/>
      <c r="P945" s="2"/>
      <c r="Q945" s="32"/>
      <c r="R945" s="32"/>
      <c r="S945" s="32"/>
      <c r="T945" s="32"/>
      <c r="U945" s="2"/>
      <c r="V945" s="2"/>
      <c r="W945" s="2"/>
      <c r="X945" s="2"/>
      <c r="Y945" s="2"/>
      <c r="Z945" s="2"/>
    </row>
    <row r="946" spans="1:26" ht="13.8" x14ac:dyDescent="0.3">
      <c r="A946" s="2"/>
      <c r="B946" s="10"/>
      <c r="C946" s="10"/>
      <c r="D946" s="10"/>
      <c r="E946" s="10"/>
      <c r="F946" s="10"/>
      <c r="G946" s="32"/>
      <c r="H946" s="32"/>
      <c r="I946" s="32"/>
      <c r="J946" s="73"/>
      <c r="K946" s="32"/>
      <c r="L946" s="32"/>
      <c r="M946" s="32"/>
      <c r="N946" s="32"/>
      <c r="O946" s="2"/>
      <c r="P946" s="2"/>
      <c r="Q946" s="32"/>
      <c r="R946" s="32"/>
      <c r="S946" s="32"/>
      <c r="T946" s="32"/>
      <c r="U946" s="2"/>
      <c r="V946" s="2"/>
      <c r="W946" s="2"/>
      <c r="X946" s="2"/>
      <c r="Y946" s="2"/>
      <c r="Z946" s="2"/>
    </row>
    <row r="947" spans="1:26" ht="13.8" x14ac:dyDescent="0.3">
      <c r="A947" s="2"/>
      <c r="B947" s="10"/>
      <c r="C947" s="10"/>
      <c r="D947" s="10"/>
      <c r="E947" s="10"/>
      <c r="F947" s="10"/>
      <c r="G947" s="32"/>
      <c r="H947" s="32"/>
      <c r="I947" s="32"/>
      <c r="J947" s="73"/>
      <c r="K947" s="32"/>
      <c r="L947" s="32"/>
      <c r="M947" s="32"/>
      <c r="N947" s="32"/>
      <c r="O947" s="2"/>
      <c r="P947" s="2"/>
      <c r="Q947" s="32"/>
      <c r="R947" s="32"/>
      <c r="S947" s="32"/>
      <c r="T947" s="32"/>
      <c r="U947" s="2"/>
      <c r="V947" s="2"/>
      <c r="W947" s="2"/>
      <c r="X947" s="2"/>
      <c r="Y947" s="2"/>
      <c r="Z947" s="2"/>
    </row>
    <row r="948" spans="1:26" ht="13.8" x14ac:dyDescent="0.3">
      <c r="A948" s="2"/>
      <c r="B948" s="10"/>
      <c r="C948" s="10"/>
      <c r="D948" s="10"/>
      <c r="E948" s="10"/>
      <c r="F948" s="10"/>
      <c r="G948" s="32"/>
      <c r="H948" s="32"/>
      <c r="I948" s="32"/>
      <c r="J948" s="73"/>
      <c r="K948" s="32"/>
      <c r="L948" s="32"/>
      <c r="M948" s="32"/>
      <c r="N948" s="32"/>
      <c r="O948" s="2"/>
      <c r="P948" s="2"/>
      <c r="Q948" s="32"/>
      <c r="R948" s="32"/>
      <c r="S948" s="32"/>
      <c r="T948" s="32"/>
      <c r="U948" s="2"/>
      <c r="V948" s="2"/>
      <c r="W948" s="2"/>
      <c r="X948" s="2"/>
      <c r="Y948" s="2"/>
      <c r="Z948" s="2"/>
    </row>
    <row r="949" spans="1:26" ht="13.8" x14ac:dyDescent="0.3">
      <c r="A949" s="2"/>
      <c r="B949" s="10"/>
      <c r="C949" s="10"/>
      <c r="D949" s="10"/>
      <c r="E949" s="10"/>
      <c r="F949" s="10"/>
      <c r="G949" s="32"/>
      <c r="H949" s="32"/>
      <c r="I949" s="32"/>
      <c r="J949" s="73"/>
      <c r="K949" s="32"/>
      <c r="L949" s="32"/>
      <c r="M949" s="32"/>
      <c r="N949" s="32"/>
      <c r="O949" s="2"/>
      <c r="P949" s="2"/>
      <c r="Q949" s="32"/>
      <c r="R949" s="32"/>
      <c r="S949" s="32"/>
      <c r="T949" s="32"/>
      <c r="U949" s="2"/>
      <c r="V949" s="2"/>
      <c r="W949" s="2"/>
      <c r="X949" s="2"/>
      <c r="Y949" s="2"/>
      <c r="Z949" s="2"/>
    </row>
    <row r="950" spans="1:26" ht="13.8" x14ac:dyDescent="0.3">
      <c r="A950" s="2"/>
      <c r="B950" s="10"/>
      <c r="C950" s="10"/>
      <c r="D950" s="10"/>
      <c r="E950" s="10"/>
      <c r="F950" s="10"/>
      <c r="G950" s="32"/>
      <c r="H950" s="32"/>
      <c r="I950" s="32"/>
      <c r="J950" s="73"/>
      <c r="K950" s="32"/>
      <c r="L950" s="32"/>
      <c r="M950" s="32"/>
      <c r="N950" s="32"/>
      <c r="O950" s="2"/>
      <c r="P950" s="2"/>
      <c r="Q950" s="32"/>
      <c r="R950" s="32"/>
      <c r="S950" s="32"/>
      <c r="T950" s="32"/>
      <c r="U950" s="2"/>
      <c r="V950" s="2"/>
      <c r="W950" s="2"/>
      <c r="X950" s="2"/>
      <c r="Y950" s="2"/>
      <c r="Z950" s="2"/>
    </row>
    <row r="951" spans="1:26" ht="13.8" x14ac:dyDescent="0.3">
      <c r="A951" s="2"/>
      <c r="B951" s="10"/>
      <c r="C951" s="10"/>
      <c r="D951" s="10"/>
      <c r="E951" s="10"/>
      <c r="F951" s="10"/>
      <c r="G951" s="32"/>
      <c r="H951" s="32"/>
      <c r="I951" s="32"/>
      <c r="J951" s="73"/>
      <c r="K951" s="32"/>
      <c r="L951" s="32"/>
      <c r="M951" s="32"/>
      <c r="N951" s="32"/>
      <c r="O951" s="2"/>
      <c r="P951" s="2"/>
      <c r="Q951" s="32"/>
      <c r="R951" s="32"/>
      <c r="S951" s="32"/>
      <c r="T951" s="32"/>
      <c r="U951" s="2"/>
      <c r="V951" s="2"/>
      <c r="W951" s="2"/>
      <c r="X951" s="2"/>
      <c r="Y951" s="2"/>
      <c r="Z951" s="2"/>
    </row>
    <row r="952" spans="1:26" ht="13.8" x14ac:dyDescent="0.3">
      <c r="A952" s="2"/>
      <c r="B952" s="10"/>
      <c r="C952" s="10"/>
      <c r="D952" s="10"/>
      <c r="E952" s="10"/>
      <c r="F952" s="10"/>
      <c r="G952" s="32"/>
      <c r="H952" s="32"/>
      <c r="I952" s="32"/>
      <c r="J952" s="73"/>
      <c r="K952" s="32"/>
      <c r="L952" s="32"/>
      <c r="M952" s="32"/>
      <c r="N952" s="32"/>
      <c r="O952" s="2"/>
      <c r="P952" s="2"/>
      <c r="Q952" s="32"/>
      <c r="R952" s="32"/>
      <c r="S952" s="32"/>
      <c r="T952" s="32"/>
      <c r="U952" s="2"/>
      <c r="V952" s="2"/>
      <c r="W952" s="2"/>
      <c r="X952" s="2"/>
      <c r="Y952" s="2"/>
      <c r="Z952" s="2"/>
    </row>
    <row r="953" spans="1:26" ht="13.8" x14ac:dyDescent="0.3">
      <c r="A953" s="2"/>
      <c r="B953" s="10"/>
      <c r="C953" s="10"/>
      <c r="D953" s="10"/>
      <c r="E953" s="10"/>
      <c r="F953" s="10"/>
      <c r="G953" s="32"/>
      <c r="H953" s="32"/>
      <c r="I953" s="32"/>
      <c r="J953" s="73"/>
      <c r="K953" s="32"/>
      <c r="L953" s="32"/>
      <c r="M953" s="32"/>
      <c r="N953" s="32"/>
      <c r="O953" s="2"/>
      <c r="P953" s="2"/>
      <c r="Q953" s="32"/>
      <c r="R953" s="32"/>
      <c r="S953" s="32"/>
      <c r="T953" s="32"/>
      <c r="U953" s="2"/>
      <c r="V953" s="2"/>
      <c r="W953" s="2"/>
      <c r="X953" s="2"/>
      <c r="Y953" s="2"/>
      <c r="Z953" s="2"/>
    </row>
    <row r="954" spans="1:26" ht="13.8" x14ac:dyDescent="0.3">
      <c r="A954" s="2"/>
      <c r="B954" s="10"/>
      <c r="C954" s="10"/>
      <c r="D954" s="10"/>
      <c r="E954" s="10"/>
      <c r="F954" s="10"/>
      <c r="G954" s="32"/>
      <c r="H954" s="32"/>
      <c r="I954" s="32"/>
      <c r="J954" s="73"/>
      <c r="K954" s="32"/>
      <c r="L954" s="32"/>
      <c r="M954" s="32"/>
      <c r="N954" s="32"/>
      <c r="O954" s="2"/>
      <c r="P954" s="2"/>
      <c r="Q954" s="32"/>
      <c r="R954" s="32"/>
      <c r="S954" s="32"/>
      <c r="T954" s="32"/>
      <c r="U954" s="2"/>
      <c r="V954" s="2"/>
      <c r="W954" s="2"/>
      <c r="X954" s="2"/>
      <c r="Y954" s="2"/>
      <c r="Z954" s="2"/>
    </row>
    <row r="955" spans="1:26" ht="13.8" x14ac:dyDescent="0.3">
      <c r="A955" s="2"/>
      <c r="B955" s="10"/>
      <c r="C955" s="10"/>
      <c r="D955" s="10"/>
      <c r="E955" s="10"/>
      <c r="F955" s="10"/>
      <c r="G955" s="32"/>
      <c r="H955" s="32"/>
      <c r="I955" s="32"/>
      <c r="J955" s="73"/>
      <c r="K955" s="32"/>
      <c r="L955" s="32"/>
      <c r="M955" s="32"/>
      <c r="N955" s="32"/>
      <c r="O955" s="2"/>
      <c r="P955" s="2"/>
      <c r="Q955" s="32"/>
      <c r="R955" s="32"/>
      <c r="S955" s="32"/>
      <c r="T955" s="32"/>
      <c r="U955" s="2"/>
      <c r="V955" s="2"/>
      <c r="W955" s="2"/>
      <c r="X955" s="2"/>
      <c r="Y955" s="2"/>
      <c r="Z955" s="2"/>
    </row>
    <row r="956" spans="1:26" ht="13.8" x14ac:dyDescent="0.3">
      <c r="A956" s="2"/>
      <c r="B956" s="10"/>
      <c r="C956" s="10"/>
      <c r="D956" s="10"/>
      <c r="E956" s="10"/>
      <c r="F956" s="10"/>
      <c r="G956" s="32"/>
      <c r="H956" s="32"/>
      <c r="I956" s="32"/>
      <c r="J956" s="73"/>
      <c r="K956" s="32"/>
      <c r="L956" s="32"/>
      <c r="M956" s="32"/>
      <c r="N956" s="32"/>
      <c r="O956" s="2"/>
      <c r="P956" s="2"/>
      <c r="Q956" s="32"/>
      <c r="R956" s="32"/>
      <c r="S956" s="32"/>
      <c r="T956" s="32"/>
      <c r="U956" s="2"/>
      <c r="V956" s="2"/>
      <c r="W956" s="2"/>
      <c r="X956" s="2"/>
      <c r="Y956" s="2"/>
      <c r="Z956" s="2"/>
    </row>
    <row r="957" spans="1:26" ht="13.8" x14ac:dyDescent="0.3">
      <c r="A957" s="2"/>
      <c r="B957" s="10"/>
      <c r="C957" s="10"/>
      <c r="D957" s="10"/>
      <c r="E957" s="10"/>
      <c r="F957" s="10"/>
      <c r="G957" s="32"/>
      <c r="H957" s="32"/>
      <c r="I957" s="32"/>
      <c r="J957" s="73"/>
      <c r="K957" s="32"/>
      <c r="L957" s="32"/>
      <c r="M957" s="32"/>
      <c r="N957" s="32"/>
      <c r="O957" s="2"/>
      <c r="P957" s="2"/>
      <c r="Q957" s="32"/>
      <c r="R957" s="32"/>
      <c r="S957" s="32"/>
      <c r="T957" s="32"/>
      <c r="U957" s="2"/>
      <c r="V957" s="2"/>
      <c r="W957" s="2"/>
      <c r="X957" s="2"/>
      <c r="Y957" s="2"/>
      <c r="Z957" s="2"/>
    </row>
    <row r="958" spans="1:26" ht="13.8" x14ac:dyDescent="0.3">
      <c r="A958" s="2"/>
      <c r="B958" s="10"/>
      <c r="C958" s="10"/>
      <c r="D958" s="10"/>
      <c r="E958" s="10"/>
      <c r="F958" s="10"/>
      <c r="G958" s="32"/>
      <c r="H958" s="32"/>
      <c r="I958" s="32"/>
      <c r="J958" s="73"/>
      <c r="K958" s="32"/>
      <c r="L958" s="32"/>
      <c r="M958" s="32"/>
      <c r="N958" s="32"/>
      <c r="O958" s="2"/>
      <c r="P958" s="2"/>
      <c r="Q958" s="32"/>
      <c r="R958" s="32"/>
      <c r="S958" s="32"/>
      <c r="T958" s="32"/>
      <c r="U958" s="2"/>
      <c r="V958" s="2"/>
      <c r="W958" s="2"/>
      <c r="X958" s="2"/>
      <c r="Y958" s="2"/>
      <c r="Z958" s="2"/>
    </row>
    <row r="959" spans="1:26" ht="13.8" x14ac:dyDescent="0.3">
      <c r="A959" s="2"/>
      <c r="B959" s="10"/>
      <c r="C959" s="10"/>
      <c r="D959" s="10"/>
      <c r="E959" s="10"/>
      <c r="F959" s="10"/>
      <c r="G959" s="32"/>
      <c r="H959" s="32"/>
      <c r="I959" s="32"/>
      <c r="J959" s="73"/>
      <c r="K959" s="32"/>
      <c r="L959" s="32"/>
      <c r="M959" s="32"/>
      <c r="N959" s="32"/>
      <c r="O959" s="2"/>
      <c r="P959" s="2"/>
      <c r="Q959" s="32"/>
      <c r="R959" s="32"/>
      <c r="S959" s="32"/>
      <c r="T959" s="32"/>
      <c r="U959" s="2"/>
      <c r="V959" s="2"/>
      <c r="W959" s="2"/>
      <c r="X959" s="2"/>
      <c r="Y959" s="2"/>
      <c r="Z959" s="2"/>
    </row>
    <row r="960" spans="1:26" ht="13.8" x14ac:dyDescent="0.3">
      <c r="A960" s="2"/>
      <c r="B960" s="10"/>
      <c r="C960" s="10"/>
      <c r="D960" s="10"/>
      <c r="E960" s="10"/>
      <c r="F960" s="10"/>
      <c r="G960" s="32"/>
      <c r="H960" s="32"/>
      <c r="I960" s="32"/>
      <c r="J960" s="73"/>
      <c r="K960" s="32"/>
      <c r="L960" s="32"/>
      <c r="M960" s="32"/>
      <c r="N960" s="32"/>
      <c r="O960" s="2"/>
      <c r="P960" s="2"/>
      <c r="Q960" s="32"/>
      <c r="R960" s="32"/>
      <c r="S960" s="32"/>
      <c r="T960" s="32"/>
      <c r="U960" s="2"/>
      <c r="V960" s="2"/>
      <c r="W960" s="2"/>
      <c r="X960" s="2"/>
      <c r="Y960" s="2"/>
      <c r="Z960" s="2"/>
    </row>
    <row r="961" spans="1:26" ht="13.8" x14ac:dyDescent="0.3">
      <c r="A961" s="2"/>
      <c r="B961" s="10"/>
      <c r="C961" s="10"/>
      <c r="D961" s="10"/>
      <c r="E961" s="10"/>
      <c r="F961" s="10"/>
      <c r="G961" s="32"/>
      <c r="H961" s="32"/>
      <c r="I961" s="32"/>
      <c r="J961" s="73"/>
      <c r="K961" s="32"/>
      <c r="L961" s="32"/>
      <c r="M961" s="32"/>
      <c r="N961" s="32"/>
      <c r="O961" s="2"/>
      <c r="P961" s="2"/>
      <c r="Q961" s="32"/>
      <c r="R961" s="32"/>
      <c r="S961" s="32"/>
      <c r="T961" s="32"/>
      <c r="U961" s="2"/>
      <c r="V961" s="2"/>
      <c r="W961" s="2"/>
      <c r="X961" s="2"/>
      <c r="Y961" s="2"/>
      <c r="Z961" s="2"/>
    </row>
    <row r="962" spans="1:26" ht="13.8" x14ac:dyDescent="0.3">
      <c r="A962" s="2"/>
      <c r="B962" s="10"/>
      <c r="C962" s="10"/>
      <c r="D962" s="10"/>
      <c r="E962" s="10"/>
      <c r="F962" s="10"/>
      <c r="G962" s="32"/>
      <c r="H962" s="32"/>
      <c r="I962" s="32"/>
      <c r="J962" s="73"/>
      <c r="K962" s="32"/>
      <c r="L962" s="32"/>
      <c r="M962" s="32"/>
      <c r="N962" s="32"/>
      <c r="O962" s="2"/>
      <c r="P962" s="2"/>
      <c r="Q962" s="32"/>
      <c r="R962" s="32"/>
      <c r="S962" s="32"/>
      <c r="T962" s="32"/>
      <c r="U962" s="2"/>
      <c r="V962" s="2"/>
      <c r="W962" s="2"/>
      <c r="X962" s="2"/>
      <c r="Y962" s="2"/>
      <c r="Z962" s="2"/>
    </row>
    <row r="963" spans="1:26" ht="13.8" x14ac:dyDescent="0.3">
      <c r="A963" s="2"/>
      <c r="B963" s="10"/>
      <c r="C963" s="10"/>
      <c r="D963" s="10"/>
      <c r="E963" s="10"/>
      <c r="F963" s="10"/>
      <c r="G963" s="32"/>
      <c r="H963" s="32"/>
      <c r="I963" s="32"/>
      <c r="J963" s="73"/>
      <c r="K963" s="32"/>
      <c r="L963" s="32"/>
      <c r="M963" s="32"/>
      <c r="N963" s="32"/>
      <c r="O963" s="2"/>
      <c r="P963" s="2"/>
      <c r="Q963" s="32"/>
      <c r="R963" s="32"/>
      <c r="S963" s="32"/>
      <c r="T963" s="32"/>
      <c r="U963" s="2"/>
      <c r="V963" s="2"/>
      <c r="W963" s="2"/>
      <c r="X963" s="2"/>
      <c r="Y963" s="2"/>
      <c r="Z963" s="2"/>
    </row>
    <row r="964" spans="1:26" ht="13.8" x14ac:dyDescent="0.3">
      <c r="A964" s="2"/>
      <c r="B964" s="10"/>
      <c r="C964" s="10"/>
      <c r="D964" s="10"/>
      <c r="E964" s="10"/>
      <c r="F964" s="10"/>
      <c r="G964" s="32"/>
      <c r="H964" s="32"/>
      <c r="I964" s="32"/>
      <c r="J964" s="73"/>
      <c r="K964" s="32"/>
      <c r="L964" s="32"/>
      <c r="M964" s="32"/>
      <c r="N964" s="32"/>
      <c r="O964" s="2"/>
      <c r="P964" s="2"/>
      <c r="Q964" s="32"/>
      <c r="R964" s="32"/>
      <c r="S964" s="32"/>
      <c r="T964" s="32"/>
      <c r="U964" s="2"/>
      <c r="V964" s="2"/>
      <c r="W964" s="2"/>
      <c r="X964" s="2"/>
      <c r="Y964" s="2"/>
      <c r="Z964" s="2"/>
    </row>
    <row r="965" spans="1:26" ht="13.8" x14ac:dyDescent="0.3">
      <c r="A965" s="2"/>
      <c r="B965" s="10"/>
      <c r="C965" s="10"/>
      <c r="D965" s="10"/>
      <c r="E965" s="10"/>
      <c r="F965" s="10"/>
      <c r="G965" s="32"/>
      <c r="H965" s="32"/>
      <c r="I965" s="32"/>
      <c r="J965" s="73"/>
      <c r="K965" s="32"/>
      <c r="L965" s="32"/>
      <c r="M965" s="32"/>
      <c r="N965" s="32"/>
      <c r="O965" s="2"/>
      <c r="P965" s="2"/>
      <c r="Q965" s="32"/>
      <c r="R965" s="32"/>
      <c r="S965" s="32"/>
      <c r="T965" s="32"/>
      <c r="U965" s="2"/>
      <c r="V965" s="2"/>
      <c r="W965" s="2"/>
      <c r="X965" s="2"/>
      <c r="Y965" s="2"/>
      <c r="Z965" s="2"/>
    </row>
    <row r="966" spans="1:26" ht="13.8" x14ac:dyDescent="0.3">
      <c r="A966" s="2"/>
      <c r="B966" s="10"/>
      <c r="C966" s="10"/>
      <c r="D966" s="10"/>
      <c r="E966" s="10"/>
      <c r="F966" s="10"/>
      <c r="G966" s="32"/>
      <c r="H966" s="32"/>
      <c r="I966" s="32"/>
      <c r="J966" s="73"/>
      <c r="K966" s="32"/>
      <c r="L966" s="32"/>
      <c r="M966" s="32"/>
      <c r="N966" s="32"/>
      <c r="O966" s="2"/>
      <c r="P966" s="2"/>
      <c r="Q966" s="32"/>
      <c r="R966" s="32"/>
      <c r="S966" s="32"/>
      <c r="T966" s="32"/>
      <c r="U966" s="2"/>
      <c r="V966" s="2"/>
      <c r="W966" s="2"/>
      <c r="X966" s="2"/>
      <c r="Y966" s="2"/>
      <c r="Z966" s="2"/>
    </row>
    <row r="967" spans="1:26" ht="13.8" x14ac:dyDescent="0.3">
      <c r="A967" s="2"/>
      <c r="B967" s="10"/>
      <c r="C967" s="10"/>
      <c r="D967" s="10"/>
      <c r="E967" s="10"/>
      <c r="F967" s="10"/>
      <c r="G967" s="32"/>
      <c r="H967" s="32"/>
      <c r="I967" s="32"/>
      <c r="J967" s="73"/>
      <c r="K967" s="32"/>
      <c r="L967" s="32"/>
      <c r="M967" s="32"/>
      <c r="N967" s="32"/>
      <c r="O967" s="2"/>
      <c r="P967" s="2"/>
      <c r="Q967" s="32"/>
      <c r="R967" s="32"/>
      <c r="S967" s="32"/>
      <c r="T967" s="32"/>
      <c r="U967" s="2"/>
      <c r="V967" s="2"/>
      <c r="W967" s="2"/>
      <c r="X967" s="2"/>
      <c r="Y967" s="2"/>
      <c r="Z967" s="2"/>
    </row>
    <row r="968" spans="1:26" ht="13.8" x14ac:dyDescent="0.3">
      <c r="A968" s="2"/>
      <c r="B968" s="10"/>
      <c r="C968" s="10"/>
      <c r="D968" s="10"/>
      <c r="E968" s="10"/>
      <c r="F968" s="10"/>
      <c r="G968" s="32"/>
      <c r="H968" s="32"/>
      <c r="I968" s="32"/>
      <c r="J968" s="73"/>
      <c r="K968" s="32"/>
      <c r="L968" s="32"/>
      <c r="M968" s="32"/>
      <c r="N968" s="32"/>
      <c r="O968" s="2"/>
      <c r="P968" s="2"/>
      <c r="Q968" s="32"/>
      <c r="R968" s="32"/>
      <c r="S968" s="32"/>
      <c r="T968" s="32"/>
      <c r="U968" s="2"/>
      <c r="V968" s="2"/>
      <c r="W968" s="2"/>
      <c r="X968" s="2"/>
      <c r="Y968" s="2"/>
      <c r="Z968" s="2"/>
    </row>
    <row r="969" spans="1:26" ht="13.8" x14ac:dyDescent="0.3">
      <c r="A969" s="2"/>
      <c r="B969" s="10"/>
      <c r="C969" s="10"/>
      <c r="D969" s="10"/>
      <c r="E969" s="10"/>
      <c r="F969" s="10"/>
      <c r="G969" s="32"/>
      <c r="H969" s="32"/>
      <c r="I969" s="32"/>
      <c r="J969" s="73"/>
      <c r="K969" s="32"/>
      <c r="L969" s="32"/>
      <c r="M969" s="32"/>
      <c r="N969" s="32"/>
      <c r="O969" s="2"/>
      <c r="P969" s="2"/>
      <c r="Q969" s="32"/>
      <c r="R969" s="32"/>
      <c r="S969" s="32"/>
      <c r="T969" s="32"/>
      <c r="U969" s="2"/>
      <c r="V969" s="2"/>
      <c r="W969" s="2"/>
      <c r="X969" s="2"/>
      <c r="Y969" s="2"/>
      <c r="Z969" s="2"/>
    </row>
    <row r="970" spans="1:26" ht="13.8" x14ac:dyDescent="0.3">
      <c r="A970" s="2"/>
      <c r="B970" s="10"/>
      <c r="C970" s="10"/>
      <c r="D970" s="10"/>
      <c r="E970" s="10"/>
      <c r="F970" s="10"/>
      <c r="G970" s="32"/>
      <c r="H970" s="32"/>
      <c r="I970" s="32"/>
      <c r="J970" s="73"/>
      <c r="K970" s="32"/>
      <c r="L970" s="32"/>
      <c r="M970" s="32"/>
      <c r="N970" s="32"/>
      <c r="O970" s="2"/>
      <c r="P970" s="2"/>
      <c r="Q970" s="32"/>
      <c r="R970" s="32"/>
      <c r="S970" s="32"/>
      <c r="T970" s="32"/>
      <c r="U970" s="2"/>
      <c r="V970" s="2"/>
      <c r="W970" s="2"/>
      <c r="X970" s="2"/>
      <c r="Y970" s="2"/>
      <c r="Z970" s="2"/>
    </row>
    <row r="971" spans="1:26" ht="13.8" x14ac:dyDescent="0.3">
      <c r="A971" s="2"/>
      <c r="B971" s="10"/>
      <c r="C971" s="10"/>
      <c r="D971" s="10"/>
      <c r="E971" s="10"/>
      <c r="F971" s="10"/>
      <c r="G971" s="32"/>
      <c r="H971" s="32"/>
      <c r="I971" s="32"/>
      <c r="J971" s="73"/>
      <c r="K971" s="32"/>
      <c r="L971" s="32"/>
      <c r="M971" s="32"/>
      <c r="N971" s="32"/>
      <c r="O971" s="2"/>
      <c r="P971" s="2"/>
      <c r="Q971" s="32"/>
      <c r="R971" s="32"/>
      <c r="S971" s="32"/>
      <c r="T971" s="32"/>
      <c r="U971" s="2"/>
      <c r="V971" s="2"/>
      <c r="W971" s="2"/>
      <c r="X971" s="2"/>
      <c r="Y971" s="2"/>
      <c r="Z971" s="2"/>
    </row>
    <row r="972" spans="1:26" ht="13.8" x14ac:dyDescent="0.3">
      <c r="A972" s="2"/>
      <c r="B972" s="10"/>
      <c r="C972" s="10"/>
      <c r="D972" s="10"/>
      <c r="E972" s="10"/>
      <c r="F972" s="10"/>
      <c r="G972" s="32"/>
      <c r="H972" s="32"/>
      <c r="I972" s="32"/>
      <c r="J972" s="73"/>
      <c r="K972" s="32"/>
      <c r="L972" s="32"/>
      <c r="M972" s="32"/>
      <c r="N972" s="32"/>
      <c r="O972" s="2"/>
      <c r="P972" s="2"/>
      <c r="Q972" s="32"/>
      <c r="R972" s="32"/>
      <c r="S972" s="32"/>
      <c r="T972" s="32"/>
      <c r="U972" s="2"/>
      <c r="V972" s="2"/>
      <c r="W972" s="2"/>
      <c r="X972" s="2"/>
      <c r="Y972" s="2"/>
      <c r="Z972" s="2"/>
    </row>
    <row r="973" spans="1:26" ht="13.8" x14ac:dyDescent="0.3">
      <c r="A973" s="2"/>
      <c r="B973" s="10"/>
      <c r="C973" s="10"/>
      <c r="D973" s="10"/>
      <c r="E973" s="10"/>
      <c r="F973" s="10"/>
      <c r="G973" s="32"/>
      <c r="H973" s="32"/>
      <c r="I973" s="32"/>
      <c r="J973" s="73"/>
      <c r="K973" s="32"/>
      <c r="L973" s="32"/>
      <c r="M973" s="32"/>
      <c r="N973" s="32"/>
      <c r="O973" s="2"/>
      <c r="P973" s="2"/>
      <c r="Q973" s="32"/>
      <c r="R973" s="32"/>
      <c r="S973" s="32"/>
      <c r="T973" s="32"/>
      <c r="U973" s="2"/>
      <c r="V973" s="2"/>
      <c r="W973" s="2"/>
      <c r="X973" s="2"/>
      <c r="Y973" s="2"/>
      <c r="Z973" s="2"/>
    </row>
    <row r="974" spans="1:26" ht="13.8" x14ac:dyDescent="0.3">
      <c r="A974" s="2"/>
      <c r="B974" s="10"/>
      <c r="C974" s="10"/>
      <c r="D974" s="10"/>
      <c r="E974" s="10"/>
      <c r="F974" s="10"/>
      <c r="G974" s="32"/>
      <c r="H974" s="32"/>
      <c r="I974" s="32"/>
      <c r="J974" s="73"/>
      <c r="K974" s="32"/>
      <c r="L974" s="32"/>
      <c r="M974" s="32"/>
      <c r="N974" s="32"/>
      <c r="O974" s="2"/>
      <c r="P974" s="2"/>
      <c r="Q974" s="32"/>
      <c r="R974" s="32"/>
      <c r="S974" s="32"/>
      <c r="T974" s="32"/>
      <c r="U974" s="2"/>
      <c r="V974" s="2"/>
      <c r="W974" s="2"/>
      <c r="X974" s="2"/>
      <c r="Y974" s="2"/>
      <c r="Z974" s="2"/>
    </row>
    <row r="975" spans="1:26" ht="13.8" x14ac:dyDescent="0.3">
      <c r="A975" s="2"/>
      <c r="B975" s="10"/>
      <c r="C975" s="10"/>
      <c r="D975" s="10"/>
      <c r="E975" s="10"/>
      <c r="F975" s="10"/>
      <c r="G975" s="32"/>
      <c r="H975" s="32"/>
      <c r="I975" s="32"/>
      <c r="J975" s="73"/>
      <c r="K975" s="32"/>
      <c r="L975" s="32"/>
      <c r="M975" s="32"/>
      <c r="N975" s="32"/>
      <c r="O975" s="2"/>
      <c r="P975" s="2"/>
      <c r="Q975" s="32"/>
      <c r="R975" s="32"/>
      <c r="S975" s="32"/>
      <c r="T975" s="32"/>
      <c r="U975" s="2"/>
      <c r="V975" s="2"/>
      <c r="W975" s="2"/>
      <c r="X975" s="2"/>
      <c r="Y975" s="2"/>
      <c r="Z975" s="2"/>
    </row>
    <row r="976" spans="1:26" ht="13.8" x14ac:dyDescent="0.3">
      <c r="A976" s="2"/>
      <c r="B976" s="10"/>
      <c r="C976" s="10"/>
      <c r="D976" s="10"/>
      <c r="E976" s="10"/>
      <c r="F976" s="10"/>
      <c r="G976" s="32"/>
      <c r="H976" s="32"/>
      <c r="I976" s="32"/>
      <c r="J976" s="73"/>
      <c r="K976" s="32"/>
      <c r="L976" s="32"/>
      <c r="M976" s="32"/>
      <c r="N976" s="32"/>
      <c r="O976" s="2"/>
      <c r="P976" s="2"/>
      <c r="Q976" s="32"/>
      <c r="R976" s="32"/>
      <c r="S976" s="32"/>
      <c r="T976" s="32"/>
      <c r="U976" s="2"/>
      <c r="V976" s="2"/>
      <c r="W976" s="2"/>
      <c r="X976" s="2"/>
      <c r="Y976" s="2"/>
      <c r="Z976" s="2"/>
    </row>
    <row r="977" spans="1:26" ht="13.8" x14ac:dyDescent="0.3">
      <c r="A977" s="2"/>
      <c r="B977" s="10"/>
      <c r="C977" s="10"/>
      <c r="D977" s="10"/>
      <c r="E977" s="10"/>
      <c r="F977" s="10"/>
      <c r="G977" s="32"/>
      <c r="H977" s="32"/>
      <c r="I977" s="32"/>
      <c r="J977" s="73"/>
      <c r="K977" s="32"/>
      <c r="L977" s="32"/>
      <c r="M977" s="32"/>
      <c r="N977" s="32"/>
      <c r="O977" s="2"/>
      <c r="P977" s="2"/>
      <c r="Q977" s="32"/>
      <c r="R977" s="32"/>
      <c r="S977" s="32"/>
      <c r="T977" s="32"/>
      <c r="U977" s="2"/>
      <c r="V977" s="2"/>
      <c r="W977" s="2"/>
      <c r="X977" s="2"/>
      <c r="Y977" s="2"/>
      <c r="Z977" s="2"/>
    </row>
    <row r="978" spans="1:26" ht="13.8" x14ac:dyDescent="0.3">
      <c r="A978" s="2"/>
      <c r="B978" s="10"/>
      <c r="C978" s="10"/>
      <c r="D978" s="10"/>
      <c r="E978" s="10"/>
      <c r="F978" s="10"/>
      <c r="G978" s="32"/>
      <c r="H978" s="32"/>
      <c r="I978" s="32"/>
      <c r="J978" s="73"/>
      <c r="K978" s="32"/>
      <c r="L978" s="32"/>
      <c r="M978" s="32"/>
      <c r="N978" s="32"/>
      <c r="O978" s="2"/>
      <c r="P978" s="2"/>
      <c r="Q978" s="32"/>
      <c r="R978" s="32"/>
      <c r="S978" s="32"/>
      <c r="T978" s="32"/>
      <c r="U978" s="2"/>
      <c r="V978" s="2"/>
      <c r="W978" s="2"/>
      <c r="X978" s="2"/>
      <c r="Y978" s="2"/>
      <c r="Z978" s="2"/>
    </row>
    <row r="979" spans="1:26" ht="13.8" x14ac:dyDescent="0.3">
      <c r="A979" s="2"/>
      <c r="B979" s="10"/>
      <c r="C979" s="10"/>
      <c r="D979" s="10"/>
      <c r="E979" s="10"/>
      <c r="F979" s="10"/>
      <c r="G979" s="32"/>
      <c r="H979" s="32"/>
      <c r="I979" s="32"/>
      <c r="J979" s="73"/>
      <c r="K979" s="32"/>
      <c r="L979" s="32"/>
      <c r="M979" s="32"/>
      <c r="N979" s="32"/>
      <c r="O979" s="2"/>
      <c r="P979" s="2"/>
      <c r="Q979" s="32"/>
      <c r="R979" s="32"/>
      <c r="S979" s="32"/>
      <c r="T979" s="32"/>
      <c r="U979" s="2"/>
      <c r="V979" s="2"/>
      <c r="W979" s="2"/>
      <c r="X979" s="2"/>
      <c r="Y979" s="2"/>
      <c r="Z979" s="2"/>
    </row>
    <row r="980" spans="1:26" ht="13.8" x14ac:dyDescent="0.3">
      <c r="A980" s="2"/>
      <c r="B980" s="10"/>
      <c r="C980" s="10"/>
      <c r="D980" s="10"/>
      <c r="E980" s="10"/>
      <c r="F980" s="10"/>
      <c r="G980" s="32"/>
      <c r="H980" s="32"/>
      <c r="I980" s="32"/>
      <c r="J980" s="73"/>
      <c r="K980" s="32"/>
      <c r="L980" s="32"/>
      <c r="M980" s="32"/>
      <c r="N980" s="32"/>
      <c r="O980" s="2"/>
      <c r="P980" s="2"/>
      <c r="Q980" s="32"/>
      <c r="R980" s="32"/>
      <c r="S980" s="32"/>
      <c r="T980" s="32"/>
      <c r="U980" s="2"/>
      <c r="V980" s="2"/>
      <c r="W980" s="2"/>
      <c r="X980" s="2"/>
      <c r="Y980" s="2"/>
      <c r="Z980" s="2"/>
    </row>
    <row r="981" spans="1:26" ht="13.8" x14ac:dyDescent="0.3">
      <c r="A981" s="2"/>
      <c r="B981" s="10"/>
      <c r="C981" s="10"/>
      <c r="D981" s="10"/>
      <c r="E981" s="10"/>
      <c r="F981" s="10"/>
      <c r="G981" s="32"/>
      <c r="H981" s="32"/>
      <c r="I981" s="32"/>
      <c r="J981" s="73"/>
      <c r="K981" s="32"/>
      <c r="L981" s="32"/>
      <c r="M981" s="32"/>
      <c r="N981" s="32"/>
      <c r="O981" s="2"/>
      <c r="P981" s="2"/>
      <c r="Q981" s="32"/>
      <c r="R981" s="32"/>
      <c r="S981" s="32"/>
      <c r="T981" s="32"/>
      <c r="U981" s="2"/>
      <c r="V981" s="2"/>
      <c r="W981" s="2"/>
      <c r="X981" s="2"/>
      <c r="Y981" s="2"/>
      <c r="Z981" s="2"/>
    </row>
    <row r="982" spans="1:26" ht="13.8" x14ac:dyDescent="0.3">
      <c r="A982" s="2"/>
      <c r="B982" s="10"/>
      <c r="C982" s="10"/>
      <c r="D982" s="10"/>
      <c r="E982" s="10"/>
      <c r="F982" s="10"/>
      <c r="G982" s="32"/>
      <c r="H982" s="32"/>
      <c r="I982" s="32"/>
      <c r="J982" s="73"/>
      <c r="K982" s="32"/>
      <c r="L982" s="32"/>
      <c r="M982" s="32"/>
      <c r="N982" s="32"/>
      <c r="O982" s="2"/>
      <c r="P982" s="2"/>
      <c r="Q982" s="32"/>
      <c r="R982" s="32"/>
      <c r="S982" s="32"/>
      <c r="T982" s="32"/>
      <c r="U982" s="2"/>
      <c r="V982" s="2"/>
      <c r="W982" s="2"/>
      <c r="X982" s="2"/>
      <c r="Y982" s="2"/>
      <c r="Z982" s="2"/>
    </row>
    <row r="983" spans="1:26" ht="13.8" x14ac:dyDescent="0.3">
      <c r="A983" s="2"/>
      <c r="B983" s="10"/>
      <c r="C983" s="10"/>
      <c r="D983" s="10"/>
      <c r="E983" s="10"/>
      <c r="F983" s="10"/>
      <c r="G983" s="32"/>
      <c r="H983" s="32"/>
      <c r="I983" s="32"/>
      <c r="J983" s="73"/>
      <c r="K983" s="32"/>
      <c r="L983" s="32"/>
      <c r="M983" s="32"/>
      <c r="N983" s="32"/>
      <c r="O983" s="2"/>
      <c r="P983" s="2"/>
      <c r="Q983" s="32"/>
      <c r="R983" s="32"/>
      <c r="S983" s="32"/>
      <c r="T983" s="32"/>
      <c r="U983" s="2"/>
      <c r="V983" s="2"/>
      <c r="W983" s="2"/>
      <c r="X983" s="2"/>
      <c r="Y983" s="2"/>
      <c r="Z983" s="2"/>
    </row>
    <row r="984" spans="1:26" ht="13.8" x14ac:dyDescent="0.3">
      <c r="A984" s="2"/>
      <c r="B984" s="10"/>
      <c r="C984" s="10"/>
      <c r="D984" s="10"/>
      <c r="E984" s="10"/>
      <c r="F984" s="10"/>
      <c r="G984" s="32"/>
      <c r="H984" s="32"/>
      <c r="I984" s="32"/>
      <c r="J984" s="73"/>
      <c r="K984" s="32"/>
      <c r="L984" s="32"/>
      <c r="M984" s="32"/>
      <c r="N984" s="32"/>
      <c r="O984" s="2"/>
      <c r="P984" s="2"/>
      <c r="Q984" s="32"/>
      <c r="R984" s="32"/>
      <c r="S984" s="32"/>
      <c r="T984" s="32"/>
      <c r="U984" s="2"/>
      <c r="V984" s="2"/>
      <c r="W984" s="2"/>
      <c r="X984" s="2"/>
      <c r="Y984" s="2"/>
      <c r="Z984" s="2"/>
    </row>
    <row r="985" spans="1:26" ht="13.8" x14ac:dyDescent="0.3">
      <c r="A985" s="2"/>
      <c r="B985" s="10"/>
      <c r="C985" s="10"/>
      <c r="D985" s="10"/>
      <c r="E985" s="10"/>
      <c r="F985" s="10"/>
      <c r="G985" s="32"/>
      <c r="H985" s="32"/>
      <c r="I985" s="32"/>
      <c r="J985" s="73"/>
      <c r="K985" s="32"/>
      <c r="L985" s="32"/>
      <c r="M985" s="32"/>
      <c r="N985" s="32"/>
      <c r="O985" s="2"/>
      <c r="P985" s="2"/>
      <c r="Q985" s="32"/>
      <c r="R985" s="32"/>
      <c r="S985" s="32"/>
      <c r="T985" s="32"/>
      <c r="U985" s="2"/>
      <c r="V985" s="2"/>
      <c r="W985" s="2"/>
      <c r="X985" s="2"/>
      <c r="Y985" s="2"/>
      <c r="Z985" s="2"/>
    </row>
    <row r="986" spans="1:26" ht="13.8" x14ac:dyDescent="0.3">
      <c r="A986" s="2"/>
      <c r="B986" s="10"/>
      <c r="C986" s="10"/>
      <c r="D986" s="10"/>
      <c r="E986" s="10"/>
      <c r="F986" s="10"/>
      <c r="G986" s="32"/>
      <c r="H986" s="32"/>
      <c r="I986" s="32"/>
      <c r="J986" s="73"/>
      <c r="K986" s="32"/>
      <c r="L986" s="32"/>
      <c r="M986" s="32"/>
      <c r="N986" s="32"/>
      <c r="O986" s="2"/>
      <c r="P986" s="2"/>
      <c r="Q986" s="32"/>
      <c r="R986" s="32"/>
      <c r="S986" s="32"/>
      <c r="T986" s="32"/>
      <c r="U986" s="2"/>
      <c r="V986" s="2"/>
      <c r="W986" s="2"/>
      <c r="X986" s="2"/>
      <c r="Y986" s="2"/>
      <c r="Z986" s="2"/>
    </row>
    <row r="987" spans="1:26" ht="13.8" x14ac:dyDescent="0.3">
      <c r="A987" s="2"/>
      <c r="B987" s="10"/>
      <c r="C987" s="10"/>
      <c r="D987" s="10"/>
      <c r="E987" s="10"/>
      <c r="F987" s="10"/>
      <c r="G987" s="32"/>
      <c r="H987" s="32"/>
      <c r="I987" s="32"/>
      <c r="J987" s="73"/>
      <c r="K987" s="32"/>
      <c r="L987" s="32"/>
      <c r="M987" s="32"/>
      <c r="N987" s="32"/>
      <c r="O987" s="2"/>
      <c r="P987" s="2"/>
      <c r="Q987" s="32"/>
      <c r="R987" s="32"/>
      <c r="S987" s="32"/>
      <c r="T987" s="32"/>
      <c r="U987" s="2"/>
      <c r="V987" s="2"/>
      <c r="W987" s="2"/>
      <c r="X987" s="2"/>
      <c r="Y987" s="2"/>
      <c r="Z987" s="2"/>
    </row>
    <row r="988" spans="1:26" ht="13.8" x14ac:dyDescent="0.3">
      <c r="A988" s="2"/>
      <c r="B988" s="10"/>
      <c r="C988" s="10"/>
      <c r="D988" s="10"/>
      <c r="E988" s="10"/>
      <c r="F988" s="10"/>
      <c r="G988" s="32"/>
      <c r="H988" s="32"/>
      <c r="I988" s="32"/>
      <c r="J988" s="73"/>
      <c r="K988" s="32"/>
      <c r="L988" s="32"/>
      <c r="M988" s="32"/>
      <c r="N988" s="32"/>
      <c r="O988" s="2"/>
      <c r="P988" s="2"/>
      <c r="Q988" s="32"/>
      <c r="R988" s="32"/>
      <c r="S988" s="32"/>
      <c r="T988" s="32"/>
      <c r="U988" s="2"/>
      <c r="V988" s="2"/>
      <c r="W988" s="2"/>
      <c r="X988" s="2"/>
      <c r="Y988" s="2"/>
      <c r="Z988" s="2"/>
    </row>
    <row r="989" spans="1:26" ht="13.8" x14ac:dyDescent="0.3">
      <c r="A989" s="2"/>
      <c r="B989" s="10"/>
      <c r="C989" s="10"/>
      <c r="D989" s="10"/>
      <c r="E989" s="10"/>
      <c r="F989" s="10"/>
      <c r="G989" s="32"/>
      <c r="H989" s="32"/>
      <c r="I989" s="32"/>
      <c r="J989" s="73"/>
      <c r="K989" s="32"/>
      <c r="L989" s="32"/>
      <c r="M989" s="32"/>
      <c r="N989" s="32"/>
      <c r="O989" s="2"/>
      <c r="P989" s="2"/>
      <c r="Q989" s="32"/>
      <c r="R989" s="32"/>
      <c r="S989" s="32"/>
      <c r="T989" s="32"/>
      <c r="U989" s="2"/>
      <c r="V989" s="2"/>
      <c r="W989" s="2"/>
      <c r="X989" s="2"/>
      <c r="Y989" s="2"/>
      <c r="Z989" s="2"/>
    </row>
    <row r="990" spans="1:26" ht="13.8" x14ac:dyDescent="0.3">
      <c r="A990" s="2"/>
      <c r="B990" s="10"/>
      <c r="C990" s="10"/>
      <c r="D990" s="10"/>
      <c r="E990" s="10"/>
      <c r="F990" s="10"/>
      <c r="G990" s="32"/>
      <c r="H990" s="32"/>
      <c r="I990" s="32"/>
      <c r="J990" s="73"/>
      <c r="K990" s="32"/>
      <c r="L990" s="32"/>
      <c r="M990" s="32"/>
      <c r="N990" s="32"/>
      <c r="O990" s="2"/>
      <c r="P990" s="2"/>
      <c r="Q990" s="32"/>
      <c r="R990" s="32"/>
      <c r="S990" s="32"/>
      <c r="T990" s="32"/>
      <c r="U990" s="2"/>
      <c r="V990" s="2"/>
      <c r="W990" s="2"/>
      <c r="X990" s="2"/>
      <c r="Y990" s="2"/>
      <c r="Z990" s="2"/>
    </row>
    <row r="991" spans="1:26" ht="13.8" x14ac:dyDescent="0.3">
      <c r="A991" s="2"/>
      <c r="B991" s="10"/>
      <c r="C991" s="10"/>
      <c r="D991" s="10"/>
      <c r="E991" s="10"/>
      <c r="F991" s="10"/>
      <c r="G991" s="32"/>
      <c r="H991" s="32"/>
      <c r="I991" s="32"/>
      <c r="J991" s="73"/>
      <c r="K991" s="32"/>
      <c r="L991" s="32"/>
      <c r="M991" s="32"/>
      <c r="N991" s="32"/>
      <c r="O991" s="2"/>
      <c r="P991" s="2"/>
      <c r="Q991" s="32"/>
      <c r="R991" s="32"/>
      <c r="S991" s="32"/>
      <c r="T991" s="32"/>
      <c r="U991" s="2"/>
      <c r="V991" s="2"/>
      <c r="W991" s="2"/>
      <c r="X991" s="2"/>
      <c r="Y991" s="2"/>
      <c r="Z991" s="2"/>
    </row>
    <row r="992" spans="1:26" ht="13.8" x14ac:dyDescent="0.3">
      <c r="A992" s="2"/>
      <c r="B992" s="10"/>
      <c r="C992" s="10"/>
      <c r="D992" s="10"/>
      <c r="E992" s="10"/>
      <c r="F992" s="10"/>
      <c r="G992" s="32"/>
      <c r="H992" s="32"/>
      <c r="I992" s="32"/>
      <c r="J992" s="73"/>
      <c r="K992" s="32"/>
      <c r="L992" s="32"/>
      <c r="M992" s="32"/>
      <c r="N992" s="32"/>
      <c r="O992" s="2"/>
      <c r="P992" s="2"/>
      <c r="Q992" s="32"/>
      <c r="R992" s="32"/>
      <c r="S992" s="32"/>
      <c r="T992" s="32"/>
      <c r="U992" s="2"/>
      <c r="V992" s="2"/>
      <c r="W992" s="2"/>
      <c r="X992" s="2"/>
      <c r="Y992" s="2"/>
      <c r="Z992" s="2"/>
    </row>
    <row r="993" spans="1:26" ht="13.8" x14ac:dyDescent="0.3">
      <c r="A993" s="2"/>
      <c r="B993" s="10"/>
      <c r="C993" s="10"/>
      <c r="D993" s="10"/>
      <c r="E993" s="10"/>
      <c r="F993" s="10"/>
      <c r="G993" s="32"/>
      <c r="H993" s="32"/>
      <c r="I993" s="32"/>
      <c r="J993" s="73"/>
      <c r="K993" s="32"/>
      <c r="L993" s="32"/>
      <c r="M993" s="32"/>
      <c r="N993" s="32"/>
      <c r="O993" s="2"/>
      <c r="P993" s="2"/>
      <c r="Q993" s="32"/>
      <c r="R993" s="32"/>
      <c r="S993" s="32"/>
      <c r="T993" s="32"/>
      <c r="U993" s="2"/>
      <c r="V993" s="2"/>
      <c r="W993" s="2"/>
      <c r="X993" s="2"/>
      <c r="Y993" s="2"/>
      <c r="Z993" s="2"/>
    </row>
    <row r="994" spans="1:26" ht="13.8" x14ac:dyDescent="0.3">
      <c r="A994" s="2"/>
      <c r="B994" s="10"/>
      <c r="C994" s="10"/>
      <c r="D994" s="10"/>
      <c r="E994" s="10"/>
      <c r="F994" s="10"/>
      <c r="G994" s="32"/>
      <c r="H994" s="32"/>
      <c r="I994" s="32"/>
      <c r="J994" s="73"/>
      <c r="K994" s="32"/>
      <c r="L994" s="32"/>
      <c r="M994" s="32"/>
      <c r="N994" s="32"/>
      <c r="O994" s="2"/>
      <c r="P994" s="2"/>
      <c r="Q994" s="32"/>
      <c r="R994" s="32"/>
      <c r="S994" s="32"/>
      <c r="T994" s="32"/>
      <c r="U994" s="2"/>
      <c r="V994" s="2"/>
      <c r="W994" s="2"/>
      <c r="X994" s="2"/>
      <c r="Y994" s="2"/>
      <c r="Z994" s="2"/>
    </row>
    <row r="995" spans="1:26" ht="13.8" x14ac:dyDescent="0.3">
      <c r="A995" s="2"/>
      <c r="B995" s="10"/>
      <c r="C995" s="10"/>
      <c r="D995" s="10"/>
      <c r="E995" s="10"/>
      <c r="F995" s="10"/>
      <c r="G995" s="32"/>
      <c r="H995" s="32"/>
      <c r="I995" s="32"/>
      <c r="J995" s="73"/>
      <c r="K995" s="32"/>
      <c r="L995" s="32"/>
      <c r="M995" s="32"/>
      <c r="N995" s="32"/>
      <c r="O995" s="2"/>
      <c r="P995" s="2"/>
      <c r="Q995" s="32"/>
      <c r="R995" s="32"/>
      <c r="S995" s="32"/>
      <c r="T995" s="32"/>
      <c r="U995" s="2"/>
      <c r="V995" s="2"/>
      <c r="W995" s="2"/>
      <c r="X995" s="2"/>
      <c r="Y995" s="2"/>
      <c r="Z995" s="2"/>
    </row>
    <row r="996" spans="1:26" ht="13.8" x14ac:dyDescent="0.3">
      <c r="A996" s="2"/>
      <c r="B996" s="10"/>
      <c r="C996" s="10"/>
      <c r="D996" s="10"/>
      <c r="E996" s="10"/>
      <c r="F996" s="10"/>
      <c r="G996" s="32"/>
      <c r="H996" s="32"/>
      <c r="I996" s="32"/>
      <c r="J996" s="73"/>
      <c r="K996" s="32"/>
      <c r="L996" s="32"/>
      <c r="M996" s="32"/>
      <c r="N996" s="32"/>
      <c r="O996" s="2"/>
      <c r="P996" s="2"/>
      <c r="Q996" s="32"/>
      <c r="R996" s="32"/>
      <c r="S996" s="32"/>
      <c r="T996" s="32"/>
      <c r="U996" s="2"/>
      <c r="V996" s="2"/>
      <c r="W996" s="2"/>
      <c r="X996" s="2"/>
      <c r="Y996" s="2"/>
      <c r="Z996" s="2"/>
    </row>
    <row r="997" spans="1:26" ht="13.8" x14ac:dyDescent="0.3">
      <c r="A997" s="2"/>
      <c r="B997" s="10"/>
      <c r="C997" s="10"/>
      <c r="D997" s="10"/>
      <c r="E997" s="10"/>
      <c r="F997" s="10"/>
      <c r="G997" s="32"/>
      <c r="H997" s="32"/>
      <c r="I997" s="32"/>
      <c r="J997" s="73"/>
      <c r="K997" s="32"/>
      <c r="L997" s="32"/>
      <c r="M997" s="32"/>
      <c r="N997" s="32"/>
      <c r="O997" s="2"/>
      <c r="P997" s="2"/>
      <c r="Q997" s="32"/>
      <c r="R997" s="32"/>
      <c r="S997" s="32"/>
      <c r="T997" s="32"/>
      <c r="U997" s="2"/>
      <c r="V997" s="2"/>
      <c r="W997" s="2"/>
      <c r="X997" s="2"/>
      <c r="Y997" s="2"/>
      <c r="Z997" s="2"/>
    </row>
    <row r="998" spans="1:26" ht="13.8" x14ac:dyDescent="0.3">
      <c r="A998" s="2"/>
      <c r="B998" s="10"/>
      <c r="C998" s="10"/>
      <c r="D998" s="10"/>
      <c r="E998" s="10"/>
      <c r="F998" s="10"/>
      <c r="G998" s="32"/>
      <c r="H998" s="32"/>
      <c r="I998" s="32"/>
      <c r="J998" s="73"/>
      <c r="K998" s="32"/>
      <c r="L998" s="32"/>
      <c r="M998" s="32"/>
      <c r="N998" s="32"/>
      <c r="O998" s="2"/>
      <c r="P998" s="2"/>
      <c r="Q998" s="32"/>
      <c r="R998" s="32"/>
      <c r="S998" s="32"/>
      <c r="T998" s="32"/>
      <c r="U998" s="2"/>
      <c r="V998" s="2"/>
      <c r="W998" s="2"/>
      <c r="X998" s="2"/>
      <c r="Y998" s="2"/>
      <c r="Z998" s="2"/>
    </row>
    <row r="999" spans="1:26" ht="13.8" x14ac:dyDescent="0.3">
      <c r="A999" s="2"/>
      <c r="B999" s="10"/>
      <c r="C999" s="10"/>
      <c r="D999" s="10"/>
      <c r="E999" s="10"/>
      <c r="F999" s="10"/>
      <c r="G999" s="32"/>
      <c r="H999" s="32"/>
      <c r="I999" s="32"/>
      <c r="J999" s="73"/>
      <c r="K999" s="32"/>
      <c r="L999" s="32"/>
      <c r="M999" s="32"/>
      <c r="N999" s="32"/>
      <c r="O999" s="2"/>
      <c r="P999" s="2"/>
      <c r="Q999" s="32"/>
      <c r="R999" s="32"/>
      <c r="S999" s="32"/>
      <c r="T999" s="32"/>
      <c r="U999" s="2"/>
      <c r="V999" s="2"/>
      <c r="W999" s="2"/>
      <c r="X999" s="2"/>
      <c r="Y999" s="2"/>
      <c r="Z999" s="2"/>
    </row>
    <row r="1000" spans="1:26" ht="13.8" x14ac:dyDescent="0.3">
      <c r="A1000" s="2"/>
      <c r="B1000" s="10"/>
      <c r="C1000" s="10"/>
      <c r="D1000" s="10"/>
      <c r="E1000" s="10"/>
      <c r="F1000" s="10"/>
      <c r="G1000" s="32"/>
      <c r="H1000" s="32"/>
      <c r="I1000" s="32"/>
      <c r="J1000" s="73"/>
      <c r="K1000" s="32"/>
      <c r="L1000" s="32"/>
      <c r="M1000" s="32"/>
      <c r="N1000" s="32"/>
      <c r="O1000" s="2"/>
      <c r="P1000" s="2"/>
      <c r="Q1000" s="32"/>
      <c r="R1000" s="32"/>
      <c r="S1000" s="32"/>
      <c r="T1000" s="3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DEALS</vt:lpstr>
      <vt:lpstr>OVERALL</vt:lpstr>
      <vt:lpstr>Primaz</vt:lpstr>
      <vt:lpstr>AAwezz</vt:lpstr>
      <vt:lpstr>Alex</vt:lpstr>
      <vt:lpstr>Bazz</vt:lpstr>
      <vt:lpstr>Carter</vt:lpstr>
      <vt:lpstr>Damir</vt:lpstr>
      <vt:lpstr>Dejan</vt:lpstr>
      <vt:lpstr>Emil</vt:lpstr>
      <vt:lpstr>Gubic</vt:lpstr>
      <vt:lpstr>HS</vt:lpstr>
      <vt:lpstr>Kaleb</vt:lpstr>
      <vt:lpstr>Luka</vt:lpstr>
      <vt:lpstr>MPLO</vt:lpstr>
      <vt:lpstr>Niki</vt:lpstr>
      <vt:lpstr>Patrick</vt:lpstr>
      <vt:lpstr>Phillip</vt:lpstr>
      <vt:lpstr>Shane</vt:lpstr>
      <vt:lpstr>Sheldon</vt:lpstr>
      <vt:lpstr>Andreas</vt:lpstr>
      <vt:lpstr>Ankush</vt:lpstr>
      <vt:lpstr>Ben</vt:lpstr>
      <vt:lpstr>Carl</vt:lpstr>
      <vt:lpstr>Duarte</vt:lpstr>
      <vt:lpstr>Fede</vt:lpstr>
      <vt:lpstr>Jake</vt:lpstr>
      <vt:lpstr>Tomaz</vt:lpstr>
      <vt:lpstr>Andraz</vt:lpstr>
      <vt:lpstr>Ash</vt:lpstr>
      <vt:lpstr>Jeanchris</vt:lpstr>
      <vt:lpstr>Kingo</vt:lpstr>
      <vt:lpstr>Medi</vt:lpstr>
      <vt:lpstr>Sheldon - Avatar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Walter Huffington</cp:lastModifiedBy>
  <dcterms:modified xsi:type="dcterms:W3CDTF">2024-04-26T09:04:25Z</dcterms:modified>
</cp:coreProperties>
</file>